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01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xr:revisionPtr revIDLastSave="0" documentId="8_{F76F4381-5202-49D2-B64E-A4EA86B3A221}" xr6:coauthVersionLast="47" xr6:coauthVersionMax="47" xr10:uidLastSave="{00000000-0000-0000-0000-000000000000}"/>
  <bookViews>
    <workbookView xWindow="-120" yWindow="-120" windowWidth="29040" windowHeight="15840" tabRatio="930" xr2:uid="{00000000-000D-0000-FFFF-FFFF00000000}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Materiál Žádanky" sheetId="420" r:id="rId12"/>
    <sheet name="MŽ Detail" sheetId="403" r:id="rId13"/>
    <sheet name="Osobní náklady" sheetId="431" r:id="rId14"/>
    <sheet name="ON Data" sheetId="432" state="hidden" r:id="rId15"/>
    <sheet name="ZV Vykáz.-A" sheetId="344" r:id="rId16"/>
    <sheet name="ZV Vykáz.-A Lékaři" sheetId="429" r:id="rId17"/>
    <sheet name="ZV Vykáz.-A Detail" sheetId="345" r:id="rId18"/>
    <sheet name="ZV Vykáz.-A Det.Lék." sheetId="430" r:id="rId19"/>
    <sheet name="ZV Vykáz.-H" sheetId="410" r:id="rId20"/>
    <sheet name="ZV Vykáz.-H Detail" sheetId="377" r:id="rId21"/>
    <sheet name="CaseMix" sheetId="370" r:id="rId22"/>
    <sheet name="ALOS" sheetId="374" r:id="rId23"/>
    <sheet name="Total" sheetId="371" r:id="rId24"/>
    <sheet name="ZV Vyžád." sheetId="342" r:id="rId25"/>
    <sheet name="ZV Vyžád. Detail" sheetId="343" r:id="rId26"/>
    <sheet name="OD TISS" sheetId="372" r:id="rId27"/>
  </sheets>
  <definedNames>
    <definedName name="_xlnm._FilterDatabase" localSheetId="5" hidden="1">HV!$A$5:$A$5</definedName>
    <definedName name="_xlnm._FilterDatabase" localSheetId="6" hidden="1">'Léky Žádanky'!$A$4:$I$4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1" hidden="1">'Materiál Žádanky'!$A$4:$I$4</definedName>
    <definedName name="_xlnm._FilterDatabase" localSheetId="12" hidden="1">'MŽ Detail'!$A$4:$K$4</definedName>
    <definedName name="_xlnm._FilterDatabase" localSheetId="26" hidden="1">'OD TISS'!$A$5:$N$5</definedName>
    <definedName name="_xlnm._FilterDatabase" localSheetId="23" hidden="1">Total!$A$4:$Y$4</definedName>
    <definedName name="_xlnm._FilterDatabase" localSheetId="18" hidden="1">'ZV Vykáz.-A Det.Lék.'!$A$5:$S$5</definedName>
    <definedName name="_xlnm._FilterDatabase" localSheetId="17" hidden="1">'ZV Vykáz.-A Detail'!$A$5:$R$5</definedName>
    <definedName name="_xlnm._FilterDatabase" localSheetId="16" hidden="1">'ZV Vykáz.-A Lékaři'!$A$4:$A$5</definedName>
    <definedName name="_xlnm._FilterDatabase" localSheetId="20" hidden="1">'ZV Vykáz.-H Detail'!$A$5:$Q$5</definedName>
    <definedName name="_xlnm._FilterDatabase" localSheetId="24" hidden="1">'ZV Vyžád.'!$A$5:$M$5</definedName>
    <definedName name="_xlnm._FilterDatabase" localSheetId="25" hidden="1">'ZV Vyžád. Detail'!$A$5:$Q$5</definedName>
    <definedName name="doměsíce">'HI Graf'!$C$11</definedName>
    <definedName name="Obdobi" localSheetId="14">'ON Data'!$B$3:$B$16</definedName>
    <definedName name="Obdobi" localSheetId="13">'ON Data'!$B$3:$B$16</definedName>
    <definedName name="Obdobi">#REF!</definedName>
    <definedName name="_xlnm.Print_Area" localSheetId="22">ALOS!$A$1:$M$45</definedName>
    <definedName name="_xlnm.Print_Area" localSheetId="21">CaseMix!$A$1:$O$39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T88" i="371" l="1"/>
  <c r="S88" i="371"/>
  <c r="T87" i="371"/>
  <c r="S87" i="371"/>
  <c r="T86" i="371"/>
  <c r="S86" i="371"/>
  <c r="T85" i="371"/>
  <c r="S85" i="371"/>
  <c r="T84" i="371"/>
  <c r="S84" i="371"/>
  <c r="T83" i="371"/>
  <c r="S83" i="371"/>
  <c r="T82" i="371"/>
  <c r="S82" i="371"/>
  <c r="T81" i="371"/>
  <c r="S81" i="371"/>
  <c r="T80" i="371"/>
  <c r="S80" i="371"/>
  <c r="T79" i="371"/>
  <c r="S79" i="371"/>
  <c r="T78" i="371"/>
  <c r="S78" i="371"/>
  <c r="T77" i="371"/>
  <c r="S77" i="371"/>
  <c r="T76" i="371"/>
  <c r="S76" i="371"/>
  <c r="T75" i="371"/>
  <c r="S75" i="371"/>
  <c r="T74" i="371"/>
  <c r="S74" i="371"/>
  <c r="T73" i="371"/>
  <c r="S73" i="371"/>
  <c r="T72" i="371"/>
  <c r="S72" i="371"/>
  <c r="T71" i="371"/>
  <c r="S71" i="371"/>
  <c r="T70" i="371"/>
  <c r="S70" i="371"/>
  <c r="T69" i="371"/>
  <c r="S69" i="371"/>
  <c r="T68" i="371"/>
  <c r="S68" i="371"/>
  <c r="T67" i="371"/>
  <c r="S67" i="371"/>
  <c r="T66" i="371"/>
  <c r="S66" i="371"/>
  <c r="T65" i="371"/>
  <c r="S65" i="371"/>
  <c r="T64" i="371"/>
  <c r="S64" i="371"/>
  <c r="T63" i="371"/>
  <c r="S63" i="371"/>
  <c r="T62" i="371"/>
  <c r="S62" i="371"/>
  <c r="T61" i="371"/>
  <c r="S61" i="371"/>
  <c r="T60" i="371"/>
  <c r="S60" i="371"/>
  <c r="T59" i="371"/>
  <c r="S59" i="371"/>
  <c r="T58" i="371"/>
  <c r="S58" i="371"/>
  <c r="T57" i="371"/>
  <c r="S57" i="371"/>
  <c r="T56" i="371"/>
  <c r="S56" i="371"/>
  <c r="T55" i="371"/>
  <c r="S55" i="371"/>
  <c r="T54" i="371"/>
  <c r="S54" i="371"/>
  <c r="T53" i="371"/>
  <c r="S53" i="371"/>
  <c r="T52" i="371"/>
  <c r="S52" i="371"/>
  <c r="T51" i="371"/>
  <c r="S51" i="371"/>
  <c r="T50" i="371"/>
  <c r="S50" i="371"/>
  <c r="T49" i="371"/>
  <c r="S49" i="371"/>
  <c r="T48" i="371"/>
  <c r="S48" i="371"/>
  <c r="T47" i="371"/>
  <c r="S47" i="371"/>
  <c r="T46" i="371"/>
  <c r="S46" i="371"/>
  <c r="T45" i="371"/>
  <c r="S45" i="371"/>
  <c r="T44" i="371"/>
  <c r="S44" i="371"/>
  <c r="T43" i="371"/>
  <c r="S43" i="371"/>
  <c r="T42" i="371"/>
  <c r="S42" i="371"/>
  <c r="T41" i="371"/>
  <c r="S41" i="371"/>
  <c r="T40" i="371"/>
  <c r="S40" i="371"/>
  <c r="T39" i="371"/>
  <c r="S39" i="371"/>
  <c r="T38" i="371"/>
  <c r="S38" i="371"/>
  <c r="T37" i="371"/>
  <c r="S37" i="371"/>
  <c r="T36" i="371"/>
  <c r="S36" i="371"/>
  <c r="T35" i="371"/>
  <c r="S35" i="371"/>
  <c r="T34" i="371"/>
  <c r="S34" i="371"/>
  <c r="T33" i="371"/>
  <c r="S33" i="371"/>
  <c r="T32" i="371"/>
  <c r="S32" i="371"/>
  <c r="T31" i="371"/>
  <c r="S31" i="371"/>
  <c r="T30" i="371"/>
  <c r="S30" i="371"/>
  <c r="T29" i="371"/>
  <c r="S29" i="371"/>
  <c r="T28" i="371"/>
  <c r="S28" i="371"/>
  <c r="T27" i="371"/>
  <c r="S27" i="371"/>
  <c r="T26" i="371"/>
  <c r="S26" i="371"/>
  <c r="T25" i="371"/>
  <c r="S25" i="371"/>
  <c r="T24" i="371"/>
  <c r="S24" i="371"/>
  <c r="T23" i="371"/>
  <c r="S23" i="371"/>
  <c r="T22" i="371"/>
  <c r="S22" i="371"/>
  <c r="T21" i="371"/>
  <c r="S21" i="371"/>
  <c r="T20" i="371"/>
  <c r="S20" i="371"/>
  <c r="T19" i="371"/>
  <c r="S19" i="371"/>
  <c r="T18" i="371"/>
  <c r="S18" i="371"/>
  <c r="T17" i="371"/>
  <c r="S17" i="371"/>
  <c r="T16" i="371"/>
  <c r="S16" i="371"/>
  <c r="T15" i="371"/>
  <c r="S15" i="371"/>
  <c r="T14" i="371"/>
  <c r="S14" i="371"/>
  <c r="T13" i="371"/>
  <c r="S13" i="371"/>
  <c r="T12" i="371"/>
  <c r="S12" i="371"/>
  <c r="T11" i="371"/>
  <c r="S11" i="371"/>
  <c r="T10" i="371"/>
  <c r="S10" i="371"/>
  <c r="T9" i="371"/>
  <c r="S9" i="371"/>
  <c r="T8" i="371"/>
  <c r="S8" i="371"/>
  <c r="T7" i="371"/>
  <c r="S7" i="371"/>
  <c r="T6" i="371"/>
  <c r="S6" i="371"/>
  <c r="R88" i="371"/>
  <c r="Q88" i="371"/>
  <c r="R87" i="371"/>
  <c r="Q87" i="371"/>
  <c r="R86" i="371"/>
  <c r="Q86" i="371"/>
  <c r="R85" i="371"/>
  <c r="Q85" i="371"/>
  <c r="R84" i="371"/>
  <c r="Q84" i="371"/>
  <c r="R83" i="371"/>
  <c r="Q83" i="371"/>
  <c r="R82" i="371"/>
  <c r="Q82" i="371"/>
  <c r="R81" i="371"/>
  <c r="Q81" i="371"/>
  <c r="R80" i="371"/>
  <c r="Q80" i="371"/>
  <c r="R79" i="371"/>
  <c r="Q79" i="371"/>
  <c r="R78" i="371"/>
  <c r="Q78" i="371"/>
  <c r="R77" i="371"/>
  <c r="Q77" i="371"/>
  <c r="R76" i="371"/>
  <c r="Q76" i="371"/>
  <c r="R75" i="371"/>
  <c r="Q75" i="371"/>
  <c r="R74" i="371"/>
  <c r="Q74" i="371"/>
  <c r="R73" i="371"/>
  <c r="Q73" i="371"/>
  <c r="R72" i="371"/>
  <c r="Q72" i="371"/>
  <c r="R71" i="371"/>
  <c r="Q71" i="371"/>
  <c r="R70" i="371"/>
  <c r="Q70" i="371"/>
  <c r="R69" i="371"/>
  <c r="Q69" i="371"/>
  <c r="R68" i="371"/>
  <c r="Q68" i="371"/>
  <c r="R67" i="371"/>
  <c r="Q67" i="371"/>
  <c r="R66" i="371"/>
  <c r="Q66" i="371"/>
  <c r="R65" i="371"/>
  <c r="Q65" i="371"/>
  <c r="R64" i="371"/>
  <c r="Q64" i="371"/>
  <c r="R63" i="371"/>
  <c r="Q63" i="371"/>
  <c r="R62" i="371"/>
  <c r="Q62" i="371"/>
  <c r="R61" i="371"/>
  <c r="Q61" i="371"/>
  <c r="R60" i="371"/>
  <c r="Q60" i="371"/>
  <c r="R59" i="371"/>
  <c r="Q59" i="371"/>
  <c r="R58" i="371"/>
  <c r="Q58" i="371"/>
  <c r="R57" i="371"/>
  <c r="Q57" i="371"/>
  <c r="R56" i="371"/>
  <c r="Q56" i="371"/>
  <c r="R55" i="371"/>
  <c r="Q55" i="371"/>
  <c r="R54" i="371"/>
  <c r="Q54" i="371"/>
  <c r="R53" i="371"/>
  <c r="Q53" i="371"/>
  <c r="R52" i="371"/>
  <c r="Q52" i="371"/>
  <c r="R51" i="371"/>
  <c r="Q51" i="371"/>
  <c r="R50" i="371"/>
  <c r="Q50" i="371"/>
  <c r="R49" i="371"/>
  <c r="Q49" i="371"/>
  <c r="R48" i="371"/>
  <c r="Q48" i="371"/>
  <c r="R47" i="371"/>
  <c r="Q47" i="371"/>
  <c r="R46" i="371"/>
  <c r="Q46" i="371"/>
  <c r="R45" i="371"/>
  <c r="Q45" i="371"/>
  <c r="R44" i="371"/>
  <c r="Q44" i="371"/>
  <c r="R43" i="371"/>
  <c r="Q43" i="371"/>
  <c r="R42" i="371"/>
  <c r="Q42" i="371"/>
  <c r="R41" i="371"/>
  <c r="Q41" i="371"/>
  <c r="R40" i="371"/>
  <c r="Q40" i="371"/>
  <c r="R39" i="371"/>
  <c r="Q39" i="371"/>
  <c r="R38" i="371"/>
  <c r="Q38" i="371"/>
  <c r="R37" i="371"/>
  <c r="Q37" i="371"/>
  <c r="R36" i="371"/>
  <c r="Q36" i="371"/>
  <c r="R35" i="371"/>
  <c r="Q35" i="371"/>
  <c r="R34" i="371"/>
  <c r="Q34" i="371"/>
  <c r="R33" i="371"/>
  <c r="Q33" i="371"/>
  <c r="R32" i="371"/>
  <c r="Q32" i="371"/>
  <c r="R31" i="371"/>
  <c r="Q31" i="371"/>
  <c r="R30" i="371"/>
  <c r="Q30" i="371"/>
  <c r="R29" i="371"/>
  <c r="Q29" i="371"/>
  <c r="R28" i="371"/>
  <c r="Q28" i="371"/>
  <c r="R27" i="371"/>
  <c r="Q27" i="371"/>
  <c r="R26" i="371"/>
  <c r="Q26" i="371"/>
  <c r="R25" i="371"/>
  <c r="Q25" i="371"/>
  <c r="R24" i="371"/>
  <c r="Q24" i="371"/>
  <c r="R23" i="371"/>
  <c r="Q23" i="371"/>
  <c r="R22" i="371"/>
  <c r="Q22" i="371"/>
  <c r="R21" i="371"/>
  <c r="Q21" i="371"/>
  <c r="R20" i="371"/>
  <c r="Q20" i="371"/>
  <c r="R19" i="371"/>
  <c r="Q19" i="371"/>
  <c r="R18" i="371"/>
  <c r="Q18" i="371"/>
  <c r="R17" i="371"/>
  <c r="Q17" i="371"/>
  <c r="R16" i="371"/>
  <c r="Q16" i="371"/>
  <c r="R15" i="371"/>
  <c r="Q15" i="371"/>
  <c r="R14" i="371"/>
  <c r="Q14" i="371"/>
  <c r="R13" i="371"/>
  <c r="Q13" i="371"/>
  <c r="R12" i="371"/>
  <c r="Q12" i="371"/>
  <c r="R11" i="371"/>
  <c r="Q11" i="371"/>
  <c r="R10" i="371"/>
  <c r="Q10" i="371"/>
  <c r="R9" i="371"/>
  <c r="Q9" i="371"/>
  <c r="R8" i="371"/>
  <c r="Q8" i="371"/>
  <c r="R7" i="371"/>
  <c r="Q7" i="371"/>
  <c r="R6" i="371"/>
  <c r="Q6" i="371"/>
  <c r="R5" i="371"/>
  <c r="Q5" i="371"/>
  <c r="M818" i="367"/>
  <c r="M817" i="367"/>
  <c r="M816" i="367"/>
  <c r="M815" i="367"/>
  <c r="M814" i="367"/>
  <c r="M813" i="367"/>
  <c r="M812" i="367"/>
  <c r="M811" i="367"/>
  <c r="M810" i="367"/>
  <c r="M809" i="367"/>
  <c r="M808" i="367"/>
  <c r="M807" i="367"/>
  <c r="M806" i="367"/>
  <c r="M805" i="367"/>
  <c r="M804" i="367"/>
  <c r="M803" i="367"/>
  <c r="M802" i="367"/>
  <c r="M801" i="367"/>
  <c r="M800" i="367"/>
  <c r="M799" i="367"/>
  <c r="M798" i="367"/>
  <c r="M797" i="367"/>
  <c r="M796" i="367"/>
  <c r="M795" i="367"/>
  <c r="M794" i="367"/>
  <c r="M793" i="367"/>
  <c r="M792" i="367"/>
  <c r="M791" i="367"/>
  <c r="M790" i="367"/>
  <c r="M789" i="367"/>
  <c r="M788" i="367"/>
  <c r="M787" i="367"/>
  <c r="M786" i="367"/>
  <c r="M785" i="367"/>
  <c r="M784" i="367"/>
  <c r="M783" i="367"/>
  <c r="M782" i="367"/>
  <c r="M781" i="367"/>
  <c r="M780" i="367"/>
  <c r="M779" i="367"/>
  <c r="M778" i="367"/>
  <c r="M777" i="367"/>
  <c r="M776" i="367"/>
  <c r="M775" i="367"/>
  <c r="M774" i="367"/>
  <c r="M773" i="367"/>
  <c r="M772" i="367"/>
  <c r="M771" i="367"/>
  <c r="M770" i="367"/>
  <c r="M769" i="367"/>
  <c r="M768" i="367"/>
  <c r="M767" i="367"/>
  <c r="M766" i="367"/>
  <c r="M765" i="367"/>
  <c r="M764" i="367"/>
  <c r="M763" i="367"/>
  <c r="M762" i="367"/>
  <c r="M761" i="367"/>
  <c r="M760" i="367"/>
  <c r="M759" i="367"/>
  <c r="M758" i="367"/>
  <c r="M757" i="367"/>
  <c r="M756" i="367"/>
  <c r="M755" i="367"/>
  <c r="M754" i="367"/>
  <c r="M753" i="367"/>
  <c r="M752" i="367"/>
  <c r="M751" i="367"/>
  <c r="M750" i="367"/>
  <c r="M749" i="367"/>
  <c r="M748" i="367"/>
  <c r="M747" i="367"/>
  <c r="M746" i="367"/>
  <c r="M745" i="367"/>
  <c r="M744" i="367"/>
  <c r="M743" i="367"/>
  <c r="M742" i="367"/>
  <c r="M741" i="367"/>
  <c r="M740" i="367"/>
  <c r="M739" i="367"/>
  <c r="M738" i="367"/>
  <c r="M737" i="367"/>
  <c r="M736" i="367"/>
  <c r="M735" i="367"/>
  <c r="M734" i="367"/>
  <c r="M733" i="367"/>
  <c r="M732" i="367"/>
  <c r="M731" i="367"/>
  <c r="M730" i="367"/>
  <c r="M729" i="367"/>
  <c r="M728" i="367"/>
  <c r="M727" i="367"/>
  <c r="M726" i="367"/>
  <c r="M725" i="367"/>
  <c r="M724" i="367"/>
  <c r="M723" i="367"/>
  <c r="M722" i="367"/>
  <c r="M721" i="367"/>
  <c r="M720" i="367"/>
  <c r="M719" i="367"/>
  <c r="M718" i="367"/>
  <c r="M717" i="367"/>
  <c r="M716" i="367"/>
  <c r="M715" i="367"/>
  <c r="M714" i="367"/>
  <c r="M713" i="367"/>
  <c r="M712" i="367"/>
  <c r="M711" i="367"/>
  <c r="M710" i="367"/>
  <c r="M709" i="367"/>
  <c r="M708" i="367"/>
  <c r="M707" i="367"/>
  <c r="M706" i="367"/>
  <c r="M705" i="367"/>
  <c r="M704" i="367"/>
  <c r="M703" i="367"/>
  <c r="M702" i="367"/>
  <c r="M701" i="367"/>
  <c r="M700" i="367"/>
  <c r="M699" i="367"/>
  <c r="M698" i="367"/>
  <c r="M697" i="367"/>
  <c r="M696" i="367"/>
  <c r="M695" i="367"/>
  <c r="M694" i="367"/>
  <c r="M693" i="367"/>
  <c r="M692" i="367"/>
  <c r="M691" i="367"/>
  <c r="M690" i="367"/>
  <c r="M689" i="367"/>
  <c r="M688" i="367"/>
  <c r="M687" i="367"/>
  <c r="M686" i="367"/>
  <c r="M685" i="367"/>
  <c r="M684" i="367"/>
  <c r="M683" i="367"/>
  <c r="M682" i="367"/>
  <c r="M681" i="367"/>
  <c r="M680" i="367"/>
  <c r="M679" i="367"/>
  <c r="M678" i="367"/>
  <c r="M677" i="367"/>
  <c r="M676" i="367"/>
  <c r="M675" i="367"/>
  <c r="M674" i="367"/>
  <c r="M673" i="367"/>
  <c r="M672" i="367"/>
  <c r="M671" i="367"/>
  <c r="M670" i="367"/>
  <c r="M669" i="367"/>
  <c r="M668" i="367"/>
  <c r="M667" i="367"/>
  <c r="M666" i="367"/>
  <c r="M665" i="367"/>
  <c r="M664" i="367"/>
  <c r="M663" i="367"/>
  <c r="M662" i="367"/>
  <c r="M661" i="367"/>
  <c r="M660" i="367"/>
  <c r="M659" i="367"/>
  <c r="M658" i="367"/>
  <c r="M657" i="367"/>
  <c r="M656" i="367"/>
  <c r="M655" i="367"/>
  <c r="M654" i="367"/>
  <c r="M653" i="367"/>
  <c r="M652" i="367"/>
  <c r="M651" i="367"/>
  <c r="M650" i="367"/>
  <c r="M649" i="367"/>
  <c r="M648" i="367"/>
  <c r="M647" i="367"/>
  <c r="M646" i="367"/>
  <c r="M645" i="367"/>
  <c r="M644" i="367"/>
  <c r="M643" i="367"/>
  <c r="M642" i="367"/>
  <c r="M641" i="367"/>
  <c r="M640" i="367"/>
  <c r="M639" i="367"/>
  <c r="M638" i="367"/>
  <c r="M637" i="367"/>
  <c r="M636" i="367"/>
  <c r="M635" i="367"/>
  <c r="M634" i="367"/>
  <c r="M633" i="367"/>
  <c r="M632" i="367"/>
  <c r="M631" i="367"/>
  <c r="M630" i="367"/>
  <c r="M629" i="367"/>
  <c r="M628" i="367"/>
  <c r="M627" i="367"/>
  <c r="M626" i="367"/>
  <c r="M625" i="367"/>
  <c r="M624" i="367"/>
  <c r="M623" i="367"/>
  <c r="M622" i="367"/>
  <c r="M621" i="367"/>
  <c r="M620" i="367"/>
  <c r="M619" i="367"/>
  <c r="M618" i="367"/>
  <c r="M617" i="367"/>
  <c r="M616" i="367"/>
  <c r="M615" i="367"/>
  <c r="M614" i="367"/>
  <c r="M613" i="367"/>
  <c r="M612" i="367"/>
  <c r="M611" i="367"/>
  <c r="M610" i="367"/>
  <c r="M609" i="367"/>
  <c r="M608" i="367"/>
  <c r="M607" i="367"/>
  <c r="M606" i="367"/>
  <c r="M605" i="367"/>
  <c r="M604" i="367"/>
  <c r="M603" i="367"/>
  <c r="M602" i="367"/>
  <c r="M601" i="367"/>
  <c r="M600" i="367"/>
  <c r="M599" i="367"/>
  <c r="M598" i="367"/>
  <c r="M597" i="367"/>
  <c r="M596" i="367"/>
  <c r="M595" i="367"/>
  <c r="M594" i="367"/>
  <c r="M593" i="367"/>
  <c r="M592" i="367"/>
  <c r="M591" i="367"/>
  <c r="M590" i="367"/>
  <c r="M589" i="367"/>
  <c r="M588" i="367"/>
  <c r="M587" i="367"/>
  <c r="M586" i="367"/>
  <c r="M585" i="367"/>
  <c r="M584" i="367"/>
  <c r="M583" i="367"/>
  <c r="M582" i="367"/>
  <c r="M581" i="367"/>
  <c r="M580" i="367"/>
  <c r="M579" i="367"/>
  <c r="M578" i="367"/>
  <c r="M577" i="367"/>
  <c r="M576" i="367"/>
  <c r="M575" i="367"/>
  <c r="M574" i="367"/>
  <c r="M573" i="367"/>
  <c r="M572" i="367"/>
  <c r="M571" i="367"/>
  <c r="M570" i="367"/>
  <c r="M569" i="367"/>
  <c r="M568" i="367"/>
  <c r="M567" i="367"/>
  <c r="M566" i="367"/>
  <c r="M565" i="367"/>
  <c r="M564" i="367"/>
  <c r="M563" i="367"/>
  <c r="M562" i="367"/>
  <c r="M561" i="367"/>
  <c r="M560" i="367"/>
  <c r="M559" i="367"/>
  <c r="M558" i="367"/>
  <c r="M557" i="367"/>
  <c r="M556" i="367"/>
  <c r="M555" i="367"/>
  <c r="M554" i="367"/>
  <c r="M553" i="367"/>
  <c r="M552" i="367"/>
  <c r="M551" i="367"/>
  <c r="M550" i="367"/>
  <c r="M549" i="367"/>
  <c r="M548" i="367"/>
  <c r="M547" i="367"/>
  <c r="M546" i="367"/>
  <c r="M545" i="367"/>
  <c r="M544" i="367"/>
  <c r="M543" i="367"/>
  <c r="M542" i="367"/>
  <c r="M541" i="367"/>
  <c r="M540" i="367"/>
  <c r="M539" i="367"/>
  <c r="M538" i="367"/>
  <c r="M537" i="367"/>
  <c r="M536" i="367"/>
  <c r="M535" i="367"/>
  <c r="M534" i="367"/>
  <c r="M533" i="367"/>
  <c r="M532" i="367"/>
  <c r="M531" i="367"/>
  <c r="M530" i="367"/>
  <c r="M529" i="367"/>
  <c r="M528" i="367"/>
  <c r="M527" i="367"/>
  <c r="M526" i="367"/>
  <c r="M525" i="367"/>
  <c r="M524" i="367"/>
  <c r="M523" i="367"/>
  <c r="M522" i="367"/>
  <c r="M521" i="367"/>
  <c r="M520" i="367"/>
  <c r="M519" i="367"/>
  <c r="M518" i="367"/>
  <c r="M517" i="367"/>
  <c r="M516" i="367"/>
  <c r="M515" i="367"/>
  <c r="M514" i="367"/>
  <c r="M513" i="367"/>
  <c r="M512" i="367"/>
  <c r="M511" i="367"/>
  <c r="M510" i="367"/>
  <c r="M509" i="367"/>
  <c r="M508" i="367"/>
  <c r="M507" i="367"/>
  <c r="M506" i="367"/>
  <c r="M505" i="367"/>
  <c r="M504" i="367"/>
  <c r="M503" i="367"/>
  <c r="M502" i="367"/>
  <c r="M501" i="367"/>
  <c r="M500" i="367"/>
  <c r="M499" i="367"/>
  <c r="M498" i="367"/>
  <c r="M497" i="367"/>
  <c r="M496" i="367"/>
  <c r="M495" i="367"/>
  <c r="M494" i="367"/>
  <c r="M493" i="367"/>
  <c r="M492" i="367"/>
  <c r="M491" i="367"/>
  <c r="M490" i="367"/>
  <c r="M489" i="367"/>
  <c r="M488" i="367"/>
  <c r="M487" i="367"/>
  <c r="M486" i="367"/>
  <c r="M485" i="367"/>
  <c r="M484" i="367"/>
  <c r="M483" i="367"/>
  <c r="M482" i="367"/>
  <c r="M481" i="367"/>
  <c r="M480" i="367"/>
  <c r="M479" i="367"/>
  <c r="M478" i="367"/>
  <c r="M477" i="367"/>
  <c r="M476" i="367"/>
  <c r="M475" i="367"/>
  <c r="M474" i="367"/>
  <c r="M473" i="367"/>
  <c r="M472" i="367"/>
  <c r="M471" i="367"/>
  <c r="M470" i="367"/>
  <c r="M469" i="367"/>
  <c r="M468" i="367"/>
  <c r="M467" i="367"/>
  <c r="M466" i="367"/>
  <c r="M465" i="367"/>
  <c r="M464" i="367"/>
  <c r="M463" i="367"/>
  <c r="M462" i="367"/>
  <c r="M461" i="367"/>
  <c r="M460" i="367"/>
  <c r="M459" i="367"/>
  <c r="M458" i="367"/>
  <c r="M457" i="367"/>
  <c r="M456" i="367"/>
  <c r="M455" i="367"/>
  <c r="M454" i="367"/>
  <c r="M453" i="367"/>
  <c r="M452" i="367"/>
  <c r="M451" i="367"/>
  <c r="M450" i="367"/>
  <c r="M449" i="367"/>
  <c r="M448" i="367"/>
  <c r="M447" i="367"/>
  <c r="M446" i="367"/>
  <c r="M445" i="367"/>
  <c r="M444" i="367"/>
  <c r="M443" i="367"/>
  <c r="M442" i="367"/>
  <c r="M441" i="367"/>
  <c r="M440" i="367"/>
  <c r="M439" i="367"/>
  <c r="M438" i="367"/>
  <c r="M437" i="367"/>
  <c r="M436" i="367"/>
  <c r="M435" i="367"/>
  <c r="M434" i="367"/>
  <c r="M433" i="367"/>
  <c r="M432" i="367"/>
  <c r="M431" i="367"/>
  <c r="M430" i="367"/>
  <c r="M429" i="367"/>
  <c r="M428" i="367"/>
  <c r="M427" i="367"/>
  <c r="M426" i="367"/>
  <c r="M425" i="367"/>
  <c r="M424" i="367"/>
  <c r="M423" i="367"/>
  <c r="M422" i="367"/>
  <c r="M421" i="367"/>
  <c r="M420" i="367"/>
  <c r="M419" i="367"/>
  <c r="M418" i="367"/>
  <c r="M417" i="367"/>
  <c r="M416" i="367"/>
  <c r="M415" i="367"/>
  <c r="M414" i="367"/>
  <c r="M413" i="367"/>
  <c r="M412" i="367"/>
  <c r="M411" i="367"/>
  <c r="M410" i="367"/>
  <c r="M409" i="367"/>
  <c r="M408" i="367"/>
  <c r="M407" i="367"/>
  <c r="M406" i="367"/>
  <c r="M405" i="367"/>
  <c r="M404" i="367"/>
  <c r="M403" i="367"/>
  <c r="M402" i="367"/>
  <c r="M401" i="367"/>
  <c r="M400" i="367"/>
  <c r="M399" i="367"/>
  <c r="M398" i="367"/>
  <c r="M397" i="367"/>
  <c r="M396" i="367"/>
  <c r="M395" i="367"/>
  <c r="M394" i="367"/>
  <c r="M393" i="367"/>
  <c r="M392" i="367"/>
  <c r="M391" i="367"/>
  <c r="M390" i="367"/>
  <c r="M389" i="367"/>
  <c r="M388" i="367"/>
  <c r="M387" i="367"/>
  <c r="M386" i="367"/>
  <c r="M385" i="367"/>
  <c r="M384" i="367"/>
  <c r="M383" i="367"/>
  <c r="M382" i="367"/>
  <c r="M381" i="367"/>
  <c r="M380" i="367"/>
  <c r="M379" i="367"/>
  <c r="M378" i="367"/>
  <c r="M377" i="367"/>
  <c r="M376" i="367"/>
  <c r="M375" i="367"/>
  <c r="M374" i="367"/>
  <c r="M373" i="367"/>
  <c r="M372" i="367"/>
  <c r="M371" i="367"/>
  <c r="M370" i="367"/>
  <c r="M369" i="367"/>
  <c r="M368" i="367"/>
  <c r="M367" i="367"/>
  <c r="M366" i="367"/>
  <c r="M365" i="367"/>
  <c r="M364" i="367"/>
  <c r="M363" i="367"/>
  <c r="M362" i="367"/>
  <c r="M361" i="367"/>
  <c r="M360" i="367"/>
  <c r="M359" i="367"/>
  <c r="M358" i="367"/>
  <c r="M357" i="367"/>
  <c r="M356" i="367"/>
  <c r="M355" i="367"/>
  <c r="M354" i="367"/>
  <c r="M353" i="367"/>
  <c r="M352" i="367"/>
  <c r="M351" i="367"/>
  <c r="M350" i="367"/>
  <c r="M349" i="367"/>
  <c r="M348" i="367"/>
  <c r="M347" i="367"/>
  <c r="M346" i="367"/>
  <c r="M345" i="367"/>
  <c r="M344" i="367"/>
  <c r="M343" i="367"/>
  <c r="M342" i="367"/>
  <c r="M341" i="367"/>
  <c r="M340" i="367"/>
  <c r="M339" i="367"/>
  <c r="M338" i="367"/>
  <c r="M337" i="367"/>
  <c r="M336" i="367"/>
  <c r="M335" i="367"/>
  <c r="M334" i="367"/>
  <c r="M333" i="367"/>
  <c r="M332" i="367"/>
  <c r="M331" i="367"/>
  <c r="M330" i="367"/>
  <c r="M329" i="367"/>
  <c r="M328" i="367"/>
  <c r="M327" i="367"/>
  <c r="M326" i="367"/>
  <c r="M325" i="367"/>
  <c r="M324" i="367"/>
  <c r="M323" i="367"/>
  <c r="M322" i="367"/>
  <c r="M321" i="367"/>
  <c r="M320" i="367"/>
  <c r="M319" i="367"/>
  <c r="M318" i="367"/>
  <c r="M317" i="367"/>
  <c r="M316" i="367"/>
  <c r="M315" i="367"/>
  <c r="M314" i="367"/>
  <c r="M313" i="367"/>
  <c r="M312" i="367"/>
  <c r="M311" i="367"/>
  <c r="M310" i="367"/>
  <c r="M309" i="367"/>
  <c r="M308" i="367"/>
  <c r="M307" i="367"/>
  <c r="M306" i="367"/>
  <c r="M305" i="367"/>
  <c r="M304" i="367"/>
  <c r="M303" i="367"/>
  <c r="M302" i="367"/>
  <c r="M301" i="367"/>
  <c r="M300" i="367"/>
  <c r="M299" i="367"/>
  <c r="M298" i="367"/>
  <c r="M297" i="367"/>
  <c r="M296" i="367"/>
  <c r="M295" i="367"/>
  <c r="M294" i="367"/>
  <c r="M293" i="367"/>
  <c r="M292" i="367"/>
  <c r="M291" i="367"/>
  <c r="M290" i="367"/>
  <c r="M289" i="367"/>
  <c r="M288" i="367"/>
  <c r="M287" i="367"/>
  <c r="M286" i="367"/>
  <c r="M285" i="367"/>
  <c r="M284" i="367"/>
  <c r="M283" i="367"/>
  <c r="M282" i="367"/>
  <c r="M281" i="367"/>
  <c r="M280" i="367"/>
  <c r="M279" i="367"/>
  <c r="M278" i="367"/>
  <c r="M277" i="367"/>
  <c r="M276" i="367"/>
  <c r="M275" i="367"/>
  <c r="M274" i="367"/>
  <c r="M273" i="367"/>
  <c r="M272" i="367"/>
  <c r="M271" i="367"/>
  <c r="M270" i="367"/>
  <c r="M269" i="367"/>
  <c r="M268" i="367"/>
  <c r="M267" i="367"/>
  <c r="M266" i="367"/>
  <c r="M265" i="367"/>
  <c r="M264" i="367"/>
  <c r="M263" i="367"/>
  <c r="M262" i="367"/>
  <c r="M261" i="367"/>
  <c r="M260" i="367"/>
  <c r="M259" i="367"/>
  <c r="M258" i="367"/>
  <c r="M257" i="367"/>
  <c r="M256" i="367"/>
  <c r="M255" i="367"/>
  <c r="M254" i="367"/>
  <c r="M253" i="367"/>
  <c r="M252" i="367"/>
  <c r="M251" i="367"/>
  <c r="M250" i="367"/>
  <c r="M249" i="367"/>
  <c r="M248" i="367"/>
  <c r="M247" i="367"/>
  <c r="M246" i="367"/>
  <c r="M245" i="367"/>
  <c r="M244" i="367"/>
  <c r="M243" i="367"/>
  <c r="M242" i="367"/>
  <c r="M241" i="367"/>
  <c r="M240" i="367"/>
  <c r="M239" i="367"/>
  <c r="M238" i="367"/>
  <c r="M237" i="367"/>
  <c r="M236" i="367"/>
  <c r="M235" i="367"/>
  <c r="M234" i="367"/>
  <c r="M233" i="367"/>
  <c r="M232" i="367"/>
  <c r="M231" i="367"/>
  <c r="M230" i="367"/>
  <c r="M229" i="367"/>
  <c r="M228" i="367"/>
  <c r="M227" i="367"/>
  <c r="M226" i="367"/>
  <c r="M225" i="367"/>
  <c r="M224" i="367"/>
  <c r="M223" i="367"/>
  <c r="M222" i="367"/>
  <c r="M221" i="367"/>
  <c r="M220" i="367"/>
  <c r="M219" i="367"/>
  <c r="M218" i="367"/>
  <c r="M217" i="367"/>
  <c r="M216" i="367"/>
  <c r="M215" i="367"/>
  <c r="M214" i="367"/>
  <c r="M213" i="367"/>
  <c r="M212" i="367"/>
  <c r="M211" i="367"/>
  <c r="M210" i="367"/>
  <c r="M209" i="367"/>
  <c r="M208" i="367"/>
  <c r="M207" i="367"/>
  <c r="M206" i="367"/>
  <c r="M205" i="367"/>
  <c r="M204" i="367"/>
  <c r="M203" i="367"/>
  <c r="M202" i="367"/>
  <c r="M201" i="367"/>
  <c r="M200" i="367"/>
  <c r="M199" i="367"/>
  <c r="M198" i="367"/>
  <c r="M197" i="367"/>
  <c r="M196" i="367"/>
  <c r="M195" i="367"/>
  <c r="M194" i="367"/>
  <c r="M193" i="367"/>
  <c r="M192" i="367"/>
  <c r="M191" i="367"/>
  <c r="M190" i="367"/>
  <c r="M189" i="367"/>
  <c r="M188" i="367"/>
  <c r="M187" i="367"/>
  <c r="M186" i="367"/>
  <c r="M185" i="367"/>
  <c r="M184" i="367"/>
  <c r="M183" i="367"/>
  <c r="M182" i="367"/>
  <c r="M181" i="367"/>
  <c r="M180" i="367"/>
  <c r="M179" i="367"/>
  <c r="M178" i="367"/>
  <c r="M177" i="367"/>
  <c r="M176" i="367"/>
  <c r="M175" i="367"/>
  <c r="M174" i="367"/>
  <c r="M173" i="367"/>
  <c r="M172" i="367"/>
  <c r="M171" i="367"/>
  <c r="M170" i="367"/>
  <c r="M169" i="367"/>
  <c r="M168" i="367"/>
  <c r="M167" i="367"/>
  <c r="M166" i="367"/>
  <c r="M165" i="367"/>
  <c r="M164" i="367"/>
  <c r="M163" i="367"/>
  <c r="M162" i="367"/>
  <c r="M161" i="367"/>
  <c r="M160" i="367"/>
  <c r="M159" i="367"/>
  <c r="M158" i="367"/>
  <c r="M157" i="367"/>
  <c r="M156" i="367"/>
  <c r="M155" i="367"/>
  <c r="M154" i="367"/>
  <c r="M153" i="367"/>
  <c r="M152" i="367"/>
  <c r="M151" i="367"/>
  <c r="M150" i="367"/>
  <c r="M149" i="367"/>
  <c r="M148" i="367"/>
  <c r="M147" i="367"/>
  <c r="M146" i="367"/>
  <c r="M145" i="367"/>
  <c r="M144" i="367"/>
  <c r="M143" i="367"/>
  <c r="M142" i="367"/>
  <c r="M141" i="367"/>
  <c r="M140" i="367"/>
  <c r="M139" i="367"/>
  <c r="M138" i="367"/>
  <c r="M137" i="367"/>
  <c r="M136" i="367"/>
  <c r="M135" i="367"/>
  <c r="M134" i="367"/>
  <c r="M133" i="367"/>
  <c r="M132" i="367"/>
  <c r="M131" i="367"/>
  <c r="M130" i="367"/>
  <c r="M129" i="367"/>
  <c r="M128" i="367"/>
  <c r="M127" i="367"/>
  <c r="M126" i="367"/>
  <c r="M125" i="367"/>
  <c r="M124" i="367"/>
  <c r="M123" i="367"/>
  <c r="M122" i="367"/>
  <c r="M121" i="367"/>
  <c r="M120" i="367"/>
  <c r="M119" i="367"/>
  <c r="M118" i="367"/>
  <c r="M117" i="367"/>
  <c r="M116" i="367"/>
  <c r="M115" i="367"/>
  <c r="M114" i="367"/>
  <c r="M113" i="367"/>
  <c r="M112" i="367"/>
  <c r="M111" i="367"/>
  <c r="M110" i="367"/>
  <c r="M109" i="367"/>
  <c r="M108" i="367"/>
  <c r="M107" i="367"/>
  <c r="M106" i="367"/>
  <c r="M105" i="367"/>
  <c r="M104" i="367"/>
  <c r="M103" i="367"/>
  <c r="M102" i="367"/>
  <c r="M101" i="367"/>
  <c r="M100" i="367"/>
  <c r="M99" i="367"/>
  <c r="M98" i="367"/>
  <c r="M97" i="367"/>
  <c r="M96" i="367"/>
  <c r="M95" i="367"/>
  <c r="M94" i="367"/>
  <c r="M93" i="367"/>
  <c r="M92" i="367"/>
  <c r="M91" i="367"/>
  <c r="M90" i="367"/>
  <c r="M89" i="367"/>
  <c r="M88" i="367"/>
  <c r="M87" i="367"/>
  <c r="M86" i="367"/>
  <c r="M85" i="367"/>
  <c r="M84" i="367"/>
  <c r="M83" i="367"/>
  <c r="M82" i="367"/>
  <c r="M81" i="367"/>
  <c r="M80" i="367"/>
  <c r="M79" i="367"/>
  <c r="M78" i="367"/>
  <c r="M77" i="367"/>
  <c r="M76" i="367"/>
  <c r="M75" i="367"/>
  <c r="M74" i="367"/>
  <c r="M73" i="367"/>
  <c r="M72" i="367"/>
  <c r="M71" i="367"/>
  <c r="M70" i="367"/>
  <c r="M69" i="367"/>
  <c r="M68" i="367"/>
  <c r="M67" i="367"/>
  <c r="M66" i="367"/>
  <c r="M65" i="367"/>
  <c r="M64" i="367"/>
  <c r="M63" i="367"/>
  <c r="M62" i="367"/>
  <c r="M61" i="367"/>
  <c r="M60" i="367"/>
  <c r="M59" i="367"/>
  <c r="M58" i="367"/>
  <c r="M57" i="367"/>
  <c r="M56" i="367"/>
  <c r="M55" i="367"/>
  <c r="M54" i="367"/>
  <c r="M53" i="367"/>
  <c r="M52" i="367"/>
  <c r="M51" i="367"/>
  <c r="M50" i="367"/>
  <c r="M49" i="367"/>
  <c r="M48" i="367"/>
  <c r="M47" i="367"/>
  <c r="M46" i="367"/>
  <c r="M45" i="367"/>
  <c r="M44" i="367"/>
  <c r="M43" i="367"/>
  <c r="M42" i="367"/>
  <c r="M41" i="367"/>
  <c r="M40" i="367"/>
  <c r="M39" i="367"/>
  <c r="M38" i="367"/>
  <c r="M37" i="367"/>
  <c r="M36" i="367"/>
  <c r="M35" i="367"/>
  <c r="M34" i="367"/>
  <c r="M33" i="367"/>
  <c r="M32" i="367"/>
  <c r="M31" i="367"/>
  <c r="M30" i="367"/>
  <c r="M29" i="367"/>
  <c r="M28" i="367"/>
  <c r="M27" i="367"/>
  <c r="M26" i="367"/>
  <c r="M25" i="367"/>
  <c r="M24" i="367"/>
  <c r="M23" i="367"/>
  <c r="M22" i="367"/>
  <c r="M21" i="367"/>
  <c r="M20" i="367"/>
  <c r="M19" i="367"/>
  <c r="M18" i="367"/>
  <c r="M17" i="367"/>
  <c r="M16" i="367"/>
  <c r="M15" i="367"/>
  <c r="M14" i="367"/>
  <c r="M13" i="367"/>
  <c r="M12" i="367"/>
  <c r="M11" i="367"/>
  <c r="M10" i="367"/>
  <c r="M9" i="367"/>
  <c r="M8" i="367"/>
  <c r="M7" i="367"/>
  <c r="M6" i="367"/>
  <c r="A17" i="414"/>
  <c r="C9" i="431"/>
  <c r="C17" i="431"/>
  <c r="C25" i="431"/>
  <c r="C33" i="431"/>
  <c r="C41" i="431"/>
  <c r="C49" i="431"/>
  <c r="D14" i="431"/>
  <c r="D22" i="431"/>
  <c r="D30" i="431"/>
  <c r="D38" i="431"/>
  <c r="D46" i="431"/>
  <c r="E11" i="431"/>
  <c r="E19" i="431"/>
  <c r="E27" i="431"/>
  <c r="E35" i="431"/>
  <c r="E43" i="431"/>
  <c r="E51" i="431"/>
  <c r="F16" i="431"/>
  <c r="F24" i="431"/>
  <c r="F32" i="431"/>
  <c r="F40" i="431"/>
  <c r="F48" i="431"/>
  <c r="G13" i="431"/>
  <c r="G21" i="431"/>
  <c r="G29" i="431"/>
  <c r="G37" i="431"/>
  <c r="G45" i="431"/>
  <c r="H10" i="431"/>
  <c r="H18" i="431"/>
  <c r="H26" i="431"/>
  <c r="H34" i="431"/>
  <c r="H42" i="431"/>
  <c r="H50" i="431"/>
  <c r="I15" i="431"/>
  <c r="I23" i="431"/>
  <c r="I31" i="431"/>
  <c r="I39" i="431"/>
  <c r="I47" i="431"/>
  <c r="J12" i="431"/>
  <c r="J20" i="431"/>
  <c r="J28" i="431"/>
  <c r="J36" i="431"/>
  <c r="J44" i="431"/>
  <c r="K9" i="431"/>
  <c r="K17" i="431"/>
  <c r="K25" i="431"/>
  <c r="K33" i="431"/>
  <c r="K41" i="431"/>
  <c r="K49" i="431"/>
  <c r="L14" i="431"/>
  <c r="L22" i="431"/>
  <c r="L30" i="431"/>
  <c r="L46" i="431"/>
  <c r="M11" i="431"/>
  <c r="M19" i="431"/>
  <c r="M27" i="431"/>
  <c r="M35" i="431"/>
  <c r="M43" i="431"/>
  <c r="N16" i="431"/>
  <c r="N32" i="431"/>
  <c r="N48" i="431"/>
  <c r="O21" i="431"/>
  <c r="O37" i="431"/>
  <c r="P10" i="431"/>
  <c r="P26" i="431"/>
  <c r="P42" i="431"/>
  <c r="Q15" i="431"/>
  <c r="Q31" i="431"/>
  <c r="Q47" i="431"/>
  <c r="C10" i="431"/>
  <c r="C18" i="431"/>
  <c r="C26" i="431"/>
  <c r="C34" i="431"/>
  <c r="C42" i="431"/>
  <c r="C50" i="431"/>
  <c r="D15" i="431"/>
  <c r="D23" i="431"/>
  <c r="D31" i="431"/>
  <c r="D39" i="431"/>
  <c r="D47" i="431"/>
  <c r="E12" i="431"/>
  <c r="E20" i="431"/>
  <c r="E28" i="431"/>
  <c r="E36" i="431"/>
  <c r="E44" i="431"/>
  <c r="F9" i="431"/>
  <c r="F17" i="431"/>
  <c r="F25" i="431"/>
  <c r="F33" i="431"/>
  <c r="F41" i="431"/>
  <c r="F49" i="431"/>
  <c r="G14" i="431"/>
  <c r="G22" i="431"/>
  <c r="G30" i="431"/>
  <c r="G38" i="431"/>
  <c r="G46" i="431"/>
  <c r="H11" i="431"/>
  <c r="H19" i="431"/>
  <c r="H27" i="431"/>
  <c r="H35" i="431"/>
  <c r="H43" i="431"/>
  <c r="H51" i="431"/>
  <c r="I16" i="431"/>
  <c r="I24" i="431"/>
  <c r="I32" i="431"/>
  <c r="I40" i="431"/>
  <c r="I48" i="431"/>
  <c r="J13" i="431"/>
  <c r="J21" i="431"/>
  <c r="J29" i="431"/>
  <c r="J37" i="431"/>
  <c r="J45" i="431"/>
  <c r="K10" i="431"/>
  <c r="K18" i="431"/>
  <c r="K26" i="431"/>
  <c r="K34" i="431"/>
  <c r="K42" i="431"/>
  <c r="K50" i="431"/>
  <c r="L15" i="431"/>
  <c r="L23" i="431"/>
  <c r="L31" i="431"/>
  <c r="L39" i="431"/>
  <c r="L47" i="431"/>
  <c r="M12" i="431"/>
  <c r="M20" i="431"/>
  <c r="M28" i="431"/>
  <c r="M36" i="431"/>
  <c r="M44" i="431"/>
  <c r="N9" i="431"/>
  <c r="N17" i="431"/>
  <c r="N25" i="431"/>
  <c r="N33" i="431"/>
  <c r="N41" i="431"/>
  <c r="N49" i="431"/>
  <c r="O14" i="431"/>
  <c r="O22" i="431"/>
  <c r="O30" i="431"/>
  <c r="O38" i="431"/>
  <c r="O46" i="431"/>
  <c r="P11" i="431"/>
  <c r="P19" i="431"/>
  <c r="P27" i="431"/>
  <c r="P35" i="431"/>
  <c r="P43" i="431"/>
  <c r="P51" i="431"/>
  <c r="Q16" i="431"/>
  <c r="Q24" i="431"/>
  <c r="Q40" i="431"/>
  <c r="Q48" i="431"/>
  <c r="C11" i="431"/>
  <c r="C19" i="431"/>
  <c r="C27" i="431"/>
  <c r="C35" i="431"/>
  <c r="C43" i="431"/>
  <c r="C51" i="431"/>
  <c r="D16" i="431"/>
  <c r="D24" i="431"/>
  <c r="D32" i="431"/>
  <c r="D40" i="431"/>
  <c r="D48" i="431"/>
  <c r="E13" i="431"/>
  <c r="E21" i="431"/>
  <c r="E29" i="431"/>
  <c r="E37" i="431"/>
  <c r="E45" i="431"/>
  <c r="F10" i="431"/>
  <c r="F18" i="431"/>
  <c r="F26" i="431"/>
  <c r="F34" i="431"/>
  <c r="F42" i="431"/>
  <c r="F50" i="431"/>
  <c r="G15" i="431"/>
  <c r="G23" i="431"/>
  <c r="G31" i="431"/>
  <c r="G39" i="431"/>
  <c r="G47" i="431"/>
  <c r="H12" i="431"/>
  <c r="H20" i="431"/>
  <c r="H28" i="431"/>
  <c r="H36" i="431"/>
  <c r="H44" i="431"/>
  <c r="I9" i="431"/>
  <c r="I17" i="431"/>
  <c r="I25" i="431"/>
  <c r="I33" i="431"/>
  <c r="I41" i="431"/>
  <c r="I49" i="431"/>
  <c r="J14" i="431"/>
  <c r="J22" i="431"/>
  <c r="J30" i="431"/>
  <c r="J38" i="431"/>
  <c r="J46" i="431"/>
  <c r="K11" i="431"/>
  <c r="K19" i="431"/>
  <c r="K27" i="431"/>
  <c r="K35" i="431"/>
  <c r="K43" i="431"/>
  <c r="K51" i="431"/>
  <c r="L16" i="431"/>
  <c r="L24" i="431"/>
  <c r="L32" i="431"/>
  <c r="L40" i="431"/>
  <c r="L48" i="431"/>
  <c r="M13" i="431"/>
  <c r="M21" i="431"/>
  <c r="M29" i="431"/>
  <c r="M37" i="431"/>
  <c r="M45" i="431"/>
  <c r="N10" i="431"/>
  <c r="N18" i="431"/>
  <c r="N26" i="431"/>
  <c r="N34" i="431"/>
  <c r="N42" i="431"/>
  <c r="N50" i="431"/>
  <c r="O15" i="431"/>
  <c r="O23" i="431"/>
  <c r="O31" i="431"/>
  <c r="O39" i="431"/>
  <c r="O47" i="431"/>
  <c r="P12" i="431"/>
  <c r="P20" i="431"/>
  <c r="P28" i="431"/>
  <c r="P36" i="431"/>
  <c r="P44" i="431"/>
  <c r="Q9" i="431"/>
  <c r="Q17" i="431"/>
  <c r="Q25" i="431"/>
  <c r="Q33" i="431"/>
  <c r="Q41" i="431"/>
  <c r="Q49" i="431"/>
  <c r="C12" i="431"/>
  <c r="C20" i="431"/>
  <c r="C28" i="431"/>
  <c r="C36" i="431"/>
  <c r="C44" i="431"/>
  <c r="D9" i="431"/>
  <c r="D17" i="431"/>
  <c r="D25" i="431"/>
  <c r="D33" i="431"/>
  <c r="D41" i="431"/>
  <c r="D49" i="431"/>
  <c r="E14" i="431"/>
  <c r="E22" i="431"/>
  <c r="E30" i="431"/>
  <c r="E38" i="431"/>
  <c r="E46" i="431"/>
  <c r="F11" i="431"/>
  <c r="F19" i="431"/>
  <c r="F27" i="431"/>
  <c r="F35" i="431"/>
  <c r="F43" i="431"/>
  <c r="F51" i="431"/>
  <c r="G16" i="431"/>
  <c r="G24" i="431"/>
  <c r="G32" i="431"/>
  <c r="G40" i="431"/>
  <c r="G48" i="431"/>
  <c r="H13" i="431"/>
  <c r="H21" i="431"/>
  <c r="H29" i="431"/>
  <c r="H37" i="431"/>
  <c r="H45" i="431"/>
  <c r="I10" i="431"/>
  <c r="I18" i="431"/>
  <c r="I26" i="431"/>
  <c r="I34" i="431"/>
  <c r="I42" i="431"/>
  <c r="I50" i="431"/>
  <c r="J15" i="431"/>
  <c r="J23" i="431"/>
  <c r="J31" i="431"/>
  <c r="J39" i="431"/>
  <c r="J47" i="431"/>
  <c r="K12" i="431"/>
  <c r="K20" i="431"/>
  <c r="K28" i="431"/>
  <c r="K36" i="431"/>
  <c r="K44" i="431"/>
  <c r="L9" i="431"/>
  <c r="L17" i="431"/>
  <c r="L25" i="431"/>
  <c r="L33" i="431"/>
  <c r="L41" i="431"/>
  <c r="L49" i="431"/>
  <c r="M14" i="431"/>
  <c r="M22" i="431"/>
  <c r="M30" i="431"/>
  <c r="M38" i="431"/>
  <c r="M46" i="431"/>
  <c r="N11" i="431"/>
  <c r="N19" i="431"/>
  <c r="N27" i="431"/>
  <c r="N35" i="431"/>
  <c r="N43" i="431"/>
  <c r="N51" i="431"/>
  <c r="O16" i="431"/>
  <c r="O24" i="431"/>
  <c r="O32" i="431"/>
  <c r="O40" i="431"/>
  <c r="O48" i="431"/>
  <c r="P13" i="431"/>
  <c r="P21" i="431"/>
  <c r="P29" i="431"/>
  <c r="P37" i="431"/>
  <c r="P45" i="431"/>
  <c r="Q10" i="431"/>
  <c r="Q18" i="431"/>
  <c r="Q26" i="431"/>
  <c r="Q34" i="431"/>
  <c r="Q42" i="431"/>
  <c r="Q50" i="431"/>
  <c r="L42" i="431"/>
  <c r="M47" i="431"/>
  <c r="N20" i="431"/>
  <c r="N36" i="431"/>
  <c r="O9" i="431"/>
  <c r="O25" i="431"/>
  <c r="O41" i="431"/>
  <c r="P14" i="431"/>
  <c r="P30" i="431"/>
  <c r="P46" i="431"/>
  <c r="Q19" i="431"/>
  <c r="Q35" i="431"/>
  <c r="Q51" i="431"/>
  <c r="Q28" i="431"/>
  <c r="C13" i="431"/>
  <c r="C21" i="431"/>
  <c r="C29" i="431"/>
  <c r="C37" i="431"/>
  <c r="C45" i="431"/>
  <c r="D10" i="431"/>
  <c r="D18" i="431"/>
  <c r="D26" i="431"/>
  <c r="D34" i="431"/>
  <c r="D42" i="431"/>
  <c r="D50" i="431"/>
  <c r="E15" i="431"/>
  <c r="E23" i="431"/>
  <c r="E31" i="431"/>
  <c r="E39" i="431"/>
  <c r="E47" i="431"/>
  <c r="F12" i="431"/>
  <c r="F20" i="431"/>
  <c r="F28" i="431"/>
  <c r="F36" i="431"/>
  <c r="F44" i="431"/>
  <c r="G9" i="431"/>
  <c r="G17" i="431"/>
  <c r="G25" i="431"/>
  <c r="G33" i="431"/>
  <c r="G41" i="431"/>
  <c r="G49" i="431"/>
  <c r="H14" i="431"/>
  <c r="H22" i="431"/>
  <c r="H30" i="431"/>
  <c r="H38" i="431"/>
  <c r="H46" i="431"/>
  <c r="I11" i="431"/>
  <c r="I19" i="431"/>
  <c r="I27" i="431"/>
  <c r="I35" i="431"/>
  <c r="I43" i="431"/>
  <c r="I51" i="431"/>
  <c r="J16" i="431"/>
  <c r="J24" i="431"/>
  <c r="J32" i="431"/>
  <c r="J40" i="431"/>
  <c r="J48" i="431"/>
  <c r="K13" i="431"/>
  <c r="K21" i="431"/>
  <c r="K29" i="431"/>
  <c r="K37" i="431"/>
  <c r="K45" i="431"/>
  <c r="L10" i="431"/>
  <c r="L18" i="431"/>
  <c r="L26" i="431"/>
  <c r="L34" i="431"/>
  <c r="L50" i="431"/>
  <c r="M15" i="431"/>
  <c r="M23" i="431"/>
  <c r="M31" i="431"/>
  <c r="M39" i="431"/>
  <c r="N12" i="431"/>
  <c r="N28" i="431"/>
  <c r="N44" i="431"/>
  <c r="O17" i="431"/>
  <c r="O33" i="431"/>
  <c r="O49" i="431"/>
  <c r="P22" i="431"/>
  <c r="P38" i="431"/>
  <c r="Q11" i="431"/>
  <c r="Q27" i="431"/>
  <c r="Q43" i="431"/>
  <c r="C14" i="431"/>
  <c r="C22" i="431"/>
  <c r="C30" i="431"/>
  <c r="C38" i="431"/>
  <c r="C46" i="431"/>
  <c r="D11" i="431"/>
  <c r="D19" i="431"/>
  <c r="D27" i="431"/>
  <c r="D35" i="431"/>
  <c r="D43" i="431"/>
  <c r="D51" i="431"/>
  <c r="E16" i="431"/>
  <c r="E24" i="431"/>
  <c r="E32" i="431"/>
  <c r="E40" i="431"/>
  <c r="E48" i="431"/>
  <c r="F13" i="431"/>
  <c r="F21" i="431"/>
  <c r="F29" i="431"/>
  <c r="F37" i="431"/>
  <c r="F45" i="431"/>
  <c r="G10" i="431"/>
  <c r="G18" i="431"/>
  <c r="G26" i="431"/>
  <c r="G34" i="431"/>
  <c r="G42" i="431"/>
  <c r="G50" i="431"/>
  <c r="H15" i="431"/>
  <c r="H23" i="431"/>
  <c r="H31" i="431"/>
  <c r="H39" i="431"/>
  <c r="H47" i="431"/>
  <c r="I12" i="431"/>
  <c r="I20" i="431"/>
  <c r="I28" i="431"/>
  <c r="I36" i="431"/>
  <c r="I44" i="431"/>
  <c r="J9" i="431"/>
  <c r="J17" i="431"/>
  <c r="J25" i="431"/>
  <c r="J33" i="431"/>
  <c r="J41" i="431"/>
  <c r="J49" i="431"/>
  <c r="K14" i="431"/>
  <c r="K22" i="431"/>
  <c r="K30" i="431"/>
  <c r="K38" i="431"/>
  <c r="K46" i="431"/>
  <c r="L11" i="431"/>
  <c r="L19" i="431"/>
  <c r="L27" i="431"/>
  <c r="L35" i="431"/>
  <c r="L43" i="431"/>
  <c r="L51" i="431"/>
  <c r="M16" i="431"/>
  <c r="M24" i="431"/>
  <c r="M32" i="431"/>
  <c r="M40" i="431"/>
  <c r="M48" i="431"/>
  <c r="N13" i="431"/>
  <c r="N21" i="431"/>
  <c r="N29" i="431"/>
  <c r="N37" i="431"/>
  <c r="N45" i="431"/>
  <c r="O10" i="431"/>
  <c r="O18" i="431"/>
  <c r="O26" i="431"/>
  <c r="O34" i="431"/>
  <c r="O42" i="431"/>
  <c r="O50" i="431"/>
  <c r="P15" i="431"/>
  <c r="P23" i="431"/>
  <c r="P31" i="431"/>
  <c r="P39" i="431"/>
  <c r="P47" i="431"/>
  <c r="Q12" i="431"/>
  <c r="Q20" i="431"/>
  <c r="Q36" i="431"/>
  <c r="Q44" i="431"/>
  <c r="C15" i="431"/>
  <c r="C23" i="431"/>
  <c r="C31" i="431"/>
  <c r="C39" i="431"/>
  <c r="C47" i="431"/>
  <c r="D12" i="431"/>
  <c r="D20" i="431"/>
  <c r="D28" i="431"/>
  <c r="D36" i="431"/>
  <c r="D44" i="431"/>
  <c r="E9" i="431"/>
  <c r="E17" i="431"/>
  <c r="E25" i="431"/>
  <c r="E33" i="431"/>
  <c r="E41" i="431"/>
  <c r="E49" i="431"/>
  <c r="F14" i="431"/>
  <c r="F22" i="431"/>
  <c r="F30" i="431"/>
  <c r="F38" i="431"/>
  <c r="F46" i="431"/>
  <c r="G11" i="431"/>
  <c r="G19" i="431"/>
  <c r="G27" i="431"/>
  <c r="G35" i="431"/>
  <c r="G43" i="431"/>
  <c r="G51" i="431"/>
  <c r="H16" i="431"/>
  <c r="H24" i="431"/>
  <c r="H32" i="431"/>
  <c r="H40" i="431"/>
  <c r="H48" i="431"/>
  <c r="I13" i="431"/>
  <c r="I21" i="431"/>
  <c r="I29" i="431"/>
  <c r="I37" i="431"/>
  <c r="I45" i="431"/>
  <c r="J10" i="431"/>
  <c r="J18" i="431"/>
  <c r="J26" i="431"/>
  <c r="J34" i="431"/>
  <c r="J42" i="431"/>
  <c r="J50" i="431"/>
  <c r="K15" i="431"/>
  <c r="K23" i="431"/>
  <c r="K31" i="431"/>
  <c r="K39" i="431"/>
  <c r="K47" i="431"/>
  <c r="L12" i="431"/>
  <c r="L20" i="431"/>
  <c r="L28" i="431"/>
  <c r="L36" i="431"/>
  <c r="L44" i="431"/>
  <c r="M9" i="431"/>
  <c r="M17" i="431"/>
  <c r="M25" i="431"/>
  <c r="M33" i="431"/>
  <c r="M41" i="431"/>
  <c r="M49" i="431"/>
  <c r="N14" i="431"/>
  <c r="N22" i="431"/>
  <c r="N30" i="431"/>
  <c r="N38" i="431"/>
  <c r="N46" i="431"/>
  <c r="O11" i="431"/>
  <c r="O19" i="431"/>
  <c r="O27" i="431"/>
  <c r="O35" i="431"/>
  <c r="O43" i="431"/>
  <c r="O51" i="431"/>
  <c r="P16" i="431"/>
  <c r="P24" i="431"/>
  <c r="P32" i="431"/>
  <c r="P40" i="431"/>
  <c r="P48" i="431"/>
  <c r="Q13" i="431"/>
  <c r="Q21" i="431"/>
  <c r="Q29" i="431"/>
  <c r="Q37" i="431"/>
  <c r="Q45" i="431"/>
  <c r="C16" i="431"/>
  <c r="C24" i="431"/>
  <c r="C32" i="431"/>
  <c r="C40" i="431"/>
  <c r="C48" i="431"/>
  <c r="D13" i="431"/>
  <c r="D21" i="431"/>
  <c r="D29" i="431"/>
  <c r="D37" i="431"/>
  <c r="D45" i="431"/>
  <c r="E10" i="431"/>
  <c r="E18" i="431"/>
  <c r="E26" i="431"/>
  <c r="E34" i="431"/>
  <c r="E42" i="431"/>
  <c r="E50" i="431"/>
  <c r="F15" i="431"/>
  <c r="F23" i="431"/>
  <c r="F31" i="431"/>
  <c r="F39" i="431"/>
  <c r="F47" i="431"/>
  <c r="G12" i="431"/>
  <c r="G20" i="431"/>
  <c r="G28" i="431"/>
  <c r="G36" i="431"/>
  <c r="G44" i="431"/>
  <c r="H9" i="431"/>
  <c r="H17" i="431"/>
  <c r="H25" i="431"/>
  <c r="H33" i="431"/>
  <c r="H41" i="431"/>
  <c r="H49" i="431"/>
  <c r="I14" i="431"/>
  <c r="I22" i="431"/>
  <c r="I30" i="431"/>
  <c r="I38" i="431"/>
  <c r="I46" i="431"/>
  <c r="J11" i="431"/>
  <c r="J19" i="431"/>
  <c r="J27" i="431"/>
  <c r="J35" i="431"/>
  <c r="J43" i="431"/>
  <c r="J51" i="431"/>
  <c r="K16" i="431"/>
  <c r="K24" i="431"/>
  <c r="K32" i="431"/>
  <c r="K40" i="431"/>
  <c r="K48" i="431"/>
  <c r="L13" i="431"/>
  <c r="L21" i="431"/>
  <c r="L29" i="431"/>
  <c r="L37" i="431"/>
  <c r="L45" i="431"/>
  <c r="M10" i="431"/>
  <c r="M18" i="431"/>
  <c r="M26" i="431"/>
  <c r="M34" i="431"/>
  <c r="M42" i="431"/>
  <c r="M50" i="431"/>
  <c r="N15" i="431"/>
  <c r="N23" i="431"/>
  <c r="N31" i="431"/>
  <c r="N39" i="431"/>
  <c r="N47" i="431"/>
  <c r="O12" i="431"/>
  <c r="O20" i="431"/>
  <c r="O28" i="431"/>
  <c r="O36" i="431"/>
  <c r="O44" i="431"/>
  <c r="P9" i="431"/>
  <c r="P17" i="431"/>
  <c r="P25" i="431"/>
  <c r="P33" i="431"/>
  <c r="P41" i="431"/>
  <c r="P49" i="431"/>
  <c r="Q14" i="431"/>
  <c r="Q22" i="431"/>
  <c r="Q30" i="431"/>
  <c r="Q38" i="431"/>
  <c r="Q46" i="431"/>
  <c r="L38" i="431"/>
  <c r="M51" i="431"/>
  <c r="N24" i="431"/>
  <c r="N40" i="431"/>
  <c r="O13" i="431"/>
  <c r="O29" i="431"/>
  <c r="O45" i="431"/>
  <c r="P18" i="431"/>
  <c r="P34" i="431"/>
  <c r="P50" i="431"/>
  <c r="Q23" i="431"/>
  <c r="Q39" i="431"/>
  <c r="Q32" i="431"/>
  <c r="R32" i="431" l="1"/>
  <c r="S32" i="431"/>
  <c r="R39" i="431"/>
  <c r="S39" i="431"/>
  <c r="R23" i="431"/>
  <c r="S23" i="431"/>
  <c r="R46" i="431"/>
  <c r="S46" i="431"/>
  <c r="R38" i="431"/>
  <c r="S38" i="431"/>
  <c r="R30" i="431"/>
  <c r="S30" i="431"/>
  <c r="R22" i="431"/>
  <c r="S22" i="431"/>
  <c r="R14" i="431"/>
  <c r="S14" i="431"/>
  <c r="R45" i="431"/>
  <c r="S45" i="431"/>
  <c r="S37" i="431"/>
  <c r="R37" i="431"/>
  <c r="R29" i="431"/>
  <c r="S29" i="431"/>
  <c r="R21" i="431"/>
  <c r="S21" i="431"/>
  <c r="R13" i="431"/>
  <c r="S13" i="431"/>
  <c r="S44" i="431"/>
  <c r="R44" i="431"/>
  <c r="S36" i="431"/>
  <c r="R36" i="431"/>
  <c r="R20" i="431"/>
  <c r="S20" i="431"/>
  <c r="S12" i="431"/>
  <c r="R12" i="431"/>
  <c r="S43" i="431"/>
  <c r="R43" i="431"/>
  <c r="S27" i="431"/>
  <c r="R27" i="431"/>
  <c r="S11" i="431"/>
  <c r="R11" i="431"/>
  <c r="S28" i="431"/>
  <c r="R28" i="431"/>
  <c r="S51" i="431"/>
  <c r="R51" i="431"/>
  <c r="S35" i="431"/>
  <c r="R35" i="431"/>
  <c r="S19" i="431"/>
  <c r="R19" i="431"/>
  <c r="S50" i="431"/>
  <c r="R50" i="431"/>
  <c r="R42" i="431"/>
  <c r="S42" i="431"/>
  <c r="S34" i="431"/>
  <c r="R34" i="431"/>
  <c r="R26" i="431"/>
  <c r="S26" i="431"/>
  <c r="S18" i="431"/>
  <c r="R18" i="431"/>
  <c r="R10" i="431"/>
  <c r="S10" i="431"/>
  <c r="S49" i="431"/>
  <c r="R49" i="431"/>
  <c r="R41" i="431"/>
  <c r="S41" i="431"/>
  <c r="S33" i="431"/>
  <c r="R33" i="431"/>
  <c r="R25" i="431"/>
  <c r="S25" i="431"/>
  <c r="R17" i="431"/>
  <c r="S17" i="431"/>
  <c r="S9" i="431"/>
  <c r="R9" i="431"/>
  <c r="R48" i="431"/>
  <c r="S48" i="431"/>
  <c r="R40" i="431"/>
  <c r="S40" i="431"/>
  <c r="R24" i="431"/>
  <c r="S24" i="431"/>
  <c r="R16" i="431"/>
  <c r="S16" i="431"/>
  <c r="R47" i="431"/>
  <c r="S47" i="431"/>
  <c r="R31" i="431"/>
  <c r="S31" i="431"/>
  <c r="R15" i="431"/>
  <c r="S15" i="431"/>
  <c r="I8" i="431"/>
  <c r="J8" i="431"/>
  <c r="Q8" i="431"/>
  <c r="K8" i="431"/>
  <c r="G8" i="431"/>
  <c r="M8" i="431"/>
  <c r="D8" i="431"/>
  <c r="P8" i="431"/>
  <c r="N8" i="431"/>
  <c r="E8" i="431"/>
  <c r="C8" i="431"/>
  <c r="O8" i="431"/>
  <c r="H8" i="431"/>
  <c r="L8" i="431"/>
  <c r="F8" i="431"/>
  <c r="C6" i="431" l="1"/>
  <c r="L6" i="431"/>
  <c r="R8" i="431"/>
  <c r="S8" i="431"/>
  <c r="Q6" i="431"/>
  <c r="N6" i="431"/>
  <c r="K6" i="431"/>
  <c r="M6" i="431"/>
  <c r="H6" i="431"/>
  <c r="I6" i="431"/>
  <c r="P6" i="431"/>
  <c r="G6" i="431"/>
  <c r="J6" i="431"/>
  <c r="O6" i="431"/>
  <c r="R6" i="431" l="1"/>
  <c r="S6" i="431"/>
  <c r="T5" i="371" l="1"/>
  <c r="S5" i="371"/>
  <c r="D20" i="414" l="1"/>
  <c r="E20" i="414" s="1"/>
  <c r="D19" i="414"/>
  <c r="Q51" i="370" l="1"/>
  <c r="P51" i="370"/>
  <c r="O51" i="370"/>
  <c r="N51" i="370"/>
  <c r="Q50" i="370"/>
  <c r="P50" i="370"/>
  <c r="O50" i="370"/>
  <c r="N50" i="370"/>
  <c r="Q49" i="370"/>
  <c r="P49" i="370"/>
  <c r="O49" i="370"/>
  <c r="N49" i="370"/>
  <c r="Q48" i="370"/>
  <c r="P48" i="370"/>
  <c r="O48" i="370"/>
  <c r="N48" i="370"/>
  <c r="Q47" i="370"/>
  <c r="P47" i="370"/>
  <c r="O47" i="370"/>
  <c r="N47" i="370"/>
  <c r="Q46" i="370"/>
  <c r="P46" i="370"/>
  <c r="O46" i="370"/>
  <c r="N46" i="370"/>
  <c r="Q45" i="370"/>
  <c r="P45" i="370"/>
  <c r="O45" i="370"/>
  <c r="N45" i="370"/>
  <c r="Q44" i="370"/>
  <c r="P44" i="370"/>
  <c r="O44" i="370"/>
  <c r="N44" i="370"/>
  <c r="Q38" i="370"/>
  <c r="P38" i="370"/>
  <c r="O38" i="370"/>
  <c r="N38" i="370"/>
  <c r="Q37" i="370"/>
  <c r="P37" i="370"/>
  <c r="O37" i="370"/>
  <c r="N37" i="370"/>
  <c r="Q36" i="370"/>
  <c r="P36" i="370"/>
  <c r="O36" i="370"/>
  <c r="N36" i="370"/>
  <c r="Q35" i="370"/>
  <c r="P35" i="370"/>
  <c r="O35" i="370"/>
  <c r="N35" i="370"/>
  <c r="Q34" i="370"/>
  <c r="P34" i="370"/>
  <c r="O34" i="370"/>
  <c r="N34" i="370"/>
  <c r="Q33" i="370"/>
  <c r="P33" i="370"/>
  <c r="O33" i="370"/>
  <c r="N33" i="370"/>
  <c r="Q32" i="370"/>
  <c r="P32" i="370"/>
  <c r="O32" i="370"/>
  <c r="N32" i="370"/>
  <c r="Q31" i="370"/>
  <c r="P31" i="370"/>
  <c r="O31" i="370"/>
  <c r="N31" i="370"/>
  <c r="Q25" i="370"/>
  <c r="P25" i="370"/>
  <c r="O25" i="370"/>
  <c r="N25" i="370"/>
  <c r="Q24" i="370"/>
  <c r="P24" i="370"/>
  <c r="O24" i="370"/>
  <c r="N24" i="370"/>
  <c r="Q23" i="370"/>
  <c r="P23" i="370"/>
  <c r="O23" i="370"/>
  <c r="N23" i="370"/>
  <c r="Q22" i="370"/>
  <c r="P22" i="370"/>
  <c r="O22" i="370"/>
  <c r="N22" i="370"/>
  <c r="Q21" i="370"/>
  <c r="P21" i="370"/>
  <c r="O21" i="370"/>
  <c r="N21" i="370"/>
  <c r="Q20" i="370"/>
  <c r="P20" i="370"/>
  <c r="O20" i="370"/>
  <c r="N20" i="370"/>
  <c r="Q19" i="370"/>
  <c r="P19" i="370"/>
  <c r="O19" i="370"/>
  <c r="N19" i="370"/>
  <c r="Q18" i="370"/>
  <c r="P18" i="370"/>
  <c r="O18" i="370"/>
  <c r="N18" i="370"/>
  <c r="Q12" i="370"/>
  <c r="P12" i="370"/>
  <c r="Q11" i="370"/>
  <c r="P11" i="370"/>
  <c r="Q10" i="370"/>
  <c r="P10" i="370"/>
  <c r="Q9" i="370"/>
  <c r="P9" i="370"/>
  <c r="Q8" i="370"/>
  <c r="P8" i="370"/>
  <c r="Q7" i="370"/>
  <c r="P7" i="370"/>
  <c r="Q6" i="370"/>
  <c r="P6" i="370"/>
  <c r="Q5" i="370"/>
  <c r="P5" i="370"/>
  <c r="O12" i="370"/>
  <c r="N12" i="370"/>
  <c r="O11" i="370"/>
  <c r="N11" i="370"/>
  <c r="O10" i="370"/>
  <c r="N10" i="370"/>
  <c r="O9" i="370"/>
  <c r="N9" i="370"/>
  <c r="O8" i="370"/>
  <c r="N8" i="370"/>
  <c r="O7" i="370"/>
  <c r="N7" i="370"/>
  <c r="O6" i="370"/>
  <c r="N6" i="370"/>
  <c r="O5" i="370"/>
  <c r="N5" i="370"/>
  <c r="A24" i="383" l="1"/>
  <c r="Q3" i="430"/>
  <c r="P3" i="430"/>
  <c r="S3" i="430" s="1"/>
  <c r="M3" i="430"/>
  <c r="R3" i="430" s="1"/>
  <c r="L3" i="430"/>
  <c r="I3" i="430"/>
  <c r="H3" i="430"/>
  <c r="H3" i="344" l="1"/>
  <c r="E11" i="339" s="1"/>
  <c r="E3" i="344"/>
  <c r="B3" i="344"/>
  <c r="I3" i="344" s="1"/>
  <c r="J3" i="344" l="1"/>
  <c r="D18" i="414" s="1"/>
  <c r="C11" i="339"/>
  <c r="E19" i="414"/>
  <c r="A20" i="414"/>
  <c r="A19" i="414"/>
  <c r="A18" i="414"/>
  <c r="A23" i="414" l="1"/>
  <c r="A24" i="414"/>
  <c r="A26" i="414"/>
  <c r="A25" i="414"/>
  <c r="K51" i="370" l="1"/>
  <c r="J51" i="370"/>
  <c r="K50" i="370"/>
  <c r="J50" i="370"/>
  <c r="K49" i="370"/>
  <c r="J49" i="370"/>
  <c r="K48" i="370"/>
  <c r="J48" i="370"/>
  <c r="K47" i="370"/>
  <c r="J47" i="370"/>
  <c r="K46" i="370"/>
  <c r="J46" i="370"/>
  <c r="K45" i="370"/>
  <c r="J45" i="370"/>
  <c r="K44" i="370"/>
  <c r="J44" i="370"/>
  <c r="F51" i="370"/>
  <c r="E51" i="370"/>
  <c r="F50" i="370"/>
  <c r="E50" i="370"/>
  <c r="F49" i="370"/>
  <c r="E49" i="370"/>
  <c r="F48" i="370"/>
  <c r="E48" i="370"/>
  <c r="F47" i="370"/>
  <c r="E47" i="370"/>
  <c r="F46" i="370"/>
  <c r="E46" i="370"/>
  <c r="F45" i="370"/>
  <c r="E45" i="370"/>
  <c r="F44" i="370"/>
  <c r="E44" i="370"/>
  <c r="K38" i="370"/>
  <c r="J38" i="370"/>
  <c r="K37" i="370"/>
  <c r="J37" i="370"/>
  <c r="K36" i="370"/>
  <c r="J36" i="370"/>
  <c r="K35" i="370"/>
  <c r="J35" i="370"/>
  <c r="K34" i="370"/>
  <c r="J34" i="370"/>
  <c r="K33" i="370"/>
  <c r="J33" i="370"/>
  <c r="K32" i="370"/>
  <c r="J32" i="370"/>
  <c r="K31" i="370"/>
  <c r="J31" i="370"/>
  <c r="F38" i="370"/>
  <c r="E38" i="370"/>
  <c r="F37" i="370"/>
  <c r="E37" i="370"/>
  <c r="F36" i="370"/>
  <c r="E36" i="370"/>
  <c r="F35" i="370"/>
  <c r="E35" i="370"/>
  <c r="F34" i="370"/>
  <c r="E34" i="370"/>
  <c r="F33" i="370"/>
  <c r="E33" i="370"/>
  <c r="F32" i="370"/>
  <c r="E32" i="370"/>
  <c r="F31" i="370"/>
  <c r="E31" i="370"/>
  <c r="K25" i="370"/>
  <c r="J25" i="370"/>
  <c r="K24" i="370"/>
  <c r="J24" i="370"/>
  <c r="K23" i="370"/>
  <c r="J23" i="370"/>
  <c r="K22" i="370"/>
  <c r="J22" i="370"/>
  <c r="K21" i="370"/>
  <c r="J21" i="370"/>
  <c r="K20" i="370"/>
  <c r="J20" i="370"/>
  <c r="K19" i="370"/>
  <c r="J19" i="370"/>
  <c r="K18" i="370"/>
  <c r="J18" i="370"/>
  <c r="F25" i="370"/>
  <c r="E25" i="370"/>
  <c r="F24" i="370"/>
  <c r="E24" i="370"/>
  <c r="F23" i="370"/>
  <c r="E23" i="370"/>
  <c r="F22" i="370"/>
  <c r="E22" i="370"/>
  <c r="F21" i="370"/>
  <c r="E21" i="370"/>
  <c r="F20" i="370"/>
  <c r="E20" i="370"/>
  <c r="F19" i="370"/>
  <c r="E19" i="370"/>
  <c r="F18" i="370"/>
  <c r="E18" i="370"/>
  <c r="K12" i="370"/>
  <c r="J12" i="370"/>
  <c r="K11" i="370"/>
  <c r="J11" i="370"/>
  <c r="K10" i="370"/>
  <c r="J10" i="370"/>
  <c r="K9" i="370"/>
  <c r="J9" i="370"/>
  <c r="K8" i="370"/>
  <c r="J8" i="370"/>
  <c r="K7" i="370"/>
  <c r="J7" i="370"/>
  <c r="K6" i="370"/>
  <c r="J6" i="370"/>
  <c r="K5" i="370"/>
  <c r="J5" i="370"/>
  <c r="I52" i="370"/>
  <c r="H52" i="370"/>
  <c r="G52" i="370"/>
  <c r="D52" i="370"/>
  <c r="C52" i="370"/>
  <c r="B52" i="370"/>
  <c r="I39" i="370"/>
  <c r="H39" i="370"/>
  <c r="G39" i="370"/>
  <c r="D39" i="370"/>
  <c r="C39" i="370"/>
  <c r="B39" i="370"/>
  <c r="I26" i="370"/>
  <c r="H26" i="370"/>
  <c r="G26" i="370"/>
  <c r="D26" i="370"/>
  <c r="C26" i="370"/>
  <c r="B26" i="370"/>
  <c r="I13" i="370"/>
  <c r="H13" i="370"/>
  <c r="G13" i="370"/>
  <c r="F12" i="370"/>
  <c r="E12" i="370"/>
  <c r="F11" i="370"/>
  <c r="E11" i="370"/>
  <c r="F10" i="370"/>
  <c r="E10" i="370"/>
  <c r="F9" i="370"/>
  <c r="E9" i="370"/>
  <c r="F8" i="370"/>
  <c r="E8" i="370"/>
  <c r="F7" i="370"/>
  <c r="E7" i="370"/>
  <c r="F6" i="370"/>
  <c r="E6" i="370"/>
  <c r="F5" i="370"/>
  <c r="E5" i="370"/>
  <c r="K13" i="370" l="1"/>
  <c r="P26" i="370"/>
  <c r="N26" i="370"/>
  <c r="P52" i="370"/>
  <c r="N52" i="370"/>
  <c r="Q39" i="370"/>
  <c r="O39" i="370"/>
  <c r="P39" i="370"/>
  <c r="N39" i="370"/>
  <c r="Q13" i="370"/>
  <c r="O13" i="370"/>
  <c r="Q26" i="370"/>
  <c r="O26" i="370"/>
  <c r="Q52" i="370"/>
  <c r="O52" i="370"/>
  <c r="F52" i="370"/>
  <c r="D26" i="414" s="1"/>
  <c r="E26" i="414" s="1"/>
  <c r="K52" i="370"/>
  <c r="K26" i="370"/>
  <c r="F26" i="370"/>
  <c r="J26" i="370"/>
  <c r="J13" i="370"/>
  <c r="E26" i="370"/>
  <c r="K39" i="370"/>
  <c r="E39" i="370"/>
  <c r="E52" i="370"/>
  <c r="J52" i="370"/>
  <c r="F39" i="370"/>
  <c r="J39" i="370"/>
  <c r="A9" i="414" l="1"/>
  <c r="A8" i="414"/>
  <c r="A7" i="414"/>
  <c r="A22" i="383" l="1"/>
  <c r="G3" i="429"/>
  <c r="F3" i="429"/>
  <c r="E3" i="429"/>
  <c r="D3" i="429"/>
  <c r="C3" i="429"/>
  <c r="B3" i="429"/>
  <c r="A32" i="383" l="1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C11" i="340" l="1"/>
  <c r="A16" i="383" l="1"/>
  <c r="A11" i="383"/>
  <c r="A7" i="339" l="1"/>
  <c r="D13" i="370" l="1"/>
  <c r="C13" i="370"/>
  <c r="B13" i="370"/>
  <c r="P13" i="370" l="1"/>
  <c r="N13" i="370"/>
  <c r="F13" i="370"/>
  <c r="D23" i="414" s="1"/>
  <c r="E13" i="370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3" i="414" l="1"/>
  <c r="D7" i="414"/>
  <c r="A29" i="414" l="1"/>
  <c r="A16" i="414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B13" i="340" l="1"/>
  <c r="B12" i="340"/>
  <c r="A27" i="414"/>
  <c r="A22" i="414" l="1"/>
  <c r="L3" i="342" l="1"/>
  <c r="K3" i="342"/>
  <c r="J3" i="342"/>
  <c r="M3" i="342" s="1"/>
  <c r="I3" i="342"/>
  <c r="H3" i="342"/>
  <c r="F3" i="342"/>
  <c r="E3" i="342"/>
  <c r="D3" i="342"/>
  <c r="C3" i="342"/>
  <c r="B3" i="342"/>
  <c r="R3" i="410"/>
  <c r="Q3" i="410"/>
  <c r="P3" i="410"/>
  <c r="S3" i="410" s="1"/>
  <c r="O3" i="410"/>
  <c r="N3" i="410"/>
  <c r="L3" i="410"/>
  <c r="K3" i="410"/>
  <c r="J3" i="410"/>
  <c r="I3" i="410"/>
  <c r="H3" i="410"/>
  <c r="F3" i="410"/>
  <c r="E3" i="410"/>
  <c r="D3" i="410"/>
  <c r="G3" i="410" s="1"/>
  <c r="C3" i="410"/>
  <c r="B3" i="410"/>
  <c r="D21" i="414" s="1"/>
  <c r="G3" i="342" l="1"/>
  <c r="D29" i="414"/>
  <c r="M3" i="410"/>
  <c r="Z3" i="344"/>
  <c r="Y3" i="344"/>
  <c r="W3" i="344"/>
  <c r="AB3" i="344" s="1"/>
  <c r="V3" i="344"/>
  <c r="T3" i="344"/>
  <c r="AA3" i="344" s="1"/>
  <c r="Q3" i="344"/>
  <c r="P3" i="344"/>
  <c r="N3" i="344"/>
  <c r="S3" i="344" s="1"/>
  <c r="M3" i="344"/>
  <c r="K3" i="344"/>
  <c r="R3" i="344" s="1"/>
  <c r="G3" i="344"/>
  <c r="C3" i="344"/>
  <c r="B11" i="339"/>
  <c r="J11" i="339" s="1"/>
  <c r="I11" i="339" l="1"/>
  <c r="H11" i="339" l="1"/>
  <c r="G11" i="339"/>
  <c r="A28" i="414"/>
  <c r="A21" i="414"/>
  <c r="A13" i="414"/>
  <c r="A14" i="414"/>
  <c r="A4" i="414"/>
  <c r="A6" i="339" l="1"/>
  <c r="A5" i="339"/>
  <c r="C14" i="414"/>
  <c r="D17" i="414"/>
  <c r="D4" i="414"/>
  <c r="C17" i="414"/>
  <c r="D14" i="414"/>
  <c r="D8" i="414" l="1"/>
  <c r="C13" i="414" l="1"/>
  <c r="C7" i="414"/>
  <c r="E21" i="414" l="1"/>
  <c r="E18" i="414"/>
  <c r="E13" i="414"/>
  <c r="E7" i="414"/>
  <c r="E8" i="414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D25" i="414" l="1"/>
  <c r="E25" i="414" s="1"/>
  <c r="E12" i="339"/>
  <c r="D24" i="414"/>
  <c r="E24" i="414" s="1"/>
  <c r="C12" i="339"/>
  <c r="E23" i="414"/>
  <c r="B12" i="339"/>
  <c r="J12" i="339" s="1"/>
  <c r="D27" i="414"/>
  <c r="E27" i="414" s="1"/>
  <c r="M3" i="372"/>
  <c r="L3" i="372"/>
  <c r="K3" i="372"/>
  <c r="I3" i="372"/>
  <c r="H3" i="372"/>
  <c r="G3" i="372"/>
  <c r="E3" i="372"/>
  <c r="D3" i="372"/>
  <c r="C3" i="372"/>
  <c r="O3" i="343"/>
  <c r="N3" i="343"/>
  <c r="K3" i="343"/>
  <c r="P3" i="343" s="1"/>
  <c r="J3" i="343"/>
  <c r="G3" i="343"/>
  <c r="F3" i="343"/>
  <c r="O3" i="377"/>
  <c r="N3" i="377"/>
  <c r="Q3" i="377" s="1"/>
  <c r="K3" i="377"/>
  <c r="P3" i="377" s="1"/>
  <c r="J3" i="377"/>
  <c r="G3" i="377"/>
  <c r="F3" i="377"/>
  <c r="P3" i="345"/>
  <c r="O3" i="345"/>
  <c r="R3" i="345" s="1"/>
  <c r="L3" i="345"/>
  <c r="Q3" i="345" s="1"/>
  <c r="K3" i="345"/>
  <c r="H3" i="345"/>
  <c r="G3" i="345"/>
  <c r="M3" i="387"/>
  <c r="H3" i="387" s="1"/>
  <c r="L3" i="387"/>
  <c r="J3" i="387"/>
  <c r="I3" i="387"/>
  <c r="G3" i="387"/>
  <c r="F3" i="387"/>
  <c r="N3" i="220"/>
  <c r="L3" i="220" s="1"/>
  <c r="D22" i="414"/>
  <c r="C22" i="414"/>
  <c r="K3" i="387" l="1"/>
  <c r="J3" i="372"/>
  <c r="N3" i="372"/>
  <c r="F3" i="372"/>
  <c r="I12" i="339"/>
  <c r="I13" i="339" s="1"/>
  <c r="C29" i="414"/>
  <c r="E29" i="414" s="1"/>
  <c r="H13" i="339"/>
  <c r="E13" i="339"/>
  <c r="E15" i="339" s="1"/>
  <c r="H12" i="339"/>
  <c r="G12" i="339"/>
  <c r="A4" i="383"/>
  <c r="A31" i="383"/>
  <c r="A30" i="383"/>
  <c r="A29" i="383"/>
  <c r="A28" i="383"/>
  <c r="A27" i="383"/>
  <c r="A26" i="383"/>
  <c r="A25" i="383"/>
  <c r="A23" i="383"/>
  <c r="A21" i="383"/>
  <c r="A18" i="383"/>
  <c r="A17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E45" i="374"/>
  <c r="D45" i="374"/>
  <c r="E44" i="374"/>
  <c r="D44" i="374"/>
  <c r="E43" i="374"/>
  <c r="D43" i="374"/>
  <c r="E42" i="374"/>
  <c r="D42" i="374"/>
  <c r="E41" i="374"/>
  <c r="D41" i="374"/>
  <c r="E40" i="374"/>
  <c r="D40" i="374"/>
  <c r="E39" i="374"/>
  <c r="D39" i="374"/>
  <c r="E38" i="374"/>
  <c r="D38" i="374"/>
  <c r="E37" i="374"/>
  <c r="D37" i="374"/>
  <c r="E36" i="374"/>
  <c r="D36" i="374"/>
  <c r="E35" i="374"/>
  <c r="D35" i="374"/>
  <c r="E34" i="374"/>
  <c r="D34" i="374"/>
  <c r="E33" i="374"/>
  <c r="D33" i="374"/>
  <c r="Q3" i="343"/>
  <c r="C13" i="339"/>
  <c r="C15" i="339" s="1"/>
  <c r="B13" i="339"/>
  <c r="D16" i="414"/>
  <c r="C4" i="414"/>
  <c r="G15" i="339" l="1"/>
  <c r="H15" i="339"/>
  <c r="J13" i="339"/>
  <c r="B15" i="339"/>
  <c r="D28" i="414"/>
  <c r="E28" i="414" s="1"/>
  <c r="E14" i="414"/>
  <c r="E4" i="414"/>
  <c r="C6" i="340"/>
  <c r="D6" i="340" s="1"/>
  <c r="B4" i="340"/>
  <c r="G13" i="339"/>
  <c r="C4" i="340" l="1"/>
  <c r="E17" i="414"/>
  <c r="E22" i="414"/>
  <c r="D4" i="340"/>
  <c r="E6" i="340"/>
  <c r="C16" i="414"/>
  <c r="E16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62361</author>
  </authors>
  <commentList>
    <comment ref="A4" authorId="0" shapeId="0" xr:uid="{00000000-0006-0000-1A00-000001000000}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<sst xmlns="http://schemas.openxmlformats.org/spreadsheetml/2006/main" count="15778" uniqueCount="4979">
  <si>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</si>
  <si>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</si>
  <si>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</si>
  <si>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</si>
  <si>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</si>
  <si>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</si>
  <si>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</si>
  <si>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</si>
  <si>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</si>
  <si>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</si>
  <si>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</si>
  <si>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</si>
  <si>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</si>
  <si>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</si>
  <si>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</si>
  <si>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</si>
  <si>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</si>
  <si>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</si>
  <si>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</si>
  <si>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</si>
  <si>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</si>
  <si>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</si>
  <si>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</si>
  <si>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</si>
  <si>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</si>
  <si>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</si>
  <si>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</si>
  <si>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</si>
  <si>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</si>
  <si>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</si>
  <si>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</si>
  <si>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</si>
  <si>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</si>
  <si>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</si>
  <si>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</si>
  <si>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</si>
  <si>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</si>
  <si>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</si>
  <si>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</si>
  <si>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</si>
  <si>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</si>
  <si>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</si>
  <si>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</si>
  <si>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</si>
  <si>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</si>
  <si>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</si>
  <si>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</si>
  <si>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</si>
  <si>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</si>
  <si>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</si>
  <si>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</si>
  <si>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</si>
  <si>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</si>
  <si>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</si>
  <si>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</si>
  <si>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</si>
  <si>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DRG total</t>
  </si>
  <si>
    <t>Casemix</t>
  </si>
  <si>
    <t>CM</t>
  </si>
  <si>
    <t>Hosp.</t>
  </si>
  <si>
    <t>KL</t>
  </si>
  <si>
    <t>DRG</t>
  </si>
  <si>
    <t>Váha DRG</t>
  </si>
  <si>
    <t>LTP</t>
  </si>
  <si>
    <t>HTP</t>
  </si>
  <si>
    <t>Alos</t>
  </si>
  <si>
    <t>Alfa</t>
  </si>
  <si>
    <t>Nazev</t>
  </si>
  <si>
    <t>Rozdíly</t>
  </si>
  <si>
    <t>Ošetřovací dny</t>
  </si>
  <si>
    <t>poč.</t>
  </si>
  <si>
    <t>ø dnů</t>
  </si>
  <si>
    <t>ALOS</t>
  </si>
  <si>
    <t>FNOL</t>
  </si>
  <si>
    <t>rozdíl</t>
  </si>
  <si>
    <t>případy nad ALOS</t>
  </si>
  <si>
    <t>Kód</t>
  </si>
  <si>
    <t>Počet</t>
  </si>
  <si>
    <t>Lékový paušál</t>
  </si>
  <si>
    <t>Kč / j.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</si>
  <si>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</si>
  <si>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</si>
  <si>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</si>
  <si>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</si>
  <si>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</si>
  <si>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</si>
  <si>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</si>
  <si>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</si>
  <si>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</si>
  <si>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</si>
  <si>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</si>
  <si>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</si>
  <si>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</si>
  <si>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</si>
  <si>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</si>
  <si>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</si>
  <si>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</si>
  <si>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</si>
  <si>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</si>
  <si>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</si>
  <si>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</si>
  <si>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Přehled délky hospitalizace ve FNOL oproti ALOS (průměru v České republice)</t>
  </si>
  <si>
    <t>b</t>
  </si>
  <si>
    <t>1-13</t>
  </si>
  <si>
    <t>Zdravotnické pracoviště poskytující zdravotní výkon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</si>
  <si>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</si>
  <si>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</si>
  <si>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</si>
  <si>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</si>
  <si>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</si>
  <si>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</si>
  <si>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</si>
  <si>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</si>
  <si>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</si>
  <si>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</si>
  <si>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</si>
  <si>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</si>
  <si>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</si>
  <si>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</si>
  <si>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</si>
  <si>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</si>
  <si>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Plnění casemixu dle FNOL</t>
  </si>
  <si>
    <t>HI</t>
  </si>
  <si>
    <t>HI Graf</t>
  </si>
  <si>
    <t>Man Tab</t>
  </si>
  <si>
    <t>Léky Žádanky</t>
  </si>
  <si>
    <t>LŽ Detail</t>
  </si>
  <si>
    <t>Materiál Žádanky</t>
  </si>
  <si>
    <t>MŽ Detail</t>
  </si>
  <si>
    <t>Osobní náklady</t>
  </si>
  <si>
    <t>CaseMix</t>
  </si>
  <si>
    <t>Total</t>
  </si>
  <si>
    <t>OD TISS</t>
  </si>
  <si>
    <t>ZV Vyžád. Detail</t>
  </si>
  <si>
    <t>ZV Vyžád.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</si>
  <si>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</si>
  <si>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</si>
  <si>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</si>
  <si>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</si>
  <si>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</si>
  <si>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</si>
  <si>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</si>
  <si>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Zdravotní výkony (vybraných odborností) vyžádané pro pacienty hospitalizované na vlastním pracovišti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</si>
  <si>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</si>
  <si>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</si>
  <si>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</si>
  <si>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</si>
  <si>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</si>
  <si>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</si>
  <si>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</si>
  <si>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</si>
  <si>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Lékař</t>
  </si>
  <si>
    <t>111 - VZP</t>
  </si>
  <si>
    <t>201 - VoZP</t>
  </si>
  <si>
    <t>205 - ČPZP</t>
  </si>
  <si>
    <t>207 - OZP</t>
  </si>
  <si>
    <t>209 - ZP ŠKODA</t>
  </si>
  <si>
    <t>211 - ZP MV</t>
  </si>
  <si>
    <t>213 - RBP</t>
  </si>
  <si>
    <t>Hospodaření zdravotnického pracoviště (v tisících)</t>
  </si>
  <si>
    <t>Spotřeba léčivých přípravků</t>
  </si>
  <si>
    <t>Spotřeba zdravotnického materiálu</t>
  </si>
  <si>
    <t>Optimum CM pro</t>
  </si>
  <si>
    <t>olomoucký kraj</t>
  </si>
  <si>
    <t>Ošetřovací dny a TISS (v tisících Kč)</t>
  </si>
  <si>
    <t>Přehledové sestavy</t>
  </si>
  <si>
    <t>Akt. měsíc</t>
  </si>
  <si>
    <t>Kč/ks</t>
  </si>
  <si>
    <t>NS / ATC</t>
  </si>
  <si>
    <t>LŽ PL</t>
  </si>
  <si>
    <t>LŽ PL Detail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</si>
  <si>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</si>
  <si>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</si>
  <si>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</si>
  <si>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</si>
  <si>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</si>
  <si>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</si>
  <si>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</si>
  <si>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</si>
  <si>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</si>
  <si>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</si>
  <si>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</si>
  <si>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</si>
  <si>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</si>
  <si>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optimum 100% *</t>
  </si>
  <si>
    <t>optimum 95% *</t>
  </si>
  <si>
    <t>333 - Cizinci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</si>
  <si>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</si>
  <si>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</si>
  <si>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</si>
  <si>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</si>
  <si>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</si>
  <si>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</si>
  <si>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</si>
  <si>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</si>
  <si>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</si>
  <si>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</si>
  <si>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</si>
  <si>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</si>
  <si>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</si>
  <si>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</si>
  <si>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</si>
  <si>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</si>
  <si>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</si>
  <si>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</si>
  <si>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</si>
  <si>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</si>
  <si>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</si>
  <si>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</si>
  <si>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</si>
  <si>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</si>
  <si>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</si>
  <si>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</si>
  <si>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</si>
  <si>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</si>
  <si>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</si>
  <si>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</si>
  <si>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Počet případů hospitalizací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</si>
  <si>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</si>
  <si>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</si>
  <si>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</si>
  <si>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</si>
  <si>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</si>
  <si>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</si>
  <si>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</si>
  <si>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</si>
  <si>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</si>
  <si>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</si>
  <si>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</si>
  <si>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</si>
  <si>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</si>
  <si>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</si>
  <si>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Sml.odb./NS</t>
  </si>
  <si>
    <t>* Legenda (viz Vyhláška MZ ČR Sbírka zákonů č. 348/2016)</t>
  </si>
  <si>
    <t>DRG - úhrada formou případového paušálu</t>
  </si>
  <si>
    <t>DRG - individuálně smluvně sjednaná složka úhrady</t>
  </si>
  <si>
    <t>DRG - úhrada vyčleněná z úhrady formou případového paušálu</t>
  </si>
  <si>
    <t>§</t>
  </si>
  <si>
    <t>ZV Vykáz.-A Det.Lék.</t>
  </si>
  <si>
    <t>10 - úhrada formou případového paušálu, 13 - úhrada vyčleněná z úhrady formou případového paušálu)</t>
  </si>
  <si>
    <t>Kč (tisíce)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</si>
  <si>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</si>
  <si>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</si>
  <si>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</si>
  <si>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</si>
  <si>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</si>
  <si>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</si>
  <si>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</si>
  <si>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</si>
  <si>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</si>
  <si>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</si>
  <si>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</si>
  <si>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</si>
  <si>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</si>
  <si>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</si>
  <si>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</si>
  <si>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</si>
  <si>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</si>
  <si>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</si>
  <si>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</si>
  <si>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</si>
  <si>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</si>
  <si>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</si>
  <si>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</si>
  <si>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</si>
  <si>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</si>
  <si>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</si>
  <si>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</si>
  <si>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</si>
  <si>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</si>
  <si>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</si>
  <si>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</si>
  <si>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</si>
  <si>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t>Případy hospitalizací se při výpočtu casemixu v letech 2016, 2017, 2018 rozumí případy hospitalizací přepočtené pomocí pravidel pro Klasifikaci a sestavování případů</t>
  </si>
  <si>
    <t>hospitalizací platných pro rok 2018</t>
  </si>
  <si>
    <t>Casemix v letech 2016, 2017, 2018 je počet případů hospitalizací ukončených ve sledovaném období, poskytovatelem vykázaných a zdravotní pojišťovnou uznaných,</t>
  </si>
  <si>
    <t>které jsou podle Klasifikace zařazeny do skupin vztažených k diagnóze, vynásobený indexy 2017 (viz příohy č. 9 - individuálně smluvně sjednaná složka úhrady,</t>
  </si>
  <si>
    <t>Rozpočet výnosů pro rok 2019 je stanoven jako 100% skutečnosti referenčního období (2018)</t>
  </si>
  <si>
    <t>Rozdíl 2019</t>
  </si>
  <si>
    <t>Plnění 2019</t>
  </si>
  <si>
    <t>POMĚROVÉ  PLNĚNÍ = Rozpočet na rok 2021 celkem a 1/12  ročního rozpočtu, skutečnost daných měsíců a % plnění načítané skutečnosti do data k poměrné části rozpočtu do data.</t>
  </si>
  <si>
    <t>01/2021</t>
  </si>
  <si>
    <t>02/2021</t>
  </si>
  <si>
    <t>03/2021</t>
  </si>
  <si>
    <t>04/2021</t>
  </si>
  <si>
    <t>05/2021</t>
  </si>
  <si>
    <t>06/2021</t>
  </si>
  <si>
    <t>07/2021</t>
  </si>
  <si>
    <t>08/2021</t>
  </si>
  <si>
    <t>09/2021</t>
  </si>
  <si>
    <t>10/2021</t>
  </si>
  <si>
    <t>11/2021</t>
  </si>
  <si>
    <t>12/21</t>
  </si>
  <si>
    <t>% plnění (Skut.do data/Rozp.rok 2021)</t>
  </si>
  <si>
    <t>ROZDÍL (Sk.do data - Rozp.do data 2021)</t>
  </si>
  <si>
    <t>Sk.v tis 2021</t>
  </si>
  <si>
    <t>Rozp.rok 2021</t>
  </si>
  <si>
    <t>% plnění rozp.2020</t>
  </si>
  <si>
    <t>ROZDÍL  Skut. - Rozp. 2020</t>
  </si>
  <si>
    <t>Skut. 2020 CELKEM</t>
  </si>
  <si>
    <t>Rozp. 2020            CELKEM</t>
  </si>
  <si>
    <t>% 2019</t>
  </si>
  <si>
    <t>CM 2019</t>
  </si>
  <si>
    <t>Hosp. 2019</t>
  </si>
  <si>
    <t>Rozdíly 2019</t>
  </si>
  <si>
    <r>
      <t>Zpět na Obsah</t>
    </r>
    <r>
      <rPr>
        <sz val="9"/>
        <rFont val="Calibri"/>
        <family val="2"/>
        <charset val="238"/>
        <scheme val="minor"/>
      </rPr>
      <t xml:space="preserve"> | 1.-11.měsíc | Oddělení intenzivní péče chirurgických oborů</t>
    </r>
  </si>
  <si>
    <t/>
  </si>
  <si>
    <t>Plnění rozpočtu po měsících</t>
  </si>
  <si>
    <t>5     Náklady</t>
  </si>
  <si>
    <t xml:space="preserve">     50     Spotřebované nákupy</t>
  </si>
  <si>
    <t xml:space="preserve">          501     Spotřeba materiálu</t>
  </si>
  <si>
    <t xml:space="preserve">               50109     Cenové odchylky k materiálu</t>
  </si>
  <si>
    <t xml:space="preserve">                    50109000     Cenové odchylky k materiálu</t>
  </si>
  <si>
    <t xml:space="preserve">               50113     Léky a léčiva</t>
  </si>
  <si>
    <t xml:space="preserve">                    50113001     Léky - paušál (LEK)</t>
  </si>
  <si>
    <t xml:space="preserve">                    50113002     Léky - parenterální výživa (LEK)</t>
  </si>
  <si>
    <t xml:space="preserve">                    50113006     Léky - enterální výživa (LEK)</t>
  </si>
  <si>
    <t xml:space="preserve">                    50113008     Léky - krev.deriváty ZUL (TO)</t>
  </si>
  <si>
    <t xml:space="preserve">                    50113011     Léky - hemofilici ZUL (TO)</t>
  </si>
  <si>
    <t xml:space="preserve">                    50113012     Léky - trombolýza (LEK)</t>
  </si>
  <si>
    <t xml:space="preserve">                    50113013     Léky - antibiotika (LEK)</t>
  </si>
  <si>
    <t xml:space="preserve">                    50113014     Léky - antimykotika (LEK)</t>
  </si>
  <si>
    <t xml:space="preserve">                    50113190     Léky - medicinální plyny (sklad SVM)</t>
  </si>
  <si>
    <t xml:space="preserve">               50114     Krevní přípravky</t>
  </si>
  <si>
    <t xml:space="preserve">                    50114002     Krevní přípravky</t>
  </si>
  <si>
    <t xml:space="preserve">                    50114003     Plazma</t>
  </si>
  <si>
    <t xml:space="preserve">               50115     Zdravotnické prostředky</t>
  </si>
  <si>
    <t xml:space="preserve">                    50115020     Laboratorní diagnostika-LEK (Z501)</t>
  </si>
  <si>
    <t xml:space="preserve">                    50115040     Laboratorní materiál (Z505)</t>
  </si>
  <si>
    <t xml:space="preserve">                    50115050     Obvazový materiál (Z502)</t>
  </si>
  <si>
    <t xml:space="preserve">                    50115060     ZPr - ostatní (Z503)</t>
  </si>
  <si>
    <t xml:space="preserve">                    50115062     ZPr - materiál hemodialýza (Z525)</t>
  </si>
  <si>
    <t xml:space="preserve">                    50115063     ZPr - vaky, sety (Z528)</t>
  </si>
  <si>
    <t xml:space="preserve">                    50115064     ZPr - šicí materiál (Z529)</t>
  </si>
  <si>
    <t xml:space="preserve">                    50115065     ZPr - vpichovací materiál (Z530)</t>
  </si>
  <si>
    <t xml:space="preserve">                    50115067     ZPr - rukavice (Z532)</t>
  </si>
  <si>
    <t xml:space="preserve">                    50115070     ZPr - katetry ostatní (Z513)</t>
  </si>
  <si>
    <t xml:space="preserve">                    50115079     ZPr - internzivní péče (Z542)</t>
  </si>
  <si>
    <t xml:space="preserve">                    50115089     ZPr - katetry PICC/MIDLINE (Z554)</t>
  </si>
  <si>
    <t xml:space="preserve">                    50115030     ZPr. - ostatní (testy) - COVID19 (Z556)</t>
  </si>
  <si>
    <t xml:space="preserve">                    50115022     antigenní testy zaměstnanců FNOL</t>
  </si>
  <si>
    <t xml:space="preserve">                    50115101     ZPr - ostatní COVID 19 (Z558)</t>
  </si>
  <si>
    <t xml:space="preserve">               50116     Potraviny</t>
  </si>
  <si>
    <t xml:space="preserve">                    50116001     Lůžk. pacienti</t>
  </si>
  <si>
    <t xml:space="preserve">                    50116002     Lůžk. pacienti nad normu</t>
  </si>
  <si>
    <t xml:space="preserve">               50117     Všeobecný materiál</t>
  </si>
  <si>
    <t xml:space="preserve">                    50117001     Všeobecný materiál (N524,525,P35,49,T13,V26,31,32,34,35,37,47,111,Z510)</t>
  </si>
  <si>
    <t xml:space="preserve">                    50117002     Prací a čistící prostř.,drog.zboží (sk.V41)</t>
  </si>
  <si>
    <t xml:space="preserve">                    50117003     Desinfekční prostředky (ID-ř.733-LEK)</t>
  </si>
  <si>
    <t xml:space="preserve">                    50117004     Tiskopisy a kanc.potřeby (sk.V42, 43)</t>
  </si>
  <si>
    <t xml:space="preserve">                    50117005     Údržbový materiál ZVIT (sk.B36,61,62,64)</t>
  </si>
  <si>
    <t xml:space="preserve">                    50117007     Údržbový materiál ostatní - sklady (sk.T17)</t>
  </si>
  <si>
    <t xml:space="preserve">                    50117008     Spotřební materiál k PDS (potrubní pošta (sk.V22)</t>
  </si>
  <si>
    <t xml:space="preserve">                    50117009     Spotřební materiál k ZPr. (sk.V21)</t>
  </si>
  <si>
    <t xml:space="preserve">                    50117015     IT - spotřební materiál (sk. P37, 38, 48)</t>
  </si>
  <si>
    <t xml:space="preserve">                    50117024     Všeob.mat. - ostatní-vyjímky (V44) od 0,01 do 999,99</t>
  </si>
  <si>
    <t xml:space="preserve">                    50117025     Všeob.mat. - razítka ostatní (V111) od 0,01 do 2999,99</t>
  </si>
  <si>
    <t xml:space="preserve">               50118     Náhradní díly</t>
  </si>
  <si>
    <t xml:space="preserve">                    50118003     ND - ostatní techn.(OSBTK, vč.metrologa)</t>
  </si>
  <si>
    <t xml:space="preserve">                    50118004     ND - zdravotní techn. (OSBTK, vč.metrologa)</t>
  </si>
  <si>
    <t xml:space="preserve">                    50118005     ND - výpoč. techn.(sklad) (sk.P47)</t>
  </si>
  <si>
    <t xml:space="preserve">                    50118006     ND - ZVIT (sk.B63)</t>
  </si>
  <si>
    <t xml:space="preserve">                    50118009     ND - ostatní technika (UTZ)</t>
  </si>
  <si>
    <t xml:space="preserve">               50119     DDHM a textil</t>
  </si>
  <si>
    <t xml:space="preserve">                    50119077     OOPP a prádlo pro zaměstnance (sk.T14)</t>
  </si>
  <si>
    <t xml:space="preserve">                    50119090     OOPP pro pacienty a doprovod (sk.T11)</t>
  </si>
  <si>
    <t xml:space="preserve">                    50119092     Pokojový textil (sk. T15)</t>
  </si>
  <si>
    <t xml:space="preserve">                    50119100     Jednorázové ochranné pomůcky (sk.T18A)</t>
  </si>
  <si>
    <t xml:space="preserve">                    50119101     Jednorázový operační materiál (sk.T18B)</t>
  </si>
  <si>
    <t xml:space="preserve">                    50119102     Jednorázové hygienické potřeby (sk.T18C)</t>
  </si>
  <si>
    <t xml:space="preserve">                    50119103     Jednorázové ochranné pomůcky COVID19 - masky (sk.T18D)</t>
  </si>
  <si>
    <t xml:space="preserve">                    50119104     Jednorázové ochranné pomůcky COVID19 - respirátory FFP 2 (sk.T18E)</t>
  </si>
  <si>
    <t xml:space="preserve">                    50119105     Jednorázové ochranné pomůcky COVID19 - respirátory FFP 3 (sk.T18F)</t>
  </si>
  <si>
    <t xml:space="preserve">                    50119079     OOPP a prádlo pro zaměstnance COVID19 - ochranné brýle (sk.T14B)</t>
  </si>
  <si>
    <t xml:space="preserve">               50160     Knihy a časopisy</t>
  </si>
  <si>
    <t xml:space="preserve">                    50160002     Knihy a časopisy</t>
  </si>
  <si>
    <t xml:space="preserve">               50180     Materiál z darů, FKSP</t>
  </si>
  <si>
    <t xml:space="preserve">                    50180001     Věcné dary</t>
  </si>
  <si>
    <t xml:space="preserve">          502     Spotřeba energie</t>
  </si>
  <si>
    <t xml:space="preserve">               50210     Spotřeba energie</t>
  </si>
  <si>
    <t xml:space="preserve">                    50210071     Elektřina</t>
  </si>
  <si>
    <t xml:space="preserve">                    50210072     Vodné, stočné</t>
  </si>
  <si>
    <t xml:space="preserve">                    50210073     Pára</t>
  </si>
  <si>
    <t xml:space="preserve">     51     Služby</t>
  </si>
  <si>
    <t xml:space="preserve">          511     Opravy a udržování</t>
  </si>
  <si>
    <t xml:space="preserve">               51102     Technika a stavby</t>
  </si>
  <si>
    <t xml:space="preserve">                    51102021     Opravy zdravotnické techniky - OSBTK, vč.metrologa</t>
  </si>
  <si>
    <t xml:space="preserve">                    51102022     Opravy - Úsek inf.systémů</t>
  </si>
  <si>
    <t xml:space="preserve">                    51102023     Opravy ostatní techniky - OSBTK, vč.metrologa</t>
  </si>
  <si>
    <t xml:space="preserve">                    51102024     Opravy - správa budov</t>
  </si>
  <si>
    <t xml:space="preserve">                    51102025     Opravy - hl.energetik</t>
  </si>
  <si>
    <t xml:space="preserve">                    51102026     Opravy STA rozvodů (tel.antény) - ELSYS</t>
  </si>
  <si>
    <t xml:space="preserve">                    51102032     Opravy zdravotnické techniky - UTZ</t>
  </si>
  <si>
    <t xml:space="preserve">                    51102033     Opravy ostatní techniky - UTZ</t>
  </si>
  <si>
    <t xml:space="preserve">                    51102034     Opravy ostatní techniky - ELSYS</t>
  </si>
  <si>
    <t xml:space="preserve">          512     Cestovné</t>
  </si>
  <si>
    <t xml:space="preserve">               51201     Cestovné zaměstnanců-tuzemské</t>
  </si>
  <si>
    <t xml:space="preserve">                    51201000     Cestovné z mezd</t>
  </si>
  <si>
    <t xml:space="preserve">          518     Ostatní služby</t>
  </si>
  <si>
    <t xml:space="preserve">               51802     Spoje</t>
  </si>
  <si>
    <t xml:space="preserve">                    51802001     Poštovné</t>
  </si>
  <si>
    <t xml:space="preserve">                    51802003     Telekom.styk</t>
  </si>
  <si>
    <t xml:space="preserve">               51804     Nájemné</t>
  </si>
  <si>
    <t xml:space="preserve">                    51804004     Popl. za R a TV, veř. produkce</t>
  </si>
  <si>
    <t xml:space="preserve">                    51804005     Náj. plynových lahví</t>
  </si>
  <si>
    <t xml:space="preserve">               51805     Projekt. práce a inž. čin.</t>
  </si>
  <si>
    <t xml:space="preserve">                    51805001     Průzkumné a projektové práce</t>
  </si>
  <si>
    <t xml:space="preserve">               51806     Úklid, odpad, desinf., deratizace</t>
  </si>
  <si>
    <t xml:space="preserve">                    51806001     Úklid. služby - paušál</t>
  </si>
  <si>
    <t xml:space="preserve">                    51806002     Úklid. služby - více práce</t>
  </si>
  <si>
    <t xml:space="preserve">                    51806007     Praní prádla</t>
  </si>
  <si>
    <t xml:space="preserve">               51808     Revize a smluvní servisy majetku</t>
  </si>
  <si>
    <t xml:space="preserve">                    51808007     Revize, sml.servis - energetik</t>
  </si>
  <si>
    <t xml:space="preserve">                    51808008     Revize, tech.kontroly, prev.prohl.- OSBTK</t>
  </si>
  <si>
    <t xml:space="preserve">                    51808009     Revize, sml.servis PO - OBKR</t>
  </si>
  <si>
    <t xml:space="preserve">                    51808013     Revize - kalibrace - metrolog</t>
  </si>
  <si>
    <t xml:space="preserve">                    51808018     Smluvní servis - OSBTK</t>
  </si>
  <si>
    <t xml:space="preserve">                    51808020     Smluvní servis - UTZ</t>
  </si>
  <si>
    <t xml:space="preserve">                    51808021     Revize, tech.kontroly, prev.prohl.- UTZ</t>
  </si>
  <si>
    <t xml:space="preserve">     52     Osobní náklady</t>
  </si>
  <si>
    <t xml:space="preserve">          521     Mzdové náklady</t>
  </si>
  <si>
    <t xml:space="preserve">               52111     Hrubé mzdy</t>
  </si>
  <si>
    <t xml:space="preserve">                    52111000     Hrubé mzdy</t>
  </si>
  <si>
    <t xml:space="preserve">               52121     OON - dohody</t>
  </si>
  <si>
    <t xml:space="preserve">                    52121000     OON - dohody</t>
  </si>
  <si>
    <t xml:space="preserve">               52128     Náhrada mzdy po dobu dočas.prac.neschopnosti</t>
  </si>
  <si>
    <t xml:space="preserve">                    52128000     Náhrada mzdy po dobu dočas.prac.neschop.-hraz.org.</t>
  </si>
  <si>
    <t xml:space="preserve">               52148     Peněžité dary z FKSP</t>
  </si>
  <si>
    <t xml:space="preserve">                    52148000     Peněžité dary z FKSP</t>
  </si>
  <si>
    <t xml:space="preserve">               52116     </t>
  </si>
  <si>
    <t xml:space="preserve">                    52116000     mimořádné finanční ohodnocení - Covid 19</t>
  </si>
  <si>
    <t xml:space="preserve">          524     Zákonné sociální pojištění</t>
  </si>
  <si>
    <t xml:space="preserve">               52401     Zdravotní pojištění organizace</t>
  </si>
  <si>
    <t xml:space="preserve">                    52401000     Zdravotní poj. organizace</t>
  </si>
  <si>
    <t xml:space="preserve">               52402     Sociální pojištění organizace</t>
  </si>
  <si>
    <t xml:space="preserve">                    52402000     Sociální poj. organizace</t>
  </si>
  <si>
    <t xml:space="preserve">               52411     </t>
  </si>
  <si>
    <t xml:space="preserve">                    52411000     zdravotní poj. organizace - COVID 19</t>
  </si>
  <si>
    <t xml:space="preserve">               52412     </t>
  </si>
  <si>
    <t xml:space="preserve">                    52412000     sociální poj.- COVID 19</t>
  </si>
  <si>
    <t xml:space="preserve">          525     Jiné sociální pojištění</t>
  </si>
  <si>
    <t xml:space="preserve">               52510     Jiné sociální pojištění</t>
  </si>
  <si>
    <t xml:space="preserve">                    52510000     Pojištění zaměstnanců (čtvrtletně)</t>
  </si>
  <si>
    <t xml:space="preserve">          527     Zákonné sociální náklady</t>
  </si>
  <si>
    <t xml:space="preserve">               52710     Zákonné sociální náklady</t>
  </si>
  <si>
    <t xml:space="preserve">                    52710001     FKSP - jednotný příděl</t>
  </si>
  <si>
    <t xml:space="preserve">     54     Jiné provozní náklady</t>
  </si>
  <si>
    <t xml:space="preserve">          547     Mimořádné provozní náklady</t>
  </si>
  <si>
    <t xml:space="preserve">               54710     Manka a škody </t>
  </si>
  <si>
    <t xml:space="preserve">                    54710002     Zcizení a poškoz. maj.FNOL(jednání v NK)</t>
  </si>
  <si>
    <t xml:space="preserve">          549     Ostatní náklady z činnosti</t>
  </si>
  <si>
    <t xml:space="preserve">               54910     Ostatní náklady z činnosti</t>
  </si>
  <si>
    <t xml:space="preserve">                    54910003     Práce výrobní povahy(výroba klíčů,tabulek)</t>
  </si>
  <si>
    <t xml:space="preserve">                    54910009     Školení, kongresové poplatky tuzemské - ost.zdrav.pracov.</t>
  </si>
  <si>
    <t xml:space="preserve">               54925     Ostatní výplaty fyzickým osobám(OPMČ)</t>
  </si>
  <si>
    <t xml:space="preserve">                    54925000     Odškodn.-náhr.mzdy zam.(OPMČ)</t>
  </si>
  <si>
    <t xml:space="preserve">               54972     Školení, kongres.popl.tuzemské - lékaři (pouze OPMČ)</t>
  </si>
  <si>
    <t xml:space="preserve">                    54972000     Školení, kongres.popl.tuzemské - lékaři (pouze OPMČ)</t>
  </si>
  <si>
    <t xml:space="preserve">               54973     Školení, kongres.popl.tuzemské - ostatní zdrav.prac.(pouze OPMČ)</t>
  </si>
  <si>
    <t xml:space="preserve">                    54973000     Školení, kongres.popl.tuzemské - ostatní zdrav.prac.(pouze OPMČ)</t>
  </si>
  <si>
    <t xml:space="preserve">               54977     Registrační poplatky - kongresy zahraniční (pouze OPMČ)</t>
  </si>
  <si>
    <t xml:space="preserve">                    54977000     Registrační poplatky - kongresy zahraniční (pouze OPMČ)</t>
  </si>
  <si>
    <t xml:space="preserve">     55     Odpisy,rezervy a opravné položky provoz.nákladů</t>
  </si>
  <si>
    <t xml:space="preserve">          551     Odpisy dlouhodobého nehm. a hm. majetku</t>
  </si>
  <si>
    <t xml:space="preserve">               55110     Odpisy DM</t>
  </si>
  <si>
    <t xml:space="preserve">                    55110003     Odpisy DHM - budovy z odpisů</t>
  </si>
  <si>
    <t xml:space="preserve">                    55110004     Odpisy DHM - zdravot.techn. z odpisů</t>
  </si>
  <si>
    <t xml:space="preserve">                    55110013     Odpisy DHM - budovy z dotací</t>
  </si>
  <si>
    <t xml:space="preserve">                    55110014     Odpisy DHM - zdravot.techn. z dotací</t>
  </si>
  <si>
    <t xml:space="preserve">               55120     ZC vyřazeného DM</t>
  </si>
  <si>
    <t xml:space="preserve">                    55120004     ZC DHM - zdravot.techn. z odpisů</t>
  </si>
  <si>
    <t xml:space="preserve">          558     Náklady z drobného dlouhodobého majetku</t>
  </si>
  <si>
    <t xml:space="preserve">               55801     DDHM zdravotnický a laboratorní</t>
  </si>
  <si>
    <t xml:space="preserve">                    55801001     DDHM - zdravotnické přístroje (sk.N_525)</t>
  </si>
  <si>
    <t xml:space="preserve">               55802     DDHM - provozní</t>
  </si>
  <si>
    <t xml:space="preserve">                    55802001     DDHM - kuchyňské zařízení a nádobí (sk.V_26)</t>
  </si>
  <si>
    <t xml:space="preserve">                    55802003     DDHM - kacelářská technika (sk.V_37)</t>
  </si>
  <si>
    <t xml:space="preserve">                    55802004     DDHM - přepravní pouzdra pro PDS ( Potrubní poštu (sk.V_48)</t>
  </si>
  <si>
    <t xml:space="preserve">               55804     DDHM - výpočetní technika</t>
  </si>
  <si>
    <t xml:space="preserve">                    55804002     DDHM - telefony (sk.P_49)</t>
  </si>
  <si>
    <t xml:space="preserve">               55805     DDHM - inventář</t>
  </si>
  <si>
    <t xml:space="preserve">                    55805002     DDHM - nábytek (sk.V_31)</t>
  </si>
  <si>
    <t>6     Výnosy</t>
  </si>
  <si>
    <t xml:space="preserve">     60     Tržby za vlastní výkony a zboží</t>
  </si>
  <si>
    <t xml:space="preserve">          602     Tržby z prodeje služeb</t>
  </si>
  <si>
    <t xml:space="preserve">               60210     Zdravotní služby samoplátcům a právnickým osobám</t>
  </si>
  <si>
    <t xml:space="preserve">                    60210322     Zdr.služby - právn.osoby</t>
  </si>
  <si>
    <t xml:space="preserve">                    60210323     Zdr.služby - státní orgány</t>
  </si>
  <si>
    <t xml:space="preserve">                    60210354     Zdr.služby - cizinci</t>
  </si>
  <si>
    <t xml:space="preserve">                    60210359     Zdr.služby - tuzemci (plastika atd. ...)</t>
  </si>
  <si>
    <t xml:space="preserve">               60229     Zdr. výkony - ost. ZP sled.položky  OZPI</t>
  </si>
  <si>
    <t xml:space="preserve">                    60229201     Výkony + mater. - ZP ma výkon</t>
  </si>
  <si>
    <t xml:space="preserve">                    60229202     Výkony pojišť.EHS, výkony za cizinci (mimo EHS)</t>
  </si>
  <si>
    <t xml:space="preserve">               60245     Fakturace ZP - běžný rok (paušál)   OZPI</t>
  </si>
  <si>
    <t xml:space="preserve">                    60245401     Tržby ZP za zdrav.péči - paušál</t>
  </si>
  <si>
    <t xml:space="preserve">               60246     Dorovnání péče ZP - min.let         OZPI</t>
  </si>
  <si>
    <t xml:space="preserve">                    60246401     Tržby ZP za zdrav.péči - dorovnání min.let</t>
  </si>
  <si>
    <t xml:space="preserve">     64     Jiné provozní výnosy</t>
  </si>
  <si>
    <t xml:space="preserve">          648     Čerpání fondů</t>
  </si>
  <si>
    <t xml:space="preserve">               64824     Čerpání FKSP</t>
  </si>
  <si>
    <t xml:space="preserve">                    64824048     Čerpání z FKSP - peněžité dary</t>
  </si>
  <si>
    <t xml:space="preserve">          649     Ostatní výnosy z činnosti</t>
  </si>
  <si>
    <t xml:space="preserve">               64908     Ostatní výnosy z činnosti</t>
  </si>
  <si>
    <t xml:space="preserve">                    64908000     Rozdíly v zaokrouhlení</t>
  </si>
  <si>
    <t xml:space="preserve">                    64908007     Ostatní výnosy</t>
  </si>
  <si>
    <t xml:space="preserve">               64924     Ostatní služby - mimo zdrav.výkony  FAKTURACE</t>
  </si>
  <si>
    <t xml:space="preserve">                    64924450     Poštovné, balné za odeslání</t>
  </si>
  <si>
    <t xml:space="preserve">               64980     Věcné dary</t>
  </si>
  <si>
    <t xml:space="preserve">                    64980001     Věcné dary</t>
  </si>
  <si>
    <t xml:space="preserve">     67     Výnosy z transferů</t>
  </si>
  <si>
    <t xml:space="preserve">          671     Transfery</t>
  </si>
  <si>
    <t xml:space="preserve">               67101     Nein.dotace, příspěvky, granty od zřizovatele</t>
  </si>
  <si>
    <t xml:space="preserve">                    67101009     transfery MZ - mimořádné fin.ohodnocení COVID-19</t>
  </si>
  <si>
    <t>7     Vnitropodnikové náklady</t>
  </si>
  <si>
    <t xml:space="preserve">     79     Vnitropodnikové náklady</t>
  </si>
  <si>
    <t xml:space="preserve">          799     Vnitropodnikové náklady</t>
  </si>
  <si>
    <t xml:space="preserve">               79901     VPN - lékárna</t>
  </si>
  <si>
    <t xml:space="preserve">                    79901002     Výdej HVLP</t>
  </si>
  <si>
    <t xml:space="preserve">               79902     VPN - ZVIT technická údržba</t>
  </si>
  <si>
    <t xml:space="preserve">                    79902000     Výkony údržby</t>
  </si>
  <si>
    <t xml:space="preserve">                    79902001     výkony stavební údržby</t>
  </si>
  <si>
    <t xml:space="preserve">               79903     VPN - doprava</t>
  </si>
  <si>
    <t xml:space="preserve">                    79903001     Doprava - sanitní</t>
  </si>
  <si>
    <t xml:space="preserve">                    79903002     Doprava - osobní</t>
  </si>
  <si>
    <t xml:space="preserve">                    79903003     Doprava - nákladní</t>
  </si>
  <si>
    <t xml:space="preserve">               79904     VPN - PDS</t>
  </si>
  <si>
    <t xml:space="preserve">                    79904000     Potrubní dopravníkový systém (PDS)</t>
  </si>
  <si>
    <t xml:space="preserve">               79905     VPN - distribuce prádle (stř.9412)</t>
  </si>
  <si>
    <t xml:space="preserve">                    79905001     Režie - distribuce prádla (stř.9412)</t>
  </si>
  <si>
    <t xml:space="preserve">               79907     VPN - sklad</t>
  </si>
  <si>
    <t xml:space="preserve">                    79907002     Tisk tiskopisů</t>
  </si>
  <si>
    <t xml:space="preserve">               79910     VPN - informační technologie</t>
  </si>
  <si>
    <t xml:space="preserve">                    79910001     Výkony IT</t>
  </si>
  <si>
    <t xml:space="preserve">               79920     VPN - mezistřediskové převody</t>
  </si>
  <si>
    <t xml:space="preserve">                    79920001     Agregované výkony</t>
  </si>
  <si>
    <t xml:space="preserve">               79950     VPN - správní režie</t>
  </si>
  <si>
    <t xml:space="preserve">                    79950001     Rozúčtování režie HTS</t>
  </si>
  <si>
    <t>59</t>
  </si>
  <si>
    <t>IPCHO: Oddělení int. péče chirurg. oborů</t>
  </si>
  <si>
    <t>50113001 - léky - paušál (LEK)</t>
  </si>
  <si>
    <t>50113002 - léky - parenterální výživa (LEK)</t>
  </si>
  <si>
    <t>50113006 - léky - enterální výživa (LEK)</t>
  </si>
  <si>
    <t>50113008 - léky - krev.deriváty ZUL (TO)</t>
  </si>
  <si>
    <t>50113011 - léky - hemofilici ZUL (TO)</t>
  </si>
  <si>
    <t>50113012 - léky - trombolýza (LEK)</t>
  </si>
  <si>
    <t>50113013 - léky - antibiotika (LEK)</t>
  </si>
  <si>
    <t>50113014 - léky - antimykotika (LEK)</t>
  </si>
  <si>
    <t>50113190 - léky - medicinální plyny (sklad SVM)</t>
  </si>
  <si>
    <t>IPCHO: Oddělení int. péče chirurg. oborů Celkem</t>
  </si>
  <si>
    <t>SumaKL</t>
  </si>
  <si>
    <t>5931</t>
  </si>
  <si>
    <t>IPCHO: JIP 51</t>
  </si>
  <si>
    <t>IPCHO: JIP 51 Celkem</t>
  </si>
  <si>
    <t>SumaNS</t>
  </si>
  <si>
    <t>mezeraNS</t>
  </si>
  <si>
    <t>léky - paušál (LEK)</t>
  </si>
  <si>
    <t>O</t>
  </si>
  <si>
    <t>ACC INJEKT</t>
  </si>
  <si>
    <t>INJ SOL 5X3ML/300MG</t>
  </si>
  <si>
    <t>ACC INJEKT-mimořádný dovoz</t>
  </si>
  <si>
    <t>ACICLOVIR OLIKLA</t>
  </si>
  <si>
    <t>250MG INF PLV SOL 5</t>
  </si>
  <si>
    <t>250MG INF PLV SOL 10</t>
  </si>
  <si>
    <t>ACIDUM ASCORBICUM BBP</t>
  </si>
  <si>
    <t>100MG/ML INJ SOL 5X5ML</t>
  </si>
  <si>
    <t>ACIDUM FOLICUM LÉČIVA</t>
  </si>
  <si>
    <t>10MG TBL OBD 45</t>
  </si>
  <si>
    <t>ADRENALIN BRADEX</t>
  </si>
  <si>
    <t>1MG/ML INJ SOL 10X1ML</t>
  </si>
  <si>
    <t>ADRENALIN LECIVA</t>
  </si>
  <si>
    <t>INJ 5X1ML/1MG</t>
  </si>
  <si>
    <t>P</t>
  </si>
  <si>
    <t>ADVAGRAF 3 MG</t>
  </si>
  <si>
    <t>CPS PRO 30</t>
  </si>
  <si>
    <t>ADVAGRAF 5 MG</t>
  </si>
  <si>
    <t>POR CPS PRO 30X5MG</t>
  </si>
  <si>
    <t>AERIUS</t>
  </si>
  <si>
    <t>0,5MG/ML POR SOL 60ML+LŽ</t>
  </si>
  <si>
    <t>AESCIN-TEVA</t>
  </si>
  <si>
    <t>POR TBL ENT 90X20MG</t>
  </si>
  <si>
    <t>POR TBL FLM 30X20MG</t>
  </si>
  <si>
    <t>AGAPURIN</t>
  </si>
  <si>
    <t>INJ 5X5ML/100MG</t>
  </si>
  <si>
    <t>AGEN 5</t>
  </si>
  <si>
    <t>POR TBL NOB 30X5MG</t>
  </si>
  <si>
    <t>ALETRO</t>
  </si>
  <si>
    <t>2,5MG TBL FLM 30</t>
  </si>
  <si>
    <t>ALGIFEN NEO</t>
  </si>
  <si>
    <t>POR GTT SOL 1X50ML</t>
  </si>
  <si>
    <t>ALMIRAL</t>
  </si>
  <si>
    <t>INJ 10X3ML/75MG</t>
  </si>
  <si>
    <t>AMBROBENE</t>
  </si>
  <si>
    <t>INJ 5X2ML/15MG</t>
  </si>
  <si>
    <t>AMBROBENE 7.5MG/ML</t>
  </si>
  <si>
    <t>SOL 1X100ML</t>
  </si>
  <si>
    <t>AMIODARON HAMELN</t>
  </si>
  <si>
    <t>50MG/ML INJ/INF CNC SOL 10X3ML</t>
  </si>
  <si>
    <t>AMPICILIN BBP</t>
  </si>
  <si>
    <t>1G INJ/INF PLV SOL 10</t>
  </si>
  <si>
    <t>ANALGIN</t>
  </si>
  <si>
    <t>INJ SOL 5X5ML</t>
  </si>
  <si>
    <t>ANOPYRIN</t>
  </si>
  <si>
    <t>100MG TBL NOB 60(6X10)</t>
  </si>
  <si>
    <t>ANOPYRIN 100MG</t>
  </si>
  <si>
    <t>TBL 20X100MG</t>
  </si>
  <si>
    <t>APAURIN</t>
  </si>
  <si>
    <t>INJ 10X2ML/10MG</t>
  </si>
  <si>
    <t>AQUA PRO INIECTIONE ARDEAPHARMA</t>
  </si>
  <si>
    <t>100% PAR LQF 10X250ML</t>
  </si>
  <si>
    <t>100% PAR LQF 10X500ML</t>
  </si>
  <si>
    <t>AQUA PRO INJECTIONE BRAUN</t>
  </si>
  <si>
    <t>INJ SOL 10X1000ML-PE</t>
  </si>
  <si>
    <t>PAR LQF 20X100ML-PE</t>
  </si>
  <si>
    <t>ARAVA 20 MG</t>
  </si>
  <si>
    <t>ARDEAELYTOSOL CONC. KALIUMCHLORID 7,45%</t>
  </si>
  <si>
    <t>INF SOL 10X200ML</t>
  </si>
  <si>
    <t>INF SOL 20X80ML</t>
  </si>
  <si>
    <t>ARDEAELYTOSOL NA.HYDR.CARB. 4,2%</t>
  </si>
  <si>
    <t>42MG/ML INF CNC SOL 10X200ML</t>
  </si>
  <si>
    <t>ARDEAELYTOSOL NA.HYDR.CARB. 8,4%</t>
  </si>
  <si>
    <t>84MG/ML INF CNC SOL 10X200ML</t>
  </si>
  <si>
    <t>ARDEAELYTOSOL NA.HYDR.FOSF. 8,7%</t>
  </si>
  <si>
    <t>87MG/ML INF CNC SOL 10X200ML</t>
  </si>
  <si>
    <t>ARDUAN</t>
  </si>
  <si>
    <t>INJ SIC 25X4MG+2ML</t>
  </si>
  <si>
    <t>ARGOFAN</t>
  </si>
  <si>
    <t>150MG TBL PRO 30</t>
  </si>
  <si>
    <t>ATROPIN BBP</t>
  </si>
  <si>
    <t>0,5MG/ML INJ SOL 10X1ML</t>
  </si>
  <si>
    <t>ATROVENT 0.025%</t>
  </si>
  <si>
    <t>INH SOL 1X20ML</t>
  </si>
  <si>
    <t>AULIN</t>
  </si>
  <si>
    <t>POR TBL NOB 30X100MG</t>
  </si>
  <si>
    <t>BACTROBAN NASAL</t>
  </si>
  <si>
    <t>20MG/G NAS UNG 3G</t>
  </si>
  <si>
    <t>BERODUAL</t>
  </si>
  <si>
    <t>INH LIQ 1X20ML</t>
  </si>
  <si>
    <t>BETADINE</t>
  </si>
  <si>
    <t>SUP VAG 14</t>
  </si>
  <si>
    <t>BETADINE - zelená</t>
  </si>
  <si>
    <t>LIQ 1X1000ML</t>
  </si>
  <si>
    <t>BETALOC</t>
  </si>
  <si>
    <t>1MG/ML INJ SOL 5X5ML</t>
  </si>
  <si>
    <t>BETALOC ZOK</t>
  </si>
  <si>
    <t>100MG TBL PRO 100</t>
  </si>
  <si>
    <t>50MG TBL PRO 100</t>
  </si>
  <si>
    <t>BETAXOLOL PMCS</t>
  </si>
  <si>
    <t>20MG TBL NOB 100</t>
  </si>
  <si>
    <t>BIGITAL</t>
  </si>
  <si>
    <t>5MG/5MG TBL NOB 30</t>
  </si>
  <si>
    <t>BIOFENAC 100 MG POTAHOVANÉ TABLETY</t>
  </si>
  <si>
    <t>POR TBL FLM 20X100MG</t>
  </si>
  <si>
    <t>Biopron FORTE tob.60</t>
  </si>
  <si>
    <t>Biopron9 tob.60+20</t>
  </si>
  <si>
    <t>BISOPROLOL MYLAN</t>
  </si>
  <si>
    <t>10MG TBL FLM 30</t>
  </si>
  <si>
    <t>BISOPROLOL MYLAN 5 MG</t>
  </si>
  <si>
    <t>5MG TBL FLM 30</t>
  </si>
  <si>
    <t>BRICANYL</t>
  </si>
  <si>
    <t>BRUFEN 600 MG</t>
  </si>
  <si>
    <t>POR GRA EFF 20X600MG</t>
  </si>
  <si>
    <t>BRUFEN RAPID</t>
  </si>
  <si>
    <t>400MG TBL FLM 24 I</t>
  </si>
  <si>
    <t>400MG TBL FLM 24 II</t>
  </si>
  <si>
    <t>BUDIAIR</t>
  </si>
  <si>
    <t>INHSOLPSS200X200MCG</t>
  </si>
  <si>
    <t>BUPIVACAINE GRINDEKS</t>
  </si>
  <si>
    <t>5MG/ML INJ SOL 5X10ML</t>
  </si>
  <si>
    <t>BURONIL 25 MG</t>
  </si>
  <si>
    <t>POR TBL OBD 50X25MG</t>
  </si>
  <si>
    <t>CALCIFEROL BIOTIKA FORTE</t>
  </si>
  <si>
    <t>7,5MG/ML INJ SOL 5X1ML</t>
  </si>
  <si>
    <t>CALCIUM BIOTIKA</t>
  </si>
  <si>
    <t>INJ 10X10ML/1GM</t>
  </si>
  <si>
    <t>CALCIUM GLUCONICUM 10% B.BRAUN</t>
  </si>
  <si>
    <t>INJ SOL 20X10ML</t>
  </si>
  <si>
    <t>CALCIUM CHLORATUM BIOTIKA</t>
  </si>
  <si>
    <t>INJ 5X10ML 10%</t>
  </si>
  <si>
    <t>CALCIUM RESONIUM</t>
  </si>
  <si>
    <t>POR+RCT PLV SUS 300GM</t>
  </si>
  <si>
    <t>CALRECIA</t>
  </si>
  <si>
    <t>100MMOL/L INF SOL 8X1500ML</t>
  </si>
  <si>
    <t>CALTRATE D3</t>
  </si>
  <si>
    <t>600MG/400IU TBL FLM 90</t>
  </si>
  <si>
    <t>CALYPSOL</t>
  </si>
  <si>
    <t>INJ 5X10ML/500MG</t>
  </si>
  <si>
    <t>CARAMLO 16MG/10MG TABLETY</t>
  </si>
  <si>
    <t>POR TBL NOB 28</t>
  </si>
  <si>
    <t>CARDILAN</t>
  </si>
  <si>
    <t>INJ 10X10ML</t>
  </si>
  <si>
    <t>CATAPRESAN</t>
  </si>
  <si>
    <t>0,15MG/ML INJ SOL 5X1ML</t>
  </si>
  <si>
    <t>CATAPRESAN 0,15MG INJ-MIMOŘÁDNÝ DOVOZ!!</t>
  </si>
  <si>
    <t>INJ 5X1ML/0.15MG</t>
  </si>
  <si>
    <t>CELASKON</t>
  </si>
  <si>
    <t>100MG TBL NOB 40</t>
  </si>
  <si>
    <t>CELASKON 500MG ČERVENÝ POMERANČ</t>
  </si>
  <si>
    <t>500MG TBL EFF 20</t>
  </si>
  <si>
    <t>CEREBROLYSIN</t>
  </si>
  <si>
    <t>INJ SOL 5X10ML</t>
  </si>
  <si>
    <t>CEZERA 5 MG</t>
  </si>
  <si>
    <t>POR TBL FLM 90X5MG</t>
  </si>
  <si>
    <t>CITALEC 10 ZENTIVA</t>
  </si>
  <si>
    <t>CITALEC 20 ZENTIVA</t>
  </si>
  <si>
    <t>20MG TBL FLM 30</t>
  </si>
  <si>
    <t>CLARINASE REPETABS</t>
  </si>
  <si>
    <t>POR TBL PRO 14 II</t>
  </si>
  <si>
    <t>CLARITINE</t>
  </si>
  <si>
    <t>10MG TBL NOB 60</t>
  </si>
  <si>
    <t>CODEIN SLOVAKOFARMA</t>
  </si>
  <si>
    <t>15MG TBL NOB 10</t>
  </si>
  <si>
    <t>CODEIN SLOVAKOFARMA 30MG</t>
  </si>
  <si>
    <t>TBL 10X30MG-BLISTR</t>
  </si>
  <si>
    <t>CONCOR</t>
  </si>
  <si>
    <t>5MG TBL FLM 100</t>
  </si>
  <si>
    <t>CONTRACTUBEX</t>
  </si>
  <si>
    <t>GEL 1X20GM</t>
  </si>
  <si>
    <t>CONTROLOC 20 MG</t>
  </si>
  <si>
    <t>POR TBL ENT 100X20MG</t>
  </si>
  <si>
    <t>POR TBL ENT 28X20MG I</t>
  </si>
  <si>
    <t>CONTROLOC 40 MG</t>
  </si>
  <si>
    <t>POR TBL ENT 28X40MG</t>
  </si>
  <si>
    <t>CONTROLOC I.V.</t>
  </si>
  <si>
    <t>INJ PLV SOL 1X40MG</t>
  </si>
  <si>
    <t>CORDARONE</t>
  </si>
  <si>
    <t>POR TBL NOB60X200MG</t>
  </si>
  <si>
    <t>COSYREL</t>
  </si>
  <si>
    <t>10MG/5MG TBL FLM 30</t>
  </si>
  <si>
    <t>COSYREL 5MG/5MG</t>
  </si>
  <si>
    <t>TBL FLM 30</t>
  </si>
  <si>
    <t>CYCLO 3 FORT</t>
  </si>
  <si>
    <t>POR CPS DUR 30 II</t>
  </si>
  <si>
    <t>CYMEVENE</t>
  </si>
  <si>
    <t>500MG INF PLV CSL 1</t>
  </si>
  <si>
    <t>Deca durabolin 50mg amp.1x1ml - MIMOŘÁDNÝ DOVOZ!!</t>
  </si>
  <si>
    <t>DEGAN</t>
  </si>
  <si>
    <t>INJ 50X2ML/10MG</t>
  </si>
  <si>
    <t>DEPAKINE CHRONO 500MG SECABLE</t>
  </si>
  <si>
    <t>TBL RET 100X500MG</t>
  </si>
  <si>
    <t>DEPAKINE INJ 1+1X4ML</t>
  </si>
  <si>
    <t>PSO LQF 400MG/4ML</t>
  </si>
  <si>
    <t>DETRALEX</t>
  </si>
  <si>
    <t>POR TBL FLM 120X500MG</t>
  </si>
  <si>
    <t>POR TBL FLM 60</t>
  </si>
  <si>
    <t>DEXAMED</t>
  </si>
  <si>
    <t>INJ 10X2ML/8MG</t>
  </si>
  <si>
    <t>DEXMEDETOMIDINE EVER PHARMA</t>
  </si>
  <si>
    <t>100MCG/ML INF CNC SOL 25X2ML</t>
  </si>
  <si>
    <t>100MCG/ML INF CNC SOL 5X2ML</t>
  </si>
  <si>
    <t>DIAZEPAM SLOVAKOFARMA</t>
  </si>
  <si>
    <t>10MG TBL NOB 20(1X20)</t>
  </si>
  <si>
    <t>5MG TBL NOB 20(1X20)</t>
  </si>
  <si>
    <t>DICLOFENAC AL 25</t>
  </si>
  <si>
    <t>TBL OBD 50X25MG</t>
  </si>
  <si>
    <t>DICLOFENAC DUO PHARMASWISS</t>
  </si>
  <si>
    <t>75MG CPS RDR 30 I</t>
  </si>
  <si>
    <t>DICYNONE 250</t>
  </si>
  <si>
    <t>INJ SOL 4X2ML/250MG</t>
  </si>
  <si>
    <t>DIGOXIN 0.125 LECIVA</t>
  </si>
  <si>
    <t>TBL 30X0.125MG</t>
  </si>
  <si>
    <t>DIGOXIN 0.250 LECIVA</t>
  </si>
  <si>
    <t>TBL 30X0.25MG</t>
  </si>
  <si>
    <t>DIGOXIN ZENTIVA</t>
  </si>
  <si>
    <t>0,5MG/2ML INJ SOL 5X2ML</t>
  </si>
  <si>
    <t>DIHYDROGENFOSFOREČNAN DRASELNÝ ARDEAPHARMA</t>
  </si>
  <si>
    <t>68MG/ML INF CNC SOL 20X80ML</t>
  </si>
  <si>
    <t>DILURAN</t>
  </si>
  <si>
    <t>TBL 20X250MG</t>
  </si>
  <si>
    <t>DIPEPTIVEN</t>
  </si>
  <si>
    <t>200MG/ML INF CNC SOL 10X100ML</t>
  </si>
  <si>
    <t>DIPIDOLOR</t>
  </si>
  <si>
    <t>7,5MG/ML INJ SOL 5X2ML</t>
  </si>
  <si>
    <t>DITHIADEN</t>
  </si>
  <si>
    <t>INJ 10X2ML</t>
  </si>
  <si>
    <t>TBL 20X2MG</t>
  </si>
  <si>
    <t>DOLGIT</t>
  </si>
  <si>
    <t>CRM 1X100GM/5GM</t>
  </si>
  <si>
    <t>CRM 1X50GM/2.5GM</t>
  </si>
  <si>
    <t>DUPHALAC</t>
  </si>
  <si>
    <t>667MG/ML POR SOL 1X500ML IV</t>
  </si>
  <si>
    <t>DZ BRAUNOL 1 L</t>
  </si>
  <si>
    <t>DZ BRAUNOL 500 ML</t>
  </si>
  <si>
    <t>DZ OCTENISEPT drm. sol. 250 ml</t>
  </si>
  <si>
    <t>DRM SOL 1X250ML</t>
  </si>
  <si>
    <t>EBRANTIL 30 RETARD</t>
  </si>
  <si>
    <t>POR CPS PRO 50X30MG</t>
  </si>
  <si>
    <t>EBRANTIL 60 RETARD</t>
  </si>
  <si>
    <t>POR CPS PRO 50X60MG</t>
  </si>
  <si>
    <t>EFECTIN ER 75 MG</t>
  </si>
  <si>
    <t>POR CPS RDR 28X75MG I</t>
  </si>
  <si>
    <t>EGILOK</t>
  </si>
  <si>
    <t>25MG TBL NOB 60</t>
  </si>
  <si>
    <t>ELICEA</t>
  </si>
  <si>
    <t>EMBESIN</t>
  </si>
  <si>
    <t>40IU/2ML INF CNC SOL 10X2ML</t>
  </si>
  <si>
    <t>ENELBIN 100 RETARD</t>
  </si>
  <si>
    <t>TBL RET 100X100MG</t>
  </si>
  <si>
    <t>ENELBIN RETARD</t>
  </si>
  <si>
    <t>TBL OBD 50X100MG</t>
  </si>
  <si>
    <t>ENSURE PLUS ADVANCE JAHODOVÁ PŘÍCHUŤ</t>
  </si>
  <si>
    <t>POR SOL 4X220ML</t>
  </si>
  <si>
    <t>ENSURE PLUS ADVANCE KÁVOVÁ PŘÍCHUŤ</t>
  </si>
  <si>
    <t>EPHEDRIN BIOTIKA</t>
  </si>
  <si>
    <t>INJ SOL 10X1ML/50MG</t>
  </si>
  <si>
    <t>ERCEFURYL 200 MG CPS.</t>
  </si>
  <si>
    <t>POR CPS DUR 14X200MG</t>
  </si>
  <si>
    <t>ERDOMED</t>
  </si>
  <si>
    <t>POR CPS DUR 60X300MG</t>
  </si>
  <si>
    <t>ERDOMED 300MG</t>
  </si>
  <si>
    <t>CPS 10X300MG</t>
  </si>
  <si>
    <t>CPS 20X300MG</t>
  </si>
  <si>
    <t>EREVIT 30</t>
  </si>
  <si>
    <t>INJ SOL 5X1ML/30MG</t>
  </si>
  <si>
    <t>ESMERON</t>
  </si>
  <si>
    <t>10MG/ML INJ/INF SOL 10X5ML</t>
  </si>
  <si>
    <t>ESPRITAL 30</t>
  </si>
  <si>
    <t>POR TBL FLM 30X30MG</t>
  </si>
  <si>
    <t>ESPUMISAN KAPKY 100 MG/ML</t>
  </si>
  <si>
    <t>100MG/ML POR GTT EML 1X50ML</t>
  </si>
  <si>
    <t>Essentiale 300 mg</t>
  </si>
  <si>
    <t>por.cps.dur.100</t>
  </si>
  <si>
    <t>ESSENTIALE FORTE</t>
  </si>
  <si>
    <t>600MG CPS DUR 30</t>
  </si>
  <si>
    <t>EUPHYLLIN CR N</t>
  </si>
  <si>
    <t>200MG CPS PRO 50</t>
  </si>
  <si>
    <t>EUTHYROX</t>
  </si>
  <si>
    <t>137MCG TBL NOB 100 II</t>
  </si>
  <si>
    <t>EUTHYROX 150</t>
  </si>
  <si>
    <t>TBL 100X150RG</t>
  </si>
  <si>
    <t>EUTHYROX 50</t>
  </si>
  <si>
    <t>TBL 100X50RG</t>
  </si>
  <si>
    <t>EUTHYROX 88 MIKROGRAMŮ</t>
  </si>
  <si>
    <t>88MCG TBL NOB 100 II</t>
  </si>
  <si>
    <t>EXACYL</t>
  </si>
  <si>
    <t>POR TBLFLM20X500MG</t>
  </si>
  <si>
    <t>INJ 5X5ML/500MG</t>
  </si>
  <si>
    <t>EXODERIL</t>
  </si>
  <si>
    <t>DRM CRM 1X30GM</t>
  </si>
  <si>
    <t>FAMOSAN 20MG</t>
  </si>
  <si>
    <t>TBL OBD 20X20MG</t>
  </si>
  <si>
    <t>FENISTIL</t>
  </si>
  <si>
    <t>1MG/ML POR GTT SOL 1X20ML</t>
  </si>
  <si>
    <t>FLAVOBION</t>
  </si>
  <si>
    <t>70MG TBL FLM 50</t>
  </si>
  <si>
    <t>FLUMAZENIL Accord  - mimořádný dovoz</t>
  </si>
  <si>
    <t>0,1MG/ML INJ SOL 5X5ML/0,5mg</t>
  </si>
  <si>
    <t>FOKUSIN</t>
  </si>
  <si>
    <t>POR CPS RDR 90X0.4MG</t>
  </si>
  <si>
    <t>FORTECORTIN 4</t>
  </si>
  <si>
    <t>4MG TBL NOB 30</t>
  </si>
  <si>
    <t>FRAXIPARIN MULTI</t>
  </si>
  <si>
    <t>INJ 10X5ML/47.5KU</t>
  </si>
  <si>
    <t>FRAXIPARINE</t>
  </si>
  <si>
    <t>INJ SOL 10X1ML</t>
  </si>
  <si>
    <t>9500IU/ML INJ SOL ISP 10X0,8ML</t>
  </si>
  <si>
    <t>INJ SOL 10X0.6ML</t>
  </si>
  <si>
    <t>9500IU/ML INJ SOL ISP 10X0,4ML</t>
  </si>
  <si>
    <t>9500IU/ML INJ SOL ISP 10X0,3ML</t>
  </si>
  <si>
    <t>FRAXIPARINE FORTE</t>
  </si>
  <si>
    <t>FURORESE 40</t>
  </si>
  <si>
    <t>TBL 100X40MG</t>
  </si>
  <si>
    <t>FUROSEMID - SLOVAKOFARMA FORTE</t>
  </si>
  <si>
    <t>250MG TBL NOB 10</t>
  </si>
  <si>
    <t>FUROSEMID ACCORD</t>
  </si>
  <si>
    <t>10MG/ML INJ/INF SOL 10X2ML</t>
  </si>
  <si>
    <t>FUROSEMID BBP (FORTE)</t>
  </si>
  <si>
    <t>12,5MG/ML INJ SOL 10X10ML</t>
  </si>
  <si>
    <t>FUROSEMID HAMELN</t>
  </si>
  <si>
    <t>10MG/ML INJ SOL 10X2ML</t>
  </si>
  <si>
    <t>FYZIOLOGICKÝ ROZTOK VIAFLO</t>
  </si>
  <si>
    <t>INF SOL 50X100ML</t>
  </si>
  <si>
    <t>INF SOL 60X100ML</t>
  </si>
  <si>
    <t>GELASPAN 4% EBI20x500 ml</t>
  </si>
  <si>
    <t>INF SOL20X500ML VAK</t>
  </si>
  <si>
    <t>GERATAM 3 G</t>
  </si>
  <si>
    <t>INJ SOL 4X15ML/3GM</t>
  </si>
  <si>
    <t>GLUKÓZA 10 BRAUN</t>
  </si>
  <si>
    <t>INF SOL 10X500ML-PE</t>
  </si>
  <si>
    <t>GLUKÓZA 20 BRAUN</t>
  </si>
  <si>
    <t>200MG/ML INF SOL 10X500ML</t>
  </si>
  <si>
    <t>GLUKÓZA 40 BRAUN</t>
  </si>
  <si>
    <t>400MG/ML INF SOL 10X500ML</t>
  </si>
  <si>
    <t>GLUKÓZA 5 BRAUN</t>
  </si>
  <si>
    <t>INF SOL 20X100ML-PE</t>
  </si>
  <si>
    <t>INF SOL 10X250ML-PE</t>
  </si>
  <si>
    <t>GODASAL 100</t>
  </si>
  <si>
    <t>POR TBL NOB 100</t>
  </si>
  <si>
    <t>POR TBL NOB 50</t>
  </si>
  <si>
    <t>GUTRON 2.5MG</t>
  </si>
  <si>
    <t>TBL 50X2.5MG</t>
  </si>
  <si>
    <t>TBL 20X2.5MG</t>
  </si>
  <si>
    <t>GUTRON 5MG</t>
  </si>
  <si>
    <t>TBL 50X5MG</t>
  </si>
  <si>
    <t>HALOPERIDOL</t>
  </si>
  <si>
    <t>INJ 5X1ML/5MG</t>
  </si>
  <si>
    <t>HELICID 20 ZENTIVA</t>
  </si>
  <si>
    <t>POR CPS ETD 90X20MG</t>
  </si>
  <si>
    <t>POR CPS ETD 28X20MG</t>
  </si>
  <si>
    <t>HEMINEVRIN 192 MG</t>
  </si>
  <si>
    <t>POR CPS MOL 100X192MG (dříve název 300mg!)</t>
  </si>
  <si>
    <t>HEPARIN LECIVA</t>
  </si>
  <si>
    <t>INJ 1X10ML/50KU</t>
  </si>
  <si>
    <t>HEPAROID LECIVA</t>
  </si>
  <si>
    <t>UNG 1X30GM</t>
  </si>
  <si>
    <t>HIRUDOID</t>
  </si>
  <si>
    <t>DRM CRM 1X40GM</t>
  </si>
  <si>
    <t>HYDROCORTISON VUAB 100 MG</t>
  </si>
  <si>
    <t>INJ PLV SOL 1X100MG</t>
  </si>
  <si>
    <t>HYLAK FORTE</t>
  </si>
  <si>
    <t>POR SOL 100ML</t>
  </si>
  <si>
    <t>HYPNOMIDATE</t>
  </si>
  <si>
    <t>2MG/ML INJ SOL 5X10ML</t>
  </si>
  <si>
    <t>CHLORID SODNÝ 0,9% BRAUN</t>
  </si>
  <si>
    <t>INF SOL 20X100MLPELAH</t>
  </si>
  <si>
    <t>INF SOL 10X1000MLPLAH</t>
  </si>
  <si>
    <t>INF SOL 10X500MLPELAH</t>
  </si>
  <si>
    <t>INF SOL 10X250MLPELAH</t>
  </si>
  <si>
    <t>IBUPROFEN AL</t>
  </si>
  <si>
    <t>400MG TBL FLM 100</t>
  </si>
  <si>
    <t>IBUPROFEN B. BRAUN 400MG</t>
  </si>
  <si>
    <t xml:space="preserve"> INF SOL 10X100ML</t>
  </si>
  <si>
    <t>IBUPROFEN B. BRAUN 600MG</t>
  </si>
  <si>
    <t>IFIRMASTA 150 MG</t>
  </si>
  <si>
    <t>POR TBL FLM 28X150MG</t>
  </si>
  <si>
    <t>IMAZOL PLUS</t>
  </si>
  <si>
    <t>10MG/G+2,5MG/G CRM 30G</t>
  </si>
  <si>
    <t>IMIPENEM/CILASTATIN APTAPHARMA</t>
  </si>
  <si>
    <t>500MG/500MG INF PLV SOL 10</t>
  </si>
  <si>
    <t>IMUNOR</t>
  </si>
  <si>
    <t>LYO 4X10MG</t>
  </si>
  <si>
    <t>INDOMETACIN 100 BERLIN-CHEMIE</t>
  </si>
  <si>
    <t>SUP 10X100MG</t>
  </si>
  <si>
    <t>INDOMETACIN 50 BERLIN-CHEMIE</t>
  </si>
  <si>
    <t>SUP 10X50MG</t>
  </si>
  <si>
    <t>INHIXA (40mg) 10 inj.</t>
  </si>
  <si>
    <t>4000IU(40MG)/0,4ML INJ SOL ISP 10X0,4ML I</t>
  </si>
  <si>
    <t>INHIXA (40mg) 50 inj.</t>
  </si>
  <si>
    <t>4000IU(40MG)/0,4ML INJ SOL ISP 50X0,4ML I</t>
  </si>
  <si>
    <t>INHIXA (60mg) 10 inj.</t>
  </si>
  <si>
    <t>6000IU(60MG)/0,6ML INJ SOL ISP 10X0,6ML I</t>
  </si>
  <si>
    <t>IR  4% Citrate Solution SafeLock 1500 ml</t>
  </si>
  <si>
    <t>IR dialysační rozt.</t>
  </si>
  <si>
    <t>IR  AQUA STERILE OPLACH.1x1000 ml ECOTAINER</t>
  </si>
  <si>
    <t>IR OPLACH BBRAUN</t>
  </si>
  <si>
    <t>IR  Ci-Ca DIALYSAT K2</t>
  </si>
  <si>
    <t>IR DIALYSACNI RPZT.</t>
  </si>
  <si>
    <t>IR  Ci-Ca DIALYSAT K2 PLUS 5000ml</t>
  </si>
  <si>
    <t>IR  Ci-Ca DIALYSAT K4 PLUS</t>
  </si>
  <si>
    <t>IR DIALYSACNI RPZT. 5000 ml</t>
  </si>
  <si>
    <t>IR 4% Citrate Solution (SecuNect) 1500 ml</t>
  </si>
  <si>
    <t>IR NaCl 0,9% Frekaflex 1000ml</t>
  </si>
  <si>
    <t>Roztok pro hemodialýzu</t>
  </si>
  <si>
    <t>IR Sol.calcii chlorati 200 ml</t>
  </si>
  <si>
    <t>IR 200ml</t>
  </si>
  <si>
    <t>ISOKET LOSUNG 0.1% PRO INFUS.</t>
  </si>
  <si>
    <t>INJ PRO INF 10X10ML</t>
  </si>
  <si>
    <t>ISOPRENALINA CLORIDRATO MONICO</t>
  </si>
  <si>
    <t>0,2MG/ML INJ SOL 5X1ML</t>
  </si>
  <si>
    <t>ISOPRINOSINE</t>
  </si>
  <si>
    <t>POR TBL NOB 100X500MG</t>
  </si>
  <si>
    <t>POR TBL NOB 50X500MG</t>
  </si>
  <si>
    <t>ISOPRINOSINE-50x500 mimořádný dovoz</t>
  </si>
  <si>
    <t>ISOPTIN SR 240 MG</t>
  </si>
  <si>
    <t>POR TBL PRO 30X240MG</t>
  </si>
  <si>
    <t>JOVESTO 0,5 MG/ML PERORÁLNÍ ROZTOK</t>
  </si>
  <si>
    <t>POR SOL 1X120ML/60MG</t>
  </si>
  <si>
    <t>JOVESTO 5 MG POTAHOVANÉ TABLETY</t>
  </si>
  <si>
    <t>POR TBL FLM 30X5MG I</t>
  </si>
  <si>
    <t>KALIUM CHLORATUM BIOMEDICA</t>
  </si>
  <si>
    <t>POR TBLFLM100X500MG</t>
  </si>
  <si>
    <t>KALIUMCHLORID 7.45% BRAUN</t>
  </si>
  <si>
    <t>INF CNC SOL 20X100ML</t>
  </si>
  <si>
    <t>KANAVIT</t>
  </si>
  <si>
    <t>INJ 5X1ML/10MG</t>
  </si>
  <si>
    <t>20MG/ML POR GTT EML 1X5ML</t>
  </si>
  <si>
    <t>KEPPRA 100 MG/ML</t>
  </si>
  <si>
    <t>INF CNC SOL 10X5ML II</t>
  </si>
  <si>
    <t>KINITO</t>
  </si>
  <si>
    <t>50MG TBL FLM 40(2X20)</t>
  </si>
  <si>
    <t>KL BENZINUM 900ml/ 600g</t>
  </si>
  <si>
    <t>KL ETHANOL.C.BENZINO 200G</t>
  </si>
  <si>
    <t>KL ETHANOL.C.BENZINO 75G</t>
  </si>
  <si>
    <t>KL ETHANOLUM BENZ.DENAT. 500ml  /400g/</t>
  </si>
  <si>
    <t>KL ETHANOLUM BENZ.DENAT. 900ml /720g/</t>
  </si>
  <si>
    <t>KL ETHER 200G</t>
  </si>
  <si>
    <t>KL ETHER LÉKOPISNÝ 1000 ml Fagron, Kulich</t>
  </si>
  <si>
    <t>UN 1155</t>
  </si>
  <si>
    <t>KL MAST NA SPALENINY, 100G</t>
  </si>
  <si>
    <t>KL MAST NA SPALENINY, 20G</t>
  </si>
  <si>
    <t>KL MAST NA SPALENINY+ BETADINE , 100G</t>
  </si>
  <si>
    <t>KL MS HYDROG.PEROX. 3% 500g</t>
  </si>
  <si>
    <t>KL ONDREJOVA MAST, 100G</t>
  </si>
  <si>
    <t>KL ONDREJOVA MAST, 50G</t>
  </si>
  <si>
    <t>KL SIGNATURY</t>
  </si>
  <si>
    <t>KL SOL.AMIKACIN 0.5%</t>
  </si>
  <si>
    <t>KL SOL.HYD.PEROX.3% 100G</t>
  </si>
  <si>
    <t>KL SOL.HYD.PEROX.3% 200G</t>
  </si>
  <si>
    <t>KL SOL.HYD.PEROX.3% 250G</t>
  </si>
  <si>
    <t>KL SOL.HYD.PEROX.3% 300G v sirokohrdle lahvi</t>
  </si>
  <si>
    <t>KL UNG.HYDROC.0,1G,LENIENS AD 100G</t>
  </si>
  <si>
    <t>KL UNG.ICHT.15G,CaCO3 30G,VAS.LEN. AA AD 300G</t>
  </si>
  <si>
    <t>5% ichtamolu, bez ZnO</t>
  </si>
  <si>
    <t>KL UNG.ICHT.2G,CaCO3 10G,ZnO 6G,VAS.LEN. AA AD</t>
  </si>
  <si>
    <t>100G, 2% ichtamolu</t>
  </si>
  <si>
    <t>KL UNG.LENIENS, 30G</t>
  </si>
  <si>
    <t>KL VASELINUM ALBUM, 20G</t>
  </si>
  <si>
    <t>Lactobacillus acidophil.cps.75 bez laktózy</t>
  </si>
  <si>
    <t>LACTULOSE AL SIRUP</t>
  </si>
  <si>
    <t>POR SIR 1X500ML</t>
  </si>
  <si>
    <t>LAGOSA</t>
  </si>
  <si>
    <t>DRG 100X150MG</t>
  </si>
  <si>
    <t>Lakrymo 10ml</t>
  </si>
  <si>
    <t>LETROX 100</t>
  </si>
  <si>
    <t>POR TBL NOB 100X100RG II</t>
  </si>
  <si>
    <t>LETROX 150</t>
  </si>
  <si>
    <t>POR TBL NOB 100X150RG</t>
  </si>
  <si>
    <t>LETROX 50</t>
  </si>
  <si>
    <t>POR TBL NOB 100X50RG II</t>
  </si>
  <si>
    <t>LETROX 75</t>
  </si>
  <si>
    <t>POR TBL NOB 100X75MCG II</t>
  </si>
  <si>
    <t>LEXAURIN 1,5</t>
  </si>
  <si>
    <t>POR TBL NOB 30X1.5MG</t>
  </si>
  <si>
    <t>LEXAURIN 3</t>
  </si>
  <si>
    <t>3MG TBL NOB 30</t>
  </si>
  <si>
    <t>LINEZOLID ACCORD</t>
  </si>
  <si>
    <t>2MG/ML INF SOL 10X300ML</t>
  </si>
  <si>
    <t>LOPERON CPS</t>
  </si>
  <si>
    <t>POR CPS DUR 20X2MG</t>
  </si>
  <si>
    <t>POR CPS DUR 10X2MG</t>
  </si>
  <si>
    <t>LYRICA 150 MG</t>
  </si>
  <si>
    <t>POR CPSDUR14X150MG</t>
  </si>
  <si>
    <t>LYRICA 50 MG</t>
  </si>
  <si>
    <t>POR CPS DUR 56X50MG</t>
  </si>
  <si>
    <t>LYRICA 75 MG</t>
  </si>
  <si>
    <t>POR CPSDUR14X75MG</t>
  </si>
  <si>
    <t>MAGNE B6</t>
  </si>
  <si>
    <t>DRG 50</t>
  </si>
  <si>
    <t>MAGNESIUM SULFATE KALCEKS</t>
  </si>
  <si>
    <t>200MG/ML INJ/INF SOL 5X10ML</t>
  </si>
  <si>
    <t>100MG/ML INJ/INF SOL 5X10ML</t>
  </si>
  <si>
    <t>MAGNOSOLV</t>
  </si>
  <si>
    <t>365MG POR GRA SOL SCC 30</t>
  </si>
  <si>
    <t>MALTOFER FOL TABLETY</t>
  </si>
  <si>
    <t>POR TBL MND 30</t>
  </si>
  <si>
    <t>MARCAINE 0,5%</t>
  </si>
  <si>
    <t>5MG/ML INJ SOL 5X20ML</t>
  </si>
  <si>
    <t>MEMANTIN MYLAN</t>
  </si>
  <si>
    <t>20MG TBL FLM 28</t>
  </si>
  <si>
    <t>MESOCAIN</t>
  </si>
  <si>
    <t>INJ 10X10ML 1%</t>
  </si>
  <si>
    <t>MESTINON</t>
  </si>
  <si>
    <t>60MG TBL OBD 150</t>
  </si>
  <si>
    <t>METAMIZOLE KALCEKS</t>
  </si>
  <si>
    <t>500MG/ML INJ SOL 10X2ML</t>
  </si>
  <si>
    <t>MIDAZOLAM ACCORD 5 MG/ML</t>
  </si>
  <si>
    <t>INJ+INF SOL 10X10ML</t>
  </si>
  <si>
    <t>INJ+INF SOL 10X1ML</t>
  </si>
  <si>
    <t>MILGAMMA</t>
  </si>
  <si>
    <t>50MG/250MCG TBL OBD 100</t>
  </si>
  <si>
    <t>POR TBL OBD 50</t>
  </si>
  <si>
    <t>MORPHIN BIOTIKA 1%</t>
  </si>
  <si>
    <t>INJ 10X1ML/10MG</t>
  </si>
  <si>
    <t>INJ 10X2ML/20MG</t>
  </si>
  <si>
    <t>MORPHINE KALCEKS</t>
  </si>
  <si>
    <t>10MG/ML INJ SOL 10X1ML</t>
  </si>
  <si>
    <t>MOVENTIG</t>
  </si>
  <si>
    <t>25MG TBL FLM 30X1</t>
  </si>
  <si>
    <t>MOXOSTAD 0.3 MG</t>
  </si>
  <si>
    <t>POR TBL FLM30X0.3MG</t>
  </si>
  <si>
    <t>MUCOSOLVAN</t>
  </si>
  <si>
    <t>POR GTT SOL+INH SOL 60ML</t>
  </si>
  <si>
    <t>MULTIBIC BEZ DRASLÍKU</t>
  </si>
  <si>
    <t>HFL SOL 2X5000ML</t>
  </si>
  <si>
    <t>MYCOPHENOLAT MOFETIL SANDOZ 250 MG</t>
  </si>
  <si>
    <t>POR CPS DUR 100X250MG</t>
  </si>
  <si>
    <t>MYDOCALM 150MG</t>
  </si>
  <si>
    <t>TBL OBD 30X150MG</t>
  </si>
  <si>
    <t>NAKOM</t>
  </si>
  <si>
    <t>TBL 100X275MG</t>
  </si>
  <si>
    <t>NATRIUM CHLORATUM BBP</t>
  </si>
  <si>
    <t>100MG/ML INJ SOL 5X10ML</t>
  </si>
  <si>
    <t>NEBILET</t>
  </si>
  <si>
    <t>POR TBL NOB 28X5MG</t>
  </si>
  <si>
    <t>NEODOLPASSE</t>
  </si>
  <si>
    <t>75MG/30MG INF SOL 10X250ML</t>
  </si>
  <si>
    <t>NEPRESOL 25 MG-MIMOŘÁDNÝ DOVOZ!!</t>
  </si>
  <si>
    <t>INJ SIC 5X25MG+SOLV</t>
  </si>
  <si>
    <t>NEUROL 0.25</t>
  </si>
  <si>
    <t>NEUROL 0.5</t>
  </si>
  <si>
    <t>POR TBL NOB30X0.5MG</t>
  </si>
  <si>
    <t>NEURONTIN 300 MG</t>
  </si>
  <si>
    <t>POR CPS DUR 100X300MG</t>
  </si>
  <si>
    <t>NEURONTIN 300MG</t>
  </si>
  <si>
    <t>CPS 50X300MG</t>
  </si>
  <si>
    <t>NICORETTE INVISIPATCH 15 MG/16 H</t>
  </si>
  <si>
    <t>DRM EMP TDR 7X15MG</t>
  </si>
  <si>
    <t>NICORETTE INVISIPATCH 25 MG/16 H</t>
  </si>
  <si>
    <t>DRM EMP TDR 7X25MG</t>
  </si>
  <si>
    <t>NIMESIL</t>
  </si>
  <si>
    <t>PORGRASUS30X100MG-S</t>
  </si>
  <si>
    <t>NITROMINT 2.6MG</t>
  </si>
  <si>
    <t>TBL RET 60X2.6MG</t>
  </si>
  <si>
    <t>NORADRENALIN LÉČIVA</t>
  </si>
  <si>
    <t>IVN INF CNC SOL 5X5ML</t>
  </si>
  <si>
    <t>NORETHISTERON ZENTIVA</t>
  </si>
  <si>
    <t>TBL NOB 45X5MG</t>
  </si>
  <si>
    <t>NOVALGIN</t>
  </si>
  <si>
    <t>INJ 10X2ML/1000MG</t>
  </si>
  <si>
    <t>NOVORAPID 100 U/ML</t>
  </si>
  <si>
    <t>INJ SOL 1X10ML</t>
  </si>
  <si>
    <t>NUTRYELT</t>
  </si>
  <si>
    <t>INF CNC SOL 10X10ML</t>
  </si>
  <si>
    <t>OMEPRAZOL STADA 20 MG</t>
  </si>
  <si>
    <t>POR CPS ETD 30X20MG</t>
  </si>
  <si>
    <t>ONDANSETRON B. BRAUN 2 MG/ML</t>
  </si>
  <si>
    <t>INJ SOL 20X4ML/8MG LDPE</t>
  </si>
  <si>
    <t>OPHTHALMO-AZULEN</t>
  </si>
  <si>
    <t>UNG OPH 1X5GM</t>
  </si>
  <si>
    <t>OPHTHALMO-SEPTONEX</t>
  </si>
  <si>
    <t>OPH GTT SOL 1X10ML PLAST</t>
  </si>
  <si>
    <t>OPH GTT SOL 1X10ML</t>
  </si>
  <si>
    <t>OTOBACID N</t>
  </si>
  <si>
    <t>0,2MG/G+5MG/G+479,8MG/G AUR GTT SOL 1X5ML</t>
  </si>
  <si>
    <t>OXANTIL</t>
  </si>
  <si>
    <t>INJ 5X2ML</t>
  </si>
  <si>
    <t>OXAZEPAM TBL.20X10MG</t>
  </si>
  <si>
    <t>TBL 20X10MG(BLISTR)</t>
  </si>
  <si>
    <t>PANCREOLAN FORTE</t>
  </si>
  <si>
    <t>6000U TBL ENT 60</t>
  </si>
  <si>
    <t>PANTOPRAZOL OLIKLA</t>
  </si>
  <si>
    <t>40MG INJ PLV SOL 10</t>
  </si>
  <si>
    <t>PARACETAMOL ACCORD</t>
  </si>
  <si>
    <t>10MG/ML INF SOL 20X100ML</t>
  </si>
  <si>
    <t>PARALEN 100</t>
  </si>
  <si>
    <t>100MG SUP 5</t>
  </si>
  <si>
    <t>PARALEN 500 SUP</t>
  </si>
  <si>
    <t>500MG SUP 5</t>
  </si>
  <si>
    <t>PATENTBLAU V - MIMOŘ.DOVOZ!!!</t>
  </si>
  <si>
    <t>INJ 5X2ML/50MG</t>
  </si>
  <si>
    <t>PENTILIN</t>
  </si>
  <si>
    <t>20MG/ML INJ/INF SOL 5X5ML</t>
  </si>
  <si>
    <t>PENTILIN - mimořádný dovoz</t>
  </si>
  <si>
    <t>Peroxid vodíku 3% 100 ml</t>
  </si>
  <si>
    <t>20% DPH</t>
  </si>
  <si>
    <t>PEROXID VODÍKU 3% COO</t>
  </si>
  <si>
    <t>DRM SOL 1X100ML 3%</t>
  </si>
  <si>
    <t>PLASMALYTE ROZTOK</t>
  </si>
  <si>
    <t>INF SOL 10X1000ML</t>
  </si>
  <si>
    <t>INF SOL 20X500ML</t>
  </si>
  <si>
    <t>PLASMALYTE ROZTOK S GLUKOZOU 5%</t>
  </si>
  <si>
    <t>PRAXBIND 2,5 G/50 ML</t>
  </si>
  <si>
    <t>INJ+INF SOL 2X50MLX2,5GM/50ML</t>
  </si>
  <si>
    <t>PREDUCTAL MR</t>
  </si>
  <si>
    <t>POR TBL RET 60X35MG</t>
  </si>
  <si>
    <t>PRENESSA</t>
  </si>
  <si>
    <t>PRESTANCE 5 MG/5 MG</t>
  </si>
  <si>
    <t>POR TBL NOB 30</t>
  </si>
  <si>
    <t>PRESTARIUM NEO</t>
  </si>
  <si>
    <t>POR TBL FLM 30X5MG</t>
  </si>
  <si>
    <t>PRESTARIUM NEO COMBI 5mg/1,25mg</t>
  </si>
  <si>
    <t>POR TBL FLM 30</t>
  </si>
  <si>
    <t>PROPOFOL 1% MCT/LCT FRESENIUS</t>
  </si>
  <si>
    <t>INJ EML 10X100ML</t>
  </si>
  <si>
    <t>INJ EML 5X20ML</t>
  </si>
  <si>
    <t>INJ EML 10X50ML</t>
  </si>
  <si>
    <t>PROPOFOL 2% MCT/LCT FRESENIUS -PROPOVEN</t>
  </si>
  <si>
    <t>20MG/ML INJ/INF EML 10X100ML</t>
  </si>
  <si>
    <t>PROPOFOL-LIPURO 2% (20MG/ML)</t>
  </si>
  <si>
    <t>20MG/ML INJ/INF EML 10X50ML</t>
  </si>
  <si>
    <t>PROSTAPHLIN 1000MG</t>
  </si>
  <si>
    <t>INJ PLV SOL 1</t>
  </si>
  <si>
    <t>PROSTAVASIN</t>
  </si>
  <si>
    <t>INJ SIC 10X20RG</t>
  </si>
  <si>
    <t>Protectum Sensitive 10ml</t>
  </si>
  <si>
    <t>PULMICORT</t>
  </si>
  <si>
    <t>0,5MG/ML SUS NEB 20X2ML</t>
  </si>
  <si>
    <t>REMESTYP 1.0</t>
  </si>
  <si>
    <t>INJ 5X10ML/1MG</t>
  </si>
  <si>
    <t>RINGERFUNDIN B.BRAUN</t>
  </si>
  <si>
    <t>INF SOL 10X500ML PE</t>
  </si>
  <si>
    <t>INF SOL10X1000ML PE</t>
  </si>
  <si>
    <t>RIVOTRIL 0.5 MG</t>
  </si>
  <si>
    <t>TBL 50X0.5MG</t>
  </si>
  <si>
    <t>ROCURONIUM BROMIDE HAMELN</t>
  </si>
  <si>
    <t>ROSALGIN</t>
  </si>
  <si>
    <t>VAG PLV SOL 6X0.5GM</t>
  </si>
  <si>
    <t>VAG GRA SOL 10X0.5GM</t>
  </si>
  <si>
    <t>ROSALGIN IRIGÁTOR</t>
  </si>
  <si>
    <t>SANDIMMUN</t>
  </si>
  <si>
    <t>INF CNC SOL 10X5ML</t>
  </si>
  <si>
    <t>SANDOSTATIN 0.1 MG/ML</t>
  </si>
  <si>
    <t>INJ SOL 5X1ML/0.1MG</t>
  </si>
  <si>
    <t>SECTRAL 400</t>
  </si>
  <si>
    <t>TBL OBD 30X400MG</t>
  </si>
  <si>
    <t>SEROPRAM</t>
  </si>
  <si>
    <t>INF 5X0.5ML/20MG</t>
  </si>
  <si>
    <t>SERTRALIN MYLAN</t>
  </si>
  <si>
    <t>50MG TBL FLM 30</t>
  </si>
  <si>
    <t>SINUPRET</t>
  </si>
  <si>
    <t>TBL OBD 50</t>
  </si>
  <si>
    <t>GTT 1X100ML</t>
  </si>
  <si>
    <t>SOLIAN 200 MG</t>
  </si>
  <si>
    <t>TBL 30X200MG</t>
  </si>
  <si>
    <t>SOLU-MEDROL</t>
  </si>
  <si>
    <t>INJ SIC 1X40MG+1ML</t>
  </si>
  <si>
    <t>INJ SIC 1X500MG+8ML</t>
  </si>
  <si>
    <t>SONTILEN</t>
  </si>
  <si>
    <t>5MCG/ML INJ/INF SOL 5X10ML</t>
  </si>
  <si>
    <t>SORBIFER DURULES</t>
  </si>
  <si>
    <t>TBL FLM 60X320MG/60MG</t>
  </si>
  <si>
    <t>SUFENTA FORTE</t>
  </si>
  <si>
    <t>50MCG/ML INJ SOL 5X5ML</t>
  </si>
  <si>
    <t>SUFENTANIL TORREX 50MCG/ML</t>
  </si>
  <si>
    <t>INJ SOL 5X5ML (250rg)</t>
  </si>
  <si>
    <t>SUFENTANIL TORREX 5MCG/ML</t>
  </si>
  <si>
    <t>INJ SOL 5X10ML (50rg)</t>
  </si>
  <si>
    <t>SUMATRIPTAN ACTAVIS 50 MG</t>
  </si>
  <si>
    <t>POR TBL FLM 6X50MG</t>
  </si>
  <si>
    <t>SUPP.GLYCERINI SANOVA Glycerín.čípky Extra 3g 10ks</t>
  </si>
  <si>
    <t>Suppositoria Glyc.Sanova Classic 2g</t>
  </si>
  <si>
    <t>SUPPOSITORIA GLYCERINI IPSEN</t>
  </si>
  <si>
    <t>1,81G SUP 10</t>
  </si>
  <si>
    <t>SURGAM LÉČIVA</t>
  </si>
  <si>
    <t>300MG TBL NOB 20</t>
  </si>
  <si>
    <t>SUXAMETHONIUM CHLORID VUAB 100MG</t>
  </si>
  <si>
    <t>INJ/INF PLV SOL 1x100MG</t>
  </si>
  <si>
    <t>SYNTOPHYLLIN</t>
  </si>
  <si>
    <t>INJ 5X10ML/240MG</t>
  </si>
  <si>
    <t>SYNTOSTIGMIN</t>
  </si>
  <si>
    <t>INJ 10X1ML/0.5MG</t>
  </si>
  <si>
    <t>TACHYBEN I.V. 25 MG INJEKČNÍ ROZTOK</t>
  </si>
  <si>
    <t>INJ SOL 5X5ML/25MG</t>
  </si>
  <si>
    <t>TACHYBEN I.V. 50 MG INJEKČNÍ ROZTOK</t>
  </si>
  <si>
    <t>INJ SOL 5X10ML/50MG</t>
  </si>
  <si>
    <t>TARDYFERON</t>
  </si>
  <si>
    <t>TBL RET 30</t>
  </si>
  <si>
    <t>TARDYFERON-FOL</t>
  </si>
  <si>
    <t>POR TBL RET 30</t>
  </si>
  <si>
    <t>TEGRETOL CR 200</t>
  </si>
  <si>
    <t>TBL RET 50X200MG</t>
  </si>
  <si>
    <t>TELMISARTAN SANDOZ</t>
  </si>
  <si>
    <t>80MG TBL NOB 100</t>
  </si>
  <si>
    <t>TELMISARTAN/HYDROCHLOROTHIAZID SANDOZ 80 MG/12,5 M</t>
  </si>
  <si>
    <t>TENAXUM</t>
  </si>
  <si>
    <t>POR TBL NOB 90X1MG</t>
  </si>
  <si>
    <t>Thiamin Generica tbl.60</t>
  </si>
  <si>
    <t>THIAMIN LECIVA</t>
  </si>
  <si>
    <t>INJ 10X2ML/100MG</t>
  </si>
  <si>
    <t>TIAPRIDAL</t>
  </si>
  <si>
    <t>INJ SOL 12X2ML/100MG</t>
  </si>
  <si>
    <t>TOBRADEX</t>
  </si>
  <si>
    <t>3MG/ML+1MG/ML OPH GTT SUS 1X5ML</t>
  </si>
  <si>
    <t>TONANDA 8 MG/5 MG/2,5 MG</t>
  </si>
  <si>
    <t>TORECAN</t>
  </si>
  <si>
    <t>INJ 5X1ML/6.5MG</t>
  </si>
  <si>
    <t>TRAMAL</t>
  </si>
  <si>
    <t>GTT 1X96ML</t>
  </si>
  <si>
    <t>TRANEXAMIC ACID ACCORD</t>
  </si>
  <si>
    <t>100MG/ML INJ SOL 5X5ML I</t>
  </si>
  <si>
    <t>TRANSMETIL</t>
  </si>
  <si>
    <t>500MG TBL ENT 10</t>
  </si>
  <si>
    <t>TRAVATAN</t>
  </si>
  <si>
    <t>OPH GTT SOL 1X2.5ML</t>
  </si>
  <si>
    <t>TRIPLIXAM 10 MG/2,5 MG/10 MG</t>
  </si>
  <si>
    <t>POR TBL FLM 90</t>
  </si>
  <si>
    <t>TRIPLIXAM 10 MG/2,5 MG/5 MG</t>
  </si>
  <si>
    <t>TRIPLIXAM 5 MG/1,25 MG/5 MG</t>
  </si>
  <si>
    <t>TRITACE 1,25 MG</t>
  </si>
  <si>
    <t>POR TBL NOB 20X1.25MG</t>
  </si>
  <si>
    <t>TRITACE 10</t>
  </si>
  <si>
    <t>POR TBL NOB 30X10MG</t>
  </si>
  <si>
    <t>TRITACE 2,5 MG</t>
  </si>
  <si>
    <t>POR TBL NOB 20X2.5MG</t>
  </si>
  <si>
    <t>TRITACE 5</t>
  </si>
  <si>
    <t>TBL 30X5MG</t>
  </si>
  <si>
    <t>TROMBEX 75 MG POTAHOVANÉ TABLETY</t>
  </si>
  <si>
    <t>POR TBL FLM 30X75MG</t>
  </si>
  <si>
    <t>TULIP 20 MG POTAHOVANÉ TABLETY</t>
  </si>
  <si>
    <t>POR TBL FLM 90X20MG</t>
  </si>
  <si>
    <t>UBRETID</t>
  </si>
  <si>
    <t>VALACICLOVIR MYLAN</t>
  </si>
  <si>
    <t>500MG TBL FLM 42</t>
  </si>
  <si>
    <t>VALSACOMBI 160 MG/12,5 MG</t>
  </si>
  <si>
    <t>POR TBL FLM 84X160MG/12.5MG</t>
  </si>
  <si>
    <t>VARDESSIN</t>
  </si>
  <si>
    <t>20IU/ML INJ SOL 10X1ML</t>
  </si>
  <si>
    <t>VENTOLIN</t>
  </si>
  <si>
    <t>5MG/ML INH SOL 1X20ML</t>
  </si>
  <si>
    <t>VENTOLIN INHALER N</t>
  </si>
  <si>
    <t>100MCG/DÁV INH SUS PSS 200DÁV</t>
  </si>
  <si>
    <t>VERAL 1% GEL</t>
  </si>
  <si>
    <t>DRM GEL 1X50GM II</t>
  </si>
  <si>
    <t>DRM GEL 1X100GM II</t>
  </si>
  <si>
    <t>VEROSPIRON</t>
  </si>
  <si>
    <t>TBL 100X25MG</t>
  </si>
  <si>
    <t>VESSEL DUE F</t>
  </si>
  <si>
    <t>600SU INJ SOL 10X2ML</t>
  </si>
  <si>
    <t>250SU CPS MOL 50</t>
  </si>
  <si>
    <t>VIANT</t>
  </si>
  <si>
    <t>INF PLV SOL 10</t>
  </si>
  <si>
    <t>VIGANTOL</t>
  </si>
  <si>
    <t>0,5MG/ML POR GTT SOL 1X10ML</t>
  </si>
  <si>
    <t>Vitamin B1 - Ratiopharm MIMOŘÁDNÝ DOVOZ</t>
  </si>
  <si>
    <t>50mg/ml inj. 5x2ml</t>
  </si>
  <si>
    <t>VITAMIN B12 LECIVA 300RG</t>
  </si>
  <si>
    <t>INJ 5X1ML/300RG</t>
  </si>
  <si>
    <t>Vitar Soda tbl.150</t>
  </si>
  <si>
    <t>neleč.</t>
  </si>
  <si>
    <t>VODA NA INJEKCI VIAFLO</t>
  </si>
  <si>
    <t>PAR LQF 10X1000ML</t>
  </si>
  <si>
    <t>VOLULYTE 6%</t>
  </si>
  <si>
    <t>VOLUVEN  6%</t>
  </si>
  <si>
    <t>INF SOL 20X500MLVAK+P</t>
  </si>
  <si>
    <t>VOLUVEN 10% 500 ML</t>
  </si>
  <si>
    <t>INF. 10X500 ML</t>
  </si>
  <si>
    <t>WARFARIN PMCS 5 MG</t>
  </si>
  <si>
    <t>POR TBL NOB 100X5MG</t>
  </si>
  <si>
    <t>XADOS 20 MG TABLETY</t>
  </si>
  <si>
    <t>POR TBL NOB 50X20MG</t>
  </si>
  <si>
    <t>XALATAN</t>
  </si>
  <si>
    <t>OPH GTT SOL 1X2.5ML II</t>
  </si>
  <si>
    <t>XYZAL</t>
  </si>
  <si>
    <t>POR TBL FLM 50X5MG</t>
  </si>
  <si>
    <t>YAL</t>
  </si>
  <si>
    <t>SOL 2X67.5ML</t>
  </si>
  <si>
    <t>ZARZIO 48 MU/0,5 ML</t>
  </si>
  <si>
    <t>INJ+INF SOL 5X0.5ML</t>
  </si>
  <si>
    <t>ZINKOROT</t>
  </si>
  <si>
    <t>25MG TBL NOB 50</t>
  </si>
  <si>
    <t>ZOLOFT 100MG</t>
  </si>
  <si>
    <t>TBL OBD 28X100MG</t>
  </si>
  <si>
    <t>ZOLOFT 50MG</t>
  </si>
  <si>
    <t>TBL OBD 28X50MG</t>
  </si>
  <si>
    <t>ZOLPIDEM MYLAN</t>
  </si>
  <si>
    <t>POR TBL FLM 20X10MG</t>
  </si>
  <si>
    <t>POR TBL FLM 50X10MG</t>
  </si>
  <si>
    <t>ZYPREXA 10 MG</t>
  </si>
  <si>
    <t>INJ PLV SOL 1X10MG</t>
  </si>
  <si>
    <t>ZYPREXA VELOTAB 5 MG</t>
  </si>
  <si>
    <t>POR TBL DIS 28X5MG</t>
  </si>
  <si>
    <t>léky - parenterální výživa (LEK)</t>
  </si>
  <si>
    <t>AMINOMIX 2 NOVUM</t>
  </si>
  <si>
    <t>INF SOL4X2000ML</t>
  </si>
  <si>
    <t>AMINOMIX PERIPHERAL</t>
  </si>
  <si>
    <t>INF SOL 4X2000ML</t>
  </si>
  <si>
    <t>AMINOPLASMAL 15%</t>
  </si>
  <si>
    <t>INF 10X500ML</t>
  </si>
  <si>
    <t>AMINOPLASMAL B.BRAUN 10%</t>
  </si>
  <si>
    <t>INF SOL 10X500ML</t>
  </si>
  <si>
    <t>AMINOPLASMAL B.BRAUN 5% E</t>
  </si>
  <si>
    <t>AMINOPLASMAL HEPA-10%</t>
  </si>
  <si>
    <t>ELOTRACE I.V.</t>
  </si>
  <si>
    <t>INF 10X100ML</t>
  </si>
  <si>
    <t>FINOMEL</t>
  </si>
  <si>
    <t>INF EML 4X1085ML</t>
  </si>
  <si>
    <t>LIPOPLUS 20%</t>
  </si>
  <si>
    <t>INFEML10X250ML-SKLO</t>
  </si>
  <si>
    <t>INFEML10X500ML-SKLO</t>
  </si>
  <si>
    <t>NEPHROTECT</t>
  </si>
  <si>
    <t>NUTRAMIN VLI</t>
  </si>
  <si>
    <t>NUTRIFLEX OMEGA PERI</t>
  </si>
  <si>
    <t>INF EML 5X1250ML</t>
  </si>
  <si>
    <t>NUTRIFLEX OMEGA SPECIAL 56/144</t>
  </si>
  <si>
    <t>INF EML 5X625ML</t>
  </si>
  <si>
    <t>NUTRIFLEX OMEGA SPECIAL BEZ ELEKTROLYTŮ</t>
  </si>
  <si>
    <t>NUTRIFLEX PERI</t>
  </si>
  <si>
    <t>INF SOL 5X2000ML</t>
  </si>
  <si>
    <t>OLIMEL N12</t>
  </si>
  <si>
    <t>INF EML 4X2000ML</t>
  </si>
  <si>
    <t>OLIMEL N12E</t>
  </si>
  <si>
    <t>OLIMEL N9</t>
  </si>
  <si>
    <t>INF EML4X2000ML</t>
  </si>
  <si>
    <t>OLIMEL N9E</t>
  </si>
  <si>
    <t>léky - enterální výživa (LEK)</t>
  </si>
  <si>
    <t>CUBITAN S PŘÍCHUTÍ VANILKOVOU</t>
  </si>
  <si>
    <t>POR SOL 4X200ML</t>
  </si>
  <si>
    <t>DIASIP S PŘÍCHUTÍ CAPPUCCINO</t>
  </si>
  <si>
    <t>DIASIP S PŘÍCHUTÍ JAHODOVOU</t>
  </si>
  <si>
    <t>DIASIP S PŘÍCHUTÍ VANILKOVOU</t>
  </si>
  <si>
    <t>ENSURE PLUS ADVANCE RTH VANILKOVÁ PŘÍCHUŤ</t>
  </si>
  <si>
    <t>POR SOL 1X500ML</t>
  </si>
  <si>
    <t>ENSURE PLUS ADVANCE VANILKA</t>
  </si>
  <si>
    <t>FRESUBIN 2 KCAL CREME CAPPUCCINO</t>
  </si>
  <si>
    <t>POR SOL 4X125G</t>
  </si>
  <si>
    <t>FRESUBIN 2 KCAL CREME ČOKOLÁDA</t>
  </si>
  <si>
    <t>FRESUBIN 2 KCAL CREME LESNÍ JAHODA</t>
  </si>
  <si>
    <t>FRESUBIN 2 KCAL CREME VANILKA</t>
  </si>
  <si>
    <t>FRESUBIN 3,2 KCAL DRINK LÍSKOVÝ OŘÍŠEK</t>
  </si>
  <si>
    <t>POR SOL 4X125ML</t>
  </si>
  <si>
    <t>FRESUBIN 3,2 KCAL DRINK VANILKA - KARAMEL</t>
  </si>
  <si>
    <t>Fresubin hepa 15x500ml</t>
  </si>
  <si>
    <t>NEPRO HP 500ml vanilková</t>
  </si>
  <si>
    <t xml:space="preserve">Novasource GI Advance </t>
  </si>
  <si>
    <t>1x500ml</t>
  </si>
  <si>
    <t>NUTRIDRINK COMPACT S PŘÍCHUTÍ KÁVY</t>
  </si>
  <si>
    <t>NUTRIDRINK COMPACT S PŘÍCHUTÍ VANILKOVOU</t>
  </si>
  <si>
    <t>NUTRIDRINK CREME S PŘÍCHUTÍ ČOKOLÁDOVOU</t>
  </si>
  <si>
    <t>POR SOL 4X125GM</t>
  </si>
  <si>
    <t>NUTRIDRINK CREME S PŘÍCHUTÍ LES.OVOCE</t>
  </si>
  <si>
    <t>4x125ml</t>
  </si>
  <si>
    <t>NUTRIDRINK JUICE STYLE S PŘÍCHUTÍ ČERNÉHO RYBÍZU</t>
  </si>
  <si>
    <t>NUTRIDRINK JUICE STYLE S PŘÍCHUTÍ JABLEČNOU</t>
  </si>
  <si>
    <t>NUTRIDRINK JUICE STYLE S PŘÍCHUTÍ JAHODOVOU</t>
  </si>
  <si>
    <t>NUTRIDRINK JUICE STYLE S PŘÍCHUTÍ POMERANČOVOU</t>
  </si>
  <si>
    <t>NUTRIDRINK S PŘÍCHUTÍ BANÁNOVOU</t>
  </si>
  <si>
    <t>POR SOL 1X200ML</t>
  </si>
  <si>
    <t>NUTRIDRINK S PŘÍCHUTÍ ČOKOLÁDOVOU</t>
  </si>
  <si>
    <t>NUTRIDRINK S PŘÍCHUTÍ JAHODOVOU</t>
  </si>
  <si>
    <t>NUTRIDRINK S PŘÍCHUTÍ VANILKOVOU</t>
  </si>
  <si>
    <t>NUTRISON</t>
  </si>
  <si>
    <t>Nutrison Advanced Diason 1000ml</t>
  </si>
  <si>
    <t>Nutrison Protein Advance 500ml</t>
  </si>
  <si>
    <t>Nutrison Protein Intense 500ml</t>
  </si>
  <si>
    <t>NUTRISON PROTEIN PLUS MULTI FIBRE</t>
  </si>
  <si>
    <t>POR SOL 12X500ML</t>
  </si>
  <si>
    <t>Peptamen Intense 12x500ml</t>
  </si>
  <si>
    <t>PROSURE BANÁNOVÁ PŘÍCHUŤ</t>
  </si>
  <si>
    <t>PROSURE ČOKOLÁDOVÁ PŘÍCHUŤ</t>
  </si>
  <si>
    <t>PROSURE KÁVOVÁ PŘÍCHUŤ</t>
  </si>
  <si>
    <t>PROSURE PŘÍCHUŤ LESNÍHO OVOCE</t>
  </si>
  <si>
    <t>PROSURE VANILKOVÁ PŘÍCHUŤ</t>
  </si>
  <si>
    <t>PROTIFAR</t>
  </si>
  <si>
    <t>POR PLV SOL 1X225GM</t>
  </si>
  <si>
    <t>PULMOCARE 500 ML PŘÍCHUŤ VANILKA</t>
  </si>
  <si>
    <t>léky - krev.deriváty ZUL (TO)</t>
  </si>
  <si>
    <t>ATENATIV</t>
  </si>
  <si>
    <t>50IU/ML INF PSO LQF 1+1X20ML</t>
  </si>
  <si>
    <t>50IU/ML INF PSO LQF 1+1X10ML</t>
  </si>
  <si>
    <t>FLEBOGAMMA DIF</t>
  </si>
  <si>
    <t>50MG/ML INF SOL 1X200ML</t>
  </si>
  <si>
    <t>HAEMOCOMPLETTAN P</t>
  </si>
  <si>
    <t>20MG/ML INJ/INF PLV SOL 1X2000MG</t>
  </si>
  <si>
    <t>20MG/ML INJ/INF PLV SOL 1X1000MG</t>
  </si>
  <si>
    <t>OCPLEX</t>
  </si>
  <si>
    <t>1000IU INF PSO LQF 1+1X40ML</t>
  </si>
  <si>
    <t>500IU INF PSO LQF 1+1X20ML</t>
  </si>
  <si>
    <t>OCTAPLAS LG</t>
  </si>
  <si>
    <t>45-70MG/ML INF SOL 1X200ML</t>
  </si>
  <si>
    <t>léky - hemofilici ZUL (TO)</t>
  </si>
  <si>
    <t>ALBUREX</t>
  </si>
  <si>
    <t>200G/L INF SOL 1X100ML</t>
  </si>
  <si>
    <t>FANHDI</t>
  </si>
  <si>
    <t>100IU/ML INJ PSO LQF 1+1X10ML</t>
  </si>
  <si>
    <t>50IU/ML INJ PSO LQF 1+1X10ML</t>
  </si>
  <si>
    <t>léky - trombolýza (LEK)</t>
  </si>
  <si>
    <t>ACTILYSE 50MG</t>
  </si>
  <si>
    <t>INJ SIC 1X50MG+50ML</t>
  </si>
  <si>
    <t>léky - antibiotika (LEK)</t>
  </si>
  <si>
    <t>AMIKACIN MEDOCHEMIE 500MG/2ML INJ/INF</t>
  </si>
  <si>
    <t>SOL 10X2ML</t>
  </si>
  <si>
    <t>AMOKSIKLAV 1.2GM</t>
  </si>
  <si>
    <t>INJ SIC 5X1.2GM</t>
  </si>
  <si>
    <t>AMPICILLIN AND SULBACTAM IBI 1 G + 500 MG PRÁŠEK P</t>
  </si>
  <si>
    <t>INJ PLV SOL 10X1G+500MG/LAH</t>
  </si>
  <si>
    <t>AMPIPLUS 1000mg/500mg - mimořádný dovoz</t>
  </si>
  <si>
    <t>inj.inf.sol 25 vials</t>
  </si>
  <si>
    <t>AXETINE 1,5GM</t>
  </si>
  <si>
    <t>INJ SIC 10X1.5GM</t>
  </si>
  <si>
    <t>AZEPO 1 G</t>
  </si>
  <si>
    <t>INJ+INF PLV SOL 10X1GM</t>
  </si>
  <si>
    <t>AZITROMICINA AZEVEDOS-mimořádný dovoz</t>
  </si>
  <si>
    <t>inf plv sol 10x500mg</t>
  </si>
  <si>
    <t>BELOGENT KRÉM</t>
  </si>
  <si>
    <t>CRM 1X30GM</t>
  </si>
  <si>
    <t>BELOGENT MAST</t>
  </si>
  <si>
    <t>BISEPTOL 120</t>
  </si>
  <si>
    <t>TBL 20X120MG</t>
  </si>
  <si>
    <t>BISEPTOL 480</t>
  </si>
  <si>
    <t>INJ 10X5ML</t>
  </si>
  <si>
    <t>CEFTAZIDIM KABI 1 GM</t>
  </si>
  <si>
    <t>INJ PLV SOL 10X1GM</t>
  </si>
  <si>
    <t>CEFTAZIDIM KABI 2 GM</t>
  </si>
  <si>
    <t>INJ+INF PLV SOL 10X2GM</t>
  </si>
  <si>
    <t>CIPRINOL 500</t>
  </si>
  <si>
    <t>TBL 10X500MG</t>
  </si>
  <si>
    <t>CIPROFLOXACIN KABI 400 MG/200 ML INFUZNÍ ROZTOK</t>
  </si>
  <si>
    <t>INF SOL 10X400MG/200ML</t>
  </si>
  <si>
    <t>CLARITROMICINA HIKMA 500mg-mimoř.dovoz</t>
  </si>
  <si>
    <t>500MG INF PLV 10</t>
  </si>
  <si>
    <t>Clindamycin Kabi inj.sol. 300mg 10x2ml</t>
  </si>
  <si>
    <t>150mg/ml</t>
  </si>
  <si>
    <t>Clindamycin Kabi inj.sol. 600mg 10x4ml</t>
  </si>
  <si>
    <t>COLISTIN ALVOGEN 1MIU - MIMOŘÁDNÝ DOVOZ</t>
  </si>
  <si>
    <t>INJ /INF PLV SOL/SOL 10</t>
  </si>
  <si>
    <t>COLOMYCIN INJEKCE 1 000 000 MJ</t>
  </si>
  <si>
    <t>1000000IU INJ PLV SOL/SOL NEB 10X1MIU</t>
  </si>
  <si>
    <t>DIFICLIR 200 MG</t>
  </si>
  <si>
    <t>POR TBL FLM 2X10X200MG</t>
  </si>
  <si>
    <t>FRAMYKOIN</t>
  </si>
  <si>
    <t>UNG 1X10GM</t>
  </si>
  <si>
    <t>FUCIDIN</t>
  </si>
  <si>
    <t>UNG 1X15GM 2%</t>
  </si>
  <si>
    <t>GENTAMICIN B.BRAUN INF SOL 240MG</t>
  </si>
  <si>
    <t>20X80ML 3MG/ML</t>
  </si>
  <si>
    <t>GENTAMICIN LEK 80 MG/2 ML</t>
  </si>
  <si>
    <t>INJ SOL 10X2ML/80MG</t>
  </si>
  <si>
    <t>LINEZOLID KABI</t>
  </si>
  <si>
    <t>MACMIROR COMPLEX 500</t>
  </si>
  <si>
    <t>SUP VAG 8</t>
  </si>
  <si>
    <t>MEDOCLAV 1000 MG/200 MG</t>
  </si>
  <si>
    <t>INJ+INF PLV SOL 10X1.2GM</t>
  </si>
  <si>
    <t>MEROPENEM BRADEX</t>
  </si>
  <si>
    <t>METRONIDAZOLE NORIDEM</t>
  </si>
  <si>
    <t>5MG/ML INF SOL 10X100ML II</t>
  </si>
  <si>
    <t>5MG/ML INF SOL 10X100ML</t>
  </si>
  <si>
    <t>5MG/ML INF SOL 20X100ML</t>
  </si>
  <si>
    <t>MICAFUNGIN TEVA</t>
  </si>
  <si>
    <t>100MG INF PLV CSL 1</t>
  </si>
  <si>
    <t>OFLOXACINO ALTAN</t>
  </si>
  <si>
    <t>2MG/ML INF SOL 20X100ML</t>
  </si>
  <si>
    <t>OPHTHALMO-FRAMYKOIN</t>
  </si>
  <si>
    <t>PIPERACILLIN/TAZOBACTAM KABI 4 G/0,5 G</t>
  </si>
  <si>
    <t>INF PLV SOL 10X4.5GM</t>
  </si>
  <si>
    <t>PIPERACILLIN/TAZOBACTAM OLIKLA</t>
  </si>
  <si>
    <t>4G/0,5G INF PLV SOL 10</t>
  </si>
  <si>
    <t>SUMETROLIM</t>
  </si>
  <si>
    <t>TBL 20X480MG</t>
  </si>
  <si>
    <t>TAXIMED</t>
  </si>
  <si>
    <t>1G INJ/INF PLV SOL 1</t>
  </si>
  <si>
    <t>2G INJ/INF PLV SOL 10</t>
  </si>
  <si>
    <t>TOBREX</t>
  </si>
  <si>
    <t>3MG/G OPH UNG 3,5G</t>
  </si>
  <si>
    <t>GTT OPH 5ML 3MG/1ML</t>
  </si>
  <si>
    <t>TYGACIL 50 MG</t>
  </si>
  <si>
    <t>INF PLV SOL 10X50MG/5ML</t>
  </si>
  <si>
    <t>VANCOMYCIN MYLAN 1000 MG</t>
  </si>
  <si>
    <t>INF PLV SOL 1X1GM</t>
  </si>
  <si>
    <t>VANCOMYCIN MYLAN 500 MG</t>
  </si>
  <si>
    <t>INF PLV SOL 1X500MG</t>
  </si>
  <si>
    <t>VORICONAZOLE FRESENIUS KABI</t>
  </si>
  <si>
    <t>200MG INF PLV SOL 1</t>
  </si>
  <si>
    <t>VORIKONAZOL ACCORDPHARMA</t>
  </si>
  <si>
    <t xml:space="preserve">ZAVICEFTA 2G/0,5G </t>
  </si>
  <si>
    <t>INF PLV CSL 10</t>
  </si>
  <si>
    <t>léky - antimykotika (LEK)</t>
  </si>
  <si>
    <t>ECALTA 100 MG</t>
  </si>
  <si>
    <t>INF PLV CSL 100MG+30ML</t>
  </si>
  <si>
    <t>FLUCONAZOL KABI 2 MG/ML</t>
  </si>
  <si>
    <t>INF SOL 10X200ML/400MG</t>
  </si>
  <si>
    <t>INF SOL 10X100ML/200MG</t>
  </si>
  <si>
    <t>MYCAMINE 100 MG</t>
  </si>
  <si>
    <t>INF PLV SOL 1X100MG</t>
  </si>
  <si>
    <t>VORIKONAZOL SANDOZ 200 MG</t>
  </si>
  <si>
    <t>TBL FLM 14X200MG</t>
  </si>
  <si>
    <t>VORIKONAZOL SANDOZ 200 MG PRÁŠEK PRO INFUZNÍ ROZTO</t>
  </si>
  <si>
    <t>INF PLV SOL 1X200MG</t>
  </si>
  <si>
    <t>5931 - IPCHO: JIP 51</t>
  </si>
  <si>
    <t>A02BC02 - PANTOPRAZOL</t>
  </si>
  <si>
    <t>A04AA01 - ONDANSETRON</t>
  </si>
  <si>
    <t>B01AA03 - WARFARIN</t>
  </si>
  <si>
    <t>B01AB05 - ENOXAPARIN</t>
  </si>
  <si>
    <t>B01AB06 - NADROPARIN</t>
  </si>
  <si>
    <t>C01BD01 - AMIODARON</t>
  </si>
  <si>
    <t>C01CA26 - EFEDRIN</t>
  </si>
  <si>
    <t>C02AC05 - MOXONIDIN</t>
  </si>
  <si>
    <t>C03CA01 - FUROSEMID</t>
  </si>
  <si>
    <t>C05BA01 - ORGANO-HEPARINOID</t>
  </si>
  <si>
    <t>C07AB02 - METOPROLOL</t>
  </si>
  <si>
    <t>C07AB05 - BETAXOLOL</t>
  </si>
  <si>
    <t>C07AB07 - BISOPROLOL</t>
  </si>
  <si>
    <t>C07AB12 - NEBIVOLOL</t>
  </si>
  <si>
    <t>C08CA01 - AMLODIPIN</t>
  </si>
  <si>
    <t>C09AA04 - PERINDOPRIL</t>
  </si>
  <si>
    <t>C09AA05 - RAMIPRIL</t>
  </si>
  <si>
    <t>C09BB04 - PERINDOPRIL A AMLODIPIN</t>
  </si>
  <si>
    <t>C09DA07 - TELMISARTAN A DIURETIKA</t>
  </si>
  <si>
    <t>C10AA05 - ATORVASTATIN</t>
  </si>
  <si>
    <t>G04CA02 - TAMSULOSIN</t>
  </si>
  <si>
    <t>H01CB02 - OKTREOTID</t>
  </si>
  <si>
    <t>H02AB04 - METHYLPREDNISOLON</t>
  </si>
  <si>
    <t>J01AA12 - TIGECYKLIN</t>
  </si>
  <si>
    <t>J01DC02 - CEFUROXIM</t>
  </si>
  <si>
    <t>J01DD01 - CEFOTAXIM</t>
  </si>
  <si>
    <t>J01DH02 - MEROPENEM</t>
  </si>
  <si>
    <t>J01FF01 - KLINDAMYCIN</t>
  </si>
  <si>
    <t>J01GB06 - AMIKACIN</t>
  </si>
  <si>
    <t>J01MA01 - OFLOXACIN</t>
  </si>
  <si>
    <t>J01MA02 - CIPROFLOXACIN</t>
  </si>
  <si>
    <t>J01XA01 - VANKOMYCIN</t>
  </si>
  <si>
    <t>J01XB01 - KOLISTIN</t>
  </si>
  <si>
    <t>J01XD01 - METRONIDAZOL</t>
  </si>
  <si>
    <t>J01XX08 - LINEZOLID</t>
  </si>
  <si>
    <t>J02AC01 - FLUKONAZOL</t>
  </si>
  <si>
    <t>J02AC03 - VORIKONAZOL</t>
  </si>
  <si>
    <t>J02AX05 - MIKAFUNGIN</t>
  </si>
  <si>
    <t>J02AX06 - ANIDULAFUNGIN</t>
  </si>
  <si>
    <t>J05AB01 - ACIKLOVIR</t>
  </si>
  <si>
    <t>J05AB06 - GANCIKLOVIR</t>
  </si>
  <si>
    <t>J05AB11 - VALACIKLOVIR</t>
  </si>
  <si>
    <t>L02BG04 - LETROZOL</t>
  </si>
  <si>
    <t>L03AA02 - FILGRASTIM</t>
  </si>
  <si>
    <t>L04AA13 - LEFLUNOMID</t>
  </si>
  <si>
    <t>L04AD01 - CYKLOSPORIN</t>
  </si>
  <si>
    <t>L04AD02 - TAKROLIMUS</t>
  </si>
  <si>
    <t>M03AC09 - ROKURONIUM-BROMID</t>
  </si>
  <si>
    <t>N01AX10 - PROPOFOL</t>
  </si>
  <si>
    <t>N02BB02 - SODNÁ SŮL METAMIZOLU</t>
  </si>
  <si>
    <t>N03AG01 - KYSELINA VALPROOVÁ</t>
  </si>
  <si>
    <t>N03AX12 - GABAPENTIN</t>
  </si>
  <si>
    <t>N05AL05 - AMISULPRID</t>
  </si>
  <si>
    <t>N05BA12 - ALPRAZOLAM</t>
  </si>
  <si>
    <t>N05CD08 - MIDAZOLAM</t>
  </si>
  <si>
    <t>N05CF02 - ZOLPIDEM</t>
  </si>
  <si>
    <t>N05CM18 - DEXMEDETOMIDIN</t>
  </si>
  <si>
    <t>N06AB04 - CITALOPRAM</t>
  </si>
  <si>
    <t>N06AB06 - SERTRALIN</t>
  </si>
  <si>
    <t>N06AB10 - ESCITALOPRAM</t>
  </si>
  <si>
    <t>N06AX11 - MIRTAZAPIN</t>
  </si>
  <si>
    <t>N06AX16 - VENLAFAXIN</t>
  </si>
  <si>
    <t>N06DX01 - MEMANTIN</t>
  </si>
  <si>
    <t>R03AC02 - SALBUTAMOL</t>
  </si>
  <si>
    <t>R03DA04 - THEOFYLIN</t>
  </si>
  <si>
    <t>R06AX13 - LORATADIN</t>
  </si>
  <si>
    <t>R06AX27 - DESLORATADIN</t>
  </si>
  <si>
    <t>J05AX05 - INOSIN PRANOBEX</t>
  </si>
  <si>
    <t>C09BX01 - PERINDOPRIL, AMLODIPIN A INDAPAMID</t>
  </si>
  <si>
    <t>A03FA07 - ITOPRIDUM</t>
  </si>
  <si>
    <t>L04AA06 - KYSELINA MYKOFENOLOVÁ</t>
  </si>
  <si>
    <t>N01AH03 - SUFENTANIL</t>
  </si>
  <si>
    <t>J01CR02 - AMOXICILIN A  INHIBITOR BETA-LAKTAMASY</t>
  </si>
  <si>
    <t>N04BA02 - LEVODOPA A INHIBITOR DEKARBOXYLASY</t>
  </si>
  <si>
    <t>A06AD11 - LAKTULOSA</t>
  </si>
  <si>
    <t>J01CR01 - AMPICILIN A INHIBITOR BETA-LAKTAMASY</t>
  </si>
  <si>
    <t>J01DH51 - IMIPENEM A CILASTATIN</t>
  </si>
  <si>
    <t>A10AB05 - INSULIN ASPART</t>
  </si>
  <si>
    <t>J01CR05 - PIPERACILIN A  INHIBITOR BETA-LAKTAMASY</t>
  </si>
  <si>
    <t>H03AA01 - SODNÁ SŮL LEVOTHYROXINU</t>
  </si>
  <si>
    <t>C01CA03 - NOREPINEFRIN</t>
  </si>
  <si>
    <t>V06XX - POTRAVINY PRO ZVLÁŠTNÍ LÉKAŘSKÉ ÚČELY (PZLÚ) (ČESKÁ ATC SKUP</t>
  </si>
  <si>
    <t>A02BC02</t>
  </si>
  <si>
    <t>136834</t>
  </si>
  <si>
    <t>214427</t>
  </si>
  <si>
    <t>CONTROLOC</t>
  </si>
  <si>
    <t>40MG INJ PLV SOL 1</t>
  </si>
  <si>
    <t>214433</t>
  </si>
  <si>
    <t>20MG TBL ENT 28 I</t>
  </si>
  <si>
    <t>214435</t>
  </si>
  <si>
    <t>20MG TBL ENT 100</t>
  </si>
  <si>
    <t>A03FA07</t>
  </si>
  <si>
    <t>237595</t>
  </si>
  <si>
    <t>A04AA01</t>
  </si>
  <si>
    <t>187607</t>
  </si>
  <si>
    <t>ONDANSETRON B. BRAUN</t>
  </si>
  <si>
    <t>2MG/ML INJ SOL 20X4ML II</t>
  </si>
  <si>
    <t>A06AD11</t>
  </si>
  <si>
    <t>226525</t>
  </si>
  <si>
    <t>42547</t>
  </si>
  <si>
    <t>LACTULOSE AL</t>
  </si>
  <si>
    <t>667MG/ML SIR 1X500ML</t>
  </si>
  <si>
    <t>A10AB05</t>
  </si>
  <si>
    <t>26786</t>
  </si>
  <si>
    <t>NOVORAPID</t>
  </si>
  <si>
    <t>100U/ML INJ SOL 1X10ML</t>
  </si>
  <si>
    <t>B01AA03</t>
  </si>
  <si>
    <t>192342</t>
  </si>
  <si>
    <t>WARFARIN PMCS</t>
  </si>
  <si>
    <t>5MG TBL NOB 100 I</t>
  </si>
  <si>
    <t>B01AB05</t>
  </si>
  <si>
    <t>219052</t>
  </si>
  <si>
    <t>INHIXA</t>
  </si>
  <si>
    <t>219054</t>
  </si>
  <si>
    <t>233123</t>
  </si>
  <si>
    <t>B01AB06</t>
  </si>
  <si>
    <t>213477</t>
  </si>
  <si>
    <t>9500IU/ML INJ SOL 10X5ML</t>
  </si>
  <si>
    <t>213480</t>
  </si>
  <si>
    <t>19000IU/ML INJ SOL ISP 10X0,6ML</t>
  </si>
  <si>
    <t>213485</t>
  </si>
  <si>
    <t>213487</t>
  </si>
  <si>
    <t>213489</t>
  </si>
  <si>
    <t>9500IU/ML INJ SOL ISP 10X0,6ML</t>
  </si>
  <si>
    <t>213490</t>
  </si>
  <si>
    <t>9500IU/ML INJ SOL ISP 10X1ML</t>
  </si>
  <si>
    <t>213494</t>
  </si>
  <si>
    <t>C01BD01</t>
  </si>
  <si>
    <t>13768</t>
  </si>
  <si>
    <t>200MG TBL NOB 60</t>
  </si>
  <si>
    <t>C01CA03</t>
  </si>
  <si>
    <t>216900</t>
  </si>
  <si>
    <t>1MG/ML INF CNC SOL 5X5ML</t>
  </si>
  <si>
    <t>C01CA26</t>
  </si>
  <si>
    <t>447</t>
  </si>
  <si>
    <t>50MG/ML INJ SOL 10X1ML</t>
  </si>
  <si>
    <t>C02AC05</t>
  </si>
  <si>
    <t>16923</t>
  </si>
  <si>
    <t>MOXOSTAD</t>
  </si>
  <si>
    <t>0,3MG TBL FLM 30</t>
  </si>
  <si>
    <t>C03CA01</t>
  </si>
  <si>
    <t>239807</t>
  </si>
  <si>
    <t>56805</t>
  </si>
  <si>
    <t>FURORESE</t>
  </si>
  <si>
    <t>40MG TBL NOB 100</t>
  </si>
  <si>
    <t>C05BA01</t>
  </si>
  <si>
    <t>100308</t>
  </si>
  <si>
    <t>300MG/100G CRM 40G</t>
  </si>
  <si>
    <t>3575</t>
  </si>
  <si>
    <t>HEPAROID LÉČIVA</t>
  </si>
  <si>
    <t>2MG/G CRM 30G</t>
  </si>
  <si>
    <t>C07AB02</t>
  </si>
  <si>
    <t>231689</t>
  </si>
  <si>
    <t>231702</t>
  </si>
  <si>
    <t>231703</t>
  </si>
  <si>
    <t>C07AB05</t>
  </si>
  <si>
    <t>188616</t>
  </si>
  <si>
    <t>C07AB07</t>
  </si>
  <si>
    <t>233579</t>
  </si>
  <si>
    <t>233600</t>
  </si>
  <si>
    <t>C07AB12</t>
  </si>
  <si>
    <t>53761</t>
  </si>
  <si>
    <t>5MG TBL NOB 28</t>
  </si>
  <si>
    <t>C08CA01</t>
  </si>
  <si>
    <t>2945</t>
  </si>
  <si>
    <t>AGEN</t>
  </si>
  <si>
    <t>5MG TBL NOB 30 I</t>
  </si>
  <si>
    <t>C09AA04</t>
  </si>
  <si>
    <t>101205</t>
  </si>
  <si>
    <t>101211</t>
  </si>
  <si>
    <t>5MG TBL FLM 90(3X30)</t>
  </si>
  <si>
    <t>C09AA05</t>
  </si>
  <si>
    <t>15864</t>
  </si>
  <si>
    <t>TRITACE</t>
  </si>
  <si>
    <t>10MG TBL NOB 30</t>
  </si>
  <si>
    <t>56972</t>
  </si>
  <si>
    <t>1,25MG TBL NOB 20</t>
  </si>
  <si>
    <t>56976</t>
  </si>
  <si>
    <t>2,5MG TBL NOB 20</t>
  </si>
  <si>
    <t>56981</t>
  </si>
  <si>
    <t>5MG TBL NOB 30</t>
  </si>
  <si>
    <t>C09BB04</t>
  </si>
  <si>
    <t>124087</t>
  </si>
  <si>
    <t>PRESTANCE</t>
  </si>
  <si>
    <t>C09BX01</t>
  </si>
  <si>
    <t>206512</t>
  </si>
  <si>
    <t>TONANDA</t>
  </si>
  <si>
    <t>8MG/5MG/2,5MG TBL NOB 30</t>
  </si>
  <si>
    <t>C09DA07</t>
  </si>
  <si>
    <t>189657</t>
  </si>
  <si>
    <t>TELMISARTAN/HYDROCHLOROTHIAZID SANDOZ</t>
  </si>
  <si>
    <t>80MG/12,5MG TBL FLM 30</t>
  </si>
  <si>
    <t>C10AA05</t>
  </si>
  <si>
    <t>50318</t>
  </si>
  <si>
    <t>TULIP</t>
  </si>
  <si>
    <t>20MG TBL FLM 90X1</t>
  </si>
  <si>
    <t>G04CA02</t>
  </si>
  <si>
    <t>49195</t>
  </si>
  <si>
    <t>0,4MG CPS DUR MRL 90</t>
  </si>
  <si>
    <t>H01CB02</t>
  </si>
  <si>
    <t>15245</t>
  </si>
  <si>
    <t>SANDOSTATIN</t>
  </si>
  <si>
    <t>0,1MG/ML INJ/INF SOL 5X1ML</t>
  </si>
  <si>
    <t>H02AB04</t>
  </si>
  <si>
    <t>9709</t>
  </si>
  <si>
    <t>40MG/ML INJ PSO LQF 40MG+1ML</t>
  </si>
  <si>
    <t>9711</t>
  </si>
  <si>
    <t>62,5MG/ML INJ PSO LQF 500MG+7,8ML</t>
  </si>
  <si>
    <t>H03AA01</t>
  </si>
  <si>
    <t>172044</t>
  </si>
  <si>
    <t>LETROX</t>
  </si>
  <si>
    <t>150MCG TBL NOB 100</t>
  </si>
  <si>
    <t>184245</t>
  </si>
  <si>
    <t>75MCG TBL NOB 100</t>
  </si>
  <si>
    <t>187425</t>
  </si>
  <si>
    <t>50MCG TBL NOB 100</t>
  </si>
  <si>
    <t>187427</t>
  </si>
  <si>
    <t>100MCG TBL NOB 100</t>
  </si>
  <si>
    <t>243134</t>
  </si>
  <si>
    <t>243136</t>
  </si>
  <si>
    <t>243138</t>
  </si>
  <si>
    <t>50MCG TBL NOB 100 II</t>
  </si>
  <si>
    <t>243140</t>
  </si>
  <si>
    <t>150MCG TBL NOB 100 II</t>
  </si>
  <si>
    <t>J01AA12</t>
  </si>
  <si>
    <t>26127</t>
  </si>
  <si>
    <t>TYGACIL</t>
  </si>
  <si>
    <t>50MG INF PLV SOL 10</t>
  </si>
  <si>
    <t>J01CR01</t>
  </si>
  <si>
    <t>136083</t>
  </si>
  <si>
    <t>AMPICILLIN/SULBACTAM IBI</t>
  </si>
  <si>
    <t>1G/0,5G INJ PLV SOL 10 I</t>
  </si>
  <si>
    <t>J01CR02</t>
  </si>
  <si>
    <t>134595</t>
  </si>
  <si>
    <t>MEDOCLAV</t>
  </si>
  <si>
    <t>1000MG/200MG INJ/INF PLV SOL 10</t>
  </si>
  <si>
    <t>J01CR05</t>
  </si>
  <si>
    <t>113453</t>
  </si>
  <si>
    <t>PIPERACILLIN/TAZOBACTAM KABI</t>
  </si>
  <si>
    <t>173857</t>
  </si>
  <si>
    <t>J01DC02</t>
  </si>
  <si>
    <t>64831</t>
  </si>
  <si>
    <t>AXETINE</t>
  </si>
  <si>
    <t>1,5G INJ/INF PLV SOL 10</t>
  </si>
  <si>
    <t>J01DD01</t>
  </si>
  <si>
    <t>206563</t>
  </si>
  <si>
    <t>206567</t>
  </si>
  <si>
    <t>J01DH02</t>
  </si>
  <si>
    <t>173750</t>
  </si>
  <si>
    <t>J01DH51</t>
  </si>
  <si>
    <t>227475</t>
  </si>
  <si>
    <t>J01FF01</t>
  </si>
  <si>
    <t>129834</t>
  </si>
  <si>
    <t>CLINDAMYCIN KABI</t>
  </si>
  <si>
    <t>150MG/ML INJ SOL/INF CNC SOL 10X2ML</t>
  </si>
  <si>
    <t>129836</t>
  </si>
  <si>
    <t>150MG/ML INJ SOL/INF CNC SOL 10X4ML</t>
  </si>
  <si>
    <t>J01GB06</t>
  </si>
  <si>
    <t>243369</t>
  </si>
  <si>
    <t>AMIKACIN MEDOCHEMIE</t>
  </si>
  <si>
    <t>500MG/2ML INJ/INF SOL 10X2ML</t>
  </si>
  <si>
    <t>J01MA01</t>
  </si>
  <si>
    <t>232628</t>
  </si>
  <si>
    <t>J01MA02</t>
  </si>
  <si>
    <t>162187</t>
  </si>
  <si>
    <t>CIPROFLOXACIN KABI</t>
  </si>
  <si>
    <t>400MG/200ML INF SOL 10X200ML</t>
  </si>
  <si>
    <t>96039</t>
  </si>
  <si>
    <t>CIPRINOL</t>
  </si>
  <si>
    <t>500MG TBL FLM 10</t>
  </si>
  <si>
    <t>J01XA01</t>
  </si>
  <si>
    <t>166265</t>
  </si>
  <si>
    <t>VANCOMYCIN MYLAN</t>
  </si>
  <si>
    <t>500MG INF PLV SOL 1</t>
  </si>
  <si>
    <t>166269</t>
  </si>
  <si>
    <t>1000MG INF PLV SOL 1</t>
  </si>
  <si>
    <t>J01XB01</t>
  </si>
  <si>
    <t>218400</t>
  </si>
  <si>
    <t>COLOMYCIN</t>
  </si>
  <si>
    <t>1MIU INJ/INF PLV SOL/SOL NEB 10X1MIU</t>
  </si>
  <si>
    <t>J01XD01</t>
  </si>
  <si>
    <t>224407</t>
  </si>
  <si>
    <t>5MG/ML INF SOL 10X100ML I</t>
  </si>
  <si>
    <t>242332</t>
  </si>
  <si>
    <t>5MG/ML INF SOL 20X100ML I</t>
  </si>
  <si>
    <t>245255</t>
  </si>
  <si>
    <t>J01XX08</t>
  </si>
  <si>
    <t>216704</t>
  </si>
  <si>
    <t>221742</t>
  </si>
  <si>
    <t>242270</t>
  </si>
  <si>
    <t>J02AC01</t>
  </si>
  <si>
    <t>164401</t>
  </si>
  <si>
    <t>FLUCONAZOL KABI</t>
  </si>
  <si>
    <t>2MG/ML INF SOL 10X100ML</t>
  </si>
  <si>
    <t>164407</t>
  </si>
  <si>
    <t>2MG/ML INF SOL 10X200ML</t>
  </si>
  <si>
    <t>J02AC03</t>
  </si>
  <si>
    <t>189220</t>
  </si>
  <si>
    <t>VORIKONAZOL SANDOZ</t>
  </si>
  <si>
    <t>200MG TBL FLM 14</t>
  </si>
  <si>
    <t>196852</t>
  </si>
  <si>
    <t>211760</t>
  </si>
  <si>
    <t>247338</t>
  </si>
  <si>
    <t>J02AX05</t>
  </si>
  <si>
    <t>236842</t>
  </si>
  <si>
    <t>500720</t>
  </si>
  <si>
    <t>MYCAMINE</t>
  </si>
  <si>
    <t>100MG INF PLV SOL 1</t>
  </si>
  <si>
    <t>J02AX06</t>
  </si>
  <si>
    <t>149384</t>
  </si>
  <si>
    <t>ECALTA</t>
  </si>
  <si>
    <t>J05AB01</t>
  </si>
  <si>
    <t>172775</t>
  </si>
  <si>
    <t>J05AB06</t>
  </si>
  <si>
    <t>241308</t>
  </si>
  <si>
    <t>J05AB11</t>
  </si>
  <si>
    <t>234661</t>
  </si>
  <si>
    <t>J05AX05</t>
  </si>
  <si>
    <t>107676</t>
  </si>
  <si>
    <t>500MG TBL NOB 50</t>
  </si>
  <si>
    <t>162748</t>
  </si>
  <si>
    <t>500MG TBL NOB 100</t>
  </si>
  <si>
    <t>L02BG04</t>
  </si>
  <si>
    <t>191696</t>
  </si>
  <si>
    <t>L03AA02</t>
  </si>
  <si>
    <t>500570</t>
  </si>
  <si>
    <t>ZARZIO</t>
  </si>
  <si>
    <t>48MU/0,5ML INJ/INF SOL ISP 5X0,5ML I</t>
  </si>
  <si>
    <t>L04AA06</t>
  </si>
  <si>
    <t>100973</t>
  </si>
  <si>
    <t>MYCOPHENOLAT MOFETIL SANDOZ</t>
  </si>
  <si>
    <t>250MG CPS DUR 100</t>
  </si>
  <si>
    <t>L04AA13</t>
  </si>
  <si>
    <t>26259</t>
  </si>
  <si>
    <t>ARAVA</t>
  </si>
  <si>
    <t>L04AD01</t>
  </si>
  <si>
    <t>15643</t>
  </si>
  <si>
    <t>50MG/ML INF CNC SOL 10X5ML</t>
  </si>
  <si>
    <t>L04AD02</t>
  </si>
  <si>
    <t>149149</t>
  </si>
  <si>
    <t>ADVAGRAF</t>
  </si>
  <si>
    <t>3MG CPS PRO 30</t>
  </si>
  <si>
    <t>29710</t>
  </si>
  <si>
    <t>5MG CPS PRO 30</t>
  </si>
  <si>
    <t>M03AC09</t>
  </si>
  <si>
    <t>226455</t>
  </si>
  <si>
    <t>226690</t>
  </si>
  <si>
    <t>N01AH03</t>
  </si>
  <si>
    <t>227014</t>
  </si>
  <si>
    <t>241682</t>
  </si>
  <si>
    <t>N01AX10</t>
  </si>
  <si>
    <t>18167</t>
  </si>
  <si>
    <t>PROPOFOL MCT/LCT FRESENIUS</t>
  </si>
  <si>
    <t>10MG/ML INJ/INF EML 5X20ML</t>
  </si>
  <si>
    <t>18172</t>
  </si>
  <si>
    <t>10MG/ML INJ/INF EML 10X50ML</t>
  </si>
  <si>
    <t>18175</t>
  </si>
  <si>
    <t>10MG/ML INJ/INF EML 10X100ML</t>
  </si>
  <si>
    <t>N02BB02</t>
  </si>
  <si>
    <t>7981</t>
  </si>
  <si>
    <t>N03AG01</t>
  </si>
  <si>
    <t>237626</t>
  </si>
  <si>
    <t>DEPAKINE</t>
  </si>
  <si>
    <t>400MG/4ML INJ PSO LQF 1+1X4ML</t>
  </si>
  <si>
    <t>44997</t>
  </si>
  <si>
    <t>DEPAKINE CHRONO</t>
  </si>
  <si>
    <t>500MG TBL MRL 100</t>
  </si>
  <si>
    <t>N03AX12</t>
  </si>
  <si>
    <t>84399</t>
  </si>
  <si>
    <t>NEURONTIN</t>
  </si>
  <si>
    <t>300MG CPS DUR 50</t>
  </si>
  <si>
    <t>84400</t>
  </si>
  <si>
    <t>300MG CPS DUR 100</t>
  </si>
  <si>
    <t>N04BA02</t>
  </si>
  <si>
    <t>3591</t>
  </si>
  <si>
    <t>250MG/25MG TBL NOB 100</t>
  </si>
  <si>
    <t>N05AL05</t>
  </si>
  <si>
    <t>58172</t>
  </si>
  <si>
    <t>SOLIAN</t>
  </si>
  <si>
    <t>200MG TBL NOB 30</t>
  </si>
  <si>
    <t>N05BA12</t>
  </si>
  <si>
    <t>6618</t>
  </si>
  <si>
    <t>NEUROL</t>
  </si>
  <si>
    <t>0,5MG TBL NOB 30</t>
  </si>
  <si>
    <t>91788</t>
  </si>
  <si>
    <t>0,25MG TBL NOB 30</t>
  </si>
  <si>
    <t>N05CD08</t>
  </si>
  <si>
    <t>239964</t>
  </si>
  <si>
    <t>MIDAZOLAM ACCORD</t>
  </si>
  <si>
    <t>5MG/ML INJ/INF SOL 10X1ML</t>
  </si>
  <si>
    <t>239967</t>
  </si>
  <si>
    <t>5MG/ML INJ/INF SOL 10X10ML</t>
  </si>
  <si>
    <t>N05CF02</t>
  </si>
  <si>
    <t>233360</t>
  </si>
  <si>
    <t>10MG TBL FLM 20</t>
  </si>
  <si>
    <t>233366</t>
  </si>
  <si>
    <t>10MG TBL FLM 50</t>
  </si>
  <si>
    <t>N05CM18</t>
  </si>
  <si>
    <t>136754</t>
  </si>
  <si>
    <t>136755</t>
  </si>
  <si>
    <t>N06AB04</t>
  </si>
  <si>
    <t>230409</t>
  </si>
  <si>
    <t>CITALEC</t>
  </si>
  <si>
    <t>230415</t>
  </si>
  <si>
    <t>72564</t>
  </si>
  <si>
    <t>40MG/ML INF CNC SOL 5X0,5ML</t>
  </si>
  <si>
    <t>N06AB06</t>
  </si>
  <si>
    <t>230071</t>
  </si>
  <si>
    <t>53950</t>
  </si>
  <si>
    <t>ZOLOFT</t>
  </si>
  <si>
    <t>50MG TBL FLM 28</t>
  </si>
  <si>
    <t>53951</t>
  </si>
  <si>
    <t>100MG TBL FLM 28</t>
  </si>
  <si>
    <t>N06AB10</t>
  </si>
  <si>
    <t>134503</t>
  </si>
  <si>
    <t>134514</t>
  </si>
  <si>
    <t>N06AX11</t>
  </si>
  <si>
    <t>49806</t>
  </si>
  <si>
    <t>ESPRITAL</t>
  </si>
  <si>
    <t>30MG TBL FLM 30</t>
  </si>
  <si>
    <t>N06AX16</t>
  </si>
  <si>
    <t>169109</t>
  </si>
  <si>
    <t>EFECTIN ER</t>
  </si>
  <si>
    <t>75MG CPS PRO 28 I</t>
  </si>
  <si>
    <t>N06DX01</t>
  </si>
  <si>
    <t>194043</t>
  </si>
  <si>
    <t>R03AC02</t>
  </si>
  <si>
    <t>231956</t>
  </si>
  <si>
    <t>237705</t>
  </si>
  <si>
    <t>R03DA04</t>
  </si>
  <si>
    <t>225510</t>
  </si>
  <si>
    <t>R06AX13</t>
  </si>
  <si>
    <t>216114</t>
  </si>
  <si>
    <t>R06AX27</t>
  </si>
  <si>
    <t>178682</t>
  </si>
  <si>
    <t>JOVESTO</t>
  </si>
  <si>
    <t>5MG TBL FLM 30 I</t>
  </si>
  <si>
    <t>178686</t>
  </si>
  <si>
    <t>0,5MG/ML POR SOL 120ML I</t>
  </si>
  <si>
    <t>V06XX</t>
  </si>
  <si>
    <t>217110</t>
  </si>
  <si>
    <t>217490</t>
  </si>
  <si>
    <t>217491</t>
  </si>
  <si>
    <t>217496</t>
  </si>
  <si>
    <t>217497</t>
  </si>
  <si>
    <t>33220</t>
  </si>
  <si>
    <t>POR SOL 1X225G</t>
  </si>
  <si>
    <t>33420</t>
  </si>
  <si>
    <t>33421</t>
  </si>
  <si>
    <t>33527</t>
  </si>
  <si>
    <t>33751</t>
  </si>
  <si>
    <t>33752</t>
  </si>
  <si>
    <t>NUTRIDRINK CREME S PŘÍCHUTÍ LESNÍHO OVOCE</t>
  </si>
  <si>
    <t>33833</t>
  </si>
  <si>
    <t>33847</t>
  </si>
  <si>
    <t>33848</t>
  </si>
  <si>
    <t>33859</t>
  </si>
  <si>
    <t>33935</t>
  </si>
  <si>
    <t>33936</t>
  </si>
  <si>
    <t>Přehled plnění pozitivního listu - spotřeba léčivých přípravků - orientační přehled</t>
  </si>
  <si>
    <t>59 - IPCHO: Oddělení int. péče chirurg. oborů</t>
  </si>
  <si>
    <t>50115020 - laboratorní diagnostika-LEK (Z501)</t>
  </si>
  <si>
    <t>50115022 - antigenní testy zaměstnanců FNOL</t>
  </si>
  <si>
    <t>50115030 - ZPr. - ostatní (testy) - COVID19 (Z556)</t>
  </si>
  <si>
    <t>50115040 - laboratorní materiál (Z505)</t>
  </si>
  <si>
    <t>50115050 - obvazový materiál (Z502)</t>
  </si>
  <si>
    <t>50115060 - ZPr - ostatní (Z503)</t>
  </si>
  <si>
    <t>50115062 - ZPr - materiál hemodialýza (Z525)</t>
  </si>
  <si>
    <t>50115063 - ZPr - vaky, sety (Z528)</t>
  </si>
  <si>
    <t>50115064 - ZPr - šicí materiál (Z529)</t>
  </si>
  <si>
    <t>50115065 - ZPr - vpichovací materiál (Z530)</t>
  </si>
  <si>
    <t>50115067 - ZPr - rukavice (Z532)</t>
  </si>
  <si>
    <t>50115070 - ZPr - katetry ostatní (Z513)</t>
  </si>
  <si>
    <t>50115079 - ZPr - internzivní péče (Z542)</t>
  </si>
  <si>
    <t>50115089 - ZPr - katetry PICC/MIDLINE (Z554)</t>
  </si>
  <si>
    <t>50115101 - ZPr - ostatní COVID 19 (Z558)</t>
  </si>
  <si>
    <t>50115020</t>
  </si>
  <si>
    <t>laboratorní diagnostika-LEK (Z501)</t>
  </si>
  <si>
    <t>DC515</t>
  </si>
  <si>
    <t>ÄŚistĂ­cĂ­ roztok k dekontaminaci 100 ml  (HYPOCHLORID.ROZTOK,S5362)</t>
  </si>
  <si>
    <t>DC319</t>
  </si>
  <si>
    <t>AUTOCHECK TM5+/LEVEL1/S7735</t>
  </si>
  <si>
    <t>DC402</t>
  </si>
  <si>
    <t>AUTOCHECK TM5+/LEVEL2/S7745</t>
  </si>
  <si>
    <t>DC320</t>
  </si>
  <si>
    <t>AUTOCHECK TM5+/LEVEL3/S7755</t>
  </si>
  <si>
    <t>DC321</t>
  </si>
  <si>
    <t>AUTOCHECK TM5+/LEVEL4/,S7765</t>
  </si>
  <si>
    <t>DH759</t>
  </si>
  <si>
    <t>Bactec Lytic/ 10 Anaerobic- plastic</t>
  </si>
  <si>
    <t>DH758</t>
  </si>
  <si>
    <t>Bactec Plus Aerobic-plastic</t>
  </si>
  <si>
    <t>DJ000</t>
  </si>
  <si>
    <t>Covid-19 Ag test 25 test</t>
  </si>
  <si>
    <t>DG395</t>
  </si>
  <si>
    <t>DiagnostickĂˇ souprava AB0 set monoklonĂˇlnĂ­ na 30</t>
  </si>
  <si>
    <t>DE022</t>
  </si>
  <si>
    <t>GlukĂłzovĂˇ membrĂˇnovĂˇ souprava</t>
  </si>
  <si>
    <t>DF171</t>
  </si>
  <si>
    <t>KALIBRAÄŚNĂŤ ROZTOK 1  S1820 (ABL 825)</t>
  </si>
  <si>
    <t>DF166</t>
  </si>
  <si>
    <t>KALIBRAÄŚNĂŤ ROZTOK 2  S1830 (ABL 825)</t>
  </si>
  <si>
    <t>DB437</t>
  </si>
  <si>
    <t>KALIBRACNI PLYN 1(10 bar)</t>
  </si>
  <si>
    <t>DC853</t>
  </si>
  <si>
    <t>KALIBRACNI PLYN 2</t>
  </si>
  <si>
    <t>DD309</t>
  </si>
  <si>
    <t>LaktĂˇtovĂˇ membrĂˇnovĂˇ souprava</t>
  </si>
  <si>
    <t>DD268</t>
  </si>
  <si>
    <t>MEMBRĂNOVĂ SOUPRAVA Ca</t>
  </si>
  <si>
    <t>DD269</t>
  </si>
  <si>
    <t>MEMBRĂNOVĂ SOUPRAVA Cl</t>
  </si>
  <si>
    <t>DD267</t>
  </si>
  <si>
    <t>MEMBRĂNOVĂ SOUPRAVA K+</t>
  </si>
  <si>
    <t>DB942</t>
  </si>
  <si>
    <t>MEMBRĂNOVĂ SOUPRAVA pCO2</t>
  </si>
  <si>
    <t>DD076</t>
  </si>
  <si>
    <t>MEMBRĂNOVĂ SOUPRAVA pO2</t>
  </si>
  <si>
    <t>DD075</t>
  </si>
  <si>
    <t>MEMBRĂNOVĂ SOUPRAVA REF.</t>
  </si>
  <si>
    <t>DF170</t>
  </si>
  <si>
    <t>NOVĂť ÄŚISTĂŤCĂŤ ROZTOK s aditivem, S8375 (ABL 825)</t>
  </si>
  <si>
    <t>DF445</t>
  </si>
  <si>
    <t>Odpadni nadoba D512 600 ml</t>
  </si>
  <si>
    <t>DF169</t>
  </si>
  <si>
    <t>PROPLACHOVACĂŤ ROZTOK 600 ml S4980 (ABL 825)</t>
  </si>
  <si>
    <t>DA001</t>
  </si>
  <si>
    <t>PROUZKY DIAPHAN pro samotestovĂˇnĂ­ 50ks</t>
  </si>
  <si>
    <t>DA002</t>
  </si>
  <si>
    <t>PROUZKY TETRAPHAN DIA  KATALOGO</t>
  </si>
  <si>
    <t>DC634</t>
  </si>
  <si>
    <t>THB KALIBRAÄŚNĂŤ ROZTOK,S7770</t>
  </si>
  <si>
    <t>50115022</t>
  </si>
  <si>
    <t>antigenní testy zaměstnanců FNOL</t>
  </si>
  <si>
    <t>DE537</t>
  </si>
  <si>
    <t>LITUO COVID-19 Ag 25testĹŻ - ZAMÄšSTNANCI</t>
  </si>
  <si>
    <t>50115040</t>
  </si>
  <si>
    <t>laboratorní materiál (Z505)</t>
  </si>
  <si>
    <t>ZC081</t>
  </si>
  <si>
    <t>MoÄŤomÄ›r bez teplomÄ›ru 710363</t>
  </si>
  <si>
    <t>50115050</t>
  </si>
  <si>
    <t>obvazový materiál (Z502)</t>
  </si>
  <si>
    <t>ZU250</t>
  </si>
  <si>
    <t>Fixace endotracheĂˇlnĂ­ch kanyl a ĹľaludeÄŤnĂ­ch sond Transafix, podloĹľka pod fixaÄŤnĂ­ pĂˇsku set (2 x podloĹľka), nesterilnĂ­, bal. Ăˇ 50 setĹŻ 8700700</t>
  </si>
  <si>
    <t>ZS170</t>
  </si>
  <si>
    <t>Fixace k CVC a PICC, TIDI GRIP-LOK, vhodnĂ© pro PU a silikon, univerzĂˇlnĂ­, uĹľĹˇĂ­, dĂ©lka 25,4 mm, sterilnĂ­ 3300MWA</t>
  </si>
  <si>
    <t>ZF749</t>
  </si>
  <si>
    <t>Fixace nosnĂ­ch katetrĹŻ nasofix niko stĹ™ednĂ­ S+M, bal. Ăˇ 100 ks 49-625-S-M</t>
  </si>
  <si>
    <t>ZA454</t>
  </si>
  <si>
    <t>Kompresa AB 10 x 10 cm/1 ks sterilnĂ­ NT savĂˇ (1230114011) 1327114011</t>
  </si>
  <si>
    <t>ZA459</t>
  </si>
  <si>
    <t>Kompresa AB 10 x 20 cm/1 ks sterilnĂ­ NT savĂˇ (1230114021) 1327115021</t>
  </si>
  <si>
    <t>ZC846</t>
  </si>
  <si>
    <t>Kompresa AB 15 x 25 cm/1 ks sterilnĂ­ NT savĂˇ (1230114031) 1327114031</t>
  </si>
  <si>
    <t>ZA563</t>
  </si>
  <si>
    <t>Kompresa AB 20 x 20 cm/1 ks sterilnĂ­ NT savĂˇ (1230114041) 1327114041</t>
  </si>
  <si>
    <t>ZA561</t>
  </si>
  <si>
    <t>Kompresa AB 20 x 40 cm/1 ks sterilnĂ­ NT savĂˇ (1230114051) 1327114051</t>
  </si>
  <si>
    <t>ZA539</t>
  </si>
  <si>
    <t>Kompresa NT 10 x 10 cm nesterilnĂ­ 06103</t>
  </si>
  <si>
    <t>ZC506</t>
  </si>
  <si>
    <t>Kompresa NT 10 x 10 cm/5 ks sterilnĂ­ 1325020275</t>
  </si>
  <si>
    <t>ZA463</t>
  </si>
  <si>
    <t>Kompresa NT 10 x 20 cm/2 ks sterilnĂ­ 26620</t>
  </si>
  <si>
    <t>ZC845</t>
  </si>
  <si>
    <t>Kompresa NT 10 x 20 cm/5 ks sterilnĂ­ 26621</t>
  </si>
  <si>
    <t>ZA315</t>
  </si>
  <si>
    <t>Kompresa NT 5 x 5 cm/2 ks sterilnĂ­ 26501</t>
  </si>
  <si>
    <t>ZA478</t>
  </si>
  <si>
    <t>KrytĂ­ actisorb plus 10,5 x 10,5 cm bal. Ăˇ 10 ks s aktivnĂ­m uhlĂ­m SYSMAP105EE</t>
  </si>
  <si>
    <t>ZA615</t>
  </si>
  <si>
    <t>KrytĂ­ cavilon tampĂłn ochrannĂ˝ bariĂ©rovĂ˝ nedrĂˇĹľdivĂ˝ film 1 ml bal. Ăˇ 25 ks 3343E</t>
  </si>
  <si>
    <t>ZM769</t>
  </si>
  <si>
    <t>KrytĂ­ cavilon ubrousky ochrannĂ˝ barierovĂ˝ nedrĂˇĹľdivĂ˝ film pro pĂ©ÄŤi pĹ™i inkontinenci 8 ubrouskĹŻ 20 x 30 cm bal. Ăˇ 96 ks 9274 DH888843488</t>
  </si>
  <si>
    <t>ZT768</t>
  </si>
  <si>
    <t>KrytĂ­ Curafix i.v. Control, fixace i.v. kanyl, s okĂ©nkem, 6 x 7,5 cm, sterilnĂ­, bal. Ăˇ 50 ks 33697</t>
  </si>
  <si>
    <t>ZD819</t>
  </si>
  <si>
    <t>KrytĂ­ debrisoft 10 x 10 cm bal. Ăˇ 5 ks 31222</t>
  </si>
  <si>
    <t>ZH403</t>
  </si>
  <si>
    <t>KrytĂ­ excilon 5 x 5 cm NT i.v. s nĂˇstĹ™ihem do kĹ™Ă­Ĺľe antiseptickĂ˝ bal. Ăˇ 70 ks 7089</t>
  </si>
  <si>
    <t>ZD482</t>
  </si>
  <si>
    <t>KrytĂ­ filmovĂ© transparentnĂ­ Opsite spray 240 ml bal. Ăˇ 12 ks 66004980</t>
  </si>
  <si>
    <t>ZA664</t>
  </si>
  <si>
    <t>KrytĂ­ gelovĂ© hydrokoloidnĂ­ Flamigel 250 ml FLAM250</t>
  </si>
  <si>
    <t>ZN814</t>
  </si>
  <si>
    <t>KrytĂ­ gelovĂ© na rĂˇny ActiMaris bal. Ăˇ 20g 3097749</t>
  </si>
  <si>
    <t>ZK405</t>
  </si>
  <si>
    <t>KrytĂ­ hemostatickĂ© gelitaspon standard 80 x 50 mm x 10 mm bal. Ăˇ 10 ks A2107861</t>
  </si>
  <si>
    <t>ZU301</t>
  </si>
  <si>
    <t>KrytĂ­ hemostatickĂ© surgispon standard 80 x 50 mm x 10 mm bal. Ăˇ 10 ks A3137073</t>
  </si>
  <si>
    <t>ZA550</t>
  </si>
  <si>
    <t>KrytĂ­ hydrogelovĂ© nu-gel 25 g bal. Ăˇ 6 ks MNG425</t>
  </si>
  <si>
    <t>ZA544</t>
  </si>
  <si>
    <t>KrytĂ­ inadine nepĹ™ilnavĂ© 5,0 x 5,0 cm 1/10 SYS01481EE</t>
  </si>
  <si>
    <t>ZA547</t>
  </si>
  <si>
    <t>KrytĂ­ inadine nepĹ™ilnavĂ© 9,5 x 9,5 cm 1/10 SYS01512EE</t>
  </si>
  <si>
    <t>ZA486</t>
  </si>
  <si>
    <t>KrytĂ­ mastnĂ˝ tyl jelonet   5 x 5 cm Ăˇ 50 ks 7403</t>
  </si>
  <si>
    <t>ZF042</t>
  </si>
  <si>
    <t>KrytĂ­ mastnĂ˝ tyl jelonet 10 x 10 cm Ăˇ 10 ks 7404</t>
  </si>
  <si>
    <t>ZL664</t>
  </si>
  <si>
    <t>KrytĂ­ mastnĂ˝ tyl s parafinem pharmatull 10 x 20 cm bal. Ăˇ 10 ks P-Tull1020</t>
  </si>
  <si>
    <t>KrytĂ­ mastnĂ˝ tyl s parafinem pharmatull 10 x 20 cm bal. Ăˇ 50 ks P-Tull1020</t>
  </si>
  <si>
    <t>ZL662</t>
  </si>
  <si>
    <t>KrytĂ­ mastnĂ˝ tyl s parafinem pharmatull 5 x   5 cm bal. Ăˇ 10 ks P-Tull5050</t>
  </si>
  <si>
    <t>ZB571</t>
  </si>
  <si>
    <t>KrytĂ­ melgisorb Ag alginĂˇtovĂ© 5 x 5 cm bal. Ăˇ 10 ks 256055</t>
  </si>
  <si>
    <t>ZE748</t>
  </si>
  <si>
    <t>KrytĂ­ melgisorb Ag alginĂˇtovĂ© absorpÄŤnĂ­ 10 x 10 cm bal. Ăˇ 10 ks 256105</t>
  </si>
  <si>
    <t>ZO458</t>
  </si>
  <si>
    <t>KrytĂ­ mepilex transfer Ag 10 x 12,5 cm bal. Ăˇ 5 ks 394100-00</t>
  </si>
  <si>
    <t>ZD631</t>
  </si>
  <si>
    <t>KrytĂ­ pharmafoam-trach. s vĂ˝Ĺ™ezem 8 x 8 cm bal. Ăˇ 10 ks P-Tracheo 808</t>
  </si>
  <si>
    <t>ZN815</t>
  </si>
  <si>
    <t>KrytĂ­ roztok k ÄŤiĹˇtÄ›nĂ­ a hojennĂ­ ran ActiMaris Forte 300 ml 3098077</t>
  </si>
  <si>
    <t>ZO128</t>
  </si>
  <si>
    <t>KrytĂ­ roztok k vĂ˝plachu a ÄŤiĹˇtÄ›nĂ­ ran ActiMaris Sensitiv 1000 ml 3098119</t>
  </si>
  <si>
    <t>ZA492</t>
  </si>
  <si>
    <t>KrytĂ­ suprasorb H 10 x 10 cm hydrokoloidnĂ­ standard bal. Ăˇ 10 ks (20403) 108830</t>
  </si>
  <si>
    <t>ZA493</t>
  </si>
  <si>
    <t>KrytĂ­ suprasorb H 5 x 10 cm hydrokoloidnĂ­  bal. Ăˇ 10 ks 108861</t>
  </si>
  <si>
    <t>ZC702</t>
  </si>
  <si>
    <t>KrytĂ­ tegaderm   6,0 cm x  7,0 cm bal. Ăˇ 100 ks 1624W</t>
  </si>
  <si>
    <t>ZA324</t>
  </si>
  <si>
    <t>KrytĂ­ tegaderm 10,0 cm x 12,0 cm bal. Ăˇ 50 ks 1626W</t>
  </si>
  <si>
    <t>ZL669</t>
  </si>
  <si>
    <t>KrytĂ­ tegaderm diamond 10,0 cm x 12,0 cm bal. Ăˇ 50 ks 1686</t>
  </si>
  <si>
    <t>ZK646</t>
  </si>
  <si>
    <t>KrytĂ­ tegaderm CHG 8,5 cm x 11,5 cm na CĹ˝K-antibakt. bal. Ăˇ 25 ks 1657R</t>
  </si>
  <si>
    <t>ZA543</t>
  </si>
  <si>
    <t>KrytĂ­ tielle pÄ›novĂ©   7 x  9 cm bal. Ăˇ 10 ks SYS MTL100 EE</t>
  </si>
  <si>
    <t>KrytĂ­ tielle pÄ›novĂ©   7 x  9 cm bal. Ăˇ 10 ks SYS MTL100 EE- jiĹľ se nevyrĂˇbĂ­</t>
  </si>
  <si>
    <t>ZA479</t>
  </si>
  <si>
    <t>KrytĂ­ tielle pÄ›novĂ© 11 x 11 cm bal. Ăˇ 10 ks SYS MTL101 EE</t>
  </si>
  <si>
    <t>ZA553</t>
  </si>
  <si>
    <t>KrytĂ­ tielle pÄ›novĂ© 18 x 18 cm bal. Ăˇ 5 ks SYS MTL103 EE</t>
  </si>
  <si>
    <t>ZA562</t>
  </si>
  <si>
    <t>NĂˇplast cosmopor i. v. 6 x 8 cm bal. Ăˇ 50 ks 9008054</t>
  </si>
  <si>
    <t>ZI558</t>
  </si>
  <si>
    <t>NĂˇplast curapor   7 x   5 cm 32912  (22120,  nĂˇhrada za cosmopor )</t>
  </si>
  <si>
    <t>ZI599</t>
  </si>
  <si>
    <t>NĂˇplast curapor 10 x   8 cm 32913 ( 22121,  nĂˇhrada za cosmopor )</t>
  </si>
  <si>
    <t>ZI600</t>
  </si>
  <si>
    <t>NĂˇplast curapor 10 x 15 cm 32914 ( nĂˇhrada za cosmopor )</t>
  </si>
  <si>
    <t>ZI601</t>
  </si>
  <si>
    <t>NĂˇplast curapor 10 x 20 cm 32915 ( nĂˇhrada za cosmopor )</t>
  </si>
  <si>
    <t>ZI602</t>
  </si>
  <si>
    <t>NĂˇplast curapor 10 x 34 cm 32918 ( nĂˇhrada za cosmopor )</t>
  </si>
  <si>
    <t>ZA418</t>
  </si>
  <si>
    <t>NĂˇplast metaline pod TS 8 x 9 cm 23094</t>
  </si>
  <si>
    <t>ZA419</t>
  </si>
  <si>
    <t>NĂˇplast octacare cotton tape- betaplast 10 cm x 5 m (510W) 10510</t>
  </si>
  <si>
    <t>ZC885</t>
  </si>
  <si>
    <t>NĂˇplast omnifix E 10 cm x 10 m 900650</t>
  </si>
  <si>
    <t>ZD111</t>
  </si>
  <si>
    <t>NĂˇplast omnifix E 5 cm x 10 m 9006493</t>
  </si>
  <si>
    <t>ZD104</t>
  </si>
  <si>
    <t>NĂˇplast omniplast 10,0 cm x 10,0 m 9004472 (900535)</t>
  </si>
  <si>
    <t>ZA451</t>
  </si>
  <si>
    <t>NĂˇplast omniplast 5,0 cm x 9,2 m 9004540 (900429)</t>
  </si>
  <si>
    <t>ZQ117</t>
  </si>
  <si>
    <t>NĂˇplast transparentnĂ­ Airoplast cĂ­vka 2,5 cm x 9,14 m (nĂˇhrada za transpore) P-AIRO2591</t>
  </si>
  <si>
    <t>ZA318</t>
  </si>
  <si>
    <t>NĂˇplast transpore 1,25 cm x 9,14 m 1527-0</t>
  </si>
  <si>
    <t>ZB084</t>
  </si>
  <si>
    <t>NĂˇplast transpore 2,50 cm x 9,14 m 1527-1 - nahrazeno ZQ117</t>
  </si>
  <si>
    <t>ZF352</t>
  </si>
  <si>
    <t>NĂˇplast transpore bĂ­lĂˇ 2,50 cm x 9,14 m bal. Ăˇ 12 ks 1534-1</t>
  </si>
  <si>
    <t>ZA542</t>
  </si>
  <si>
    <t>NĂˇplast wet pruf voduvzd. 1,25 cm x 9,14 m bal. Ăˇ 24 ks 3063C - ukonÄŤenĂˇ vĂ˝roba</t>
  </si>
  <si>
    <t>ZN475</t>
  </si>
  <si>
    <t>Obinadlo elastickĂ© universal   8 cm x 5 m 1323100312</t>
  </si>
  <si>
    <t>ZN478</t>
  </si>
  <si>
    <t>Obinadlo elastickĂ© universal 10 cm x 5 m 1323100313</t>
  </si>
  <si>
    <t>ZN477</t>
  </si>
  <si>
    <t>Obinadlo elastickĂ© universal 12 cm x 5 m 1323100314</t>
  </si>
  <si>
    <t>ZN476</t>
  </si>
  <si>
    <t>Obinadlo elastickĂ© universal 15 cm x 5 m 1323100315</t>
  </si>
  <si>
    <t>Obinadlo elastickĂ© universal 15 cm x 5 m 1323100315- dlouhodobĂ˝ vĂ˝padek do 11/2021</t>
  </si>
  <si>
    <t>ZU647</t>
  </si>
  <si>
    <t>Obinadlo elastickĂ© universal Mollelast 10 cm x 4 m, baleno jednotlivÄ› v celofĂˇnu, bal. Ăˇ 20 ks 14 413</t>
  </si>
  <si>
    <t>ZU648</t>
  </si>
  <si>
    <t>Obinadlo elastickĂ© universal Mollelast 12 cm x 4 m, baleno jednotlivÄ› v celofĂˇnu, bal. Ăˇ 20 ks 14 414</t>
  </si>
  <si>
    <t>ZA329</t>
  </si>
  <si>
    <t>Obinadlo fixa crep   6 cm x 4 m 1323100102</t>
  </si>
  <si>
    <t>ZA330</t>
  </si>
  <si>
    <t>Obinadlo fixa crep   8 cm x 4 m 1323100103</t>
  </si>
  <si>
    <t>ZA331</t>
  </si>
  <si>
    <t>Obinadlo fixa crep 10 cm x 4 m 1323100104</t>
  </si>
  <si>
    <t>ZA340</t>
  </si>
  <si>
    <t>Obinadlo hydrofilnĂ­ 12 cm x   5 m 13008</t>
  </si>
  <si>
    <t>ZP212</t>
  </si>
  <si>
    <t>Obvaz elastickĂ˝ sĂ­ĹĄovĂ˝ pruban Tg-fix vel. C paĹľe, noha, loket 25 m 24252</t>
  </si>
  <si>
    <t>ZP221</t>
  </si>
  <si>
    <t>Obvaz elastickĂ˝ sĂ­ĹĄovĂ˝ pruban Tg-fix vel. D vÄ›tĹˇĂ­ hlava, slabĹˇĂ­ trup 25 m 24253</t>
  </si>
  <si>
    <t>ZP301</t>
  </si>
  <si>
    <t>Obvaz elastickĂ˝ sĂ­ĹĄovĂ˝ pruban Tg-fix vel. E silnÄ›jĹˇĂ­ trup, kyÄŤel, podpaĹľdĂ­ 25 m 24254</t>
  </si>
  <si>
    <t>ZN180</t>
  </si>
  <si>
    <t>Pasta vyrovnĂˇvacĂ­ stomahesive 60 g 0002709 183910</t>
  </si>
  <si>
    <t>ZG893</t>
  </si>
  <si>
    <t>RouĹˇka proĹˇĂ­vanĂˇ na popĂˇleniny 40 x 60 cm karton Ăˇ 30 ks 28510</t>
  </si>
  <si>
    <t>ZA527</t>
  </si>
  <si>
    <t>Set na malĂ© zĂˇkroky sterilnĂ­ pro malĂ© chir.vĂ˝kony Mediset 4709673</t>
  </si>
  <si>
    <t>ZD616</t>
  </si>
  <si>
    <t>Set na malĂ© zĂˇkroky sterilnĂ­ pro moÄŤovou katetrizaci+ aqua permanent 4 Mediset 4753886</t>
  </si>
  <si>
    <t>TampĂłn cavilon 1 ml bal. Ăˇ 25 ks 3343E</t>
  </si>
  <si>
    <t>ZK561</t>
  </si>
  <si>
    <t>Tampon nesterilnĂ­ NT 20 x 20 pr. 35 mm 12 x 250 ks 1320104211</t>
  </si>
  <si>
    <t>ZA502</t>
  </si>
  <si>
    <t>Tampon nesterilnĂ­ stĂˇÄŤenĂ˝ 30 x 60 cm 1320300406</t>
  </si>
  <si>
    <t>ZA593</t>
  </si>
  <si>
    <t>Tampon sterilnĂ­ stĂˇÄŤenĂ˝ 20 x 20 cm / 5 ks 28003+</t>
  </si>
  <si>
    <t>ZA617</t>
  </si>
  <si>
    <t>Tampon TC-OC k oĹˇetĹ™enĂ­ dutiny ĂşstnĂ­ Ăˇ 250 ks 12240</t>
  </si>
  <si>
    <t>ZA466</t>
  </si>
  <si>
    <t>TyÄŤinka vatovĂˇ sterilnĂ­ 14 cm bal. Ăˇ 200 ks 9679501</t>
  </si>
  <si>
    <t>ZA604</t>
  </si>
  <si>
    <t>TyÄŤinka vatovĂˇ sterilnĂ­ jednotlivÄ› balalenĂˇ bal. Ăˇ 1000 ks 5100/SG/CS</t>
  </si>
  <si>
    <t>Ubrousky cavilon pro pĂ©ÄŤi pĹ™i inkontinenci 8 ubrouskĹŻ 20 x 30 cm bal. Ăˇ 96 ks 9274 DH888843488</t>
  </si>
  <si>
    <t>ZQ569</t>
  </si>
  <si>
    <t>Vata buniÄŤitĂˇ dÄ›lenĂˇ cellin 2 role / 500 ks 40 x 50 mm 1230206310</t>
  </si>
  <si>
    <t>ZA446</t>
  </si>
  <si>
    <t>Vata buniÄŤitĂˇ pĹ™Ă­Ĺ™ezy 20 x 30 cm 0,5 kg 1230200129</t>
  </si>
  <si>
    <t>Vata buniÄŤitĂˇ pĹ™Ă­Ĺ™ezy 20 x 30 cm 1230200129</t>
  </si>
  <si>
    <t>ZA530</t>
  </si>
  <si>
    <t>VloĹľky hygienickĂ© samu 7162212</t>
  </si>
  <si>
    <t>50115060</t>
  </si>
  <si>
    <t>ZPr - ostatní (Z503)</t>
  </si>
  <si>
    <t>ZQ861</t>
  </si>
  <si>
    <t>AdaptĂ©r bolusovĂ˝ ke stĹ™Ă­kaÄŤce injekÄŤnĂ­ pro enterĂˇlnĂ­ vĂ˝Ĺľivu NUTRICIA ENFIT (na kusy) 589740</t>
  </si>
  <si>
    <t>ZT164</t>
  </si>
  <si>
    <t>AdaptĂ©r Flocare univerzĂˇlnĂ­, na lahve pro enterĂˇlnĂ­ vĂ˝Ĺľivu s prĹŻm. hrdla 40 mm a 26 mm, kompatibilnĂ­ s lahvemi Infatrini a Infatrini Peptisorb 570063(3165884)</t>
  </si>
  <si>
    <t>ZB876</t>
  </si>
  <si>
    <t>AdaptĂ©r k aquapaku 1070 ml bal. Ăˇ 50 ks 403128</t>
  </si>
  <si>
    <t>ZB557</t>
  </si>
  <si>
    <t>AdaptĂ©r pĹ™echodka combifix rekord - luer 4090306</t>
  </si>
  <si>
    <t>ZK693</t>
  </si>
  <si>
    <t>Aquapak - sterilnĂ­ voda 1070 ml + adaptĂ©r (teplĂˇ nebulizace - maska) bal. 10 ks 404128</t>
  </si>
  <si>
    <t>ZE178</t>
  </si>
  <si>
    <t>Aquapak - sterilnĂ­ voda 340 ml bez adaptĂ©ru bal. Ăˇ 20 ks 400301</t>
  </si>
  <si>
    <t>ZD650</t>
  </si>
  <si>
    <t>Aquapak - sterilnĂ­ voda 340 ml s adaptĂ©rem (studenĂˇ nebulizace - kyslĂ­kovĂ© brĂ˝le) bal. Ăˇ 20 ks 400340</t>
  </si>
  <si>
    <t>Aquapak - sterilnĂ­ voda 340 ml s adaptĂ©rem (studenĂˇ nebulizace - kyslĂ­kovĂ© brĂ˝le) bal. Ăˇ 20 ks 400340 - povoleno pouze pro HOK</t>
  </si>
  <si>
    <t>ZC751</t>
  </si>
  <si>
    <t>ÄŚepelka skalpelovĂˇ 11 BB511</t>
  </si>
  <si>
    <t>ZC755</t>
  </si>
  <si>
    <t>ÄŚepelka skalpelovĂˇ 22 BB522</t>
  </si>
  <si>
    <t>ZN618</t>
  </si>
  <si>
    <t>BrĂ˝le kyslĂ­kovĂ© pro dospÄ›lĂ© 210 cm A0100</t>
  </si>
  <si>
    <t>ZK975</t>
  </si>
  <si>
    <t>CĂ©vka odsĂˇvacĂ­ CH10 s pĹ™eruĹˇovaÄŤem sĂˇnĂ­, dĂ©lka 50 cm, P01169a</t>
  </si>
  <si>
    <t>ZK976</t>
  </si>
  <si>
    <t>CĂ©vka odsĂˇvacĂ­ CH12 s pĹ™eruĹˇovaÄŤem sĂˇnĂ­, dĂ©lka 50 cm, P01171a</t>
  </si>
  <si>
    <t>ZK977</t>
  </si>
  <si>
    <t>CĂ©vka odsĂˇvacĂ­ CH14 s pĹ™eruĹˇovaÄŤem sĂˇnĂ­, dĂ©lka 50 cm, P01173a</t>
  </si>
  <si>
    <t>ZK978</t>
  </si>
  <si>
    <t>CĂ©vka odsĂˇvacĂ­ CH16 s pĹ™eruĹˇovaÄŤem sĂˇnĂ­, dĂ©lka 50 cm, P01175a</t>
  </si>
  <si>
    <t>ZK979</t>
  </si>
  <si>
    <t>CĂ©vka odsĂˇvacĂ­ CH18 s pĹ™eruĹˇovaÄŤem sĂˇnĂ­, dĂ©lka 50 cm, P01177a</t>
  </si>
  <si>
    <t>ZB770</t>
  </si>
  <si>
    <t>DrĹľĂˇk jehly Vacuette excentrickĂ˝ Holdex 450263</t>
  </si>
  <si>
    <t>ZB771</t>
  </si>
  <si>
    <t>DrĹľĂˇk jehly Vacuette zĂˇkladnĂ­ 450201</t>
  </si>
  <si>
    <t>ZQ490</t>
  </si>
  <si>
    <t>Elektroda EKG pÄ›novĂˇ pr. 48 mm pro dospÄ›lĂ© pro dlouhodobĂ© pouĹľitĂ­ (ES GS48) H-108003</t>
  </si>
  <si>
    <t>ZA737</t>
  </si>
  <si>
    <t>Filtr mini spike modrĂ˝ 4550234</t>
  </si>
  <si>
    <t>ZA738</t>
  </si>
  <si>
    <t>Filtr mini spike zelenĂ˝ 4550242</t>
  </si>
  <si>
    <t>ZU520</t>
  </si>
  <si>
    <t>Gel lubrikaÄŤnĂ­ OptiLube - tuba 113 g bal. Ăˇ 12 ks OMS: 1127</t>
  </si>
  <si>
    <t>ZQ249</t>
  </si>
  <si>
    <t>HadiÄŤka spojovacĂ­ HS 1,8 x 1800 mm LL DEPH free 2200 180 ND</t>
  </si>
  <si>
    <t>ZQ248</t>
  </si>
  <si>
    <t>HadiÄŤka spojovacĂ­ HS 1,8 x 450 mm LL DEPH free 2200 045 ND</t>
  </si>
  <si>
    <t>ZB908</t>
  </si>
  <si>
    <t>HadiÄŤka spojovacĂ­ ĹľlutĂˇ 1 mm x 1500 mm pro svÄ›tlocitlivĂ© lĂ©ky bal. Ăˇ 20 ks 1100 1150ND</t>
  </si>
  <si>
    <t>ZT994</t>
  </si>
  <si>
    <t>Jehelec - HEGAR, rovnĂ˝, 205 mm 019-264-205</t>
  </si>
  <si>
    <t>ZB449</t>
  </si>
  <si>
    <t>Kanyla ET 7,0 s manĹľetou 9570E</t>
  </si>
  <si>
    <t>ZB386</t>
  </si>
  <si>
    <t>Kanyla ET 7,5 s manĹľetou 9475E</t>
  </si>
  <si>
    <t>ZB387</t>
  </si>
  <si>
    <t>Kanyla ET 8,0 s manĹľetou 9480E</t>
  </si>
  <si>
    <t>ZB388</t>
  </si>
  <si>
    <t>Kanyla ET 8,5 s manĹľetou 9485E</t>
  </si>
  <si>
    <t>ZQ508</t>
  </si>
  <si>
    <t>Kanyla nosnĂ­ OptiFlow Plus k pĹ™Ă­stroji AIRVO2, velikost M P06105</t>
  </si>
  <si>
    <t>ZD980</t>
  </si>
  <si>
    <t>Kanyla perifernĂ­ venĂłznĂ­ vasofix 18G zelenĂˇ s injekÄŤnĂ­m portem, safety 4269136S-01</t>
  </si>
  <si>
    <t>ZD809</t>
  </si>
  <si>
    <t>Kanyla perifernĂ­ venĂłznĂ­ vasofix 20G rĹŻĹľovĂˇ s injekÄŤnĂ­m portem, safety 4269110S-01</t>
  </si>
  <si>
    <t>ZD808</t>
  </si>
  <si>
    <t>Kanyla perifernĂ­ venĂłznĂ­ vasofix 22G modrĂˇ s injekÄŤnĂ­m portem, safety 4269098S-01</t>
  </si>
  <si>
    <t>ZA279</t>
  </si>
  <si>
    <t>Kanyla TS 7,0 s manĹľetou 100/800/070</t>
  </si>
  <si>
    <t>ZH335</t>
  </si>
  <si>
    <t>Kanyla TS 7,0 s manĹľetou bal. Ăˇ 2 ks 100/523/070</t>
  </si>
  <si>
    <t>ZB105</t>
  </si>
  <si>
    <t>Kanyla TS 7,5 s manĹľetou 100/800/075</t>
  </si>
  <si>
    <t>ZA996</t>
  </si>
  <si>
    <t>Kanyla TS 8,0 s manĹľetou 100/800/080</t>
  </si>
  <si>
    <t>ZB314</t>
  </si>
  <si>
    <t>Kanyla TS 8,0 s manĹľetou bal. Ăˇ 2 ks 100/523/080</t>
  </si>
  <si>
    <t>ZC982</t>
  </si>
  <si>
    <t>Kanyla TS 8,5 s manĹľetou bal. Ăˇ 10 ks 100/860/085</t>
  </si>
  <si>
    <t>ZB548</t>
  </si>
  <si>
    <t>Kanyla TS 9,0 s manĹľetou bal. Ăˇ 10 ks 100/800/090</t>
  </si>
  <si>
    <t>ZB263</t>
  </si>
  <si>
    <t>Kanyla TS 9,0 s manĹľetou bal. Ăˇ 2 ks 100/523/090</t>
  </si>
  <si>
    <t>ZD979</t>
  </si>
  <si>
    <t>Kanyla venĂłznĂ­ perifernĂ­ vasofix 17G bĂ­lĂˇ s injekÄŤnĂ­m portem, safety 4269152S-01</t>
  </si>
  <si>
    <t>Kanyla venĂłznĂ­ perifernĂ­ vasofix 20G rĹŻĹľovĂˇ s injekÄŤnĂ­m portem, safety 4269110S-01</t>
  </si>
  <si>
    <t>Kanyla venĂłznĂ­ perifernĂ­ vasofix 22G modrĂˇ s injekÄŤnĂ­m portem, safety 4269098S-01</t>
  </si>
  <si>
    <t>ZB724</t>
  </si>
  <si>
    <t>KapilĂˇra sedimentaÄŤnĂ­ Vacuette kalibrovanĂˇ 727111</t>
  </si>
  <si>
    <t>ZC490</t>
  </si>
  <si>
    <t>KartĂˇÄŤek zubnĂ­ s odsĂˇvĂˇnĂ­m P2220</t>
  </si>
  <si>
    <t>ZF985</t>
  </si>
  <si>
    <t>Katetr moÄŤovĂ˝ foley 24CH bal. Ăˇ 12 ks 1620-02</t>
  </si>
  <si>
    <t>ZN409</t>
  </si>
  <si>
    <t>Katetr moÄŤovĂ˝ nelaton 14CH Silasil balĂłnkovĂ˝ 28 dnĂ­ bal. Ăˇ 10 ks 186005-000140</t>
  </si>
  <si>
    <t>ZN410</t>
  </si>
  <si>
    <t>Katetr moÄŤovĂ˝ nelaton 16CH Silasil balĂłnkovĂ˝ 28 dnĂ­ bal. Ăˇ 10 ks 186005-000160</t>
  </si>
  <si>
    <t>ZN411</t>
  </si>
  <si>
    <t>Katetr moÄŤovĂ˝ nelaton 18CH Silasil balĂłnkovĂ˝ 28 dnĂ­ bal. Ăˇ 10 ks 186005-000180</t>
  </si>
  <si>
    <t>ZN412</t>
  </si>
  <si>
    <t>Katetr moÄŤovĂ˝ nelaton 20CH Silasil balĂłnkovĂ˝ 28 dnĂ­ bal. Ăˇ 10 ks 186005-000200</t>
  </si>
  <si>
    <t>ZK884</t>
  </si>
  <si>
    <t>Kohout trojcestnĂ˝ discofix modrĂ˝ 4095111</t>
  </si>
  <si>
    <t>ZB477</t>
  </si>
  <si>
    <t>Kohout trojcestnĂ˝ lopez valve pro NG sondu nesterilnĂ­ bal. Ăˇ 50 ks AA-011-M9000</t>
  </si>
  <si>
    <t>ZK735</t>
  </si>
  <si>
    <t>Konektor bezjehlovĂ˝ caresite bal. Ăˇ 200 ks 415122-01</t>
  </si>
  <si>
    <t>Konektor bezjehlovĂ˝ caresite bal. Ăˇ 200 ks dohodnutĂˇ cena 10,- KÄŤ bez DPH 415122</t>
  </si>
  <si>
    <t>ZO372</t>
  </si>
  <si>
    <t>Konektor bezjehlovĂ˝ OptiSyte JIM:JSM4001</t>
  </si>
  <si>
    <t>Konektor bezjehlovĂ˝ OptiSyte JIM:JSM4001 - nahrazeno ZK735</t>
  </si>
  <si>
    <t>ZO087</t>
  </si>
  <si>
    <t>Konektor flocare na aplikaÄŤnĂ­ set s konektorem Luer EAN 8716900563966 NOVĂť 30 ks 589735</t>
  </si>
  <si>
    <t>ZQ860</t>
  </si>
  <si>
    <t>Konektor flocare pro aplikaci enterĂˇlnĂ­ vĂ˝Ĺľivy NUTRICIA PEG 18 CH ENFit (na kusy) 591396</t>
  </si>
  <si>
    <t>ZP163</t>
  </si>
  <si>
    <t>Konektor flocare stupĹovĂ˝ pro sondu typu ENLock/sondu s kĂłnusovĂ˝m konektorem EAN 8716900563904 bal. Ăˇ 30 ks 589828</t>
  </si>
  <si>
    <t>ZM513</t>
  </si>
  <si>
    <t>Konektor ventil jednocestnĂ˝ back check valve 8502802</t>
  </si>
  <si>
    <t>ZP078</t>
  </si>
  <si>
    <t>Kontejner 25 ml PP ĹˇroubovĂ˝ sterilnĂ­ uzĂˇvÄ›r 2680/EST/SG</t>
  </si>
  <si>
    <t>ZB488</t>
  </si>
  <si>
    <t>KrytĂ­ cavilon sprej ochrannĂ˝ barierovĂ˝ nedrĂˇĹľdivĂ˝ film 28 ml bal. Ăˇ 12 ks 3346E</t>
  </si>
  <si>
    <t>ZT997</t>
  </si>
  <si>
    <t>Kyreta dÄ›loĹľnĂ­ Simon ostrĂˇ pevnĂˇ 240 mm 030-600-002</t>
  </si>
  <si>
    <t>ZT995</t>
  </si>
  <si>
    <t>Kyreta kostnĂ­ Volkmann 200 mm dvojitĂ˝ konec 024-344-200</t>
  </si>
  <si>
    <t>ZQ895</t>
  </si>
  <si>
    <t>Kyveta CO2 k plicnĂ­mu ventilĂˇtoru Hamilton G5, pro dospÄ›lĂ©/dÄ›ti, jednorĂˇzovĂˇ bal. Ăˇ 10 ks 6063-00, 281719</t>
  </si>
  <si>
    <t>ZP300</t>
  </si>
  <si>
    <t>Ĺ krtidlo se sponou pro dospÄ›lĂ© bez latexu modrĂ© dĂ©lka 400 mm 09820-B</t>
  </si>
  <si>
    <t>ZB054</t>
  </si>
  <si>
    <t>LĂˇhev 2,00 l ĹˇroubovĂ˝ uzĂˇvÄ›r 000-030-000 (111-888-200)</t>
  </si>
  <si>
    <t>ZB102</t>
  </si>
  <si>
    <t>LĂˇhev k odsĂˇvaÄŤce flovac 1l hadice 1,8 m Ăˇ 45 ks 000-036-020</t>
  </si>
  <si>
    <t>ZB103</t>
  </si>
  <si>
    <t>LĂˇhev k odsĂˇvaÄŤce flovac 2l hadice 1,8 m 000-036-021</t>
  </si>
  <si>
    <t>ZC059</t>
  </si>
  <si>
    <t>LĂˇhev redon drenofast 400 ml-kompletnĂ­ bal. Ăˇ 40 ks 28400</t>
  </si>
  <si>
    <t>ZH300</t>
  </si>
  <si>
    <t>LĹľĂ­ce laryngoskopickĂˇ Safeview-Fibre Optic 4 bal. Ăˇ 10 ks Macintosh jednorĂˇzovĂˇ kovovĂˇ 670150-100040</t>
  </si>
  <si>
    <t>ZA728</t>
  </si>
  <si>
    <t>Lopatka ĂşstnĂ­ dĹ™evÄ›nĂˇ lĂ©kaĹ™skĂˇ nesterilnĂ­ bal. Ăˇ 100 ks 1320100655</t>
  </si>
  <si>
    <t>ZA713</t>
  </si>
  <si>
    <t>MÄ›Ĺ™iÄŤ ĹľilnĂ­ho tlaku 01 646992</t>
  </si>
  <si>
    <t>ZB812</t>
  </si>
  <si>
    <t>ManĹľeta fixaÄŤnĂ­ Ute-Fix bal. Ăˇ 60 ks NKS:40-05</t>
  </si>
  <si>
    <t>ZC166</t>
  </si>
  <si>
    <t>ManĹľeta pĹ™etlakovĂˇ 500 ml kompletnĂ­ (100 051-018-803) 100 ZIT-500</t>
  </si>
  <si>
    <t>ZE203</t>
  </si>
  <si>
    <t>ManĹľeta TK k monitoru Philips a dalĹˇĂ­ jednohadiÄŤkovĂˇ s vloĹľkou 18 - 26 cm dÄ›tskĂˇ MEC 1200 NIBPHPD</t>
  </si>
  <si>
    <t>ZE195</t>
  </si>
  <si>
    <t>ManĹľeta TK k monitoru Philips a dalĹˇĂ­ jednohadiÄŤkovĂˇ s vloĹľkou 25 - 35 cm dospÄ›lĂˇ MEC 1200 NIBPHPA</t>
  </si>
  <si>
    <t>ZD814</t>
  </si>
  <si>
    <t>ManĹľeta TK k monitoru Philips obĂ©znĂ­ 17 x 60 cm KVS M1 6ZOM</t>
  </si>
  <si>
    <t>ZB948</t>
  </si>
  <si>
    <t>MikronebulizĂ©r MicroMist bal. Ăˇ 50 ks 41891</t>
  </si>
  <si>
    <t>ZO930</t>
  </si>
  <si>
    <t>NĂˇdoba 100 ml PP 72/62 mm s pĹ™iloĹľenĂ˝m uzĂˇvÄ›rem bĂ­lĂ© vĂ­ÄŤko sterilnĂ­ na tekutĂ˝ materiĂˇl 75.562.105</t>
  </si>
  <si>
    <t>ZF192</t>
  </si>
  <si>
    <t>NĂˇdoba na kontaminovanĂ˝ ostrĂ˝ odpad 4 l  kulatĂˇ  15-0004</t>
  </si>
  <si>
    <t>NĂˇdoba na kontaminovanĂ˝ ostrĂ˝ odpad 4,0 l  kulatĂˇ, 15,5cm; Ă 24cm/20cm, vÄŤetnÄ› samolepky 15-0023</t>
  </si>
  <si>
    <t>ZQ144</t>
  </si>
  <si>
    <t>NĹŻĹľky chirurgickĂ© rovnĂ© hrotnatotupĂ© 150 mm TK-AJ 024-15</t>
  </si>
  <si>
    <t>ZQ137</t>
  </si>
  <si>
    <t>NĹŻĹľky chirurgickĂ© rovnĂ© hrtonatĂ© 130 mm TK-AJ 025-13</t>
  </si>
  <si>
    <t>ZT996</t>
  </si>
  <si>
    <t>NĹŻĹľky chirurgickĂ©,Standard rovnĂ© 115 mm ostrĂ© 012-104-115</t>
  </si>
  <si>
    <t>ZT992</t>
  </si>
  <si>
    <t>NĹŻĹľky IRIS jemnĂ© chirurgickĂ© ostrĂ© 115 mm 012-270-115</t>
  </si>
  <si>
    <t>ZB475</t>
  </si>
  <si>
    <t>OdstraĹovaÄŤ koĹľnĂ­ch svorek bal. Ăˇ 20 ks 11.000.00.036</t>
  </si>
  <si>
    <t>ZB439</t>
  </si>
  <si>
    <t>OdstraĹovaÄŤ nĂˇplastĂ­ Convacare Ăˇ 100 ks 0011279 37443</t>
  </si>
  <si>
    <t>ZD040</t>
  </si>
  <si>
    <t>PĂˇska bepa clip vario pro TS kanylu 25/V Ăˇ 60 ks NKS:200502</t>
  </si>
  <si>
    <t>ZF512</t>
  </si>
  <si>
    <t>PĂˇska bepa clip vario pro TS kanylu 30/V Ăˇ 30 ks NKS:200602</t>
  </si>
  <si>
    <t>ZB507</t>
  </si>
  <si>
    <t>PĂˇska fixaÄŤnĂ­ SOFT FIX, set-4 druhy, 9 rolĂ­ NKS:30-05</t>
  </si>
  <si>
    <t>ZQ143</t>
  </si>
  <si>
    <t>Pinzeta anatomickĂˇ rovnĂˇ ĂşzkĂˇ 145 mm TK-BA 100-14</t>
  </si>
  <si>
    <t>ZT999</t>
  </si>
  <si>
    <t>Pinzeta anatomickĂˇ, rovnĂˇ 115 m0 standard 013-100-115</t>
  </si>
  <si>
    <t>ZP470</t>
  </si>
  <si>
    <t>Pinzeta chirurgickĂˇ rovnĂˇ 1 Ă— 2 zuby 130 mm B397114910012</t>
  </si>
  <si>
    <t>ZO010</t>
  </si>
  <si>
    <t>Pinzeta chirurgickĂˇ rovnĂˇ standard 1 x 2 zuby 140 mm 1141113014</t>
  </si>
  <si>
    <t>ZU000</t>
  </si>
  <si>
    <t>Pinzeta chirurgickĂˇ standard rovnĂˇ 115 mm 1 x 2 zuby 013-200-115</t>
  </si>
  <si>
    <t>ZR149</t>
  </si>
  <si>
    <t>PodloĹľka antidekubitnĂ­ opÄ›radlo SlĂˇva vertikalizaÄŤnĂ­ klĂ­n 50 x 60 x 40 cm 210-VK-V</t>
  </si>
  <si>
    <t>ZN426</t>
  </si>
  <si>
    <t>PodloĹľka natura flexibilnĂ­ 45 mm bal. Ăˇ 5 ks 125902</t>
  </si>
  <si>
    <t>ZI347</t>
  </si>
  <si>
    <t>PodloĹľka natura flexibilnĂ­ 57 mm bal. Ăˇ 5 ks 0086766 125903</t>
  </si>
  <si>
    <t>ZI346</t>
  </si>
  <si>
    <t>PodloĹľka natura flexibilnĂ­ 70 mm bal. Ăˇ 5 ks 0086767 125904</t>
  </si>
  <si>
    <t>ZC791</t>
  </si>
  <si>
    <t>PodloĹľka pro TS kanylu Novo-Pad bal. Ăˇ 25 ks NKS:70-10</t>
  </si>
  <si>
    <t>ZJ673</t>
  </si>
  <si>
    <t>PohĂˇr na moÄŤ 100 ml UH GAMA204808</t>
  </si>
  <si>
    <t>ZJ672</t>
  </si>
  <si>
    <t>PohĂˇr na moÄŤ 250 ml UH GAMA204809</t>
  </si>
  <si>
    <t>ZL688</t>
  </si>
  <si>
    <t>ProuĹľky diagnostickĂ© Accu-Check Inform II Strip 50 EU1 Ăˇ 50 ks 05942861041</t>
  </si>
  <si>
    <t>ZA691</t>
  </si>
  <si>
    <t>Rampa 3 kohouty discofix 16600C/4085434/</t>
  </si>
  <si>
    <t>ZK435</t>
  </si>
  <si>
    <t>Rampa 5 kohoutĹŻ discofix bal. Ăˇ 40 ks 16608C (4085450)</t>
  </si>
  <si>
    <t>ZR862</t>
  </si>
  <si>
    <t>RegulĂˇtor prĹŻtoku infuze  GAMA GROUP, prĹŻtok 10-300 ml/hod, vÄŤetnÄ› spojovacĂ­ hadiÄŤky, celkovĂˇ dĂ©lka 50 cm, sterilnĂ­, jednorĂˇzovĂ˝ 606145-ND</t>
  </si>
  <si>
    <t>ZA883</t>
  </si>
  <si>
    <t>Rourka rektĂˇlnĂ­ CH18 dĂ©lka 40 cm 19-18.100</t>
  </si>
  <si>
    <t>ZA831</t>
  </si>
  <si>
    <t>Rourka rektĂˇlnĂ­ CH20 dĂ©lka 40 cm 19-20.100</t>
  </si>
  <si>
    <t>ZA884</t>
  </si>
  <si>
    <t>Rourka rektĂˇlnĂ­ CH22 dĂ©lka 40 cm 19-22.100</t>
  </si>
  <si>
    <t>ZL689</t>
  </si>
  <si>
    <t>Roztok Accu-Check Performa IntÂ´l Controls 1+2 level 04861736001</t>
  </si>
  <si>
    <t>ZA688</t>
  </si>
  <si>
    <t>SĂˇÄŤek moÄŤovĂ˝ s hodinovou diurĂ©zou curity 400, 2000 ml, hadiÄŤka 150 cm 8150</t>
  </si>
  <si>
    <t>SĂˇÄŤek moÄŤovĂ˝ s hodinovou diurĂ©zou curity 400, 2000 ml, hadiÄŤka 150 cm 8150  - nahrazuje ZB945</t>
  </si>
  <si>
    <t>SĂˇÄŤek moÄŤovĂ˝ s hodinovou diurĂ©zou curity 400, 2000 ml, hadiÄŤka 150 cm 8150 - vĂ˝padek do 1/2021</t>
  </si>
  <si>
    <t>ZB945</t>
  </si>
  <si>
    <t>SĂˇÄŤek moÄŤovĂ˝ s hodinovou diurĂ©zou typ D8 500 ml 2600 ml hadiÄŤka 130 cm (25045182) 53.712.08.000</t>
  </si>
  <si>
    <t>SĂˇÄŤek moÄŤovĂ˝ s hodinovou diurĂ©zou typ D8 500 ml 2600 ml hadiÄŤka 130 cm 53.712.08.000 - nahrazuje ZA688</t>
  </si>
  <si>
    <t>ZQ252</t>
  </si>
  <si>
    <t>SĂˇÄŤek moÄŤovĂ˝ s hodinovou diurĂ©zou urine meter 500 ml, 2000 ml, hadiÄŤka 150 cm V2 bal. Ăˇ 20 ks S-1227</t>
  </si>
  <si>
    <t>ZB249</t>
  </si>
  <si>
    <t>SĂˇÄŤek moÄŤovĂ˝ s kĹ™Ă­Ĺľovou vĂ˝pustĂ­ 2000 ml s hadiÄŤkou 90 cm ZAR-TNU201601</t>
  </si>
  <si>
    <t>ZE884</t>
  </si>
  <si>
    <t>SĂˇÄŤek vĂ˝pustnĂ˝ + invisiclose natura 57 mm bĂ©ĹľovĂ˝ standard bal. Ăˇ 10 ks 0082654 416420</t>
  </si>
  <si>
    <t>ZI344</t>
  </si>
  <si>
    <t>SĂˇÄŤek vĂ˝pustnĂ˝ + invisiclose natura 70 mm bĂ©ĹľovĂ˝ standard bal. Ăˇ 10 ks 0082655 416423</t>
  </si>
  <si>
    <t>ZJ194</t>
  </si>
  <si>
    <t>SĂˇÄŤek vĂ˝pustnĂ˝ natura 57 mm prĹŻhlednĂ˝ urostomickĂ˝ bal. Ăˇ 10 ks 401536</t>
  </si>
  <si>
    <t>ZI345</t>
  </si>
  <si>
    <t>SĂˇÄŤek vĂ˝pustnĂ˝ natura 70 mm prĹŻhlednĂ˝ urostomickĂ˝ bal. Ăˇ 10 ks 401537</t>
  </si>
  <si>
    <t>ZI789</t>
  </si>
  <si>
    <t>SĂˇÄŤek vĂ˝pustnĂ˝ natura urostomickĂ˝ prĹŻhlednĂ˝ standard 45 mm Ăˇ 10 ks 401535</t>
  </si>
  <si>
    <t>ZB656</t>
  </si>
  <si>
    <t>Senzor k mÄ›Ĺ™enĂ­ hemodynamiky flotrac s hadiÄŤkou 152 cm k monitoru VIGILEO MHD6R</t>
  </si>
  <si>
    <t>ZD702</t>
  </si>
  <si>
    <t>Set dialyzaÄŤnĂ­ Multifiltrate Ci-Ca CVVHD 1000 5039011</t>
  </si>
  <si>
    <t>ZP046</t>
  </si>
  <si>
    <t>Set dialyzaÄŤnĂ­ Multifiltrate PRO CiCa HD 1000 F00000463</t>
  </si>
  <si>
    <t>ZT488</t>
  </si>
  <si>
    <t>Set dialyzaÄŤnĂ­ multiFiltrate PRO SecuKit Ci-Ca HD 1000 F00008264</t>
  </si>
  <si>
    <t>ZA967</t>
  </si>
  <si>
    <t>Set flocare pro enterĂˇlnĂ­ vĂ˝Ĺľivu 800 Pack Transition novĂ˝ pro vaky ( APA 3386175) 586512</t>
  </si>
  <si>
    <t>ZN906</t>
  </si>
  <si>
    <t>Set Flocare pro enterĂˇlnĂ­ vĂ˝Ĺľivu Infinity Pack s konektory ENFit, kompatibilnĂ­ s vaky Nutrison, pro pumpy Flocare 586514</t>
  </si>
  <si>
    <t>Set pro enterĂˇlnĂ­ vĂ˝Ĺľivu flocare 800 Pack Transition novĂ˝ pro vaky ( APA 3386175) 586512</t>
  </si>
  <si>
    <t>ZK179</t>
  </si>
  <si>
    <t>Sonda ĹľaludeÄŤnĂ­ CH12 1200 mm s RTG linkou bal. Ăˇ 50 ks 412012</t>
  </si>
  <si>
    <t>ZJ695</t>
  </si>
  <si>
    <t>Sonda ĹľaludeÄŤnĂ­ CH14 1200 mm s RTG linkou bal. Ăˇ 50 ks 412014</t>
  </si>
  <si>
    <t>ZJ696</t>
  </si>
  <si>
    <t>Sonda ĹľaludeÄŤnĂ­ CH18 1200 mm s RTG linkou bal. Ăˇ 30 ks 412018</t>
  </si>
  <si>
    <t>ZC868</t>
  </si>
  <si>
    <t>Sonda pro tamponĂˇdu jĂ­cnu Sengstakenova - CH21 blakemoreova trojcestnĂˇ sonda 8003200210</t>
  </si>
  <si>
    <t>ZE146</t>
  </si>
  <si>
    <t>Souprava nebulizaÄŤnĂ­ uzavĹ™enĂˇ In-Line-Neb Tee Kit  bal. Ăˇ 50 ks 41745</t>
  </si>
  <si>
    <t>ZB543</t>
  </si>
  <si>
    <t>Souprava odbÄ›rovĂˇ tracheĂˇlnĂ­ na odbÄ›r sekretu G05206</t>
  </si>
  <si>
    <t>ZD254</t>
  </si>
  <si>
    <t>Souprava pro rektĂˇlnĂ­ inkontinenci flexi seal FMS (moĹľno objednĂˇvat na kusy) 418000</t>
  </si>
  <si>
    <t>ZQ214</t>
  </si>
  <si>
    <t>Souprava pro rektĂˇlnĂ­ inkontinenci uzavĹ™enĂˇ SECCO (katĂ©tr 165 cm s nĂ­zkotlakovou manĹľetou 3 x 1,5 l sbÄ›rnĂ˝ sĂˇÄŤek se superadsorbentem, stĹ™Ă­kaÄŤka 45 ml) 52.000.00.100</t>
  </si>
  <si>
    <t>ZA860</t>
  </si>
  <si>
    <t>Spojka dvojitĂˇ otoÄŤnĂˇ ÄŤistĂˇ Ăˇ 20 ks 23412</t>
  </si>
  <si>
    <t>ZT467</t>
  </si>
  <si>
    <t>Spojka k systĂ©mu AQUAPAK redukce k pĹ™ipojenĂ­ nosnĂ­ch brĂ˝lĂ­ prĹŻm. 22 mm/ 5 â€“ 7 mm bal. Ăˇ 50 ks I423</t>
  </si>
  <si>
    <t>ZD995</t>
  </si>
  <si>
    <t>Spojka symetrickĂˇ 4-4 nest. bal. Ăˇ 30 ks 881.44 (86051572)</t>
  </si>
  <si>
    <t>ZB598</t>
  </si>
  <si>
    <t>Spojka symetrickĂˇ pĹ™Ă­mĂˇ 7 x 7 mm 60.23.00 (120 430)</t>
  </si>
  <si>
    <t>Sprej cavilon 28 ml bal. Ăˇ 12 ks 3346E</t>
  </si>
  <si>
    <t>ZT854</t>
  </si>
  <si>
    <t>StĹ™Ă­kaÄŤka injekÄŤnĂ­ 2-dĂ­lnĂˇ 10 ml  L CHIRANA CH010L</t>
  </si>
  <si>
    <t>ZR397</t>
  </si>
  <si>
    <t>StĹ™Ă­kaÄŤka injekÄŤnĂ­ 2-dĂ­lnĂˇ 10 ml L DISCARDIT LE 309110</t>
  </si>
  <si>
    <t>StĹ™Ă­kaÄŤka injekÄŤnĂ­ 2-dĂ­lnĂˇ 10 ml L DISCARDIT LE 309110 - nahrazuje ZT854</t>
  </si>
  <si>
    <t>ZR395</t>
  </si>
  <si>
    <t>StĹ™Ă­kaÄŤka injekÄŤnĂ­ 2-dĂ­lnĂˇ 2 ml L DISCARDIT LC 300928</t>
  </si>
  <si>
    <t>StĹ™Ă­kaÄŤka injekÄŤnĂ­ 2-dĂ­lnĂˇ 2 ml L DISCARDIT LC 300928 - nahrazuje ZT852</t>
  </si>
  <si>
    <t>ZT855</t>
  </si>
  <si>
    <t>StĹ™Ă­kaÄŤka injekÄŤnĂ­ 2-dĂ­lnĂˇ 20 ml  L CHIRANA bal. Ăˇ 80 ks CH020L</t>
  </si>
  <si>
    <t>ZR398</t>
  </si>
  <si>
    <t>StĹ™Ă­kaÄŤka injekÄŤnĂ­ 2-dĂ­lnĂˇ 20 ml L DISCARDIT LE bal. Ăˇ 80 ks 300296</t>
  </si>
  <si>
    <t>ZB798</t>
  </si>
  <si>
    <t>StĹ™Ă­kaÄŤka injekÄŤnĂ­ 2-dĂ­lnĂˇ 20 ml LL Inject Solo bal. Ăˇ 100 ks 4606736V</t>
  </si>
  <si>
    <t>ZT853</t>
  </si>
  <si>
    <t>StĹ™Ă­kaÄŤka injekÄŤnĂ­ 2-dĂ­lnĂˇ 5 ml  L CHIRANA CH005L</t>
  </si>
  <si>
    <t>ZR396</t>
  </si>
  <si>
    <t>StĹ™Ă­kaÄŤka injekÄŤnĂ­ 2-dĂ­lnĂˇ 5 ml L DISCARDIT LE 309050</t>
  </si>
  <si>
    <t>ZH168</t>
  </si>
  <si>
    <t>StĹ™Ă­kaÄŤka injekÄŤnĂ­ 3-dĂ­lnĂˇ 1 ml L tuberculin s jehlou KD-JECT III graduovĂˇnĂ­ Ăˇ 0,1 ml 26G x 1/2" 0,45 x 12 mm KDM831786</t>
  </si>
  <si>
    <t>ZE308</t>
  </si>
  <si>
    <t>StĹ™Ă­kaÄŤka injekÄŤnĂ­ 3-dĂ­lnĂˇ 5 ml LL Omnifix Solo se zĂˇvitem 4617053V</t>
  </si>
  <si>
    <t>ZH491</t>
  </si>
  <si>
    <t>StĹ™Ă­kaÄŤka injekÄŤnĂ­ 3-dĂ­lnĂˇ 50 - 60 ml LL MRG00711</t>
  </si>
  <si>
    <t>ZA749</t>
  </si>
  <si>
    <t>StĹ™Ă­kaÄŤka injekÄŤnĂ­ 3-dĂ­lnĂˇ 50 ml LL Omnifix Solo 4617509F</t>
  </si>
  <si>
    <t>ZN854</t>
  </si>
  <si>
    <t>StĹ™Ă­kaÄŤka injekÄŤnĂ­ arteriĂˇlnĂ­ 1,5 ml bez jehly s heparinem na stanovenĂ­ krevnĂ­ch plynĹŻ Astrup (analyzĂˇtor Radiometer) bal. Ăˇ 100 ks safe PICO Aspirator 956-622</t>
  </si>
  <si>
    <t>ZQ599</t>
  </si>
  <si>
    <t>StĹ™Ă­kaÄŤka injekÄŤnĂ­ pro enterĂˇlnĂ­ vĂ˝Ĺľivu 50/60 ml NUTRICAIR ENFIT excentrickĂˇ bal.Ăˇ 50 ks NCE50SE</t>
  </si>
  <si>
    <t>ZQ967</t>
  </si>
  <si>
    <t>StĹ™Ă­kaÄŤka inzulĂ­novĂˇ 0,5 ml s jehlou 29 G sterilnĂ­ bal. Ăˇ 100 ks IS0529G</t>
  </si>
  <si>
    <t>ZA965</t>
  </si>
  <si>
    <t>StĹ™Ă­kaÄŤka inzulĂ­novĂˇ omnican 1 ml 100j s jehlou 30 G bal. Ăˇ 100 ks 9151141S</t>
  </si>
  <si>
    <t>ZA964</t>
  </si>
  <si>
    <t>StĹ™Ă­kaÄŤka janett 3-dĂ­lnĂˇ 60 ml sterilnĂ­ vyplachovacĂ­ 050ML3CZ-CEW (MRG564)</t>
  </si>
  <si>
    <t>ZA893</t>
  </si>
  <si>
    <t>StĹ™Ă­kaÄŤka Monovette na stanovenĂ­ krevnĂ­ch plynĹŻ Astrup li-heparin bal.Ăˇ 100 ks 05.1147.020</t>
  </si>
  <si>
    <t>ZT993</t>
  </si>
  <si>
    <t>Svorka - mikropeĂˇn HALSTED-MOSQUITO, hemostatickĂˇ svorka, rovnĂ© branĹľe 125 mm 015-100-125</t>
  </si>
  <si>
    <t>ZT998</t>
  </si>
  <si>
    <t>Svorka na zaĹˇtĂ­pnutĂ­ hadic  zvlĂˇĹˇtÄ› silnĂˇ - Tubing Clamp Presbyterian rovnĂˇ 160 mm hladkĂˇ 015-770-160</t>
  </si>
  <si>
    <t>ZD962</t>
  </si>
  <si>
    <t>SystĂ©m hrudnĂ­ drenĂˇĹľnĂ­ altitude bal. Ăˇ 5 ks 8888571370</t>
  </si>
  <si>
    <t>ZD963</t>
  </si>
  <si>
    <t>SystĂ©m hrudnĂ­ drenĂˇĹľnĂ­ altitude bal. Ăˇ 5 ks 8888571371</t>
  </si>
  <si>
    <t>ZA428</t>
  </si>
  <si>
    <t>SystĂ©m odsĂˇvacĂ­ uzavĹ™enĂ˝ 14F jednocestnĂ˝ 57 cm 72 hod. bal. Ăˇ 20 ks Z110-14</t>
  </si>
  <si>
    <t>ZL333</t>
  </si>
  <si>
    <t>SystĂ©m odsĂˇvacĂ­ uzavĹ™enĂ˝ ET Comfortsoft CH 14 55 cm 72 hod. bal. Ăˇ 20 ks 02-011-11</t>
  </si>
  <si>
    <t>ZL174</t>
  </si>
  <si>
    <t>SystĂ©m odsĂˇvacĂ­ uzavĹ™enĂ˝ TS Comfortsoft CH 14 30 cm 72 hod. bal. Ăˇ 20 ks 02-011-05</t>
  </si>
  <si>
    <t>ZT046</t>
  </si>
  <si>
    <t>SystĂ©m odsĂˇvacĂ­ uzavĹ™enĂ˝ TS Comfortsoft s aerosolovĂ˝m portem CH 14 30 cm 72 hod. bal. Ăˇ 20 ks 02-011-17</t>
  </si>
  <si>
    <t>ZB255</t>
  </si>
  <si>
    <t>SystĂ©m odsĂˇvacĂ­ uzavĹ™enĂ˝ Ty-care CH14 pro TK bal. Ăˇ 10 ks 444SP01314</t>
  </si>
  <si>
    <t>ZB395</t>
  </si>
  <si>
    <t>Tampon odbÄ›rovĂ˝ transystem Amies pĹŻda plastovĂˇ tyÄŤinka 48 hod. mikrobiologickĂ© vyĹˇetĹ™enĂ­ 1601</t>
  </si>
  <si>
    <t>Trn aspiraÄŤnĂ­ mini spike modrĂ˝ s filtrem ÄŤĂˇstic 5,0 um 4550234</t>
  </si>
  <si>
    <t>ZB689</t>
  </si>
  <si>
    <t>Trokar hrudnĂ­ redax F18 atraumatickĂ˝ bal. Ăˇ 10 ks 21118</t>
  </si>
  <si>
    <t>ZK353</t>
  </si>
  <si>
    <t>Trokar hrudnĂ­ redax F20 atraumatickĂ˝ bal. Ăˇ 10 ks 21120</t>
  </si>
  <si>
    <t>ZJ727</t>
  </si>
  <si>
    <t>Trokar hrudnĂ­ redax F24 atraumatickĂ˝ bal. Ăˇ 10 ks 21124</t>
  </si>
  <si>
    <t>ZB505</t>
  </si>
  <si>
    <t>Tubo-fix pro ET rourky Ăˇ 40 ks komplet NKS:20-10</t>
  </si>
  <si>
    <t>ZQ486</t>
  </si>
  <si>
    <t>TyÄŤinka vatovĂˇ sterilnĂ­ 14 cm po jednotlivÄ› balenĂˇ velkĂˇ 1 bal/100 ks 4791911</t>
  </si>
  <si>
    <t>ZR290</t>
  </si>
  <si>
    <t>TyÄŤinka vatovĂˇ zvlhÄŤujĂ­cĂ­ na hygienu dutiny ĂşstnĂ­ 10 cm dlouhĂˇ bal. Ăˇ 75 ks 32.000.00.020</t>
  </si>
  <si>
    <t>ZI931</t>
  </si>
  <si>
    <t>UzĂˇvÄ›r dezinfekÄŤnĂ­ k bezjehlovĂ©mu vstupu se 70% IPA  bal. 250 ks NCF-004</t>
  </si>
  <si>
    <t>ZA812</t>
  </si>
  <si>
    <t>UzĂˇvÄ›r do katetrĹŻ 4435001</t>
  </si>
  <si>
    <t>ZN623</t>
  </si>
  <si>
    <t>UzĂˇvÄ›r do katetrĹŻ s rukojetĂ­ bal. Ăˇ 100 ks D0600(8400.1182)</t>
  </si>
  <si>
    <t>ZC968</t>
  </si>
  <si>
    <t>Vak odpadnĂ­ Multifiltrate bag 10 000 ml 5029011</t>
  </si>
  <si>
    <t>ZK798</t>
  </si>
  <si>
    <t>ZĂˇtka combi modrĂˇ 4495152</t>
  </si>
  <si>
    <t>ZP077</t>
  </si>
  <si>
    <t>Zkumavka 15 ml PP 101/16,5 mm bĂ­lĂ˝ ĹˇroubovĂ˝ uzĂˇvÄ›r sterilnĂ­ jednotlivÄ› balenĂˇ, tekutĂ˝ materiĂˇl na bakteriolog. vyĹˇetĹ™enĂ­ 10362/MO/SG/CS</t>
  </si>
  <si>
    <t>ZI182</t>
  </si>
  <si>
    <t>Zkumavka moÄŤovĂˇ + aplikĂˇtor s chem.stabilizĂˇtorem UriSwab ĹľlutĂˇ 802CE.A</t>
  </si>
  <si>
    <t>Zkumavka moÄŤovĂˇ + aplikĂˇtor s chem.stabilizĂˇtorem UriSwab ĹľlutĂˇ 802CE.A - dlouhodobĂ˝ vĂ˝padek</t>
  </si>
  <si>
    <t>ZB985</t>
  </si>
  <si>
    <t>Zkumavka moÄŤovĂˇ urin-monovette s pĂ­stem 10 ml sterilnĂ­ bal. Ăˇ 100 ks 10.252.020</t>
  </si>
  <si>
    <t>ZB754</t>
  </si>
  <si>
    <t>Zkumavka odbÄ›rovĂˇ Vacuette ÄŤernĂˇ 2 ml sedimentace polouzavĹ™enĂˇ 454073</t>
  </si>
  <si>
    <t>ZB777</t>
  </si>
  <si>
    <t>Zkumavka odbÄ›rovĂˇ Vacuette ÄŤervenĂˇ 3,5 ml gel 454071</t>
  </si>
  <si>
    <t>ZB774</t>
  </si>
  <si>
    <t>Zkumavka odbÄ›rovĂˇ Vacuette ÄŤervenĂˇ 5 ml gel 456071</t>
  </si>
  <si>
    <t>ZB762</t>
  </si>
  <si>
    <t>Zkumavka odbÄ›rovĂˇ Vacuette ÄŤervenĂˇ 6 ml sĂ©rum 456092</t>
  </si>
  <si>
    <t>ZB759</t>
  </si>
  <si>
    <t>Zkumavka odbÄ›rovĂˇ Vacuette ÄŤervenĂˇ 8 ml sĂ©rum/gel 455071</t>
  </si>
  <si>
    <t>ZB756</t>
  </si>
  <si>
    <t>Zkumavka odbÄ›rovĂˇ Vacuette fialovĂˇ 3 ml K3 edta 454086</t>
  </si>
  <si>
    <t>ZB757</t>
  </si>
  <si>
    <t>Zkumavka odbÄ›rovĂˇ Vacuette fialovĂˇ 6 ml K3 edta 456036</t>
  </si>
  <si>
    <t>ZT423</t>
  </si>
  <si>
    <t>Zkumavka odbÄ›rovĂˇ Vacuette koagulace modrĂˇ Quick 3,0 ml 3,2% CitrĂˇt sodnĂ˝ modrĂˇ 13 x 75 mm 454325</t>
  </si>
  <si>
    <t>ZT285</t>
  </si>
  <si>
    <t>Zkumavka odbÄ›rovĂˇ Vacuette koagulace modrĂˇ Quick 3,5 ml 3,2% CitrĂˇt sodnĂ˝ modrĂˇ 13 x 75 mm 454327</t>
  </si>
  <si>
    <t>ZB775</t>
  </si>
  <si>
    <t>Zkumavka odbÄ›rovĂˇ Vacuette koagulace modrĂˇ Quick 4,5 ml 3,2% CitrĂˇt sodnĂ˝ modrĂˇ 454329</t>
  </si>
  <si>
    <t>ZB773</t>
  </si>
  <si>
    <t>Zkumavka odbÄ›rovĂˇ Vacuette ĹˇedĂˇ-glykemie 454085</t>
  </si>
  <si>
    <t>ZG515</t>
  </si>
  <si>
    <t>Zkumavka odbÄ›rovĂˇ Vacuette moÄŤovĂˇ 10,5 ml bal. Ăˇ 50 ks 455007</t>
  </si>
  <si>
    <t>ZB764</t>
  </si>
  <si>
    <t>Zkumavka odbÄ›rovĂˇ Vacuette zelenĂˇ 4 ml natrium - heparin 454051</t>
  </si>
  <si>
    <t>ZB765</t>
  </si>
  <si>
    <t>Zkumavka odbÄ›rovĂˇ Vacuette zelenĂˇ 9 ml natrium - heparin 455051</t>
  </si>
  <si>
    <t>ZI180</t>
  </si>
  <si>
    <t>Zkumavka s mediem + flovakovanĂ˝ tampon eSwab minitip oranĹľovĂ˝ (oko,ucho,krk,nos,dutiny,urogenitĂˇlnĂ­ tra) 491CE.A</t>
  </si>
  <si>
    <t>ZI179</t>
  </si>
  <si>
    <t>Zkumavka s mediem + flovakovanĂ˝ tampon eSwab rĹŻĹľovĂ˝ (nos,krk,vagina,koneÄŤnĂ­k,rĂˇny,fekĂˇlnĂ­ vzo) 490CE.A</t>
  </si>
  <si>
    <t>50115062</t>
  </si>
  <si>
    <t>ZPr - materiál hemodialýza (Z525)</t>
  </si>
  <si>
    <t>ZP147</t>
  </si>
  <si>
    <t>Roztok Citra-Lock 4%, ampule 5 ml bal. Ăˇ 20 ks ZZ-24060201</t>
  </si>
  <si>
    <t>50115063</t>
  </si>
  <si>
    <t>ZPr - vaky, sety (Z528)</t>
  </si>
  <si>
    <t>ZA715</t>
  </si>
  <si>
    <t>Set infuznĂ­ intrafix primeline classic 150 cm 4062957</t>
  </si>
  <si>
    <t>ZQ719</t>
  </si>
  <si>
    <t>Set pro enterĂˇlnĂ­ vĂ˝Ĺľivu FREEGO ENTERAL FEEDING SET k enterĂˇlnĂ­ pumpÄ› Abbot Freego, hadiÄŤka 245 cm (S0351-00) 3238301</t>
  </si>
  <si>
    <t>ZB715</t>
  </si>
  <si>
    <t>Set pro enterĂˇlnĂ­ vĂ˝Ĺľivu kangaro univ.  Ăˇ 30 ks  S777403</t>
  </si>
  <si>
    <t>ZE079</t>
  </si>
  <si>
    <t>Set transfĂşznĂ­ non PVC s odvzduĹˇnÄ›nĂ­m a bakteriĂˇlnĂ­m filtrem ZAR-I-TS</t>
  </si>
  <si>
    <t>50115064</t>
  </si>
  <si>
    <t>ZPr - šicí materiál (Z529)</t>
  </si>
  <si>
    <t>ZA911</t>
  </si>
  <si>
    <t>Ĺ itĂ­ dafilon modrĂ˝ 2/0 (3) bal. Ăˇ 36 ks C0932477</t>
  </si>
  <si>
    <t>ZB034</t>
  </si>
  <si>
    <t>Ĺ itĂ­ dafilon modrĂ˝ 2/0 (3) bal. Ăˇ 36 ks C0935476</t>
  </si>
  <si>
    <t>ZB200</t>
  </si>
  <si>
    <t>Ĺ itĂ­ ethibond gr 2-0 bal. Ăˇ 20 ks X41003</t>
  </si>
  <si>
    <t>ZR997</t>
  </si>
  <si>
    <t>Ĺ itĂ­ novosyn fialovĂ˝ 2 (5) bal. Ăˇ 36 ks C0058210</t>
  </si>
  <si>
    <t>ZB610</t>
  </si>
  <si>
    <t>Ĺ itĂ­ premicron zelenĂ˝ 3/0 (2) bal. Ăˇ 36 ks C0026005</t>
  </si>
  <si>
    <t>ZF937</t>
  </si>
  <si>
    <t>Ĺ itĂ­ premicron zelenĂ˝ 3/0 (2) bal. Ăˇ 36 ks C0026553</t>
  </si>
  <si>
    <t>ZP277</t>
  </si>
  <si>
    <t>Ĺ itĂ­ safil fialovĂ˝ 0 (3,5) bal. Ăˇ 36 ks C1048048</t>
  </si>
  <si>
    <t>ZB036</t>
  </si>
  <si>
    <t>Ĺ itĂ­ safil fialovĂ˝ 2 (5) bal. Ăˇ 36 ks C1038210 - nahrazeno ZR997</t>
  </si>
  <si>
    <t>50115065</t>
  </si>
  <si>
    <t>ZPr - vpichovací materiál (Z530)</t>
  </si>
  <si>
    <t>ZA834</t>
  </si>
  <si>
    <t>Jehla injekÄŤnĂ­ 0,7 x 40 mm ÄŤernĂˇ 4660021</t>
  </si>
  <si>
    <t>ZA833</t>
  </si>
  <si>
    <t>Jehla injekÄŤnĂ­ 0,8 x 40 mm zelenĂˇ 4657527</t>
  </si>
  <si>
    <t>ZA832</t>
  </si>
  <si>
    <t>Jehla injekÄŤnĂ­ 0,9 x 40 mm ĹľlutĂˇ 4657519</t>
  </si>
  <si>
    <t>ZA836</t>
  </si>
  <si>
    <t>Jehla injekÄŤnĂ­ 0,9 x 70 mm ĹľlutĂˇ 4665791</t>
  </si>
  <si>
    <t>ZB556</t>
  </si>
  <si>
    <t>Jehla injekÄŤnĂ­ 1,2 x 40 mm rĹŻĹľovĂˇ 4665120</t>
  </si>
  <si>
    <t>50115067</t>
  </si>
  <si>
    <t>ZPr - rukavice (Z532)</t>
  </si>
  <si>
    <t>ZK792</t>
  </si>
  <si>
    <t>Rukavice operaÄŤnĂ­  latex s polyuretanem a silikonem sterilnĂ­ ansell gammex PFXP chemo cytostatickĂ© vel. 7,5 bal. Ăˇ 50 pĂˇrĹŻ 330054075</t>
  </si>
  <si>
    <t>ZA193</t>
  </si>
  <si>
    <t>Rukavice operaÄŤnĂ­ latex bez pudru sempermed derma PF vel. 9,0 bal.  Ăˇ 50 pĂˇrĹŻ 39477</t>
  </si>
  <si>
    <t>ZN130</t>
  </si>
  <si>
    <t>Rukavice operaÄŤnĂ­ latex bez pudru sterilnĂ­  PF ansell gammex vel. 6,0 330048060</t>
  </si>
  <si>
    <t>ZN041</t>
  </si>
  <si>
    <t>Rukavice operaÄŤnĂ­ latex bez pudru sterilnĂ­  PF ansell gammex vel. 6,5 330048065</t>
  </si>
  <si>
    <t>ZN126</t>
  </si>
  <si>
    <t>Rukavice operaÄŤnĂ­ latex bez pudru sterilnĂ­  PF ansell gammex vel. 7,0 330048070</t>
  </si>
  <si>
    <t>ZN108</t>
  </si>
  <si>
    <t>Rukavice operaÄŤnĂ­ latex bez pudru sterilnĂ­  PF ansell gammex vel. 8,0 330048080</t>
  </si>
  <si>
    <t>ZN040</t>
  </si>
  <si>
    <t>Rukavice operaÄŤnĂ­ latex bez pudru sterilnĂ­  PF ansell gammex vel. 8,5 330048085</t>
  </si>
  <si>
    <t>ZN125</t>
  </si>
  <si>
    <t>Rukavice operaÄŤnĂ­ latex bez pudru sterilnĂ­  PF ansell gammex vel.7,5 330048075</t>
  </si>
  <si>
    <t>ZK473</t>
  </si>
  <si>
    <t>Rukavice operaÄŤnĂ­ latex s pudrem sterilnĂ­ vasco vel. 6,0 6035500 nahrazeno ZU387</t>
  </si>
  <si>
    <t>ZT034</t>
  </si>
  <si>
    <t>Rukavice vyĹˇetĹ™ovacĂ­ latex nesterilnĂ­  bez pudru vel. L bal. Ăˇ 100 ks 903242vL</t>
  </si>
  <si>
    <t>ZT033</t>
  </si>
  <si>
    <t>Rukavice vyĹˇetĹ™ovacĂ­ latex nesterilnĂ­  bez pudru vel. M bal. Ăˇ 100 ks 903242vM</t>
  </si>
  <si>
    <t>ZT379</t>
  </si>
  <si>
    <t>Rukavice vyĹˇetĹ™ovacĂ­ latex nesterilnĂ­  bez pudru vel. S bal. Ăˇ 100 ks 903242vS</t>
  </si>
  <si>
    <t>ZT613</t>
  </si>
  <si>
    <t>Rukavice vyĹˇetĹ™ovacĂ­ latex nesterilnĂ­ bez pudru Shamrock vel . M T10112</t>
  </si>
  <si>
    <t>Rukavice vyĹˇetĹ™ovacĂ­ latex nesterilnĂ­ bez pudru Shamrock vel . M T10112 - nahrazuje ZT122 nitril</t>
  </si>
  <si>
    <t>ZT612</t>
  </si>
  <si>
    <t>Rukavice vyĹˇetĹ™ovacĂ­ latex nesterilnĂ­ bez pudru Shamrock vel . S T10111 - nahrazuje ZT232</t>
  </si>
  <si>
    <t>ZT615</t>
  </si>
  <si>
    <t>Rukavice vyĹˇetĹ™ovacĂ­ latex nesterilnĂ­ bez pudru Shamrock vel . XL T10114 - nahrazuje ZT272</t>
  </si>
  <si>
    <t>ZT543</t>
  </si>
  <si>
    <t>Rukavice vyĹˇetĹ™ovacĂ­ nitril nesterilnĂ­ bez pudru brand - MD Fonscare  vel. M bal. Ăˇ 100 ks MDG-251-M</t>
  </si>
  <si>
    <t>ZT077</t>
  </si>
  <si>
    <t>Rukavice vyĹˇetĹ™ovacĂ­ nitril nesterilnĂ­ bez pudru GLOVE svÄ›tle modrĂ© vel. M</t>
  </si>
  <si>
    <t>ZT232</t>
  </si>
  <si>
    <t>Rukavice vyĹˇetĹ™ovacĂ­ nitril nesterilnĂ­ bez pudru GLOVE svÄ›tle modrĂ© vel. S</t>
  </si>
  <si>
    <t>ZT391</t>
  </si>
  <si>
    <t>Rukavice vyĹˇetĹ™ovacĂ­ nitril nesterilnĂ­ bez pudru INTCO SYNGUARD, vel. XL, bal. Ăˇ 100 ks 151.00.001 XL</t>
  </si>
  <si>
    <t>ZS791</t>
  </si>
  <si>
    <t>Rukavice vyĹˇetĹ™ovacĂ­ nitril nesterilnĂ­ bez pudru MED-COMFORT CHEMO prodlouĹľenĂ© 300 mm modrĂ© vel. L bal. 100 ks 01191-L - vyhrazeno pouze pro COVID-19</t>
  </si>
  <si>
    <t>ZS792</t>
  </si>
  <si>
    <t>Rukavice vyĹˇetĹ™ovacĂ­ nitril nesterilnĂ­ bez pudru MED-COMFORT CHEMO prodlouĹľenĂ© 300 mm modrĂ© vel. M bal. 100 ks 01191-M - vyhrazeno pouze pro COVID-19</t>
  </si>
  <si>
    <t>ZT074</t>
  </si>
  <si>
    <t>Rukavice vyĹˇetĹ™ovacĂ­ nitril nesterilnĂ­ bez pudru Nitrylex Classic vel. M RD30096003</t>
  </si>
  <si>
    <t>ZT122</t>
  </si>
  <si>
    <t>Rukavice vyĹˇetĹ™ovacĂ­ nitril nesterilnĂ­ bez pudru ONE PLUS vel. M bal. Ăˇ 100 ks 9450-014.04</t>
  </si>
  <si>
    <t>Rukavice vyĹˇetĹ™ovacĂ­ nitril nesterilnĂ­ bez pudru ONE PLUS vel. M bal. Ăˇ 100 ks 9450-014.04 - nahrazuje ZT478</t>
  </si>
  <si>
    <t>ZT478</t>
  </si>
  <si>
    <t>Rukavice vyĹˇetĹ™ovacĂ­ nitril nesterilnĂ­ bez pudru OPTIVIZION modrĂ© vel. M bal. Ăˇ 100 ks 2.308.001</t>
  </si>
  <si>
    <t>ZT477</t>
  </si>
  <si>
    <t>Rukavice vyĹˇetĹ™ovacĂ­ nitril nesterilnĂ­ bez pudru OPTIVIZION modrĂ© vel. S bal. Ăˇ 100 ks 2.308.002</t>
  </si>
  <si>
    <t>ZT359</t>
  </si>
  <si>
    <t>Rukavice vyĹˇetĹ™ovacĂ­ nitril nesterilnĂ­ bez pudru Peha-Soft white vel. L Ăˇ 200 ks 9422083</t>
  </si>
  <si>
    <t>ZT358</t>
  </si>
  <si>
    <t>Rukavice vyĹˇetĹ™ovacĂ­ nitril nesterilnĂ­ bez pudru Peha-Soft white vel. M Ăˇ 200 ks 9422073</t>
  </si>
  <si>
    <t>ZT466</t>
  </si>
  <si>
    <t>Rukavice vyĹˇetĹ™ovacĂ­ nitril nesterilnĂ­ bez pudru Peha-Soft white vel. S Ăˇ 200 ks 9422063</t>
  </si>
  <si>
    <t>ZM291</t>
  </si>
  <si>
    <t>Rukavice vyĹˇetĹ™ovacĂ­ nitril nesterilnĂ­ bez pudru sempercare vel. S bal. Ăˇ 200 ks 30802</t>
  </si>
  <si>
    <t>ZT272</t>
  </si>
  <si>
    <t>Rukavice vyĹˇetĹ™ovacĂ­ nitril nesterilnĂ­ bez pudru sempercare Velvet vel. XL bal. Ăˇ 180 ks 106405</t>
  </si>
  <si>
    <t>ZT575</t>
  </si>
  <si>
    <t>Rukavice vyĹˇetĹ™ovacĂ­ nitril nesterilnĂ­ bez pudru tmavÄ› modrĂ© KOSSAN vel. M bal. Ăˇ 200 ks 1323805828</t>
  </si>
  <si>
    <t>ZT574</t>
  </si>
  <si>
    <t>Rukavice vyĹˇetĹ™ovacĂ­ nitril nesterilnĂ­ bez pudru tmavÄ› modrĂ© KOSSAN vel. S bal. Ăˇ 200 ks 1323805827</t>
  </si>
  <si>
    <t>ZT082</t>
  </si>
  <si>
    <t>Rukavice vyĹˇetĹ™ovacĂ­ nitril nesterilnĂ­ modrĂ© vel. L bal. Ăˇ 100 ks SM-L-nitril-VGlove</t>
  </si>
  <si>
    <t>50115070</t>
  </si>
  <si>
    <t>ZPr - katetry ostatní (Z513)</t>
  </si>
  <si>
    <t>ZC637</t>
  </si>
  <si>
    <t>Katetr arteriĂˇlnĂ­ set Arteriofix, pro radiĂˇlnĂ­ pĹ™Ă­stup, 20 G/80 mm, set: katetr+zavĂˇdÄ›cĂ­ vodiÄŤ+zav. punkÄŤnĂ­ jehla,  bal. Ăˇ 20 ks  5206324</t>
  </si>
  <si>
    <t>ZA396</t>
  </si>
  <si>
    <t>Katetr arterialnĂ­ set 20 GA x 8 cm, set: kanyla s prodluĹľ. hadiÄŤkou a spojkou+zavĂˇdÄ›cĂ­ vodiÄŤ+zav. punkÄŤnĂ­ jehla,  bal.Ăˇ 10 ks SAC-00820</t>
  </si>
  <si>
    <t>ZD909</t>
  </si>
  <si>
    <t>Katetr CVC 2 lumen 7 Fr x 20 cm certofix duo ECO 720 Ăˇ 10 ks 4162200E</t>
  </si>
  <si>
    <t>ZD827</t>
  </si>
  <si>
    <t>Katetr CVC 3 lumen 7 Fr x 20 cm certofix trio ECO SB720 bal. Ăˇ 10 ks 4163206E-07</t>
  </si>
  <si>
    <t>ZC615</t>
  </si>
  <si>
    <t>Katetr CVC 3 lumen 7 Fr x 20 cm certofix trio Protect V720 s antimikr.Ăşpravou bal. Ăˇ 10 ks 4163214P-07</t>
  </si>
  <si>
    <t>Katetr CVC 3 lumen 7 Fr x 20 cm certofix trio SB720 bal. Ăˇ 10 ks 4163206E-07</t>
  </si>
  <si>
    <t>ZD538</t>
  </si>
  <si>
    <t>Katetr dialyzaÄŤnĂ­ 2 lumen 12,0 Fr x 15 cm KFE-TDL-1215- K</t>
  </si>
  <si>
    <t>ZK733</t>
  </si>
  <si>
    <t>Katetr dialyzaÄŤnĂ­ 3 lumen 13,0 Fr x 15 cm K flow Epic KFE-TTL-1315-K</t>
  </si>
  <si>
    <t>ZJ759</t>
  </si>
  <si>
    <t>Katetr dialyzaÄŤnĂ­ 3 lumen 13,0 Fr x 20 cm KFE-TTL-1320-K</t>
  </si>
  <si>
    <t>50115079</t>
  </si>
  <si>
    <t>ZPr - internzivní péče (Z542)</t>
  </si>
  <si>
    <t>ZB751</t>
  </si>
  <si>
    <t>Hadice PVC 8/12 Ăˇ 30 m P00468</t>
  </si>
  <si>
    <t>Hadice PVC 8/12 Ăˇ 30 m P06623</t>
  </si>
  <si>
    <t>ZB750</t>
  </si>
  <si>
    <t>Hadice vrapovanĂˇ metrĂˇĹľ dÄ›litelnĂˇ po 400 mm Ăˇ 50 m 1574000/W</t>
  </si>
  <si>
    <t>ZB232</t>
  </si>
  <si>
    <t>Maska anesteziologickĂˇ ÄŤ.4 EcoMask ( s prouĹľky ) bal. Ăˇ 35 ks 7294000</t>
  </si>
  <si>
    <t>ZB233</t>
  </si>
  <si>
    <t>Maska anesteziologickĂˇ ÄŤ.5 EcoMask ( s prouĹľky ) bal. Ăˇ 35 ks 7295000</t>
  </si>
  <si>
    <t>ZF751</t>
  </si>
  <si>
    <t>Maska anesteziologickĂˇ ÄŤ.6 EcoMask ( s prouĹľky ) bal. Ăˇ 20 ks 7296000</t>
  </si>
  <si>
    <t>ZB235</t>
  </si>
  <si>
    <t>Maska anesteziologickĂˇ vel. 3 bal. Ăˇ 30 ks MP01503</t>
  </si>
  <si>
    <t>ZB236</t>
  </si>
  <si>
    <t>Maska anesteziologickĂˇ vel. 4 bal. Ăˇ 30 ks MP01504</t>
  </si>
  <si>
    <t>ZD584</t>
  </si>
  <si>
    <t>Maska anesteziologickĂˇ vel. 5, bal.Ăˇ 30 ks, MP01505</t>
  </si>
  <si>
    <t>ZN620</t>
  </si>
  <si>
    <t>Maska kyslĂ­kovĂˇ dospÄ›lĂˇ s nebulizacĂ­ a hadiÄŤkou 2 m bal. Ăˇ 100 ks A0400</t>
  </si>
  <si>
    <t>ZA905</t>
  </si>
  <si>
    <t>Maska tracheostomickĂˇ 001305</t>
  </si>
  <si>
    <t>ZN621</t>
  </si>
  <si>
    <t>Nos umÄ›lĂ˝ s portem pro odsĂˇvĂˇnĂ­ bal. Ăˇ 30 ks B0300(6000)</t>
  </si>
  <si>
    <t>ZD534</t>
  </si>
  <si>
    <t>Okruh dĂ˝chacĂ­ compact II 2,0 m bal. Ăˇ 70 ks 2151000</t>
  </si>
  <si>
    <t>ZQ510</t>
  </si>
  <si>
    <t>Okruh dĂ˝chacĂ­ k pĹ™Ă­stroji AIRVO2 vÄŤetnÄ› komory Plus P06859</t>
  </si>
  <si>
    <t>ZR419</t>
  </si>
  <si>
    <t>Okruh dĂ˝chacĂ­ k ventilĂˇtoru HAMILTON (7x HME filtr1x MaxiNeb mikronebulizace, T-spojka, O2 hadiÄŤka,1xPacientskĂ˝ okruh 1,6m,1x Filtr mechanickĂ˝,7x VrapovĂˇ spojka) HAM-UNI-7V</t>
  </si>
  <si>
    <t>ZC367</t>
  </si>
  <si>
    <t>PĹ™evodnĂ­k tlakovĂ˝ dvoukomorovĂ˝ 150 cm set 2 linky bal. Ăˇ 10 ks T001650A</t>
  </si>
  <si>
    <t>ZC366</t>
  </si>
  <si>
    <t>PĹ™evodnĂ­k tlakovĂ˝ PX260 150 cm 1 linka bal. Ăˇ 10 ks (T100209A, T100209B) PX260</t>
  </si>
  <si>
    <t>ZC262</t>
  </si>
  <si>
    <t>PĹ™evodnĂ­k tlakovĂ˝ PX2X2 +uzavĹ™enĂ˝ odbÄ›rovĂ˝ set VMP172 dvojitĂ˝ bal. Ăˇ 10 ks T001741A</t>
  </si>
  <si>
    <t>ZO025</t>
  </si>
  <si>
    <t>Set k ventilĂˇtorĹŻm Hamilton HAM-OLN</t>
  </si>
  <si>
    <t>50115089</t>
  </si>
  <si>
    <t>ZPr - katetry PICC/MIDLINE (Z554)</t>
  </si>
  <si>
    <t>ZP970</t>
  </si>
  <si>
    <t>KrytĂ­ tegaderm PICC/CVC fixaÄŤnĂ­ prostĹ™edek+ tegaderm CHG (chlorhexidin glukonĂˇtem) 1877R-2100</t>
  </si>
  <si>
    <t>50115101</t>
  </si>
  <si>
    <t>ZPr - ostatní COVID 19 (Z558)</t>
  </si>
  <si>
    <t>ZU277</t>
  </si>
  <si>
    <t>StĹ™Ă­kaÄŤka injekÄŤnĂ­ 2-dĂ­lnĂˇ 2 ml  L CHIRANA 77U-PZ02603</t>
  </si>
  <si>
    <t>ZU278</t>
  </si>
  <si>
    <t>StĹ™Ă­kaÄŤka injekÄŤnĂ­ 2-dĂ­lnĂˇ 2 ml 77U-PZ02570</t>
  </si>
  <si>
    <t>Spotřeba zdravotnického materiálu - orientační přehled</t>
  </si>
  <si>
    <t>3 NLZP</t>
  </si>
  <si>
    <t>4 THP</t>
  </si>
  <si>
    <t>1 Celkem</t>
  </si>
  <si>
    <t>2 Celkem</t>
  </si>
  <si>
    <t>3 Celkem</t>
  </si>
  <si>
    <t>4 Celkem</t>
  </si>
  <si>
    <t>5 Celkem</t>
  </si>
  <si>
    <t>6 Celkem</t>
  </si>
  <si>
    <t>7 Celkem</t>
  </si>
  <si>
    <t>8 Celkem</t>
  </si>
  <si>
    <t>9 Celkem</t>
  </si>
  <si>
    <t>10 Celkem</t>
  </si>
  <si>
    <t>11 Celkem</t>
  </si>
  <si>
    <t>ON Data</t>
  </si>
  <si>
    <t>lékaři pod odborným dozorem</t>
  </si>
  <si>
    <t>lékaři pod odborným dohledem</t>
  </si>
  <si>
    <t>lékaři specialisté</t>
  </si>
  <si>
    <t>všeobecné sestry bez dohl.</t>
  </si>
  <si>
    <t>všeobecné sestry bez dohl., spec.</t>
  </si>
  <si>
    <t>všeobecné sestry VŠ</t>
  </si>
  <si>
    <t>ošetřovatelé</t>
  </si>
  <si>
    <t>sanitáři</t>
  </si>
  <si>
    <t>THP</t>
  </si>
  <si>
    <t>2 VŠ NLZP</t>
  </si>
  <si>
    <t>odborní pracovníci v lab. metodách</t>
  </si>
  <si>
    <t>porodní asistenti</t>
  </si>
  <si>
    <t>dětské sestry §5/D4</t>
  </si>
  <si>
    <t>zdravotní laboranti</t>
  </si>
  <si>
    <t>zdravotničtí záchranáři</t>
  </si>
  <si>
    <t>praktické sestry</t>
  </si>
  <si>
    <t>laboratorní asistenti</t>
  </si>
  <si>
    <t>kliničtí psychologové spec.</t>
  </si>
  <si>
    <t>zdravotně - sociální pracovníci</t>
  </si>
  <si>
    <t>Specializovaná ambulantní péče</t>
  </si>
  <si>
    <t>5T1 - Pracov.resusc. a intenz. úst. lůž. péče chirurgick</t>
  </si>
  <si>
    <t>Zdravotní výkony vykázané na pracovišti v rámci ambulantní péče *</t>
  </si>
  <si>
    <t>beze jména</t>
  </si>
  <si>
    <t>* Legenda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</si>
  <si>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</si>
  <si>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</si>
  <si>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Zdravotní výkony vykázané na pracovišti v rámci ambulantní péče dle lékařů *</t>
  </si>
  <si>
    <t>5T1</t>
  </si>
  <si>
    <t>V</t>
  </si>
  <si>
    <t>90904</t>
  </si>
  <si>
    <t xml:space="preserve">(DRG) DOBA TRVÁNÍ UMĚLÉ PLICNÍ VENTILACE VÍCE NEŽ 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</si>
  <si>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</si>
  <si>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lékařů</t>
  </si>
  <si>
    <t>5F1</t>
  </si>
  <si>
    <t>15401</t>
  </si>
  <si>
    <t>ESOFAGOGASTRODUODENOSKOPIE</t>
  </si>
  <si>
    <t>32510</t>
  </si>
  <si>
    <t>ZAVEDENÍ DLOUHODOBÉ KANYLACE CENTRÁLNÍHO ŽILNÍHO S</t>
  </si>
  <si>
    <t>51353</t>
  </si>
  <si>
    <t>PUNKCE, ODSÁTÍ TENKÉHO STŘEVA, MANIPULACE SE STŘEV</t>
  </si>
  <si>
    <t>51359</t>
  </si>
  <si>
    <t>RESEKCE A ANASTOMÓZA TLUSTÉHO STŘEVA NEBO REKTOSIG</t>
  </si>
  <si>
    <t>51379</t>
  </si>
  <si>
    <t>CHOLEDOCHOTOMIE</t>
  </si>
  <si>
    <t>51383</t>
  </si>
  <si>
    <t>GASTROTOMIE, DUODENOTOMIE NEBO JEDNODUCHÁ PYLOROPL</t>
  </si>
  <si>
    <t>51389</t>
  </si>
  <si>
    <t xml:space="preserve">KMENOVÁ A SELEKTIVNÍ  PŘÍP. PROXIMÁLNÍ SELEKTIVNÍ </t>
  </si>
  <si>
    <t>51392</t>
  </si>
  <si>
    <t>RELAPAROTOMIE PRO POOPERAČNÍ KRVÁCENÍ, PERITONITID</t>
  </si>
  <si>
    <t>51393</t>
  </si>
  <si>
    <t>EXPLORATIVNÍ LAPAROTOMIE</t>
  </si>
  <si>
    <t>51394</t>
  </si>
  <si>
    <t>UZÁVĚR STĚNY BŘIŠNÍ PO EVISCERACI</t>
  </si>
  <si>
    <t>51397</t>
  </si>
  <si>
    <t>OTEVŘENÁ LAVÁŽ PERITONEÁLNÍ DUTINY, SEC. LOOK, LAP</t>
  </si>
  <si>
    <t>51623</t>
  </si>
  <si>
    <t>POUŽITÍ ULTRAZVUKOVÉHO SKALPELU</t>
  </si>
  <si>
    <t>51713</t>
  </si>
  <si>
    <t>DIAGNOSTICKÁ VIDEOLAPAROSKOPIE A VIDEOTORAKOSKOPIE</t>
  </si>
  <si>
    <t>51812</t>
  </si>
  <si>
    <t xml:space="preserve">ODSTRANĚNÍ RETROPERITONEÁLNÍHO NEBO PRESAKRÁLNÍHO </t>
  </si>
  <si>
    <t>51819</t>
  </si>
  <si>
    <t>OŠETŘENÍ A OBVAZ ROZSÁHLÉ RÁNY V CELKOVÉ ANESTEZII</t>
  </si>
  <si>
    <t>57213</t>
  </si>
  <si>
    <t>PLASTICKÉ VÝKONY NA PRŮDUŠNICI A VELKÝCH BRONŠÍCH</t>
  </si>
  <si>
    <t>57253</t>
  </si>
  <si>
    <t>PLEUREKTOMIE - ABRAZE</t>
  </si>
  <si>
    <t>61129</t>
  </si>
  <si>
    <t>EXCIZE KOŽNÍ LÉZE, SUTURA OD 2 DO 10 CM</t>
  </si>
  <si>
    <t>71717</t>
  </si>
  <si>
    <t>TRACHEOTOMIE</t>
  </si>
  <si>
    <t>07546</t>
  </si>
  <si>
    <t>(DRG) OTEVŘENÝ PŘÍSTUP</t>
  </si>
  <si>
    <t>07422</t>
  </si>
  <si>
    <t>(DRG) EMBOLECTOMIE A. FEMORALIS COMMUNIS</t>
  </si>
  <si>
    <t>07425</t>
  </si>
  <si>
    <t>(DRG) EMBOLECTOMIE A. POPLITEA PROXIMALIS</t>
  </si>
  <si>
    <t>07531</t>
  </si>
  <si>
    <t>(DRG) ARTERIOGRAFIE PEROPERAČNÍ</t>
  </si>
  <si>
    <t>07545</t>
  </si>
  <si>
    <t>(DRG) DRUHÁ A DALŠÍ REOPERACE</t>
  </si>
  <si>
    <t>07550</t>
  </si>
  <si>
    <t>(DRG) ENDOVASKULÁRNÍ PŘÍSTUP PERKUTÁNNÍ NEBO S?PRE</t>
  </si>
  <si>
    <t>07521</t>
  </si>
  <si>
    <t>(DRG) VYTVOŘENÍ A-V SHUNTU PROTÉZOU</t>
  </si>
  <si>
    <t>07551</t>
  </si>
  <si>
    <t>(DRG) HYBRIDNÍ PŘÍSTUP</t>
  </si>
  <si>
    <t>07417</t>
  </si>
  <si>
    <t>(DRG) ENDARTERECTOMIE A. FEMORALIS A JEJÍCH VĚTVÍ</t>
  </si>
  <si>
    <t>07532</t>
  </si>
  <si>
    <t>(DRG) TRANSLUMINÁLNÍ ANGIOPLASTIKA PEROPERAČNÍ</t>
  </si>
  <si>
    <t>07565</t>
  </si>
  <si>
    <t>(DRG) KATASTROFICKÁ OPERACE KVCH</t>
  </si>
  <si>
    <t>07571</t>
  </si>
  <si>
    <t>(DRG) POOPERAČNÍ REVIZE PRO KRVÁCENÍ, INFEKCI NEBO</t>
  </si>
  <si>
    <t>07421</t>
  </si>
  <si>
    <t>(DRG) TROMBECTOMIE BYPASSU VE FEMORÁLNÍ OBLASTI</t>
  </si>
  <si>
    <t>07197</t>
  </si>
  <si>
    <t>(DRG) ZAVEDENÍ STENTU ČI STENTGRAFTU DO DESCENDENT</t>
  </si>
  <si>
    <t>07555</t>
  </si>
  <si>
    <t>(DRG) LEVOSTRANNÝ BYPASS S POUŽITÍM PUMPY NEBO CEN</t>
  </si>
  <si>
    <t>07397</t>
  </si>
  <si>
    <t xml:space="preserve">(DRG) ZAVEDENÍ TUBULÁRNÍHO STENTGRAFTU DO PÁNEVNÍ </t>
  </si>
  <si>
    <t>09567</t>
  </si>
  <si>
    <t>ZÁKROK NA LEVÉ STRANĚ</t>
  </si>
  <si>
    <t>07401</t>
  </si>
  <si>
    <t>(DRG) REVIZE V OBLASTI PÁNEVNÍCH TEPEN PRO  KRVÁCE</t>
  </si>
  <si>
    <t>15404</t>
  </si>
  <si>
    <t>TOTÁLNÍ KOLONOSKOPIE</t>
  </si>
  <si>
    <t>07543</t>
  </si>
  <si>
    <t>(DRG) PRIMOOPERACE</t>
  </si>
  <si>
    <t>51396</t>
  </si>
  <si>
    <t>PUNKCE DUTINY BŘIŠNÍ S DRENÁŽÍ EV. LAVAŽÍ</t>
  </si>
  <si>
    <t>54990</t>
  </si>
  <si>
    <t>ODBĚR ŽILNÍHO ŠTĚPU</t>
  </si>
  <si>
    <t>51371</t>
  </si>
  <si>
    <t>CHOLECYSTEKTOMIE</t>
  </si>
  <si>
    <t>61115</t>
  </si>
  <si>
    <t xml:space="preserve">REVIZE, EXCIZE A SUTURA PORANĚNÍ KŮŽE A PODKOŽÍ A </t>
  </si>
  <si>
    <t>54810</t>
  </si>
  <si>
    <t>PEROPERAČNÍ ANGIOGRAFIE</t>
  </si>
  <si>
    <t>57251</t>
  </si>
  <si>
    <t>KLÍNOVITÁ RESEKCE PLIC NEBO ENUKLEACE TUMORU</t>
  </si>
  <si>
    <t>54190</t>
  </si>
  <si>
    <t>OSTATNÍ REKONSTRUKCE TEPEN A BY-PASSY</t>
  </si>
  <si>
    <t>51825</t>
  </si>
  <si>
    <t>SEKUNDÁRNÍ SUTURA RÁNY</t>
  </si>
  <si>
    <t>51850</t>
  </si>
  <si>
    <t>PŘEVAZ RÁNY METODOU NPWT ZALOŽENÉ NA KONTROLOVANÉM</t>
  </si>
  <si>
    <t>51386</t>
  </si>
  <si>
    <t>SUTURA EV. EXCIZE A SUTURA LÉZE STĚNY ŽALUDKU NEBO</t>
  </si>
  <si>
    <t>51711</t>
  </si>
  <si>
    <t>VÝKON LAPAROSKOPICKÝ A TORAKOSKOPICKÝ</t>
  </si>
  <si>
    <t>51311</t>
  </si>
  <si>
    <t>SPLENEKTOMIE</t>
  </si>
  <si>
    <t>51811</t>
  </si>
  <si>
    <t>INCIZE A DRENÁŽ ABSCESU NEBO HEMATOMU</t>
  </si>
  <si>
    <t>51367</t>
  </si>
  <si>
    <t>APENDEKTOMIE NEBO OPERAČNÍ DRENÁŽ PERIAPENDIKULÁRN</t>
  </si>
  <si>
    <t>51827</t>
  </si>
  <si>
    <t>MULTIORGÁNOVÝ ODBĚR</t>
  </si>
  <si>
    <t>54120</t>
  </si>
  <si>
    <t>ANEURYSMA BŘIŠNÍ AORTY (NÁHRADA BIFURKAČNÍ PROTÉZO</t>
  </si>
  <si>
    <t>07564</t>
  </si>
  <si>
    <t>(DRG) EMERGENTNÍ OPERACE KVCH</t>
  </si>
  <si>
    <t>62310</t>
  </si>
  <si>
    <t>NEKREKTOMIE DO 1% POVRCHU TĚLA</t>
  </si>
  <si>
    <t>07562</t>
  </si>
  <si>
    <t>(DRG) PLÁNOVANÁ OPERACE KVCH</t>
  </si>
  <si>
    <t>51345</t>
  </si>
  <si>
    <t>PARCIÁLNÍ RESEKCE JATER NEBO OŠETŘENÍ VĚTŠÍHO PORA</t>
  </si>
  <si>
    <t>07552</t>
  </si>
  <si>
    <t>(DRG) OPERAČNÍ VÝKON BEZ MIMOTĚLNÍHO OBĚHU</t>
  </si>
  <si>
    <t>57215</t>
  </si>
  <si>
    <t>RESEKCE HRUDNÍ STĚNY</t>
  </si>
  <si>
    <t>51395</t>
  </si>
  <si>
    <t>PUNKCE PERITONEÁLNÍ DIAGNOSTICKÁ ČI TERAPEUTICKÁ</t>
  </si>
  <si>
    <t>07363</t>
  </si>
  <si>
    <t xml:space="preserve">(DRG) ZAVEDENÍ BIFURKAČNÍHO STENTGRAFTU DO BŘIŠNÍ </t>
  </si>
  <si>
    <t>66851</t>
  </si>
  <si>
    <t>AMPUTACE DLOUHÉ KOSTI / EXARTIKULACE VELKÉHO KLOUB</t>
  </si>
  <si>
    <t>07468</t>
  </si>
  <si>
    <t>(DRG) TROMBECTOMIE  A. POPLITEA A BÉRCOVÝCH TEPEN</t>
  </si>
  <si>
    <t>51357</t>
  </si>
  <si>
    <t>JEJUNOSTOMIE, ILEOSTOMIE NEBO KOLOSTOMIE, ANTEPOZI</t>
  </si>
  <si>
    <t>51321</t>
  </si>
  <si>
    <t>LEVOSTRANNÁ PANKREATEKTOMIE SE SPLENEKTOMIÍ</t>
  </si>
  <si>
    <t>07563</t>
  </si>
  <si>
    <t>(DRG) URGENTNÍ OPERACE KVCH</t>
  </si>
  <si>
    <t>07544</t>
  </si>
  <si>
    <t>(DRG) PRVNÍ REOPERACE</t>
  </si>
  <si>
    <t>51515</t>
  </si>
  <si>
    <t>OPERACE KÝLY UMBILIKÁLNÍ NEBO EPIGASTRICKÁ - DOSPĚ</t>
  </si>
  <si>
    <t>57241</t>
  </si>
  <si>
    <t>DEKORTIKACE PLÍCE</t>
  </si>
  <si>
    <t>57247</t>
  </si>
  <si>
    <t>PNEUMONEKTOMIE, NEBO LOBEKTOMIE, NEBO BILOBEKTOMIE</t>
  </si>
  <si>
    <t>07469</t>
  </si>
  <si>
    <t>(DRG) EMBOLECTOMIE A. POPLITEA A BÉRCOVÝCH TEPEN</t>
  </si>
  <si>
    <t>51391</t>
  </si>
  <si>
    <t>LAPAROTOMIE A OŠETŘENÍ VÍCEČETNÉHO VISCERÁLNÍHO PO</t>
  </si>
  <si>
    <t>54510</t>
  </si>
  <si>
    <t>PEROPERAČNÍ TRANSLUMINÁLNÍ ANGIOPLASTIKA</t>
  </si>
  <si>
    <t>54340</t>
  </si>
  <si>
    <t>TEPENNÁ EMBOLEKTOMIE, TROMBEKTOMIE</t>
  </si>
  <si>
    <t>57235</t>
  </si>
  <si>
    <t>TORAKOTOMIE PROSTÁ NEBO S BIOPSIÍ, EVAKUACÍ HEMATO</t>
  </si>
  <si>
    <t>54170</t>
  </si>
  <si>
    <t>PROFUNDOPLASTIKA</t>
  </si>
  <si>
    <t>07382</t>
  </si>
  <si>
    <t>(DRG) BYPASS ILIKO - PROFUNDÁLNÍ PROTETICKÝ</t>
  </si>
  <si>
    <t>07389</t>
  </si>
  <si>
    <t>(DRG) TROMBECTOMIE A.ILIACA</t>
  </si>
  <si>
    <t>51355</t>
  </si>
  <si>
    <t>DVOJ - A VÍCENÁSOBNÁ RESEKCE A (NEBO) ANASTOMÓZA T</t>
  </si>
  <si>
    <t>76499</t>
  </si>
  <si>
    <t>TRANSPLANTACE LEDVINY</t>
  </si>
  <si>
    <t>07413</t>
  </si>
  <si>
    <t>(DRG) PLASTIKA A. FEMORALIS A JEJÍCH VĚTVÍ PROTETI</t>
  </si>
  <si>
    <t>07373</t>
  </si>
  <si>
    <t>(DRG) REVIZE V OBLASTI BŘIŠNÍ AORTY PRO  KRVÁCENÍ</t>
  </si>
  <si>
    <t>54850</t>
  </si>
  <si>
    <t>CHIRURGICKÉ ŘEŠENÍ INFEKCE  CÉVNÍ PROTÉZY V AORTOF</t>
  </si>
  <si>
    <t>51326</t>
  </si>
  <si>
    <t>DRENÁŽNÍ OPERACE PŘI AKUTNÍ PANKEATITIDĚ, DRENÁŽ A</t>
  </si>
  <si>
    <t>09569</t>
  </si>
  <si>
    <t>ZÁKROK NA PRAVÉ STRANĚ</t>
  </si>
  <si>
    <t>57221</t>
  </si>
  <si>
    <t>OPERAČNÍ STABILIZACE HRUDNÍKU PO ÚRAZE - JEDNA STR</t>
  </si>
  <si>
    <t>63596</t>
  </si>
  <si>
    <t>TOTÁLNÍ OMENTEKTOMIE</t>
  </si>
  <si>
    <t>66915</t>
  </si>
  <si>
    <t>DEKOMPRESE FASCIÁLNÍHO LOŽE</t>
  </si>
  <si>
    <t>07393</t>
  </si>
  <si>
    <t>(DRG) TROMBECTOMIE BYPASSU PÁNEVNÍ TEPNY</t>
  </si>
  <si>
    <t>90823</t>
  </si>
  <si>
    <t>(DRG) ANTIREFLUXNÍ PLASTIKA LAPAROSKOPICKY</t>
  </si>
  <si>
    <t>57231</t>
  </si>
  <si>
    <t>MEDIASTINOTOMIE</t>
  </si>
  <si>
    <t>51361</t>
  </si>
  <si>
    <t>KOLEKTOMIE SUBTOTÁLNÍ S ILEOSTOMIÍ A UZÁVĚREM REKT</t>
  </si>
  <si>
    <t>07472</t>
  </si>
  <si>
    <t>(DRG) TROMBECTOMIE BYPASSU V OBLASTI BÉRCE</t>
  </si>
  <si>
    <t>51211</t>
  </si>
  <si>
    <t>MYOTOMIE JÍCNU, HRUDNÍ PŘÍSTUP</t>
  </si>
  <si>
    <t>07428</t>
  </si>
  <si>
    <t>(DRG) REVIZE V OBLASTI STEHNA PRO  KRVÁCENÍ</t>
  </si>
  <si>
    <t>07572</t>
  </si>
  <si>
    <t>(DRG) DRUHÁ A DALŠÍ POOPERAČNÍ REVIZE PRO KRVÁCENÍ</t>
  </si>
  <si>
    <t>54130</t>
  </si>
  <si>
    <t>ANEURYSMA BŘIŠNÍ AORTY NEBO PÁNEVNÍ TEPNY INFRAREN</t>
  </si>
  <si>
    <t>07569</t>
  </si>
  <si>
    <t>(DRG) BYPASS NEBO NÁHRADA POPLITEO - POPLITEÁLNÍ A</t>
  </si>
  <si>
    <t>90952</t>
  </si>
  <si>
    <t>(DRG) EXTRAKCE TROMBU NEBO EMBOLU ENDOVASKULÁRNÍ C</t>
  </si>
  <si>
    <t>90954</t>
  </si>
  <si>
    <t>(DRG) KRITICKÁ KONČETINOVÁ ISCHEMIE</t>
  </si>
  <si>
    <t>51373</t>
  </si>
  <si>
    <t>CHOLECYSTOSTOMIE</t>
  </si>
  <si>
    <t>57211</t>
  </si>
  <si>
    <t>REVIZE OBOU HRUDNÍCH DUTIN ZE STERNOTOMIE</t>
  </si>
  <si>
    <t>90959</t>
  </si>
  <si>
    <t>(DRG) ÚPRAVA ŽILNÍHO NEBO TEPENNÉHO ALOŠTĚPU</t>
  </si>
  <si>
    <t>91761</t>
  </si>
  <si>
    <t>(DRG) DERIVAČNÍ STOMIE</t>
  </si>
  <si>
    <t>91770</t>
  </si>
  <si>
    <t>(DRG) NÍZKÁ RESEKCE REKTA</t>
  </si>
  <si>
    <t>91769</t>
  </si>
  <si>
    <t>(DRG) TOTÁLNÍ EXCIZE MEZOREKTA</t>
  </si>
  <si>
    <t>91741</t>
  </si>
  <si>
    <t>(DRG) SEGMENTÁLNÍ RESEKCE TRACHEY</t>
  </si>
  <si>
    <t>91767</t>
  </si>
  <si>
    <t>(DRG) DOČASNÁ TAMPONÁDA (PACKING) ORGÁNŮ NEBO ČÁST</t>
  </si>
  <si>
    <t>91760</t>
  </si>
  <si>
    <t>(DRG) NUTRIČNÍ STOMIE</t>
  </si>
  <si>
    <t>90828</t>
  </si>
  <si>
    <t>(DRG) EVAKUACE HEMATOMU NEBO EMPYEMU PLIC THORAKOS</t>
  </si>
  <si>
    <t>09572</t>
  </si>
  <si>
    <t>VÍCEČETNÝ ZÁKROK</t>
  </si>
  <si>
    <t>07355</t>
  </si>
  <si>
    <t>(DRG) ČÁSTEČNÉ ODSTRANĚNÍ PROTETICKÉHO MATERIÁLU V</t>
  </si>
  <si>
    <t>5F3</t>
  </si>
  <si>
    <t>51859</t>
  </si>
  <si>
    <t>FIXAČNÍ SÁDROVÁ DLAHA - NOHA, BÉREC</t>
  </si>
  <si>
    <t>51877</t>
  </si>
  <si>
    <t>PŘILOŽENÍ LÉČEBNÉ POMŮCKY - ORTÉZY</t>
  </si>
  <si>
    <t>53159</t>
  </si>
  <si>
    <t>OTEVŘENÁ REPOZICE A OSTEOSYNTÉZA ZLOMENIN OBOU KOS</t>
  </si>
  <si>
    <t>53163</t>
  </si>
  <si>
    <t>OTEVŘENÁ REPOZICE A OSTEOSYNTÉZA VÍCEÚLOMKOVÝCH ZL</t>
  </si>
  <si>
    <t>53253</t>
  </si>
  <si>
    <t xml:space="preserve">OTEVŘENÁ REPOZICE A OSTEOSYNTÉZA ZLOMENIN DIAFÝZY </t>
  </si>
  <si>
    <t>53459</t>
  </si>
  <si>
    <t>OTEVŘENÁ REPOZICE NITROKLOUBNÍCH LUXAČNÍCH ZLOMENI</t>
  </si>
  <si>
    <t>53469</t>
  </si>
  <si>
    <t>ZLOMENINA DIAFÝZY A SUPRAKONDYLICKÉ OBLASTI FEMURU</t>
  </si>
  <si>
    <t>66633</t>
  </si>
  <si>
    <t>PSEUDOARTRÓZA KRČKU FEMORU - REKONSTRUKCE</t>
  </si>
  <si>
    <t>66683</t>
  </si>
  <si>
    <t>AMPUTACE JEDNOHO PAPRSKU DOLNÍ KONČETINY</t>
  </si>
  <si>
    <t>66813</t>
  </si>
  <si>
    <t>ODSTRANĚNÍ OSTEOSYNTETICKÉHO MATERIÁLU</t>
  </si>
  <si>
    <t>66819</t>
  </si>
  <si>
    <t>APLIKACE ZEVNÍHO FIXATÉRU</t>
  </si>
  <si>
    <t>66823</t>
  </si>
  <si>
    <t>ODSTRANĚNÍ ZEVNÍHO FIXATÉRU</t>
  </si>
  <si>
    <t>53490</t>
  </si>
  <si>
    <t>ROZSÁHLÉ DEBRIDEMENT SLOŽITÝCH OTEVŘENÝCH ZLOMENIN</t>
  </si>
  <si>
    <t>53115</t>
  </si>
  <si>
    <t>ZAVŘENÁ REPOZICE LUXACE KARPU NEBO INTRAARTIKULÁRN</t>
  </si>
  <si>
    <t>66127</t>
  </si>
  <si>
    <t>MANIPULACE V CELKOVÉ NEBO LOKÁLNÍ ANESTÉZII</t>
  </si>
  <si>
    <t>66815</t>
  </si>
  <si>
    <t>AUTOGENNÍ ŠTĚP</t>
  </si>
  <si>
    <t>51855</t>
  </si>
  <si>
    <t>FIXAČNÍ SÁDROVÁ DLAHA - CELÁ HORNÍ KONČETINA</t>
  </si>
  <si>
    <t>53155</t>
  </si>
  <si>
    <t>OTEVŘENÁ REPOZICE - SYNTÉZA LUXACE KARPU - INTRAAR</t>
  </si>
  <si>
    <t>53471</t>
  </si>
  <si>
    <t>ZLOMENINA HORNÍHO KONCE FEMURU - REPOZICE OTEVŘENÁ</t>
  </si>
  <si>
    <t>53157</t>
  </si>
  <si>
    <t>OTEVŘENÁ REPOZICE A OSTEOSYNTÉZA ZLOMENINY JEDNÉ K</t>
  </si>
  <si>
    <t>53161</t>
  </si>
  <si>
    <t>OTEVŘENÁ REPOZICE A OSTEOSYNTÉZA IZOLOVANÉ ZLOMENI</t>
  </si>
  <si>
    <t>53257</t>
  </si>
  <si>
    <t xml:space="preserve">OTEVŘENÁ REPOZICE A OSTEOSYNTÉZA ZLOMENINY KLÍČNÍ </t>
  </si>
  <si>
    <t>53461</t>
  </si>
  <si>
    <t>ZLOMENINA HORNÍHO KONCE TIBIE - DIAKONDYLICKÁ - (T</t>
  </si>
  <si>
    <t>62320</t>
  </si>
  <si>
    <t>NEKREKTOMIE DO 5 % POVRCHU TĚLA - TANGENCIÁLNÍ NEB</t>
  </si>
  <si>
    <t>53485</t>
  </si>
  <si>
    <t>ZLOMENINY PÁNEVNÍHO KRUHU - NESTABILNÍ - S OPERAČN</t>
  </si>
  <si>
    <t>62640</t>
  </si>
  <si>
    <t>ODBĚR DERMOEPIDERMÁLNÍHO ŠTĚPU: 1 - 5 % Z PLOCHY P</t>
  </si>
  <si>
    <t>66825</t>
  </si>
  <si>
    <t>UPRAVENÍ ZEVNÍHO FIXATÉRU</t>
  </si>
  <si>
    <t>62440</t>
  </si>
  <si>
    <t>ŠTĚP PŘI POPÁLENÍ (A OSTATNÍCH KOŽNÍCH ZTRÁTÁCH) D</t>
  </si>
  <si>
    <t>53255</t>
  </si>
  <si>
    <t xml:space="preserve">OTEVŘENÁ REPOZICE A OSTEOSYNTÉZA ZLOMENIN HORNÍHO </t>
  </si>
  <si>
    <t>66865</t>
  </si>
  <si>
    <t>EXCIZE A EXSTIRPACE KOSTI - RESEKCE A NÁHRADA JINÝ</t>
  </si>
  <si>
    <t>53481</t>
  </si>
  <si>
    <t xml:space="preserve">ZLOMENINA  ACETABULA - JEDNOHO PILÍŘE EVENT. JEHO </t>
  </si>
  <si>
    <t>1</t>
  </si>
  <si>
    <t>0003708</t>
  </si>
  <si>
    <t>ZYVOXID</t>
  </si>
  <si>
    <t>0005113</t>
  </si>
  <si>
    <t>TARGOCID</t>
  </si>
  <si>
    <t>0006480</t>
  </si>
  <si>
    <t>0011592</t>
  </si>
  <si>
    <t>METRONIDAZOL B. BRAUN</t>
  </si>
  <si>
    <t>0016547</t>
  </si>
  <si>
    <t>0016600</t>
  </si>
  <si>
    <t>UNASYN</t>
  </si>
  <si>
    <t>0017039</t>
  </si>
  <si>
    <t>VISIPAQUE</t>
  </si>
  <si>
    <t>0026127</t>
  </si>
  <si>
    <t>0026902</t>
  </si>
  <si>
    <t>VFEND</t>
  </si>
  <si>
    <t>0029979</t>
  </si>
  <si>
    <t>0029980</t>
  </si>
  <si>
    <t>0059830</t>
  </si>
  <si>
    <t>0062464</t>
  </si>
  <si>
    <t>0062465</t>
  </si>
  <si>
    <t>0064831</t>
  </si>
  <si>
    <t>0072972</t>
  </si>
  <si>
    <t>AMOKSIKLAV 1,2 G</t>
  </si>
  <si>
    <t>0076353</t>
  </si>
  <si>
    <t>FORTUM</t>
  </si>
  <si>
    <t>0076354</t>
  </si>
  <si>
    <t>0091731</t>
  </si>
  <si>
    <t>0094155</t>
  </si>
  <si>
    <t>ABAKTAL</t>
  </si>
  <si>
    <t>0096414</t>
  </si>
  <si>
    <t>GENTAMICIN LEK</t>
  </si>
  <si>
    <t>0112782</t>
  </si>
  <si>
    <t>GENTAMICIN B.BRAUN</t>
  </si>
  <si>
    <t>0112786</t>
  </si>
  <si>
    <t>0121240</t>
  </si>
  <si>
    <t>CEFTRIAXON KABI</t>
  </si>
  <si>
    <t>0138455</t>
  </si>
  <si>
    <t>ALBUNORM 20%</t>
  </si>
  <si>
    <t>0142077</t>
  </si>
  <si>
    <t>TIENAM</t>
  </si>
  <si>
    <t>0162180</t>
  </si>
  <si>
    <t>0162187</t>
  </si>
  <si>
    <t>0164401</t>
  </si>
  <si>
    <t>0166269</t>
  </si>
  <si>
    <t>0500566</t>
  </si>
  <si>
    <t>0500720</t>
  </si>
  <si>
    <t>0129056</t>
  </si>
  <si>
    <t>0164407</t>
  </si>
  <si>
    <t>0136083</t>
  </si>
  <si>
    <t>0201030</t>
  </si>
  <si>
    <t>SEFOTAK</t>
  </si>
  <si>
    <t>0193477</t>
  </si>
  <si>
    <t>ZINFORO</t>
  </si>
  <si>
    <t>0134595</t>
  </si>
  <si>
    <t>0064835</t>
  </si>
  <si>
    <t>0113453</t>
  </si>
  <si>
    <t>0149384</t>
  </si>
  <si>
    <t>0156835</t>
  </si>
  <si>
    <t>MEROPENEM KABI</t>
  </si>
  <si>
    <t>0129834</t>
  </si>
  <si>
    <t>0129836</t>
  </si>
  <si>
    <t>0166265</t>
  </si>
  <si>
    <t>0183926</t>
  </si>
  <si>
    <t>AZEPO</t>
  </si>
  <si>
    <t>0113424</t>
  </si>
  <si>
    <t>0141263</t>
  </si>
  <si>
    <t>PIPERACILLIN/TAZOBACTAM MYLAN</t>
  </si>
  <si>
    <t>0195147</t>
  </si>
  <si>
    <t>AMIKACIN MEDOPHARM</t>
  </si>
  <si>
    <t>0183817</t>
  </si>
  <si>
    <t>ARCHIFAR</t>
  </si>
  <si>
    <t>0155862</t>
  </si>
  <si>
    <t>SUMAMED</t>
  </si>
  <si>
    <t>0212531</t>
  </si>
  <si>
    <t>0210993</t>
  </si>
  <si>
    <t>ZERBAXA</t>
  </si>
  <si>
    <t>0205772</t>
  </si>
  <si>
    <t>VORICONAZOLE TEVA</t>
  </si>
  <si>
    <t>0214076</t>
  </si>
  <si>
    <t>0206566</t>
  </si>
  <si>
    <t>0168860</t>
  </si>
  <si>
    <t>0224709</t>
  </si>
  <si>
    <t>ULTRAVIST</t>
  </si>
  <si>
    <t>0216704</t>
  </si>
  <si>
    <t>0230459</t>
  </si>
  <si>
    <t>0209414</t>
  </si>
  <si>
    <t>ZAVICEFTA</t>
  </si>
  <si>
    <t>0158152</t>
  </si>
  <si>
    <t>0205966</t>
  </si>
  <si>
    <t>HUMAN ALBUMIN CSL BEHRING</t>
  </si>
  <si>
    <t>0230494</t>
  </si>
  <si>
    <t>WILATE</t>
  </si>
  <si>
    <t>0158151</t>
  </si>
  <si>
    <t>0172774</t>
  </si>
  <si>
    <t>0230686</t>
  </si>
  <si>
    <t>0218400</t>
  </si>
  <si>
    <t>0230687</t>
  </si>
  <si>
    <t>0211760</t>
  </si>
  <si>
    <t>0172775</t>
  </si>
  <si>
    <t>0241308</t>
  </si>
  <si>
    <t>0230489</t>
  </si>
  <si>
    <t>0242332</t>
  </si>
  <si>
    <t>0173750</t>
  </si>
  <si>
    <t>0224407</t>
  </si>
  <si>
    <t>0243369</t>
  </si>
  <si>
    <t>0206563</t>
  </si>
  <si>
    <t>0230458</t>
  </si>
  <si>
    <t>0227475</t>
  </si>
  <si>
    <t>0173857</t>
  </si>
  <si>
    <t>0236842</t>
  </si>
  <si>
    <t>0221742</t>
  </si>
  <si>
    <t>0242270</t>
  </si>
  <si>
    <t>0230548</t>
  </si>
  <si>
    <t>PANZYGA</t>
  </si>
  <si>
    <t>0223810</t>
  </si>
  <si>
    <t>CEFEPIM NORIDEM</t>
  </si>
  <si>
    <t>2</t>
  </si>
  <si>
    <t>0007905</t>
  </si>
  <si>
    <t>Erytrocyty z odběru plné krve</t>
  </si>
  <si>
    <t>0007917</t>
  </si>
  <si>
    <t>Erytrocyty bez buffy coatu</t>
  </si>
  <si>
    <t>0007955</t>
  </si>
  <si>
    <t>Erytrocyty deleukotizované</t>
  </si>
  <si>
    <t>0007957</t>
  </si>
  <si>
    <t>0007963</t>
  </si>
  <si>
    <t>Erytrocyty z aferézy</t>
  </si>
  <si>
    <t>0107936</t>
  </si>
  <si>
    <t>Trombocyty z buffy coatu směsné, deleukotizované</t>
  </si>
  <si>
    <t>0107959</t>
  </si>
  <si>
    <t>Trombocyty z aferézy deleukotizované</t>
  </si>
  <si>
    <t>0207921</t>
  </si>
  <si>
    <t>Plazma čerstvá zmrazená</t>
  </si>
  <si>
    <t>0407942</t>
  </si>
  <si>
    <t>Příplatek za ozáření</t>
  </si>
  <si>
    <t>0007964</t>
  </si>
  <si>
    <t>Erytrocyty z aferézy deleukotizované</t>
  </si>
  <si>
    <t>3</t>
  </si>
  <si>
    <t>0001018</t>
  </si>
  <si>
    <t>ŠROUB SAMOŘEZNÝ KORTIKÁLNÍ MALÝ FRAGMENTY OCEL NE/</t>
  </si>
  <si>
    <t>0001027</t>
  </si>
  <si>
    <t>0001052</t>
  </si>
  <si>
    <t>DLAHA LC-DCP ROVNÁ MALÉ FRAGMENT OCEL</t>
  </si>
  <si>
    <t>0001739</t>
  </si>
  <si>
    <t>DRÁT KIRSCHNERŮV OCEL</t>
  </si>
  <si>
    <t>0001948</t>
  </si>
  <si>
    <t>ŠROUB SAMOŘEZNÝ KANYLOVANÝ OCEL</t>
  </si>
  <si>
    <t>0002370</t>
  </si>
  <si>
    <t>FIXÁTOR ZEVNÍ JEDNOROVIN./DVOUROVIN.TRUBKOVÝ,SYNTH</t>
  </si>
  <si>
    <t>0002408</t>
  </si>
  <si>
    <t>0002425</t>
  </si>
  <si>
    <t>0002584</t>
  </si>
  <si>
    <t>ŠROUB SAMOŘEZNÝ KORTIKÁLNÍ PÁNEV OCEL</t>
  </si>
  <si>
    <t>0004070</t>
  </si>
  <si>
    <t>ŠROUB LCP A VA-LCP SAMOŘEZNÝ MALÝ FRAGMENT OCEL TI</t>
  </si>
  <si>
    <t>0004077</t>
  </si>
  <si>
    <t>0005606</t>
  </si>
  <si>
    <t>NÁVLEK NA OPMI, TYP 71                      306071</t>
  </si>
  <si>
    <t>0006853</t>
  </si>
  <si>
    <t>FIXÁTOR ZEVNÍ JEDNOROVINNÝ ZÁPĚSTÍ PENNIG II DLOUH</t>
  </si>
  <si>
    <t>0006854</t>
  </si>
  <si>
    <t>0006881</t>
  </si>
  <si>
    <t>ŠROUB KORTIKÁLNÍ, SAMOVRT. HYDROXYAPATIT. 99-6014X</t>
  </si>
  <si>
    <t>0010767</t>
  </si>
  <si>
    <t>0012999</t>
  </si>
  <si>
    <t>STAPLER LINEÁRNÍ S NOŽEM - TCT55; TLC55 (S PZT 001</t>
  </si>
  <si>
    <t>0013004</t>
  </si>
  <si>
    <t>STAPLER LINEÁRNÍ - TX60B; TX60G (S PZT 0053770)</t>
  </si>
  <si>
    <t>0013009</t>
  </si>
  <si>
    <t>ZÁSOBNÍK PRO STAPLER LIN S NOŽEM - (TCR/TRT/TRD)75</t>
  </si>
  <si>
    <t>0013010</t>
  </si>
  <si>
    <t xml:space="preserve">STAPLER LINEÁRNÍ S NOŽEM - TCT75; TLC75; TCD75 (S </t>
  </si>
  <si>
    <t>0017422</t>
  </si>
  <si>
    <t>ŠROUB KORTIKÁLNÍ VELKÝ FRAGMENT OCEL</t>
  </si>
  <si>
    <t>0017424</t>
  </si>
  <si>
    <t>0017745</t>
  </si>
  <si>
    <t>0018678</t>
  </si>
  <si>
    <t>CEMENT KOSTNÍ PALACOS R - 40 + GENTAMICINUM  2X40G</t>
  </si>
  <si>
    <t>0027737</t>
  </si>
  <si>
    <t>DLAHA LCP ROVNÁ MALÝ FRAGMENT OCEL NE/STERIL</t>
  </si>
  <si>
    <t>0027930</t>
  </si>
  <si>
    <t>STENT PERIFERNÍ URETERÁLNÍ WHITE STAR INTRAOPERATI</t>
  </si>
  <si>
    <t>0028338</t>
  </si>
  <si>
    <t>SET RENÁLNÍ A NEFROSTOMICKÝ RE400740,400840,400940</t>
  </si>
  <si>
    <t>0030400</t>
  </si>
  <si>
    <t>ŠROUB LCP SAMOŘEZNÝ VELKÝ FRAGMENT OCEL</t>
  </si>
  <si>
    <t>0030409</t>
  </si>
  <si>
    <t>0030415</t>
  </si>
  <si>
    <t>0030418</t>
  </si>
  <si>
    <t>0030454</t>
  </si>
  <si>
    <t>ŠROUB LCP SAMOŘEZNÝ MALÝ FRAGMENT TITAN NE/STERIL</t>
  </si>
  <si>
    <t>0030458</t>
  </si>
  <si>
    <t>0030501</t>
  </si>
  <si>
    <t>ŠROUB LCP SAMOŘEZNÝ VELKÝ FRAGMENT TITAN</t>
  </si>
  <si>
    <t>0030509</t>
  </si>
  <si>
    <t>0030617</t>
  </si>
  <si>
    <t>STAPLER KOŽNÍ ROYAL - 35W</t>
  </si>
  <si>
    <t>0031337</t>
  </si>
  <si>
    <t>0031437</t>
  </si>
  <si>
    <t>DLAHA LCP A VA-LCP HUMERUS DISTÁLNÍ MALÝ FRAGMENT,</t>
  </si>
  <si>
    <t>0031495</t>
  </si>
  <si>
    <t>DLAHA LCP FEMUR DISTÁLNÍ VELKÝ FRAGMENT OCEL TITAN</t>
  </si>
  <si>
    <t>0034884</t>
  </si>
  <si>
    <t>ŠROUB STARDRIVE ZAJIŠŤOVACÍ TITAN NE/STERIL</t>
  </si>
  <si>
    <t>0037145</t>
  </si>
  <si>
    <t>PROTÉZA GORE-TEX CÉVNÍ - PRUŽNÁ TENKOSTĚNNÁ</t>
  </si>
  <si>
    <t>0037174</t>
  </si>
  <si>
    <t>PROTÉZA GORE-TEX CÉVNÍ - PRUŽNÁ TENK.S ODSTR.KROUŽ</t>
  </si>
  <si>
    <t>0038482</t>
  </si>
  <si>
    <t>DRÁT VODÍCÍ GUIDE WIRE M</t>
  </si>
  <si>
    <t>0043984</t>
  </si>
  <si>
    <t>ČIDLO PRO MĚŘENÍ NITROLEBNÍHO TLAKU NEUROVENT</t>
  </si>
  <si>
    <t>0048989</t>
  </si>
  <si>
    <t>ELEKTRODA KOAGULAČNÍ JEDNORÁZOVÁ GN211</t>
  </si>
  <si>
    <t>0049488</t>
  </si>
  <si>
    <t>STAPLER LINEÁRNÍ - ECHELON; ETS FLEX 45MM,60MM, DÉ</t>
  </si>
  <si>
    <t>0049489</t>
  </si>
  <si>
    <t>ZÁSOBNÍK PRO ENDOSTAPLER - ECHELON ENDOPATH 45/60;</t>
  </si>
  <si>
    <t>0051334</t>
  </si>
  <si>
    <t>KATETR URETERÁLNÍ,POLLACK,FLEXI-TIP U-021305</t>
  </si>
  <si>
    <t>0051607</t>
  </si>
  <si>
    <t>SADA GASTROSTOMICKÁ - PEG</t>
  </si>
  <si>
    <t>0052834</t>
  </si>
  <si>
    <t>STENT PERIFERNÍ URETERÁLNÍ OPTIMED,POLYURETAN</t>
  </si>
  <si>
    <t>0053772</t>
  </si>
  <si>
    <t>STAPLER LINEÁRNÍ S NOŽEM - TCT10; TLC10 (S PZT 005</t>
  </si>
  <si>
    <t>0053774</t>
  </si>
  <si>
    <t>ZÁSOBNÍK PRO STAPLER LINEÁRNÍ S NOŽEM - TRT10,TCR1</t>
  </si>
  <si>
    <t>0054514</t>
  </si>
  <si>
    <t>SYSTÉM ZEVNÍ DRENÁŽNÍ A MONITOROVACÍ LIKVOROVÝ DOČ</t>
  </si>
  <si>
    <t>0054525</t>
  </si>
  <si>
    <t>DRÁT VODÍCÍ</t>
  </si>
  <si>
    <t>0056288</t>
  </si>
  <si>
    <t>KATETR BALÓNKOVÝ FOGARTY EMBOLEKTOMICKÝ - 120403F</t>
  </si>
  <si>
    <t>0056289</t>
  </si>
  <si>
    <t>KATETR BALÓNKOVÝ FOGARTY EMBOLEKTOMICKÝ - 120803F</t>
  </si>
  <si>
    <t>0056291</t>
  </si>
  <si>
    <t>KATETR BALÓNKOVÝ FOGARTY EMBOLEKTOMICKÝ - 120804F</t>
  </si>
  <si>
    <t>0056292</t>
  </si>
  <si>
    <t>KATETR BALÓNKOVÝ FOGARTY EMBOLEKTOMICKÝ - 120805F</t>
  </si>
  <si>
    <t>0056305</t>
  </si>
  <si>
    <t>KATETR BALÓNKOVÝ FOGARTY OKLUZNÍ - 620404F</t>
  </si>
  <si>
    <t>0056306</t>
  </si>
  <si>
    <t>KATETR BALÓNKOVÝ FOGARTY OKLUZNÍ - 620405F</t>
  </si>
  <si>
    <t>0056313</t>
  </si>
  <si>
    <t>KATETR BALÓNKOVÝ FOGARTY TROMBEKTOMICKÝ - 160246F</t>
  </si>
  <si>
    <t>0057937</t>
  </si>
  <si>
    <t>ZÁPLATA KARDIOVASKULÁRNÍ GORE-TEX 0,5MM</t>
  </si>
  <si>
    <t>0058376</t>
  </si>
  <si>
    <t>ANTIREFLUXNÍ PLASTIKA DRG 90823</t>
  </si>
  <si>
    <t>0062228</t>
  </si>
  <si>
    <t>SÍŤKA KÝLNÍ EXTRAPER.PROLENE NEVSTŘEBATELNÁ</t>
  </si>
  <si>
    <t>0067020</t>
  </si>
  <si>
    <t xml:space="preserve">IMPLANTÁT SPINÁLNÍ SYSTÉM CERVIFIX                </t>
  </si>
  <si>
    <t>0067415</t>
  </si>
  <si>
    <t>IMPLANTÁT SPINÁLNÍ SYSTÉM CASPAR KRČNÍ  PŘEDNÍ PŘÍ</t>
  </si>
  <si>
    <t>0067537</t>
  </si>
  <si>
    <t>0069500</t>
  </si>
  <si>
    <t>KANYLA TRACHEOSTOMICKÁ S NÍZKOTLAKOU MANŽETOU</t>
  </si>
  <si>
    <t>0071602</t>
  </si>
  <si>
    <t>FIXÁTOR ZEVNÍ JEDNOROVIN./DVOUROVIN.TRUBKOVÝ SYNTH</t>
  </si>
  <si>
    <t>0073660</t>
  </si>
  <si>
    <t>0073679</t>
  </si>
  <si>
    <t>0074312</t>
  </si>
  <si>
    <t>ŠROUB KOMPRESNÍ ZAVÍRACÍ TARGON</t>
  </si>
  <si>
    <t>0074314</t>
  </si>
  <si>
    <t>ŠROUB ZAJIŠŤOVACÍ  TITANOVÝ TARGON</t>
  </si>
  <si>
    <t>0074721</t>
  </si>
  <si>
    <t>HŘEB FEMORÁLNÍ PROXIMÁLNÍ TITANOVÝ DLOUHÝ TARGON P</t>
  </si>
  <si>
    <t>0074722</t>
  </si>
  <si>
    <t>HŘEB FEMORÁLNÍ PROXIMÁLNÍ TITANOVÝ KRÁTKÝ TARGON P</t>
  </si>
  <si>
    <t>0074723</t>
  </si>
  <si>
    <t>ŠROUB ZAJIŠŤOVACÍ, SAMOŘEZNÝ, UZAMYKATELNÝ TI TARG</t>
  </si>
  <si>
    <t>0077760</t>
  </si>
  <si>
    <t>HŘEB HUMERÁLNÍ NITRODŘEŇOVÝ TITANOVÝ TARGON H</t>
  </si>
  <si>
    <t>0077761</t>
  </si>
  <si>
    <t>ŠROUB ZAJIŠŤOVACÍ  TITANOVÝ TARGON PH/H</t>
  </si>
  <si>
    <t>0077762</t>
  </si>
  <si>
    <t>0082079</t>
  </si>
  <si>
    <t>KRYTÍ COM 30 OBVAZOVÁ TEXTÍLIE KOMBINOVANÁ</t>
  </si>
  <si>
    <t>0083073</t>
  </si>
  <si>
    <t>ŠROUB STARDRIVE LATERÁLNÍ TITAN NE/STERIL</t>
  </si>
  <si>
    <t>0083212</t>
  </si>
  <si>
    <t>DLAHA LCP NIZKOPROFILOVÁ  REKONSTRUKČNÍ PÁNEV OCEL</t>
  </si>
  <si>
    <t>0083836</t>
  </si>
  <si>
    <t>ŠROUB KORTIKÁLNÍ - POLYAXIÁLNÍ 5.0, SAMOŘEZNÝ, TI</t>
  </si>
  <si>
    <t>0092078</t>
  </si>
  <si>
    <t>STAPLER LINEÁRNÍ S NOŽEM - CONTOUR; ZAHNUTÝ, NÍZKÁ</t>
  </si>
  <si>
    <t>0092079</t>
  </si>
  <si>
    <t>ZÁSOBNÍK PRO LINEÁRNÍ STAPLER - CR40B,CR40G (PRO P</t>
  </si>
  <si>
    <t>0097790</t>
  </si>
  <si>
    <t>DLAHA LCP HUMERUS DISTÁLNÍ MALÝ FRAGMENT TITAN NE/</t>
  </si>
  <si>
    <t>0097804</t>
  </si>
  <si>
    <t>0097876</t>
  </si>
  <si>
    <t>PODLOŽKA MALÝ FRAGMENT TITAN</t>
  </si>
  <si>
    <t>0098656</t>
  </si>
  <si>
    <t>ŠROUB KANYLOVANÝ TI T-DRIVE</t>
  </si>
  <si>
    <t>0098685</t>
  </si>
  <si>
    <t>PODLOŽKA TI</t>
  </si>
  <si>
    <t>0099754</t>
  </si>
  <si>
    <t>ZASLEPOVACÍ HLAVA TIBIE ÚHLOVĚ STABILNÍ TITAN NE/S</t>
  </si>
  <si>
    <t>0099756</t>
  </si>
  <si>
    <t>HŘEB KANYLOVANÝ FEMUR LATERÁLNÍ TITAN NE/STERIL</t>
  </si>
  <si>
    <t>0099934</t>
  </si>
  <si>
    <t>ŠROUB SAMOVRTNÝ KANYLOVANÝ VELKÝ FRAGMENT TITAN</t>
  </si>
  <si>
    <t>0099935</t>
  </si>
  <si>
    <t>0099942</t>
  </si>
  <si>
    <t>ANOSKOP JEDNORÁZOVÝ OPERAČNÍ              A.4023.1</t>
  </si>
  <si>
    <t>0105747</t>
  </si>
  <si>
    <t xml:space="preserve">DLAHA RADIÁLNÍ VOLÁRNÍ PRO FIXACI FRAK.V DISTÁLNÍ </t>
  </si>
  <si>
    <t>0105749</t>
  </si>
  <si>
    <t>ŠROUB KORTIKÁLNÍ/HLADKÝ PRO FIXACI FRAK.V DIST.ČÁS</t>
  </si>
  <si>
    <t>0112074</t>
  </si>
  <si>
    <t>CEMENT KOSTNÍ VANCOGENX VANCOMYCIN+GENTAMICIN 1X40</t>
  </si>
  <si>
    <t>0163249</t>
  </si>
  <si>
    <t xml:space="preserve">IMPLANTÁT MAXILLOFACIÁLNÍ STŘEDNÍ OBLIČEJOVÁ ETÁŽ </t>
  </si>
  <si>
    <t>0027901</t>
  </si>
  <si>
    <t>STENT URETERÁLNÍ - WHITE STAR DOUBLE-J</t>
  </si>
  <si>
    <t>0013054</t>
  </si>
  <si>
    <t>STAPLER KOŽNÍ, 35 NEREZ.OCEL. NÁPLNÍ PMW35,PMR35</t>
  </si>
  <si>
    <t>0048653</t>
  </si>
  <si>
    <t>PROSTŘEDEK HEMOSTATICKÝ - SURGICEL</t>
  </si>
  <si>
    <t>0031490</t>
  </si>
  <si>
    <t>DLAHA LCP TIBIE PROXIMÁLNÍ VELKÝ FRAGMENT OCEL TIT</t>
  </si>
  <si>
    <t>0097835</t>
  </si>
  <si>
    <t>0073963</t>
  </si>
  <si>
    <t>0082145</t>
  </si>
  <si>
    <t>NPWT-RENASYS GO SBĚRNÁ NÁDOBA MALÁ</t>
  </si>
  <si>
    <t>0081995</t>
  </si>
  <si>
    <t>NPWT-RENASYS EZ SBĚRNÁ NÁDOBA VELKÁ</t>
  </si>
  <si>
    <t>0006849</t>
  </si>
  <si>
    <t>ŠROUB KORTIKÁLNÍ PRO PENNIG                3510X</t>
  </si>
  <si>
    <t>0082142</t>
  </si>
  <si>
    <t>NPWT-RENASYS F PŘEVAZOVÝ SET STŘEDNÍ M</t>
  </si>
  <si>
    <t>0105746</t>
  </si>
  <si>
    <t>0082141</t>
  </si>
  <si>
    <t>NPWT-RENASYS F PŘEVAZOVÝ SET MALÝ S</t>
  </si>
  <si>
    <t>0026142</t>
  </si>
  <si>
    <t>KANYLA TRACHEOSTOMICKÁ S NASTAVITELNÝM ÚCHYTEM</t>
  </si>
  <si>
    <t>0082143</t>
  </si>
  <si>
    <t>NPWT-RENASYS F PŘEVAZOVÝ SET VELKÝ L</t>
  </si>
  <si>
    <t>0049999</t>
  </si>
  <si>
    <t>EXTRAKTOR KOŽNÍCH SVOREK - PROXIMATE</t>
  </si>
  <si>
    <t>0091648</t>
  </si>
  <si>
    <t>VÝPLŇ DUTINY - ACTIFUSE  BIOAKTIVNÍ - 1,5ML</t>
  </si>
  <si>
    <t>0114292</t>
  </si>
  <si>
    <t>IMPLANTÁT SPINÁL.NÁHRADA MEZIOBRATL. FUSION CAGE K</t>
  </si>
  <si>
    <t>0043968</t>
  </si>
  <si>
    <t>0002263</t>
  </si>
  <si>
    <t>FIXÁTOR ZEVNÍ JEDNOROVINNÝ TUBULÁRNÍ,SYNTHES KOSTI</t>
  </si>
  <si>
    <t>0107930</t>
  </si>
  <si>
    <t>ŠROUB CHARLOTTE FIXACE NOHY</t>
  </si>
  <si>
    <t>0152127</t>
  </si>
  <si>
    <t>STAPLER LINEÁRNÍ S NOŽEM - LC6045 (PRO PZT 0152133</t>
  </si>
  <si>
    <t>0152133</t>
  </si>
  <si>
    <t>ZÁSOBNÍK PRO STAPLER LINEÁR. S NOŽEM LCC6045/8038/</t>
  </si>
  <si>
    <t>0152130</t>
  </si>
  <si>
    <t>STAPLER LINEÁRNÍ S NOŽEM - LC8045 (PRO PZT 0152134</t>
  </si>
  <si>
    <t>0030261</t>
  </si>
  <si>
    <t>ŠROUB KORTIKÁLNÍ SAMOŘEZNÝ OCEL</t>
  </si>
  <si>
    <t>0152076</t>
  </si>
  <si>
    <t>KATETR DUFOUR, TROJCESTNÝ PROSTATICKÝ, 50, 80 ML -</t>
  </si>
  <si>
    <t>0152131</t>
  </si>
  <si>
    <t>STAPLER LINEÁRNÍ S NOŽEM - LC10038, LC10045 (PRO P</t>
  </si>
  <si>
    <t>0031470</t>
  </si>
  <si>
    <t>DLAHA LCP TIBIE PROXIMÁLNÍ MALÝ/VELKÝ FRAGMENT OCE</t>
  </si>
  <si>
    <t>0170137</t>
  </si>
  <si>
    <t>NPWT-RENASYS GO SBĚRNÁ NÁDOBA VELKÁ</t>
  </si>
  <si>
    <t>0114270</t>
  </si>
  <si>
    <t>IMPLANTÁT SPINÁLNÍ FIXAČNÍ SYSTÉM FJS HRUD/BED.ZAD</t>
  </si>
  <si>
    <t>0114283</t>
  </si>
  <si>
    <t>IMPLANTÁT SPINÁLNÍ FIXAČNÍ SYSTÉM USMART HRUD/BED.</t>
  </si>
  <si>
    <t>0114286</t>
  </si>
  <si>
    <t>0142062</t>
  </si>
  <si>
    <t>0114288</t>
  </si>
  <si>
    <t>0114289</t>
  </si>
  <si>
    <t>0001344</t>
  </si>
  <si>
    <t>DRÁT VODÍCÍ ZÁVITOVÝ OCEL</t>
  </si>
  <si>
    <t>0142096</t>
  </si>
  <si>
    <t>0151533</t>
  </si>
  <si>
    <t>ZÁSOBNÍK KLIPÚ TITANOVÝCH SMALL</t>
  </si>
  <si>
    <t>0051815</t>
  </si>
  <si>
    <t>KATETR SINGL.LOOP K TU/PERK.DREN.LEDV.,VODIČ FIX.P</t>
  </si>
  <si>
    <t>0142054</t>
  </si>
  <si>
    <t xml:space="preserve">IMPLANTÁT KRANIOFACIÁLNÍ LA FÓRTE SYSTÉM, SLITINA </t>
  </si>
  <si>
    <t>0142089</t>
  </si>
  <si>
    <t>0142058</t>
  </si>
  <si>
    <t>0142057</t>
  </si>
  <si>
    <t>0142163</t>
  </si>
  <si>
    <t xml:space="preserve">ŠROUB UZAMYKATELNÝ KORTIKÁLNÍ, PRO DLAHU ŽEBERNÍ; </t>
  </si>
  <si>
    <t>0142154</t>
  </si>
  <si>
    <t>DLAHA ŽEBERNÍ KLIPOVACÍ; OCEL</t>
  </si>
  <si>
    <t>0152830</t>
  </si>
  <si>
    <t>KATETR BALÓNKOVÝ FOGARTY EMBOLEKTOMICKÝ - EM</t>
  </si>
  <si>
    <t>0030705</t>
  </si>
  <si>
    <t>0028342</t>
  </si>
  <si>
    <t>SET RENÁLNÍ A NEFROSTOMICKÝ RE 401440</t>
  </si>
  <si>
    <t>0112844</t>
  </si>
  <si>
    <t>FIXÁTOR ZEVNÍ JEDNOROVINNÝ ZÁPĚSTÍ PENNIG II RADIU</t>
  </si>
  <si>
    <t>0031497</t>
  </si>
  <si>
    <t>0053393</t>
  </si>
  <si>
    <t>DRÁT VODÍCÍ HYDROFILNÍ P18 150H,P25 150H,P32 150H,</t>
  </si>
  <si>
    <t>0058605</t>
  </si>
  <si>
    <t>KARDIOSTEH PROLENE W8310,8330,8556,8710,8721,8816</t>
  </si>
  <si>
    <t>0163248</t>
  </si>
  <si>
    <t>0107484</t>
  </si>
  <si>
    <t>DLAHA LCP HUMERUS DISTÁLNÍ MALÝ FRAGMNENT OCEL TIT</t>
  </si>
  <si>
    <t>0097017</t>
  </si>
  <si>
    <t>DLAHA LCP METAFYZÁRNÍ ŠIROKÁ MALÝ FRAGMENT OCEL TI</t>
  </si>
  <si>
    <t>0059528</t>
  </si>
  <si>
    <t>KLIP - CÉVNÍ - 6 KLIPŮ - HORIZON TM</t>
  </si>
  <si>
    <t>0058381</t>
  </si>
  <si>
    <t>EVAKUACE HEMATOMU NEBO EMPYEMU DRG 90828</t>
  </si>
  <si>
    <t>0030488</t>
  </si>
  <si>
    <t>0073263</t>
  </si>
  <si>
    <t>K-DRÁT MEDIN OCEL</t>
  </si>
  <si>
    <t>0152135</t>
  </si>
  <si>
    <t>ZÁSOBNÍK PRO STAPLER LINEÁR.S NOŽEM-LCC10038,LCC10</t>
  </si>
  <si>
    <t>0142084</t>
  </si>
  <si>
    <t>0059978</t>
  </si>
  <si>
    <t>KLIPY EXTRA TITAN LT100,LT200</t>
  </si>
  <si>
    <t>0151532</t>
  </si>
  <si>
    <t>STAPLER KOŽNÍ 7.0</t>
  </si>
  <si>
    <t>0059979</t>
  </si>
  <si>
    <t>KLIPY EXTRA TITAN LT300,LT400</t>
  </si>
  <si>
    <t>0069502</t>
  </si>
  <si>
    <t>0109160</t>
  </si>
  <si>
    <t>DLAHA 3.5 REKONSTRUKČNÍ, ROVNÁ, TI</t>
  </si>
  <si>
    <t>0142059</t>
  </si>
  <si>
    <t>0142785</t>
  </si>
  <si>
    <t>ELEKTRODA SNÍMACÍ INTEGROVANÁ DO TRUBICE ENDOTRACH</t>
  </si>
  <si>
    <t>0142779</t>
  </si>
  <si>
    <t>ELEKTRODA STIMULAČNÍ MONOPOLÁRNÍ ORL; ZV 71780</t>
  </si>
  <si>
    <t>0142088</t>
  </si>
  <si>
    <t>0060415</t>
  </si>
  <si>
    <t>DLAHA D.M.S. OCEL</t>
  </si>
  <si>
    <t>0142070</t>
  </si>
  <si>
    <t>IMPLANTÁT MANDIBULÁRNÍ LA FÓRTE SYSTÉM, SLITINA TI</t>
  </si>
  <si>
    <t>0112856</t>
  </si>
  <si>
    <t>FIXÁTOR ZEVNÍ RÁMOVÝ GALAXY DLOUHÉ KOSTI DK A HK</t>
  </si>
  <si>
    <t>0112854</t>
  </si>
  <si>
    <t>0163228</t>
  </si>
  <si>
    <t>IMPLANTÁT KRANIOFACIÁLNÍ LA FÓRTE SYSTÉM</t>
  </si>
  <si>
    <t>0163216</t>
  </si>
  <si>
    <t>0142487</t>
  </si>
  <si>
    <t>ŠROUB UZAMYKATELNÝ SAMOŘEZNÝ, 3,5MM; TI</t>
  </si>
  <si>
    <t>0163207</t>
  </si>
  <si>
    <t>00651</t>
  </si>
  <si>
    <t>OD TYPU 51 - PRO NEMOCNICE TYPU 3, (KATEGORIE 6) -</t>
  </si>
  <si>
    <t>00655</t>
  </si>
  <si>
    <t>OD TYPU 55 - PRO NEMOCNICE TYPU 3, (KATEGORIE 6) -</t>
  </si>
  <si>
    <t>04700</t>
  </si>
  <si>
    <t>KONZERVATIVNÍ OŠETŘENÍ V DENTOALVEOLÁRNÍ CHIRURGII</t>
  </si>
  <si>
    <t>04801</t>
  </si>
  <si>
    <t>ZEVNÍ INCISE</t>
  </si>
  <si>
    <t>04825</t>
  </si>
  <si>
    <t>REPOZICE SUBLUX. ZUBU ČI FRAKTURY ALVEOLU, SEXT.</t>
  </si>
  <si>
    <t>04830</t>
  </si>
  <si>
    <t>SUTURA RÁNY SLIZNICE DO 5 CM, 1 VRSTVA</t>
  </si>
  <si>
    <t>04831</t>
  </si>
  <si>
    <t>SUTURA RÁNY SLIZNICE NAD 5 CM NEBO VÍCE VRSTEV</t>
  </si>
  <si>
    <t>04860</t>
  </si>
  <si>
    <t>IMOBILIZACE ČELISTÍ</t>
  </si>
  <si>
    <t>11505</t>
  </si>
  <si>
    <t>SPECIÁLNÍ PARENTERÁLNÍ VÝŽIVA</t>
  </si>
  <si>
    <t>11506</t>
  </si>
  <si>
    <t>PLNOHODNOTNÁ PARENTERÁLNÍ VÝŽIVA</t>
  </si>
  <si>
    <t>15445</t>
  </si>
  <si>
    <t xml:space="preserve">POUŽITÍ VIDEOENDOSKOPU PŘI ENDOSKOPICKÉM VÝKONU Á </t>
  </si>
  <si>
    <t>15910</t>
  </si>
  <si>
    <t>ENDOSKOPICKÁ EXTRAKCE CIZÍHO TĚLESA Z JÍCNU A ŽALU</t>
  </si>
  <si>
    <t>15960</t>
  </si>
  <si>
    <t>ENDOSKOPICKÁ GASTROSTOMIE - PŘIČTI K CENĚ ZÁKLADNÍ</t>
  </si>
  <si>
    <t>51022</t>
  </si>
  <si>
    <t>CÍLENÉ VYŠETŘENÍ CHIRURGEM</t>
  </si>
  <si>
    <t>56119</t>
  </si>
  <si>
    <t>DEKOMPRESIVNÍ KRANIEKTOMIE</t>
  </si>
  <si>
    <t>56163</t>
  </si>
  <si>
    <t>ZEVNÍ KOMOROVÁ DRENÁŽ NEBO ZAVEDENÍ ČIDLA NA MĚŘEN</t>
  </si>
  <si>
    <t>56419</t>
  </si>
  <si>
    <t>POUŽITÍ OPERAČNÍHO MIKROSKOPU Á 15 MINUT</t>
  </si>
  <si>
    <t>61143</t>
  </si>
  <si>
    <t>ODBĚR CÉVNÍHO ŠTĚPU MALÉHO KALIBRU (PRO MIKROCHIRU</t>
  </si>
  <si>
    <t>61147</t>
  </si>
  <si>
    <t>UZAVŘENÍ DEFEKTU KOŽNÍM LALOKEM MÍSTNÍM DO 10 CM^2</t>
  </si>
  <si>
    <t>61149</t>
  </si>
  <si>
    <t xml:space="preserve">UZAVŘENÍ DEFEKTU  KOŽNÍM LALOKEM MÍSTNÍM OD 10 DO </t>
  </si>
  <si>
    <t>65219</t>
  </si>
  <si>
    <t>KOMPLEXNÍ OŠETŘENÍ VĚTŠÍCH OBLIČEJOVÝCH DEFEKTŮ</t>
  </si>
  <si>
    <t>65513</t>
  </si>
  <si>
    <t>PŘÍPRAVA FASCIÁLNÍHO A PERIKRANIÁLNÍHO LALOKU K RE</t>
  </si>
  <si>
    <t>65613</t>
  </si>
  <si>
    <t>EXCIZE LÉZE V ÚSTNÍ DUTINĚ - OD 2 CM DO 4 CM</t>
  </si>
  <si>
    <t>65949</t>
  </si>
  <si>
    <t>OŠETŘENÍ KOLEMČELISTNÍHO ZÁNĚTU A DRENÁŽ</t>
  </si>
  <si>
    <t>66313</t>
  </si>
  <si>
    <t xml:space="preserve">DELIBERACE - ODSTRANĚNÍ ÚTLAKU - DURÁLNÍHO VAKU A </t>
  </si>
  <si>
    <t>66319</t>
  </si>
  <si>
    <t>RESEKCE JINÉ NS ČÁSTI OBRATLE - INTERVERTEBRÁLNÍHO</t>
  </si>
  <si>
    <t>66323</t>
  </si>
  <si>
    <t>PŘEDNÍ RESEKCE OBRATLOVÉHO TĚLA - SOMATEKTOMIE - I</t>
  </si>
  <si>
    <t>66329</t>
  </si>
  <si>
    <t>FŮZE PÁTEŘE - STANDARDNÍ - PŘEDNÍ - INTERSOMATICKÁ</t>
  </si>
  <si>
    <t>66339</t>
  </si>
  <si>
    <t>OPERAČNÍ PŘÍSTUP NA PÁTEŘ - STANDARDNÍ - ZADNÍ SKE</t>
  </si>
  <si>
    <t>66829</t>
  </si>
  <si>
    <t>ZAVEDENÍ PROPLACHOVÉ LAVÁŽE</t>
  </si>
  <si>
    <t>71131</t>
  </si>
  <si>
    <t xml:space="preserve">POUŽITÍ VYŠETŘOVACÍHO MIKROSKOPU V ORL AMBULANTNÍ </t>
  </si>
  <si>
    <t>71213</t>
  </si>
  <si>
    <t>ENDOSKOPIE PARANASÁLNÍ DUTINY</t>
  </si>
  <si>
    <t>71311</t>
  </si>
  <si>
    <t>LARYNGOSKOPIE PŘÍMÁ</t>
  </si>
  <si>
    <t>71621</t>
  </si>
  <si>
    <t>ELEKTROKOAGULACE NOSNÍ SLIZNICE</t>
  </si>
  <si>
    <t>71671</t>
  </si>
  <si>
    <t>MAXILÁRNÍ INTRANAZÁLNÍ ANTROSTOMIE</t>
  </si>
  <si>
    <t>71677</t>
  </si>
  <si>
    <t>ETMOIDEKTOMIE ENDONAZÁLNÍ</t>
  </si>
  <si>
    <t>71681</t>
  </si>
  <si>
    <t>SFENOIDOTOMIE</t>
  </si>
  <si>
    <t>71747</t>
  </si>
  <si>
    <t>ČÁSTEČNÁ EXSTIRPACE KRČNÍCH UZLIN</t>
  </si>
  <si>
    <t>71751</t>
  </si>
  <si>
    <t>EXENTERACE KRČNÍCH UZLIN JEDNOSTRANNÁ</t>
  </si>
  <si>
    <t>75323</t>
  </si>
  <si>
    <t>PENETRUJÍCÍ A PERFORUJÍCÍ PORANĚNÍ OKA</t>
  </si>
  <si>
    <t>75397</t>
  </si>
  <si>
    <t>SUTURA LACERACE VÍČKA A SVALU</t>
  </si>
  <si>
    <t>76363</t>
  </si>
  <si>
    <t xml:space="preserve">CYSTOTOMIE EV. CYSTOSTOMIE (EXTRAKCE KONKREMENTU, </t>
  </si>
  <si>
    <t>76377</t>
  </si>
  <si>
    <t>OŠETŘENÍ RUPTURY MĚCHÝŘE, EV. PERFORACE MĚCHÝŘE</t>
  </si>
  <si>
    <t>76397</t>
  </si>
  <si>
    <t>INCIZE A DRENÁŽ PERIURETRÁLNÍHO ABSCESU, HEMATOMU</t>
  </si>
  <si>
    <t>76427</t>
  </si>
  <si>
    <t>CIRKUMCIZE, DĚTI OD 3 LET A DOSPĚLÍ</t>
  </si>
  <si>
    <t>76483</t>
  </si>
  <si>
    <t>RESEKCE LEDVINY NEBO HEMINEFREKTOMIE JEDNOSTRANNÁ</t>
  </si>
  <si>
    <t>76539</t>
  </si>
  <si>
    <t>PERKUTÁNNÍ NEFROSTOMIE JEDNOSTRANNÁ (EV. PŘIČTI CY</t>
  </si>
  <si>
    <t>76557</t>
  </si>
  <si>
    <t xml:space="preserve">TRANSURETRÁLNÍ RESEKCE TUMORU MOČOVÉHO MĚCHÝŘE DO </t>
  </si>
  <si>
    <t>76559</t>
  </si>
  <si>
    <t>TRANSURETRÁLNÍ RESEKCE TUMORU MOČOVÉHO MĚCHÝŘE NAD</t>
  </si>
  <si>
    <t>78813</t>
  </si>
  <si>
    <t>CVVH - KONTINUÁLNÍ VENOVENÓZNÍ HEMOFILTRACE</t>
  </si>
  <si>
    <t>89198</t>
  </si>
  <si>
    <t>SKIASKOPIE</t>
  </si>
  <si>
    <t>00880</t>
  </si>
  <si>
    <t>ROZLIŠENÍ VYKÁZANÉ HOSPITALIZACE JAKO: = NOVÁ HOSP</t>
  </si>
  <si>
    <t>00881</t>
  </si>
  <si>
    <t>ROZLIŠENÍ VYKÁZANÉ HOSPITALIZACE JAKO: = POKRAČOVÁ</t>
  </si>
  <si>
    <t>90901</t>
  </si>
  <si>
    <t>(DRG) DOBA TRVÁNÍ UMĚLÉ PLICNÍ VENTILACE DO 24 HOD</t>
  </si>
  <si>
    <t>90902</t>
  </si>
  <si>
    <t>99981</t>
  </si>
  <si>
    <t xml:space="preserve">(VZP) PACIENT HOSPITALIZOVANÝ V LŮŽKOVÉM ZAŘÍZENÍ </t>
  </si>
  <si>
    <t>90906</t>
  </si>
  <si>
    <t>09233</t>
  </si>
  <si>
    <t>INJEKČNÍ OKRSKOVÁ ANESTÉZIE</t>
  </si>
  <si>
    <t>66335</t>
  </si>
  <si>
    <t xml:space="preserve">OPERAČNÍ PŘÍSTUP NA PÁTEŘ - STANDARDNÍ - PŘEDNÍ - </t>
  </si>
  <si>
    <t>90903</t>
  </si>
  <si>
    <t>71719</t>
  </si>
  <si>
    <t>VÝMĚNA TRACHEOSTOMICKÉ KANYLY</t>
  </si>
  <si>
    <t>66315</t>
  </si>
  <si>
    <t xml:space="preserve">INSTRUMENTACE C, T, L, S PÁTEŘE - PŘEDNÍ I ZADNÍ, </t>
  </si>
  <si>
    <t>00658</t>
  </si>
  <si>
    <t>OD TYPU 58 - PRO NEMOCNICE TYPU 3, (KATEGORIE 6) -</t>
  </si>
  <si>
    <t>99999</t>
  </si>
  <si>
    <t>Nespecifikovany vykon</t>
  </si>
  <si>
    <t>00653</t>
  </si>
  <si>
    <t>OD TYPU 53 - PRO NEMOCNICE TYPU 3, (KATEGORIE 6) -</t>
  </si>
  <si>
    <t>00657</t>
  </si>
  <si>
    <t>OD TYPU 57 - PRO NEMOCNICE TYPU 3, (KATEGORIE 6) -</t>
  </si>
  <si>
    <t>76555</t>
  </si>
  <si>
    <t>KOAGULACE V MĚCHÝŘI NEBO URETŘE, DISCIZE URETER. Ú</t>
  </si>
  <si>
    <t>66337</t>
  </si>
  <si>
    <t xml:space="preserve">OPERAČNÍ PŘÍSTUP K PÁTEŘI - STANDARDNÍ - PŘEDNÍ - </t>
  </si>
  <si>
    <t>66311</t>
  </si>
  <si>
    <t xml:space="preserve">INTRADURÁLNÍ RESEKCE A PLASTIKA - KAŽDÉHO JEDNOHO </t>
  </si>
  <si>
    <t>76531</t>
  </si>
  <si>
    <t>CYSTOURETROSKOPIE</t>
  </si>
  <si>
    <t>56151</t>
  </si>
  <si>
    <t>TREPANACE PRO EXTRACEREBRÁLNÍ HEMATOM NEBO KRANIOT</t>
  </si>
  <si>
    <t>76215</t>
  </si>
  <si>
    <t>KATETRIZACE URETERU, NEBO EXTRAKCE KONKREMENTU Z M</t>
  </si>
  <si>
    <t>51111</t>
  </si>
  <si>
    <t>OPERACE CYSTY NEBO HEMANGIOMU NEBO LIPOMU NEBO PIL</t>
  </si>
  <si>
    <t>71749</t>
  </si>
  <si>
    <t>BLOKOVÁ DISEKCE KRČNÍCH UZLIN</t>
  </si>
  <si>
    <t>00652</t>
  </si>
  <si>
    <t>OD TYPU 52 - PRO NEMOCNICE TYPU 3, (KATEGORIE 6) -</t>
  </si>
  <si>
    <t>51021</t>
  </si>
  <si>
    <t>KOMPLEXNÍ VYŠETŘENÍ CHIRURGEM</t>
  </si>
  <si>
    <t>66341</t>
  </si>
  <si>
    <t>OPERAČNÍ PŘÍSTUP K PÁTEŘI - STANDARDNÍ - ZADNÍ TZV</t>
  </si>
  <si>
    <t>51821</t>
  </si>
  <si>
    <t>CHIRURGICKÉ ODSTRANĚNÍ CIZÍHO TĚLESA</t>
  </si>
  <si>
    <t>62710</t>
  </si>
  <si>
    <t>SÍŤOVÁNÍ (MESHOVÁNÍ) ŠTĚPU DO ROZSAHU 5 % Z POVRCH</t>
  </si>
  <si>
    <t>56435</t>
  </si>
  <si>
    <t>SPINÁLNÍ A KRANIÁLNÍ NAVIGACE Á 15 MIN.</t>
  </si>
  <si>
    <t>76801</t>
  </si>
  <si>
    <t>POUŽITÍ TELEVIZNÍHO ŘETĚZCE PŘI ENDOSKOPICKÉM VÝKO</t>
  </si>
  <si>
    <t>78880</t>
  </si>
  <si>
    <t xml:space="preserve">PÉČE O DÁRCE ORGÁNU, SPOLUPRÁCE S TRANSPLANTAČNÍM </t>
  </si>
  <si>
    <t>66325</t>
  </si>
  <si>
    <t>RESEKCE OBRATLE - ZADNÍ - LAMINEKTOMIE KOMPLETNÍ J</t>
  </si>
  <si>
    <t>71639</t>
  </si>
  <si>
    <t>ENDOSKOPICKÁ OPERACE V NOSNÍ DUTINĚ</t>
  </si>
  <si>
    <t>62610</t>
  </si>
  <si>
    <t>ODBĚR DERMOEPIDERMÁLNÍHO ŠTĚPU DO 1 % POVRCHU TĚLA</t>
  </si>
  <si>
    <t>76565</t>
  </si>
  <si>
    <t>BIOPSIE EV. EXTRAKCE Z MĚCHÝŘE - CIZÍ TĚLESO, KONK</t>
  </si>
  <si>
    <t>66331</t>
  </si>
  <si>
    <t>FŮZE PÁTEŘE - STANDARDNÍ ZADNÍ - 1 SEGMENT</t>
  </si>
  <si>
    <t>61121</t>
  </si>
  <si>
    <t>CÉVNÍ ANASTOMOSA MIKROCHIRURGICKOU TECHNIKOU</t>
  </si>
  <si>
    <t>99980</t>
  </si>
  <si>
    <t>(DRG) PACIENT S DIAGNOSTIKOVANÝM POLYTRAUMATEM S I</t>
  </si>
  <si>
    <t>66327</t>
  </si>
  <si>
    <t>RESEKCE OBRATLE - ZADNÍ - LAMINEKTOMIE INKOMPLETNÍ</t>
  </si>
  <si>
    <t>15408</t>
  </si>
  <si>
    <t>ANOSKOPIE</t>
  </si>
  <si>
    <t>65211</t>
  </si>
  <si>
    <t>OŠETŘENÍ ZLOMENINY ČELISTI DESTIČKOVOU ŠROUBOVANOU</t>
  </si>
  <si>
    <t>78310</t>
  </si>
  <si>
    <t xml:space="preserve">NEODKLADNÁ KARDIOPULMONÁLNÍ RESUSCITACE ROZŠÍŘENÁ </t>
  </si>
  <si>
    <t>76481</t>
  </si>
  <si>
    <t>NEFREKTOMIE TORAKOABDOMINÁLNÍ RADIKÁLNÍ NEBO NEFRO</t>
  </si>
  <si>
    <t>62110</t>
  </si>
  <si>
    <t>PŘEVAZ POPÁLENINY V ROZSAHU OD 1 % DO 10 %  POVRCH</t>
  </si>
  <si>
    <t>71765</t>
  </si>
  <si>
    <t>ADENOTOMIE</t>
  </si>
  <si>
    <t>56117</t>
  </si>
  <si>
    <t>INTRAKRANIÁLNÍ REKONSTRUKČNÍ OPERACE PŘI LIKVOREI</t>
  </si>
  <si>
    <t>76345</t>
  </si>
  <si>
    <t>REIMPLANTACE URETERU (UCNA)</t>
  </si>
  <si>
    <t>65215</t>
  </si>
  <si>
    <t>DENTÁLNÍ DRÁTĚNÁ DLAHA Z VOLNÉ RUKY - JEDNA ČELIST</t>
  </si>
  <si>
    <t>65936</t>
  </si>
  <si>
    <t xml:space="preserve">REPOZICE ZLOMENINY ZYGOMATIKOMAXILÁRNÍHO KOMPLEXU </t>
  </si>
  <si>
    <t>75381</t>
  </si>
  <si>
    <t>REKOSTRUKCE SPODINY OČNICE</t>
  </si>
  <si>
    <t>90905</t>
  </si>
  <si>
    <t>61169</t>
  </si>
  <si>
    <t>TRANSPOZICE MUSKULÁRNÍHO LALOKU</t>
  </si>
  <si>
    <t>65611</t>
  </si>
  <si>
    <t>EXCIZE LÉZE V DUTINĚ ÚSTNÍ NAD 4 CM</t>
  </si>
  <si>
    <t>71665</t>
  </si>
  <si>
    <t>FENESTRACE ČELNÍ DUTINY</t>
  </si>
  <si>
    <t>76335</t>
  </si>
  <si>
    <t>OPERAČNÍ REVIZE PERIRENÁLNÍCH NEBO PERIURETERÁLNÍC</t>
  </si>
  <si>
    <t>62330</t>
  </si>
  <si>
    <t>NEKREKTOMIE 5 - 10 % POVRCHU TĚLA - TANGENCIÁLNÍ N</t>
  </si>
  <si>
    <t>62230</t>
  </si>
  <si>
    <t>UVOLŇUJÍCÍ NÁŘEZY NA KONČETINĚ</t>
  </si>
  <si>
    <t>71629</t>
  </si>
  <si>
    <t>ODSTRANĚNÍ ZADNÍ NOSNÍ TAMPONÁDY</t>
  </si>
  <si>
    <t>66459</t>
  </si>
  <si>
    <t>RESEKCE HLAVICE HUMERU</t>
  </si>
  <si>
    <t>56446</t>
  </si>
  <si>
    <t>SPINÁLNÍ NAVIGACE ZALOŽENÁ NA PEROPERAČNÍ ISOFLUOR</t>
  </si>
  <si>
    <t>90962</t>
  </si>
  <si>
    <t>(DRG) ORTOPEDICKÁ OPERACE PRO MALIGNÍ NOVOTVAR</t>
  </si>
  <si>
    <t>91926</t>
  </si>
  <si>
    <t>(DRG) APLIKACE PŘETLAKU DO DÝCHACÍCH CEST</t>
  </si>
  <si>
    <t>91925</t>
  </si>
  <si>
    <t>(DRG) APLIKACE KYSLÍKU O VYSOKÉM PRŮTOKU NOSNÍ KAN</t>
  </si>
  <si>
    <t>71780</t>
  </si>
  <si>
    <t xml:space="preserve">PEROPERAČNÍ MONITOROVÁNÍ FUNKCE HLAVOVÝCH NERVŮ Á </t>
  </si>
  <si>
    <t>71737</t>
  </si>
  <si>
    <t>LARYNGEKTOMIE ČÁSTEČNÁ - SUPRAGLOTICKÁ HORIZONTÁLN</t>
  </si>
  <si>
    <t>7F1</t>
  </si>
  <si>
    <t>71763</t>
  </si>
  <si>
    <t>TONZILEKTOMIE</t>
  </si>
  <si>
    <t>71775</t>
  </si>
  <si>
    <t>PAROTIDEKTOMIE LATERÁLNÍ KONZERVATIVNÍ</t>
  </si>
  <si>
    <t>Zdravotní výkony vykázané na pracovišti pro pacienty hospitalizované ve FNOL - orientační přehled</t>
  </si>
  <si>
    <t>00052</t>
  </si>
  <si>
    <t>A</t>
  </si>
  <si>
    <t xml:space="preserve">DLOUHODOBÁ MECHANICKÁ VENTILACE &gt; 96 HODIN (5-10 DNÍ) S CC                                          </t>
  </si>
  <si>
    <t>00053</t>
  </si>
  <si>
    <t xml:space="preserve">DLOUHODOBÁ MECHANICKÁ VENTILACE &gt; 96 HODIN (5-10 DNÍ) S MCC                                         </t>
  </si>
  <si>
    <t>00100</t>
  </si>
  <si>
    <t xml:space="preserve">DLOUHODOBÁ MECHANICKÁ VENTILACE &gt; 504 HODIN (22-42 DNÍ) S EKO                                       </t>
  </si>
  <si>
    <t>00122</t>
  </si>
  <si>
    <t xml:space="preserve">DLOUHODOBÁ MECHANICKÁ VENTILACE &gt; 240 HODIN (11-21 DNÍ) S EKO                                       </t>
  </si>
  <si>
    <t>00123</t>
  </si>
  <si>
    <t>00131</t>
  </si>
  <si>
    <t xml:space="preserve">DLOUHODOBÁ MECHANICKÁ VENTILACE &gt; 96 HODIN (5-10 DNÍ) S EKONO                                       </t>
  </si>
  <si>
    <t>00132</t>
  </si>
  <si>
    <t>00133</t>
  </si>
  <si>
    <t>01011</t>
  </si>
  <si>
    <t xml:space="preserve">KRANIOTOMIE BEZ CC                                                                                  </t>
  </si>
  <si>
    <t>01013</t>
  </si>
  <si>
    <t xml:space="preserve">KRANIOTOMIE S MCC                                                                                   </t>
  </si>
  <si>
    <t>01070</t>
  </si>
  <si>
    <t xml:space="preserve">ENDOVASKULÁRNÍ VÝKONY PŘI MOZKOVÉM INFARKTU                                                         </t>
  </si>
  <si>
    <t>01333</t>
  </si>
  <si>
    <t xml:space="preserve">NETRAUMATICKÉ INTRAKRANIÁLNÍ KRVÁCENÍ S MCC                                                         </t>
  </si>
  <si>
    <t>01361</t>
  </si>
  <si>
    <t xml:space="preserve">TRANZITORNÍ ISCHEMICKÁ ATAKA BEZ CC                                                                 </t>
  </si>
  <si>
    <t>01413</t>
  </si>
  <si>
    <t xml:space="preserve">NETRAUMATICKÁ PORUCHA VĚDOMÍ A KÓMA S MCC                                                           </t>
  </si>
  <si>
    <t>01442</t>
  </si>
  <si>
    <t xml:space="preserve">KRANIÁLNÍ A INTRAKRANIÁLNÍ PORANĚNÍ S CC                                                            </t>
  </si>
  <si>
    <t>01443</t>
  </si>
  <si>
    <t xml:space="preserve">KRANIÁLNÍ A INTRAKRANIÁLNÍ PORANĚNÍ S MCC                                                           </t>
  </si>
  <si>
    <t>03022</t>
  </si>
  <si>
    <t xml:space="preserve">JINÉ VELKÉ VÝKONY NA HLAVĚ A KRKU S CC                                                              </t>
  </si>
  <si>
    <t>03053</t>
  </si>
  <si>
    <t xml:space="preserve">VÝKONY NA DUTINÁCH A MASTOIDU S MCC                                                                 </t>
  </si>
  <si>
    <t>03083</t>
  </si>
  <si>
    <t xml:space="preserve">VÝKONY NA KRČNÍCH A NOSNÍCH MANDLÍCH S MCC                                                          </t>
  </si>
  <si>
    <t>03092</t>
  </si>
  <si>
    <t xml:space="preserve">JINÉ VÝKONY PŘI PORUCHÁCH A ONEMOCNĚNÍCH UŠÍ, NOSU, ÚST A HRD                                       </t>
  </si>
  <si>
    <t>03093</t>
  </si>
  <si>
    <t>03303</t>
  </si>
  <si>
    <t xml:space="preserve">MALIGNÍ ONEMOCNĚNÍ UCHA, NOSU, ÚST A HRDLA S MCC                                                    </t>
  </si>
  <si>
    <t>04310</t>
  </si>
  <si>
    <t xml:space="preserve">RESPIRAČNÍ SELHÁNÍ                                                                                  </t>
  </si>
  <si>
    <t>04331</t>
  </si>
  <si>
    <t xml:space="preserve">ZÁVAŽNÉ TRAUMA HRUDNÍKU BEZ CC                                                                      </t>
  </si>
  <si>
    <t>04382</t>
  </si>
  <si>
    <t xml:space="preserve">ASTMA A BRONCHIOLITIDA S CC                                                                         </t>
  </si>
  <si>
    <t>04401</t>
  </si>
  <si>
    <t xml:space="preserve">PNEUMOTORAX A PLEURÁNÍ VÝPOTEK BEZ CC                                                               </t>
  </si>
  <si>
    <t>05000</t>
  </si>
  <si>
    <t xml:space="preserve">ÚMRTÍ DO 5 DNÍ OD PŘÍJMU PŘI HLAVNÍ DIAGNÓZE OBĚHOVÉHO SYSTÉM                                       </t>
  </si>
  <si>
    <t>05092</t>
  </si>
  <si>
    <t xml:space="preserve">VELKÉ ABDOMINÁLNÍ VASKULÁRNÍ VÝKONY S CC                                                            </t>
  </si>
  <si>
    <t>05093</t>
  </si>
  <si>
    <t xml:space="preserve">VELKÉ ABDOMINÁLNÍ VASKULÁRNÍ VÝKONY S MCC                                                           </t>
  </si>
  <si>
    <t>05141</t>
  </si>
  <si>
    <t xml:space="preserve">JINÉ VASKULÁRNÍ VÝKONY BEZ CC                                                                       </t>
  </si>
  <si>
    <t>05142</t>
  </si>
  <si>
    <t xml:space="preserve">JINÉ VASKULÁRNÍ VÝKONY S CC                                                                         </t>
  </si>
  <si>
    <t>05143</t>
  </si>
  <si>
    <t xml:space="preserve">JINÉ VASKULÁRNÍ VÝKONY S MCC                                                                        </t>
  </si>
  <si>
    <t>05323</t>
  </si>
  <si>
    <t xml:space="preserve">SRDEČNÍ KATETRIZACE PŘI JINÝCH PORUCHÁCH OBĚHOVÉHO SYSTÉMU S                                        </t>
  </si>
  <si>
    <t>05421</t>
  </si>
  <si>
    <t xml:space="preserve">SRDEČNÍ ARYTMIE A PORUCHY VEDENÍ BEZ CC                                                             </t>
  </si>
  <si>
    <t>05483</t>
  </si>
  <si>
    <t xml:space="preserve">ENDOVASKULÁRNÍ VÝKONY PRO AKUTNÍ ISCHÉMII V OBLASTI PERIFERNÍ                                       </t>
  </si>
  <si>
    <t>05501</t>
  </si>
  <si>
    <t xml:space="preserve">ANGIOPLASTIKA NEBO ZAVEDENÍ STENTU DO PERIFERNÍ CÉVY BEZ CC                                         </t>
  </si>
  <si>
    <t>05502</t>
  </si>
  <si>
    <t xml:space="preserve">ANGIOPLASTIKA NEBO ZAVEDENÍ STENTU DO PERIFERNÍ CÉVY S CC                                           </t>
  </si>
  <si>
    <t>05503</t>
  </si>
  <si>
    <t xml:space="preserve">ANGIOPLASTIKA NEBO ZAVEDENÍ STENTU DO PERIFERNÍ CÉVY S MCC                                          </t>
  </si>
  <si>
    <t>06012</t>
  </si>
  <si>
    <t xml:space="preserve">VELKÉ VÝKONY NA TLUSTÉM A TENKÉM STŘEVU S CC                                                        </t>
  </si>
  <si>
    <t>06013</t>
  </si>
  <si>
    <t xml:space="preserve">VELKÉ VÝKONY NA TLUSTÉM A TENKÉM STŘEVU S MCC                                                       </t>
  </si>
  <si>
    <t>06022</t>
  </si>
  <si>
    <t xml:space="preserve">VELKÉ VÝKONY NA ŽALUDKU, JÍCNU A DVANÁCTNÍKU S CC                                                   </t>
  </si>
  <si>
    <t>06032</t>
  </si>
  <si>
    <t xml:space="preserve">MENŠÍ VÝKONY NA TLUSTÉM A TENKÉM STŘEVU S CC                                                        </t>
  </si>
  <si>
    <t>06033</t>
  </si>
  <si>
    <t xml:space="preserve">MENŠÍ VÝKONY NA TLUSTÉM A TENKÉM STŘEVU S MCC                                                       </t>
  </si>
  <si>
    <t>06083</t>
  </si>
  <si>
    <t xml:space="preserve">LAPAROTOMICKÉ VÝKONY PŘI TŘÍSELNÉ, STEHENNÍ, UMBILIKÁLNÍ NEBO                                       </t>
  </si>
  <si>
    <t>06101</t>
  </si>
  <si>
    <t xml:space="preserve">JINÉ VÝKONY PŘI PORUCHÁCH A ONEMOCNĚNÍCH TRÁVICÍHO SYSTÉMU BE                                       </t>
  </si>
  <si>
    <t>06103</t>
  </si>
  <si>
    <t xml:space="preserve">JINÉ VÝKONY PŘI PORUCHÁCH A ONEMOCNĚNÍCH TRÁVICÍHO SYSTÉMU S                                        </t>
  </si>
  <si>
    <t>06303</t>
  </si>
  <si>
    <t xml:space="preserve">MALIGNÍ ONEMOCNĚNÍ TRÁVICÍHO SYSTÉMU S MCC                                                          </t>
  </si>
  <si>
    <t>06342</t>
  </si>
  <si>
    <t xml:space="preserve">VASKULÁRNÍ INSUFICIENCE GASTROINTESTINÁLNÍHO SYSTÉMU S CC                                           </t>
  </si>
  <si>
    <t>06352</t>
  </si>
  <si>
    <t xml:space="preserve">OBSTRUKCE GASTROINTESTINÁLNÍHO SYSTÉMU S CC                                                         </t>
  </si>
  <si>
    <t>06382</t>
  </si>
  <si>
    <t xml:space="preserve">JINÉ PORUCHY TRÁVICÍHO SYSTÉMU S CC                                                                 </t>
  </si>
  <si>
    <t>06383</t>
  </si>
  <si>
    <t xml:space="preserve">JINÉ PORUCHY TRÁVICÍHO SYSTÉMU S MCC                                                                </t>
  </si>
  <si>
    <t>07013</t>
  </si>
  <si>
    <t xml:space="preserve">VÝKONY NA PANKREATU, JÁTRECH A SPOJKY S MCC                                                         </t>
  </si>
  <si>
    <t>07023</t>
  </si>
  <si>
    <t xml:space="preserve">VELKÉ VÝKONY NA ŽLUČOVÝCH CESTÁCH S MCC                                                             </t>
  </si>
  <si>
    <t>07052</t>
  </si>
  <si>
    <t xml:space="preserve">JINÉ VÝKONY PŘI PORUCHÁCH A ONEMOCNĚNÍCH HEPATOBILIÁRNÍHO SYS                                       </t>
  </si>
  <si>
    <t>07341</t>
  </si>
  <si>
    <t xml:space="preserve">JINÉ PORUCHY ŽLUČOVÝCH CEST BEZ CC                                                                  </t>
  </si>
  <si>
    <t>08081</t>
  </si>
  <si>
    <t xml:space="preserve">VÝKONY NA KYČLÍCH A STEHENNÍ KOSTI, KROMĚ REPLANTACE VELKÝCH                                        </t>
  </si>
  <si>
    <t>08082</t>
  </si>
  <si>
    <t>09332</t>
  </si>
  <si>
    <t xml:space="preserve">PORANĚNÍ KŮŽE, PODKOŽNÍ TKÁNĚ A PRSU S CC                                                           </t>
  </si>
  <si>
    <t>09333</t>
  </si>
  <si>
    <t xml:space="preserve">PORANĚNÍ KŮŽE, PODKOŽNÍ TKÁNĚ A PRSU S MCC                                                          </t>
  </si>
  <si>
    <t>10063</t>
  </si>
  <si>
    <t xml:space="preserve">JINÉ VÝKONY PŘI ENDOKRINNÍCH, NUTRIČNÍCH A METABOLICKÝCH PORU                                       </t>
  </si>
  <si>
    <t>10313</t>
  </si>
  <si>
    <t xml:space="preserve">HYPOVOLÉMIE A PORUCHY ELEKTROLYTŮ S MCC                                                             </t>
  </si>
  <si>
    <t>11032</t>
  </si>
  <si>
    <t xml:space="preserve">VELKÉ VÝKONY NA LEDVINÁCH A MOČOVÝCH CESTÁCH S CC                                                   </t>
  </si>
  <si>
    <t>11033</t>
  </si>
  <si>
    <t xml:space="preserve">VELKÉ VÝKONY NA LEDVINÁCH A MOČOVÝCH CESTÁCH S MCC                                                  </t>
  </si>
  <si>
    <t>11043</t>
  </si>
  <si>
    <t xml:space="preserve">DIALÝZA A ELIMINAČNÍ METODY S MCC                                                                   </t>
  </si>
  <si>
    <t>11052</t>
  </si>
  <si>
    <t xml:space="preserve">MENŠÍ VÝKONY NA LEDVINÁCH, MOČOVÝCH CESTÁCH A MOČOVÉM MĚCHÝŘI                                       </t>
  </si>
  <si>
    <t>11303</t>
  </si>
  <si>
    <t xml:space="preserve">MALIGNÍ ONEMOCNĚNÍ LEDVIN A MOČOVÝCH CEST A LEDVINOVÉ SELHÁNÍ                                       </t>
  </si>
  <si>
    <t>11322</t>
  </si>
  <si>
    <t xml:space="preserve">INFEKCE LEDVIN A MOČOVÝCH CEST S CC                                                                 </t>
  </si>
  <si>
    <t>11323</t>
  </si>
  <si>
    <t xml:space="preserve">INFEKCE LEDVIN A MOČOVÝCH CEST S MCC                                                                </t>
  </si>
  <si>
    <t>12302</t>
  </si>
  <si>
    <t xml:space="preserve">MALIGNÍ ONEMOCNĚNÍ MUŽSKÉHO REPRODUKČNÍHO SYSTÉMU S CC                                              </t>
  </si>
  <si>
    <t>13102</t>
  </si>
  <si>
    <t xml:space="preserve">JINÉ VÝKONY PŘI PORUCHÁCH A ONEMOCNĚNÍCH ŽENSKÉHO REPRODUKČNÍ                                       </t>
  </si>
  <si>
    <t>13301</t>
  </si>
  <si>
    <t xml:space="preserve">MALIGNÍ ONEMOCNĚNÍ ŽENSKÉHO REPRODUKČNÍHO SYSTÉMU BEZ CC                                            </t>
  </si>
  <si>
    <t>13302</t>
  </si>
  <si>
    <t xml:space="preserve">MALIGNÍ ONEMOCNĚNÍ ŽENSKÉHO REPRODUKČNÍHO SYSTÉMU S CC                                              </t>
  </si>
  <si>
    <t>18013</t>
  </si>
  <si>
    <t xml:space="preserve">VÝKONY PRO INFEKČNÍ A PARAZITÁRNÍ NEMOCI S MCC                                                      </t>
  </si>
  <si>
    <t>18302</t>
  </si>
  <si>
    <t xml:space="preserve">SEPTIKÉMIE S CC                                                                                     </t>
  </si>
  <si>
    <t>18303</t>
  </si>
  <si>
    <t xml:space="preserve">SEPTIKÉMIE S MCC                                                                                    </t>
  </si>
  <si>
    <t>21022</t>
  </si>
  <si>
    <t xml:space="preserve">JINÉ VÝKONY PŘI ÚRAZECH A KOMPLIKACÍCH S CC                                                         </t>
  </si>
  <si>
    <t>21302</t>
  </si>
  <si>
    <t xml:space="preserve">PORANĚNÍ NA NESPECIFIKOVANÉM MÍSTĚ NEBO NA VÍCE MÍSTECH S CC                                        </t>
  </si>
  <si>
    <t>21303</t>
  </si>
  <si>
    <t xml:space="preserve">PORANĚNÍ NA NESPECIFIKOVANÉM MÍSTĚ NEBO NA VÍCE MÍSTECH S MCC                                       </t>
  </si>
  <si>
    <t>23013</t>
  </si>
  <si>
    <t xml:space="preserve">OPERAČNÍ VÝKON S DIAGNÓZOU JINÉHO KONTAKTU SE ZDRAVOTNICKÝMI                                        </t>
  </si>
  <si>
    <t>23323</t>
  </si>
  <si>
    <t xml:space="preserve">JINÉ FAKTORY OVLIVŇUJÍCÍ ZDRAVOTNÍ STAV S MCC                                                       </t>
  </si>
  <si>
    <t>25012</t>
  </si>
  <si>
    <t xml:space="preserve">KRANIOTOMIE, VELKÝ VÝKON NA PÁTEŘI, KYČLI A KONČ. PŘI MNOHOČE                                       </t>
  </si>
  <si>
    <t>25073</t>
  </si>
  <si>
    <t xml:space="preserve">DLOUHODOBÁ MECHANICKÁ VENTILACE PŘI POLYTRAUMATU &gt; 96 HODIN (                                       </t>
  </si>
  <si>
    <t>25303</t>
  </si>
  <si>
    <t xml:space="preserve">DIAGNÓZY TÝKAJÍCÍ SE HLAVY, HRUDNÍKU A DOLNÍCH KONČETIN PŘI M                                       </t>
  </si>
  <si>
    <t>88873</t>
  </si>
  <si>
    <t xml:space="preserve">ROZSÁHLÉ VÝKONY, KTERÉ SE NETÝKAJÍ HLAVNÍ DIAGNÓZY S MCC                                            </t>
  </si>
  <si>
    <t>Porovnání jednotlivých IR DRG skupin</t>
  </si>
  <si>
    <t>12 - UROL: Urologická klinika</t>
  </si>
  <si>
    <t>22 - KNM: Klinika nukleární medicíny</t>
  </si>
  <si>
    <t>32 - HOK: Hemato-onkologická klinika</t>
  </si>
  <si>
    <t>33 - OKB: Oddělení klinické biochemie</t>
  </si>
  <si>
    <t>34 - RTG: Radiologická klinika</t>
  </si>
  <si>
    <t>35 - TO: Transfuzní oddělení</t>
  </si>
  <si>
    <t>37 - PATOL: Ústav patologie</t>
  </si>
  <si>
    <t>40 - MIKRO: Ústav mikrobiologie</t>
  </si>
  <si>
    <t>41 - IMUNO: Ústav imunologie</t>
  </si>
  <si>
    <t>44 - LEM: LEM</t>
  </si>
  <si>
    <t>12</t>
  </si>
  <si>
    <t>706</t>
  </si>
  <si>
    <t>89173</t>
  </si>
  <si>
    <t>ANTEGRÁDNÍ PYELOGRAFIE JEDNOSTRANNÁ</t>
  </si>
  <si>
    <t>809</t>
  </si>
  <si>
    <t>89169</t>
  </si>
  <si>
    <t>CYSTOURETROGRAFIE</t>
  </si>
  <si>
    <t>89165</t>
  </si>
  <si>
    <t>RETROGRÁDNÍ PYELOGRAFIE JEDNOSTRANNÁ</t>
  </si>
  <si>
    <t>22</t>
  </si>
  <si>
    <t>407</t>
  </si>
  <si>
    <t>0002087</t>
  </si>
  <si>
    <t>18F-FDG</t>
  </si>
  <si>
    <t>0002095</t>
  </si>
  <si>
    <t>99mTc-nanokoloid alb.inj.</t>
  </si>
  <si>
    <t>47269</t>
  </si>
  <si>
    <t>TOMOGRAFICKÁ SCINTIGRAFIE - SPECT</t>
  </si>
  <si>
    <t>47275</t>
  </si>
  <si>
    <t>SCINTIGRAFIE SENTINELOVÉ UZLINY</t>
  </si>
  <si>
    <t>47355</t>
  </si>
  <si>
    <t>HYBRIDNÍ VÝPOČETNÍ A POZITRONOVÁ EMISNÍ TOMOGRAFIE</t>
  </si>
  <si>
    <t>32</t>
  </si>
  <si>
    <t>818</t>
  </si>
  <si>
    <t>96157</t>
  </si>
  <si>
    <t>STANOVENÍ HEPARINOVÝCH JEDNOTEK ANTI XA</t>
  </si>
  <si>
    <t>96167</t>
  </si>
  <si>
    <t>KREVNÍ OBRAZ S PĚTI POPULAČNÍM DIFERENCIÁLNÍM POČT</t>
  </si>
  <si>
    <t>96187</t>
  </si>
  <si>
    <t>FAKTOR V - STANOVENÍ AKTIVITY</t>
  </si>
  <si>
    <t>96191</t>
  </si>
  <si>
    <t>FAKTOR VIII - STANOVENÍ AKTIVITY</t>
  </si>
  <si>
    <t>96197</t>
  </si>
  <si>
    <t>FAKTOR XI - STANOVENÍ AKTIVITY</t>
  </si>
  <si>
    <t>96247</t>
  </si>
  <si>
    <t>AGREGACE TROMBOCYTŮ INDUKOVANÁ BĚŽNÝMI INDUKTORY -</t>
  </si>
  <si>
    <t>96321</t>
  </si>
  <si>
    <t>POČET TROMBOCYTŮ MIKROSKOPICKY</t>
  </si>
  <si>
    <t>96617</t>
  </si>
  <si>
    <t>TROMBINOVÝ ČAS</t>
  </si>
  <si>
    <t>96621</t>
  </si>
  <si>
    <t>AKTIVOVANÝ PARTIALNÍ TROMBOPLASTINOVÝ TEST (APTT)</t>
  </si>
  <si>
    <t>96711</t>
  </si>
  <si>
    <t>PANOPTICKÉ OBARVENÍ NÁTĚRU PERIFERNÍ KRVE NEBO ASP</t>
  </si>
  <si>
    <t>96847</t>
  </si>
  <si>
    <t>FIBRIN/FIBRINOGEN DEGRADAČNÍ PRODUKTY SEMIKVANTITA</t>
  </si>
  <si>
    <t>96857</t>
  </si>
  <si>
    <t>STANOVENÍ POČTU RETIKULOCYTŮ NA AUTOMATICKÉM ANALY</t>
  </si>
  <si>
    <t>96881</t>
  </si>
  <si>
    <t>AGREGAČNÍ TEST NA HEPARINEM INDUKOVANOU TROMBOCYTO</t>
  </si>
  <si>
    <t>91439</t>
  </si>
  <si>
    <t>IMUNOFENOTYPIZACE BUNĚČNÝCH SUBPOPULACÍ DLE POVRCH</t>
  </si>
  <si>
    <t>96315</t>
  </si>
  <si>
    <t>ANALÝZA KREVNÍHO NÁTĚRU PANOPTICKY OBARVENÉHO. IND</t>
  </si>
  <si>
    <t>96265</t>
  </si>
  <si>
    <t>PROTEIN S - VOLNÝ</t>
  </si>
  <si>
    <t>96813</t>
  </si>
  <si>
    <t>ANTITROMBIN III, CHROMOGENNÍ METODOU (SÉRIE)</t>
  </si>
  <si>
    <t>96515</t>
  </si>
  <si>
    <t>FIBRIN DEGRADAČNÍ PRODUKTY KVANTITATIVNĚ</t>
  </si>
  <si>
    <t>96113</t>
  </si>
  <si>
    <t>PLAZMINOGEN - AKTIVITA</t>
  </si>
  <si>
    <t>96325</t>
  </si>
  <si>
    <t>FIBRINOGEN (SÉRIE)</t>
  </si>
  <si>
    <t>96613</t>
  </si>
  <si>
    <t>VYŠETŘENÍ NÁTĚRU NA SCHIZOCYTY</t>
  </si>
  <si>
    <t>96193</t>
  </si>
  <si>
    <t>FAKTOR IX - STANOVENÍ AKTIVITY</t>
  </si>
  <si>
    <t>96863</t>
  </si>
  <si>
    <t>STANOVENÍ POČTU ERYTROBLASTŮ NA AUTOMATICKÉM ANALY</t>
  </si>
  <si>
    <t>96185</t>
  </si>
  <si>
    <t>FAKTOR II. - STANOVENÍ AKTIVITY</t>
  </si>
  <si>
    <t>96199</t>
  </si>
  <si>
    <t>PROTEIN C - FUNKČNÍ AKTIVITA</t>
  </si>
  <si>
    <t>96239</t>
  </si>
  <si>
    <t>DESTIČKOVÝ NEUTRALIZAČNÍ TEST (PNP)</t>
  </si>
  <si>
    <t>96215</t>
  </si>
  <si>
    <t>APC REZISTENCE</t>
  </si>
  <si>
    <t>96839</t>
  </si>
  <si>
    <t>FAKTOR XII - STANOVENÍ AKTIVITY</t>
  </si>
  <si>
    <t>96879</t>
  </si>
  <si>
    <t>DRVVT - SCREENING LA</t>
  </si>
  <si>
    <t>96249</t>
  </si>
  <si>
    <t>AGREGACE TROMBOCYTŮ INDUKOVANÁ OSTATNÍMI INDUKTORY</t>
  </si>
  <si>
    <t>96155</t>
  </si>
  <si>
    <t>VON WILLEBRANDŮV  FAKTOR KVANTITATIVNĚ</t>
  </si>
  <si>
    <t>96189</t>
  </si>
  <si>
    <t>FAKTOR VII - STANOVENÍ AKTIVITY</t>
  </si>
  <si>
    <t>96629</t>
  </si>
  <si>
    <t xml:space="preserve">VON WILLEBRANDOVŮV FAKTOR - RISTOCETIN KOFAKTOR - </t>
  </si>
  <si>
    <t>96889</t>
  </si>
  <si>
    <t>TROMBIN GENERAČNÍ ČAS</t>
  </si>
  <si>
    <t>96885</t>
  </si>
  <si>
    <t>MOLEKULÁRNÍ MARKERY AKTIVACE HEMOSTÁZY</t>
  </si>
  <si>
    <t>96875</t>
  </si>
  <si>
    <t>DRVVT - KONFIRMACE</t>
  </si>
  <si>
    <t>96195</t>
  </si>
  <si>
    <t>FAKTOR X - STANOVENÍ AKTIVITY</t>
  </si>
  <si>
    <t>96143</t>
  </si>
  <si>
    <t>T - PA AG</t>
  </si>
  <si>
    <t>96149</t>
  </si>
  <si>
    <t>PAI  ANTIGEN</t>
  </si>
  <si>
    <t>96169</t>
  </si>
  <si>
    <t>STANOVENÍ VISKOSITY TĚLNÍCH TEKUTIN</t>
  </si>
  <si>
    <t>96891</t>
  </si>
  <si>
    <t>TROMBELASTOGRAM</t>
  </si>
  <si>
    <t>96877</t>
  </si>
  <si>
    <t>DRVVT - KOREKCE</t>
  </si>
  <si>
    <t>96895</t>
  </si>
  <si>
    <t>STANOVENÍ PŘÍMÝCH INHIBITORŮ FAKTORU XA</t>
  </si>
  <si>
    <t>96896</t>
  </si>
  <si>
    <t>STANOVENÍ PŘÍMÝCH INHIBITORŮ TROMBINU</t>
  </si>
  <si>
    <t>96893</t>
  </si>
  <si>
    <t>STATIMOVÉ VYŠETŘENÍ FUNKČNÍ AKTIVITY VON WILLEBRAN</t>
  </si>
  <si>
    <t>96869</t>
  </si>
  <si>
    <t>ZPRACOVÁNÍ KRVE PRO AGREGAČNÍ VYŠETŘENÍ</t>
  </si>
  <si>
    <t>96894</t>
  </si>
  <si>
    <t>STATIMOVÉ STANOVENÍ MOLEKULÁRNÍCH MARKERŮ HEMOSTÁZ</t>
  </si>
  <si>
    <t>96892</t>
  </si>
  <si>
    <t>STATIMOVÉ VYŠETŘENÍ FAKTORU VIII</t>
  </si>
  <si>
    <t>96897</t>
  </si>
  <si>
    <t>STANOVENÍ FRAKCE NEZRALÝCH TROMBOCYTŮ</t>
  </si>
  <si>
    <t>33</t>
  </si>
  <si>
    <t>801</t>
  </si>
  <si>
    <t>81111</t>
  </si>
  <si>
    <t>A L T  STATIM</t>
  </si>
  <si>
    <t>81117</t>
  </si>
  <si>
    <t>AMYLASA (SÉRUM, MOČ) STATIM</t>
  </si>
  <si>
    <t>81121</t>
  </si>
  <si>
    <t>BILIRUBIN CELKOVÝ STATIM</t>
  </si>
  <si>
    <t>81137</t>
  </si>
  <si>
    <t>UREA STATIM</t>
  </si>
  <si>
    <t>81141</t>
  </si>
  <si>
    <t>VÁPNÍK IONIZOVANÝ STATIM</t>
  </si>
  <si>
    <t>81147</t>
  </si>
  <si>
    <t>FOSFATÁZA ALKALICKÁ STATIM</t>
  </si>
  <si>
    <t>81157</t>
  </si>
  <si>
    <t>CHLORIDY STATIM</t>
  </si>
  <si>
    <t>81161</t>
  </si>
  <si>
    <t>AMYLÁZA PANKREATICKÁ STATIM</t>
  </si>
  <si>
    <t>81171</t>
  </si>
  <si>
    <t>KYSELINA MLÉČNÁ (LAKTÁT) STATIM</t>
  </si>
  <si>
    <t>81227</t>
  </si>
  <si>
    <t>PROSTATICKÝ SPECIFICKÝ ANTIGEN (PSA) - VOLNÝ</t>
  </si>
  <si>
    <t>81231</t>
  </si>
  <si>
    <t>METHEMOGLOBIN - KVANTITATIVNÍ STANOVENÍ</t>
  </si>
  <si>
    <t>81237</t>
  </si>
  <si>
    <t>TROPONIN - T NEBO I ELISA</t>
  </si>
  <si>
    <t>81331</t>
  </si>
  <si>
    <t>ALBUMIN V MOZKOMÍŠNÍM MOKU</t>
  </si>
  <si>
    <t>81341</t>
  </si>
  <si>
    <t>AMONIAK</t>
  </si>
  <si>
    <t>81397</t>
  </si>
  <si>
    <t>ELEKTROFORÉZA PROTEINŮ (SÉRUM)</t>
  </si>
  <si>
    <t>81427</t>
  </si>
  <si>
    <t>FOSFOR ANORGANICKÝ</t>
  </si>
  <si>
    <t>81447</t>
  </si>
  <si>
    <t>GLYKOVANÉ PROTEINY</t>
  </si>
  <si>
    <t>81451</t>
  </si>
  <si>
    <t>HEMOGLOBIN VOLNÝ V PLAZMĚ</t>
  </si>
  <si>
    <t>81481</t>
  </si>
  <si>
    <t>AMYLÁZA PANKREATICKÁ</t>
  </si>
  <si>
    <t>81527</t>
  </si>
  <si>
    <t>CHOLESTEROL LDL</t>
  </si>
  <si>
    <t>81541</t>
  </si>
  <si>
    <t>LIPOPROTEIN - Lp (a)</t>
  </si>
  <si>
    <t>81641</t>
  </si>
  <si>
    <t>ŽELEZO CELKOVÉ</t>
  </si>
  <si>
    <t>81681</t>
  </si>
  <si>
    <t>25-HYDROXYVITAMIN D (25 OHD)</t>
  </si>
  <si>
    <t>81717</t>
  </si>
  <si>
    <t>STANOVENÍ KONCENTRACE PROTEINU S-100B (S-100BB, S-</t>
  </si>
  <si>
    <t>81721</t>
  </si>
  <si>
    <t>IMUNOTURBIDIMETRICKÉ A/NEBO IMUNONEFELOMETRICKÉ ST</t>
  </si>
  <si>
    <t>81731</t>
  </si>
  <si>
    <t>STANOVENÍ NATRIURETICKÝCH PEPTIDŮ V SÉRU A V PLAZM</t>
  </si>
  <si>
    <t>81747</t>
  </si>
  <si>
    <t xml:space="preserve">VYŠETŘENÍ TANDEMOVOU HMOTNOSTNÍ SPEKTROMETRIÍ PRO </t>
  </si>
  <si>
    <t>91131</t>
  </si>
  <si>
    <t>STANOVENÍ IgA</t>
  </si>
  <si>
    <t>91137</t>
  </si>
  <si>
    <t>STANOVENÍ TRANSFERINU</t>
  </si>
  <si>
    <t>91141</t>
  </si>
  <si>
    <t>STANOVENÍ CERULOPLASMINU</t>
  </si>
  <si>
    <t>91167</t>
  </si>
  <si>
    <t>STANOVENÍ VOLNÝCH LEHKÝCH ŘETĚZCU KAPPA</t>
  </si>
  <si>
    <t>91171</t>
  </si>
  <si>
    <t>STANOVENÍ IgG ELISA</t>
  </si>
  <si>
    <t>91175</t>
  </si>
  <si>
    <t>STANOVENÍ IgM ELISA</t>
  </si>
  <si>
    <t>91397</t>
  </si>
  <si>
    <t>ELEKTROFORESA S NÁSLEDNOU IMUNOFIXACÍ (KOMPLEX - I</t>
  </si>
  <si>
    <t>91481</t>
  </si>
  <si>
    <t>STANOVENÍ KONCENTRACE PROCALCITONINU</t>
  </si>
  <si>
    <t>93131</t>
  </si>
  <si>
    <t>KORTISOL</t>
  </si>
  <si>
    <t>93141</t>
  </si>
  <si>
    <t>KALCITONIN</t>
  </si>
  <si>
    <t>93151</t>
  </si>
  <si>
    <t>FERRITIN</t>
  </si>
  <si>
    <t>93161</t>
  </si>
  <si>
    <t>INZULÍN</t>
  </si>
  <si>
    <t>93171</t>
  </si>
  <si>
    <t>PARATHORMON</t>
  </si>
  <si>
    <t>93227</t>
  </si>
  <si>
    <t>ANTIGEN SQUAMÓZNÍCH NÁDOROVÝCH BUNĚK (SCC)</t>
  </si>
  <si>
    <t>81119</t>
  </si>
  <si>
    <t>AMONIAK STATIM</t>
  </si>
  <si>
    <t>81135</t>
  </si>
  <si>
    <t>SODÍK STATIM</t>
  </si>
  <si>
    <t>81473</t>
  </si>
  <si>
    <t>CHOLESTEROL HDL</t>
  </si>
  <si>
    <t>81563</t>
  </si>
  <si>
    <t>OSMOLALITA (SÉRUM, MOČ)</t>
  </si>
  <si>
    <t>93189</t>
  </si>
  <si>
    <t>TYROXIN VOLNÝ (FT4)</t>
  </si>
  <si>
    <t>81585</t>
  </si>
  <si>
    <t>ACIDOBAZICKÁ ROVNOVÁHA</t>
  </si>
  <si>
    <t>93245</t>
  </si>
  <si>
    <t>TRIJODTYRONIN VOLNÝ (FT3)</t>
  </si>
  <si>
    <t>91153</t>
  </si>
  <si>
    <t>STANOVENÍ  C - REAKTIVNÍHO PROTEINU</t>
  </si>
  <si>
    <t>81145</t>
  </si>
  <si>
    <t>DRASLÍK STATIM</t>
  </si>
  <si>
    <t>81153</t>
  </si>
  <si>
    <t>GAMA-GLUTAMYLTRANSFERÁZA (GMT) STATIM</t>
  </si>
  <si>
    <t>81113</t>
  </si>
  <si>
    <t>A S T  STATIM</t>
  </si>
  <si>
    <t>93225</t>
  </si>
  <si>
    <t>PROSTATICKÝ SPECIFICKÝ ANTIGEN (PSA)</t>
  </si>
  <si>
    <t>81383</t>
  </si>
  <si>
    <t>LAKTÁTDEHYDROGENÁZA (L D)</t>
  </si>
  <si>
    <t>81169</t>
  </si>
  <si>
    <t>KREATININ STATIM</t>
  </si>
  <si>
    <t>81143</t>
  </si>
  <si>
    <t>LAKTÁTDEHYDROGENÁZA STATIM</t>
  </si>
  <si>
    <t>81495</t>
  </si>
  <si>
    <t>KREATINKINÁZA (CK)</t>
  </si>
  <si>
    <t>81315</t>
  </si>
  <si>
    <t>REGISTRAČNÍ SPEKTROFOTOMETRIE NATIVNÍHO MOZKOMÍŠNÍ</t>
  </si>
  <si>
    <t>81449</t>
  </si>
  <si>
    <t>GLYKOVANÝ HEMOGLOBIN</t>
  </si>
  <si>
    <t>81149</t>
  </si>
  <si>
    <t>FOSFOR ANORGANICKÝ STATIM</t>
  </si>
  <si>
    <t>81173</t>
  </si>
  <si>
    <t>LIPÁZA STATIM</t>
  </si>
  <si>
    <t>93195</t>
  </si>
  <si>
    <t>TYREOTROPIN (TSH)</t>
  </si>
  <si>
    <t>93213</t>
  </si>
  <si>
    <t>VITAMIN B12</t>
  </si>
  <si>
    <t>81329</t>
  </si>
  <si>
    <t>ALBUMIN (SÉRUM)</t>
  </si>
  <si>
    <t>81115</t>
  </si>
  <si>
    <t>ALBUMIN SÉRUM (STATIM)</t>
  </si>
  <si>
    <t>93115</t>
  </si>
  <si>
    <t>FOLÁTY</t>
  </si>
  <si>
    <t>81345</t>
  </si>
  <si>
    <t>AMYLÁZA</t>
  </si>
  <si>
    <t>81155</t>
  </si>
  <si>
    <t>GLUKÓZA KVANTITATIVNÍ STANOVENÍ STATIM</t>
  </si>
  <si>
    <t>91129</t>
  </si>
  <si>
    <t>STANOVENÍ IgG</t>
  </si>
  <si>
    <t>91173</t>
  </si>
  <si>
    <t>STANOVENÍ IgA ELISA</t>
  </si>
  <si>
    <t>81249</t>
  </si>
  <si>
    <t>CEA (MEIA)</t>
  </si>
  <si>
    <t>81139</t>
  </si>
  <si>
    <t>VÁPNÍK CELKOVÝ STATIM</t>
  </si>
  <si>
    <t>91143</t>
  </si>
  <si>
    <t>STANOVENÍ PREALBUMINU</t>
  </si>
  <si>
    <t>81363</t>
  </si>
  <si>
    <t>BILIRUBIN KONJUGOVANÝ</t>
  </si>
  <si>
    <t>81625</t>
  </si>
  <si>
    <t>VÁPNÍK CELKOVÝ</t>
  </si>
  <si>
    <t>81465</t>
  </si>
  <si>
    <t>HOŘČÍK</t>
  </si>
  <si>
    <t>93159</t>
  </si>
  <si>
    <t>CHORIOGONADOTROPIN (HCG)</t>
  </si>
  <si>
    <t>91193</t>
  </si>
  <si>
    <t>STANOVENÍ B2 - MIKROGLOBULINU ELISA</t>
  </si>
  <si>
    <t>91133</t>
  </si>
  <si>
    <t>STANOVENÍ IgM</t>
  </si>
  <si>
    <t>81533</t>
  </si>
  <si>
    <t>LIPÁZA</t>
  </si>
  <si>
    <t>81629</t>
  </si>
  <si>
    <t>VAZEBNÁ KAPACITA ŽELEZA</t>
  </si>
  <si>
    <t>93263</t>
  </si>
  <si>
    <t>KARBOHYDRÁT-DEFICIENTNÍ TRANSFERIN (CDT)</t>
  </si>
  <si>
    <t>81369</t>
  </si>
  <si>
    <t>BÍLKOVINA KVANTITATIVNĚ (MOČ, MOZKOM. MOK, VÝPOTEK</t>
  </si>
  <si>
    <t>81125</t>
  </si>
  <si>
    <t>BÍLKOVINY CELKOVÉ (SÉRUM) STATIM</t>
  </si>
  <si>
    <t>81235</t>
  </si>
  <si>
    <t>TUMORMARKERY CA 19-9, CA 15-3, CA 72-4, CA 125</t>
  </si>
  <si>
    <t>93145</t>
  </si>
  <si>
    <t>C-PEPTID</t>
  </si>
  <si>
    <t>81355</t>
  </si>
  <si>
    <t>APOLIPOPROTEINY AI NEBO B</t>
  </si>
  <si>
    <t>91145</t>
  </si>
  <si>
    <t>STANOVENÍ HAPTOGLOBINU</t>
  </si>
  <si>
    <t>93193</t>
  </si>
  <si>
    <t>THYMIDINKINÁZA</t>
  </si>
  <si>
    <t>81675</t>
  </si>
  <si>
    <t>MIKROALBUMINURIE</t>
  </si>
  <si>
    <t>81423</t>
  </si>
  <si>
    <t>FOSFATÁZA ALKALICKÁ IZOENZYMY</t>
  </si>
  <si>
    <t>81123</t>
  </si>
  <si>
    <t>BILIRUBIN KONJUGOVANÝ STATIM</t>
  </si>
  <si>
    <t>81475</t>
  </si>
  <si>
    <t>CHOLINESTERÁZA</t>
  </si>
  <si>
    <t>93265</t>
  </si>
  <si>
    <t>CYFRA 21-1 (NÁDOROVÝ ANTIGEN, CYTOKERATIN FRAGMENT</t>
  </si>
  <si>
    <t>93135</t>
  </si>
  <si>
    <t>MYOGLOBIN V SÉRII</t>
  </si>
  <si>
    <t>81165</t>
  </si>
  <si>
    <t>KREATINKINÁZA (CK) STATIM</t>
  </si>
  <si>
    <t>81239</t>
  </si>
  <si>
    <t>ANALÝZA MOČE MIKROSKOPICKY VE FÁZOVÉM KONTRASTU</t>
  </si>
  <si>
    <t>81233</t>
  </si>
  <si>
    <t>KARBONYLHEMOGLOBIN KVANTITATIVNĚ</t>
  </si>
  <si>
    <t>81129</t>
  </si>
  <si>
    <t>BÍLKOVINA KVANTITATIVNĚ (MOČ, VÝPOTEK, CSF) STATIM</t>
  </si>
  <si>
    <t>81159</t>
  </si>
  <si>
    <t>CHOLINESTERÁZA STATIM</t>
  </si>
  <si>
    <t>81325</t>
  </si>
  <si>
    <t>ANALÝZA MOČI MIKROSKOPICKY KVANTITATIVNĚ</t>
  </si>
  <si>
    <t>81679</t>
  </si>
  <si>
    <t>1,25-DIHYDROXYVITAMIN D (1,25 (OH)2D)</t>
  </si>
  <si>
    <t>81323</t>
  </si>
  <si>
    <t>ADENOSINDEAMINÁZA</t>
  </si>
  <si>
    <t>81545</t>
  </si>
  <si>
    <t>MĚĎ</t>
  </si>
  <si>
    <t>93139</t>
  </si>
  <si>
    <t>ADRENOKORTIKOTROPIN (ACTH)</t>
  </si>
  <si>
    <t>91151</t>
  </si>
  <si>
    <t>STANOVENÍ OROSOMUKOIDU</t>
  </si>
  <si>
    <t>91195</t>
  </si>
  <si>
    <t>STANOVENÍ C - REAKTIVNÍHO PROTEINU ELISA</t>
  </si>
  <si>
    <t>81773</t>
  </si>
  <si>
    <t>KREATINKINÁZA IZOENZYMY CK-MB MASS</t>
  </si>
  <si>
    <t>81775</t>
  </si>
  <si>
    <t>KVANTITATIVNÍ ANALÝZA MOCE</t>
  </si>
  <si>
    <t>81761</t>
  </si>
  <si>
    <t xml:space="preserve">KVANTITATIVNÍ STANOVENÍ KYSELINY HYALURONOVÉ /HA/ </t>
  </si>
  <si>
    <t>81769</t>
  </si>
  <si>
    <t>KVANTITATIVNÍ STANOVENI HOLOTRANSKOBALAMINU /HOLOT</t>
  </si>
  <si>
    <t>81739</t>
  </si>
  <si>
    <t>STANOVENÍ PLACENTÁRNÍHO RŮSTOVÉHO FAKTORU (PIGF) V</t>
  </si>
  <si>
    <t>81741</t>
  </si>
  <si>
    <t>STANOVENÍ KONCENTRACE SOLUBILNÍHO FAKTORU PODOBNÉH</t>
  </si>
  <si>
    <t>81755</t>
  </si>
  <si>
    <t xml:space="preserve">VYŠETŘENÍ METABOLITŮ KAPALINOVOU CHROMATOGRAFIÍ S </t>
  </si>
  <si>
    <t>81753</t>
  </si>
  <si>
    <t>VYŠETŘENÍ AKTIVITY BIOTINIDÁZY V RÁMCI NOVOROZENEC</t>
  </si>
  <si>
    <t>81763</t>
  </si>
  <si>
    <t>STANOVENÍ NGAL V MOČI</t>
  </si>
  <si>
    <t>81757</t>
  </si>
  <si>
    <t>SEMIKVANTITATIVNÍ FLUORIMETRICKÉ STANOVENÍ BIOTINI</t>
  </si>
  <si>
    <t>81735</t>
  </si>
  <si>
    <t>STANOVENÍ PRESEPSINU (SUBTYP SOLUBILNÍHO CD 14)</t>
  </si>
  <si>
    <t>81358</t>
  </si>
  <si>
    <t>STANOVENÍ ŽLUČOVÝCH KYSELIN V KREVNÍM SÉRU</t>
  </si>
  <si>
    <t>81301</t>
  </si>
  <si>
    <t>STANOVENÍ INTERLEUKINU IL6</t>
  </si>
  <si>
    <t>813</t>
  </si>
  <si>
    <t>91197</t>
  </si>
  <si>
    <t>STANOVENÍ CYTOKINU ELISA</t>
  </si>
  <si>
    <t>96837</t>
  </si>
  <si>
    <t>ERYTROPOETIN - STANOVENÍ HLADINY V SÉRU</t>
  </si>
  <si>
    <t>34</t>
  </si>
  <si>
    <t>0042433</t>
  </si>
  <si>
    <t>0059494</t>
  </si>
  <si>
    <t>LIPIODOL ULTRA FLUIDE</t>
  </si>
  <si>
    <t>0065980</t>
  </si>
  <si>
    <t>DOTAREM</t>
  </si>
  <si>
    <t>0095607</t>
  </si>
  <si>
    <t>MICROPAQUE</t>
  </si>
  <si>
    <t>0095609</t>
  </si>
  <si>
    <t>MICROPAQUE CT</t>
  </si>
  <si>
    <t>0224707</t>
  </si>
  <si>
    <t>0224716</t>
  </si>
  <si>
    <t>0207733</t>
  </si>
  <si>
    <t>GADOVIST</t>
  </si>
  <si>
    <t>0207745</t>
  </si>
  <si>
    <t>0224696</t>
  </si>
  <si>
    <t>0224708</t>
  </si>
  <si>
    <t>0034038</t>
  </si>
  <si>
    <t>JEHLA BIOPTICKÁ ASPIRAČNÍ, CHIBA,ECHOTIP</t>
  </si>
  <si>
    <t>0034283</t>
  </si>
  <si>
    <t>JEHLA K LOKALIZACI PRSNÍCH LÉZÍ, X-REIDY</t>
  </si>
  <si>
    <t>0037821</t>
  </si>
  <si>
    <t>VODIČ ANGIOGRAFICKÝ</t>
  </si>
  <si>
    <t>0038462</t>
  </si>
  <si>
    <t>0038471</t>
  </si>
  <si>
    <t>0038483</t>
  </si>
  <si>
    <t>0038503</t>
  </si>
  <si>
    <t>SOUPRAVA ZAVÁDĚCÍ INTRODUCER</t>
  </si>
  <si>
    <t>0038505</t>
  </si>
  <si>
    <t>0047480</t>
  </si>
  <si>
    <t>KATETR BALÓNKOVÝ PTCA</t>
  </si>
  <si>
    <t>0047648</t>
  </si>
  <si>
    <t>KATETR ANGIOGRAFICKÝ OUTLOOK RQ-4</t>
  </si>
  <si>
    <t>0048264</t>
  </si>
  <si>
    <t>DRÁT NEUROINTERVENČNÍ</t>
  </si>
  <si>
    <t>0048307</t>
  </si>
  <si>
    <t>STENTGRAFT PERIFERNÍ VASKULÁRNÍ - FLUENCY; SAMOEXP</t>
  </si>
  <si>
    <t>0048347</t>
  </si>
  <si>
    <t>KATETR INFUZNÍ CRAGG MAC NAMMARA</t>
  </si>
  <si>
    <t>0048523</t>
  </si>
  <si>
    <t>DRÁT VODÍCÍ PTA - SELECTIVA; INTERVENČNÍ 60/80/145</t>
  </si>
  <si>
    <t>0048668</t>
  </si>
  <si>
    <t>DRÁT VODÍCÍ NITINOL</t>
  </si>
  <si>
    <t>0049926</t>
  </si>
  <si>
    <t>STENT PERIFERNÍ VASKULÁRNÍ; BILIÁRNÍ - ABSOLUTE.03</t>
  </si>
  <si>
    <t>0051591</t>
  </si>
  <si>
    <t>0052704</t>
  </si>
  <si>
    <t>KATETR DRENÁŽNÍ</t>
  </si>
  <si>
    <t>0053558</t>
  </si>
  <si>
    <t>KATETR VODÍCÍ VISTABRITE TIP G.C.5-10F</t>
  </si>
  <si>
    <t>0053563</t>
  </si>
  <si>
    <t>KATETR DIAGNOSTICKÝ TEMPO4F,5F</t>
  </si>
  <si>
    <t>0053643</t>
  </si>
  <si>
    <t>KATETR BALÓNKOVÝ PTA - QUADRIMATRIX/MARS</t>
  </si>
  <si>
    <t>0053925</t>
  </si>
  <si>
    <t>KATETR BALÓNKOVÝ PTA - SYMMETRY; MUSTANG</t>
  </si>
  <si>
    <t>0053936</t>
  </si>
  <si>
    <t>SYSTÉM ZAVÁDĚCÍ ACCUSTICK II 20-705</t>
  </si>
  <si>
    <t>0054358</t>
  </si>
  <si>
    <t>KATETR DIAGNOSTICKÝ SUPER TORQUE 5F,6F 533525-686</t>
  </si>
  <si>
    <t>0054472</t>
  </si>
  <si>
    <t>KATETR BALÓNKOVÝ OKLUZNÍ PRO ZENITH</t>
  </si>
  <si>
    <t>0056125</t>
  </si>
  <si>
    <t>KATETR ASPIRAČNÍ, KATETR MĚŘÍCÍ</t>
  </si>
  <si>
    <t>0056301</t>
  </si>
  <si>
    <t>KATETR BALÓNKOVÝ FOGARTY EMBOLEKTOMICKÝ - TRU-LUME</t>
  </si>
  <si>
    <t>0056361</t>
  </si>
  <si>
    <t>ZAVADĚČ FLEXOR BALKIN RADIOOPÁKNÍ ZNAČKA</t>
  </si>
  <si>
    <t>0056365</t>
  </si>
  <si>
    <t>ZAVADĚČ MIKROPUNKČNÍ, NITINOLOVÝ VODIČ</t>
  </si>
  <si>
    <t>0056476</t>
  </si>
  <si>
    <t>STENTGRAFT KORONÁRNÍ - GRAFTMASTER RX</t>
  </si>
  <si>
    <t>0057298</t>
  </si>
  <si>
    <t>STENT PERIFERNÍ VASKULÁRNÍ - E-LUMINEXX; SAMOEXPAN</t>
  </si>
  <si>
    <t>0057769</t>
  </si>
  <si>
    <t>DILATÁTOR COPE-SADDEKNI SFA ACCESS</t>
  </si>
  <si>
    <t>0057823</t>
  </si>
  <si>
    <t>KATETR ANGIOGRAFICKÝ TORCON,PRŮMĚR 4.1 AŽ 7 FRENCH</t>
  </si>
  <si>
    <t>0057824</t>
  </si>
  <si>
    <t>0058000</t>
  </si>
  <si>
    <t>DRÁT VODÍCÍ JINDO PRO PTA           503451-503657</t>
  </si>
  <si>
    <t>0058463</t>
  </si>
  <si>
    <t>VODIČ DRÁTĚNÝ LUNDERQUIST EXTRA STIFF</t>
  </si>
  <si>
    <t>0058736</t>
  </si>
  <si>
    <t>TĚLÍSKO EMBOLIZAČNÍ NESTER</t>
  </si>
  <si>
    <t>0059345</t>
  </si>
  <si>
    <t>INDEFLÁTOR - ZAŘÍZENÍ INSUFLAČNÍ - INFLATION DEVIC</t>
  </si>
  <si>
    <t>0059569</t>
  </si>
  <si>
    <t>SPIRÁLA EMBOLIZAČNÍ - PERIFER.,INTRAKR.-DETECHABLE</t>
  </si>
  <si>
    <t>0059795</t>
  </si>
  <si>
    <t>DRÁT VODÍCÍ ANGIODYN J3 FC-FS 150-0,35</t>
  </si>
  <si>
    <t>0075316</t>
  </si>
  <si>
    <t>JEHLA BIOPTICKÁ MN1616</t>
  </si>
  <si>
    <t>0092125</t>
  </si>
  <si>
    <t>MIKROKATETR PROGREAT PC2411-2813, PP27111-27131</t>
  </si>
  <si>
    <t>0092128</t>
  </si>
  <si>
    <t>SOUPRAVA ZAVÁDĚCÍ DESTINATION - 45CM</t>
  </si>
  <si>
    <t>0092559</t>
  </si>
  <si>
    <t>SADA AG - SYSTÉM PRO UZAVÍRÁNÍ CÉV - FEMORÁLNÍ - S</t>
  </si>
  <si>
    <t>0092932</t>
  </si>
  <si>
    <t>SADA DRENÁŽNÍ S FIXAČNÍ SADOU DRAIN-LOK</t>
  </si>
  <si>
    <t>0094736</t>
  </si>
  <si>
    <t>STENT PERIFERNÍ VASKULÁRNÍ - EPIC; SAMOEXPANDIBILN</t>
  </si>
  <si>
    <t>0141815</t>
  </si>
  <si>
    <t>STENT PERIFERNĺ VASKULÁRNÍ - OMNILINK ELITE ; BALO</t>
  </si>
  <si>
    <t>0193339</t>
  </si>
  <si>
    <t>STENTGRAFT AORTÁLNÍ BŘIŠNÍ - ZENITH - NOHA SPIRÁLN</t>
  </si>
  <si>
    <t>0192083</t>
  </si>
  <si>
    <t>OKLUDER AVP - AMPLATZER</t>
  </si>
  <si>
    <t>0051244</t>
  </si>
  <si>
    <t>KATETR VODÍCÍ GUIDER</t>
  </si>
  <si>
    <t>0057416</t>
  </si>
  <si>
    <t>DRÁT VODÍCÍ 110CM,150CM M001468XX0</t>
  </si>
  <si>
    <t>0111638</t>
  </si>
  <si>
    <t>STENT PERIFERNÍ VASKUL. - ISTHMUS LOGIC CARBOSTENT</t>
  </si>
  <si>
    <t>0057846</t>
  </si>
  <si>
    <t>TĚLÍSKO EMBOLIZAČNÍ HILAL</t>
  </si>
  <si>
    <t>0054478</t>
  </si>
  <si>
    <t>STENTGRAFT AORTÁLNÍ BŘIŠNÍ - ZENITH FLEX AAA; BIFU</t>
  </si>
  <si>
    <t>0075340</t>
  </si>
  <si>
    <t>JEHLA BIOPTICKÁ C1610B,C1616B,C1620B</t>
  </si>
  <si>
    <t>0151349</t>
  </si>
  <si>
    <t>KATETR PODPŮR.PRO MIKROKAT - SYSTÉM MERCI - MULTIF</t>
  </si>
  <si>
    <t>0047805</t>
  </si>
  <si>
    <t>SADA AG-JEHLA ANGIOGRAFICKÁ</t>
  </si>
  <si>
    <t>0054370</t>
  </si>
  <si>
    <t>ZAVADĚČ KE KATETRŮM 402604A-402611A</t>
  </si>
  <si>
    <t>0141714</t>
  </si>
  <si>
    <t>0049005</t>
  </si>
  <si>
    <t>KATETR TROMBEKTOMICKÝ - ROTAREX-ANTEGRADNÍ(KATETR,</t>
  </si>
  <si>
    <t>0151946</t>
  </si>
  <si>
    <t>STENTGRAFT PERIFERNÍ VASKULÁRNÍ - GORE VIABAHN; SA</t>
  </si>
  <si>
    <t>0152417</t>
  </si>
  <si>
    <t>STENT PERIFERNÍ VASKULÁRNÍ - LIFESTREAM; POTAH PTF</t>
  </si>
  <si>
    <t>0038497</t>
  </si>
  <si>
    <t>KATETR ANGIOGRAFICKÝ GLIDECATH</t>
  </si>
  <si>
    <t>0092011</t>
  </si>
  <si>
    <t>BALÓNEK DILATAČNÍ - JÍCNOVÝ</t>
  </si>
  <si>
    <t>0152522</t>
  </si>
  <si>
    <t>STENT PERIFERNÍ VASKULÁRNÍ - RADIX2; BALONEXPANDIB</t>
  </si>
  <si>
    <t>0115223</t>
  </si>
  <si>
    <t>KATETR VODÍCÍ INTRAKRANIÁLNÍ FUBUKI (VČETNĚ DILATÁ</t>
  </si>
  <si>
    <t>0046118</t>
  </si>
  <si>
    <t>KATETR ANGIOGRAFICKÝ IMAGER II</t>
  </si>
  <si>
    <t>0047493</t>
  </si>
  <si>
    <t>DRÁT VODÍCÍ THRUWAY,JOURNEY</t>
  </si>
  <si>
    <t>0151036</t>
  </si>
  <si>
    <t>KATETR BALÓNKOVÝ PTA - ADVANCE; 4F/80,135CM</t>
  </si>
  <si>
    <t>0151945</t>
  </si>
  <si>
    <t>0049253</t>
  </si>
  <si>
    <t>INDEFLÁTOR - ZAŘÍZENÍ INSUFLAČNÍ</t>
  </si>
  <si>
    <t>0051196</t>
  </si>
  <si>
    <t>KATETR BALÓNKOVÝ PTA - ADMIRAL XTREME; OTW</t>
  </si>
  <si>
    <t>0092603</t>
  </si>
  <si>
    <t>KATETR BALÓNKOVÝ PTA - CLEARPAC OMEGA; .035</t>
  </si>
  <si>
    <t>0056384</t>
  </si>
  <si>
    <t>ZAVADĚČ CHECK-FLO III BLUE VELKÁ CHLOPEŇ J VODIČ</t>
  </si>
  <si>
    <t>0152785</t>
  </si>
  <si>
    <t>STENTGRAFT AORTÁLNÍ HRUDNÍ - ZENITH TX2 DISSECTION</t>
  </si>
  <si>
    <t>0052316</t>
  </si>
  <si>
    <t>ZAVADĚČ KE KATETRŮM  401623M-923M, 824M</t>
  </si>
  <si>
    <t>0048262</t>
  </si>
  <si>
    <t>KATETR BALÓNKOVÝ PTA - ULTRA SOFT</t>
  </si>
  <si>
    <t>0047552</t>
  </si>
  <si>
    <t>KATETR DIAGNOSTICKÝ PERFORMA, IMPRESS 4-5F</t>
  </si>
  <si>
    <t>0048669</t>
  </si>
  <si>
    <t>0193273</t>
  </si>
  <si>
    <t>KATETR BALÓNKOVÝ PTA - COYOTE ES MR</t>
  </si>
  <si>
    <t>0152784</t>
  </si>
  <si>
    <t>SPIRÁLA EMBOLIZAČNÍ PERIFERNÍ - RETRACTA; VČ. MECH</t>
  </si>
  <si>
    <t>0152139</t>
  </si>
  <si>
    <t>DRÁT VODÍCÍ PERIFERNÍ, KORONÁRNÍ - ACCOAT SELDINGE</t>
  </si>
  <si>
    <t>0142768</t>
  </si>
  <si>
    <t xml:space="preserve">DRÁT VODÍCÍ PTCA - HI-TORQUE TURNTRAC, ŘIDITELNÝ, </t>
  </si>
  <si>
    <t>0049606</t>
  </si>
  <si>
    <t>SADA AG - JEHLA,VODIČ,DILATÁTOR -  VENA-STICK</t>
  </si>
  <si>
    <t>0058501</t>
  </si>
  <si>
    <t>VODIČ-PTA,PTCA - HI-TORQUE 0.14(18,35)/130,190,300</t>
  </si>
  <si>
    <t>0047101</t>
  </si>
  <si>
    <t>DRÁT TEFLON.VODÍCÍ-ROVNÝ 0,90 MM X 150,200,260..</t>
  </si>
  <si>
    <t>0142903</t>
  </si>
  <si>
    <t>ELEKTRODA CHIRURGICKÁ A PERKUTÁNNÍ PRO MW ABLACE V</t>
  </si>
  <si>
    <t>89117</t>
  </si>
  <si>
    <t>RTG KRKU A KRČNÍ PÁTEŘE</t>
  </si>
  <si>
    <t>89119</t>
  </si>
  <si>
    <t>RTG HRUDNÍ NEBO BEDERNÍ PÁTEŘE</t>
  </si>
  <si>
    <t>89123</t>
  </si>
  <si>
    <t>RTG PÁNVE NEBO KYČELNÍHO KLOUBU</t>
  </si>
  <si>
    <t>89127</t>
  </si>
  <si>
    <t>RTG KOSTÍ A KLOUBŮ KONČETIN</t>
  </si>
  <si>
    <t>89129</t>
  </si>
  <si>
    <t>RTG ŽEBER A STERNA</t>
  </si>
  <si>
    <t>89143</t>
  </si>
  <si>
    <t>RTG BŘICHA</t>
  </si>
  <si>
    <t>89147</t>
  </si>
  <si>
    <t>RTG ŽALUDKU A DUODENA</t>
  </si>
  <si>
    <t>89313</t>
  </si>
  <si>
    <t xml:space="preserve">PERKUTÁNNÍ PUNKCE NEBO BIOPSIE ŘÍZENÁ RDG METODOU </t>
  </si>
  <si>
    <t>89317</t>
  </si>
  <si>
    <t>SELEKTIVNÍ TROMBOLÝZA</t>
  </si>
  <si>
    <t>89323</t>
  </si>
  <si>
    <t>TERAPEUTICKÁ EMBOLIZACE V CÉVNÍM ŘEČIŠTI</t>
  </si>
  <si>
    <t>89327</t>
  </si>
  <si>
    <t>KONTROLNÍ NÁSTŘIK DRENÁŽNÍHO KATÉTRU</t>
  </si>
  <si>
    <t>89333</t>
  </si>
  <si>
    <t>PERKUTÁNNÍ DRENÁŽ ŽLUČOVÝCH CEST (EV. ZAVEDENÍ STE</t>
  </si>
  <si>
    <t>89337</t>
  </si>
  <si>
    <t xml:space="preserve">DILATACE STENÓZ JÍCNU, GASTROINTESTINÁLNÍ TRUBICE </t>
  </si>
  <si>
    <t>89409</t>
  </si>
  <si>
    <t>ZAVEDENÍ STENTGRAFTU DO NEKORONÁRNÍHO TEPENNÉHO NE</t>
  </si>
  <si>
    <t>89417</t>
  </si>
  <si>
    <t xml:space="preserve">PŘEHLEDNÁ ČI SELEKTIVNÍ ANGIOGRAFIE NAVAZUJÍCÍ NA </t>
  </si>
  <si>
    <t>89419</t>
  </si>
  <si>
    <t>PUNKČNÍ ANGIOGRAFIE</t>
  </si>
  <si>
    <t>89423</t>
  </si>
  <si>
    <t>PERKUTÁNNÍ TRANSLUMINÁLNÍ ANGIOPLASTIKA</t>
  </si>
  <si>
    <t>89453</t>
  </si>
  <si>
    <t>PERKUTÁNNÍ TRANSHEPATÁLNÍ CHOLANGIOGRAFIE</t>
  </si>
  <si>
    <t>89617</t>
  </si>
  <si>
    <t>CT VYŠETŘENÍ KTERÉHOKOLIV ORGÁNU NEBO OBLASTI S AP</t>
  </si>
  <si>
    <t>89619</t>
  </si>
  <si>
    <t>CT VYŠETŘENÍ TĚLA S PODÁNÍM K. L. PER OS, EVENT. P</t>
  </si>
  <si>
    <t>89713</t>
  </si>
  <si>
    <t>MR ZOBRAZENÍ HLAVY, KONČETIN, KLOUBU, JEDNOHO ÚSEK</t>
  </si>
  <si>
    <t>89723</t>
  </si>
  <si>
    <t>MR ANGIOGRAFIE</t>
  </si>
  <si>
    <t>89311</t>
  </si>
  <si>
    <t xml:space="preserve">INTERVENČNÍ VÝKON ŘÍZENÝ RDG METODOU (SKIASKOPIE, </t>
  </si>
  <si>
    <t>89131</t>
  </si>
  <si>
    <t>RTG HRUDNÍKU</t>
  </si>
  <si>
    <t>89615</t>
  </si>
  <si>
    <t>CT VYŠETŘENÍ S VĚTŠÍM POČTEM SKENŮ (NAD 30), BEZ P</t>
  </si>
  <si>
    <t>89725</t>
  </si>
  <si>
    <t>OPAKOVANÉ ČI DOPLŇUJÍCÍ VYŠETŘENÍ MR</t>
  </si>
  <si>
    <t>89715</t>
  </si>
  <si>
    <t>MR ZOBRAZENÍ KRKU, HRUDNÍKU, BŘICHA, PÁNVE (VČETNĚ</t>
  </si>
  <si>
    <t>89151</t>
  </si>
  <si>
    <t>PASÁŽ TRÁVICÍ TRUBICÍ</t>
  </si>
  <si>
    <t>89331</t>
  </si>
  <si>
    <t>ZAVEDENÍ STENTU DO TEPENNÉHO ČI ŽILNÍHO ŘEČIŠTĚ</t>
  </si>
  <si>
    <t>89111</t>
  </si>
  <si>
    <t>RTG PRSTŮ A ZÁPRSTNÍCH KŮSTEK RUKY NEBO NOHY</t>
  </si>
  <si>
    <t>89125</t>
  </si>
  <si>
    <t>RTG RAMENNÍHO KLOUBU</t>
  </si>
  <si>
    <t>89201</t>
  </si>
  <si>
    <t>SKIASKOPIE NA OPERAČNÍM ČI ZÁKROKOVÉM SÁLE MOBILNÍ</t>
  </si>
  <si>
    <t>89145</t>
  </si>
  <si>
    <t>RTG JÍCNU</t>
  </si>
  <si>
    <t>89161</t>
  </si>
  <si>
    <t>CHOLANGIOGRAFIE PEROPERAČNÍ NEBO T-DRÉNEM</t>
  </si>
  <si>
    <t>89611</t>
  </si>
  <si>
    <t>CT VYŠETŘENÍ HLAVY NEBO TĚLA NATIVNÍ A KONTRASTNÍ</t>
  </si>
  <si>
    <t>89415</t>
  </si>
  <si>
    <t>89121</t>
  </si>
  <si>
    <t>RTG KŘÍŽOVÉ KOSTI A SI KLOUBŮ</t>
  </si>
  <si>
    <t>89155</t>
  </si>
  <si>
    <t>RTG VYŠETŘENÍ TLUSTÉHO STŘEVA</t>
  </si>
  <si>
    <t>89411</t>
  </si>
  <si>
    <t>PŘEHLEDNÁ  ČI SELEKTIVNÍ ANGIOGRAFIE</t>
  </si>
  <si>
    <t>89325</t>
  </si>
  <si>
    <t>PERKUTÁNNÍ DRENÁŽ ABSCESU, CYSTY EV. JINÉ DUTINY R</t>
  </si>
  <si>
    <t>89447</t>
  </si>
  <si>
    <t>LYMFOGRAFIE, CELÝ VÝKON</t>
  </si>
  <si>
    <t>07629</t>
  </si>
  <si>
    <t>(DRG) ZAVEDENÍ HRUDNÍHO DRÉNU DO PLEURÁLNÍ DUTINY,</t>
  </si>
  <si>
    <t>07633</t>
  </si>
  <si>
    <t>(DRG) PERKUTÁNNÍ TRANSHEPATICKÁ ZEVNĚ - VNITŘNÍ DR</t>
  </si>
  <si>
    <t>89362</t>
  </si>
  <si>
    <t>MECHANICKÁ ATEREKTOMIE/TROMBEKTOMIE PERIFERNÍCH CÉ</t>
  </si>
  <si>
    <t>07637</t>
  </si>
  <si>
    <t>(DRG) BIOPSIE BŘIŠNÍ NEBO HRUDNÍ STĚNY, NEBO MĚKKÝ</t>
  </si>
  <si>
    <t>07653</t>
  </si>
  <si>
    <t>(DRG) DRENÁŽ KOLEKCE ORGÁNU, PERKUTÁNNĚ</t>
  </si>
  <si>
    <t>07617</t>
  </si>
  <si>
    <t>(DRG) DESTRUKCE PARENCHYMOVÉ LÉZE LEDVINY, PERKUTÁ</t>
  </si>
  <si>
    <t>35</t>
  </si>
  <si>
    <t>222</t>
  </si>
  <si>
    <t>22119</t>
  </si>
  <si>
    <t>VYŠETŘENÍ KOMPATIBILITY TRANSFÚZNÍHO PŘÍPRAVKU OBS</t>
  </si>
  <si>
    <t>22120</t>
  </si>
  <si>
    <t>22129</t>
  </si>
  <si>
    <t xml:space="preserve">VYŠETŘENÍ JEDNOHO ERYTROCYTÁRNÍHO ANTIGENU (KROMĚ </t>
  </si>
  <si>
    <t>22134</t>
  </si>
  <si>
    <t>UPŘESNĚNÍ TYPU SENZIBILIZACE ERYTROCYTŮ</t>
  </si>
  <si>
    <t>22214</t>
  </si>
  <si>
    <t>SCREENING ANTIERYTROCYTÁRNÍCH PROTILÁTEK - V SÉRII</t>
  </si>
  <si>
    <t>22219</t>
  </si>
  <si>
    <t>22325</t>
  </si>
  <si>
    <t>ABSORPCE PROTILÁTEK PROTI ERYTROCYTUM PŘI URČOVÁNÍ</t>
  </si>
  <si>
    <t>22355</t>
  </si>
  <si>
    <t>KONZULTACE ODBORNÉHO TRANSFÚZIOLOGA - IMUNOHEMATOL</t>
  </si>
  <si>
    <t>82077</t>
  </si>
  <si>
    <t>STANOVENÍ PROTILÁTEK CELKOVÝCH I IGM PROTI ANTIGEN</t>
  </si>
  <si>
    <t>22111</t>
  </si>
  <si>
    <t>VYŠETŘENÍ KREVNÍ SKUPINY ABO RH (D) - STATIM</t>
  </si>
  <si>
    <t>22221</t>
  </si>
  <si>
    <t>DOPLNĚNÍ SCREENINGU ANTIERYTROCYTÁRNÍCH PROTILÁTEK</t>
  </si>
  <si>
    <t>22223</t>
  </si>
  <si>
    <t>22212</t>
  </si>
  <si>
    <t>SCREENING ANTIERYTROCYTÁRNÍCH PROTILÁTEK - STATIM,</t>
  </si>
  <si>
    <t>82079</t>
  </si>
  <si>
    <t>STANOVENÍ PROTILÁTEK PROTI ANTIGENŮM VIRŮ (KROMĚ H</t>
  </si>
  <si>
    <t>22112</t>
  </si>
  <si>
    <t>VYŠETŘENÍ KREVNÍ SKUPINY ABO, RH (D) V SÉRII</t>
  </si>
  <si>
    <t>22117</t>
  </si>
  <si>
    <t>22131</t>
  </si>
  <si>
    <t>VYŠETŘENÍ CHLADOVÝCH AGLUTININŮ</t>
  </si>
  <si>
    <t>22347</t>
  </si>
  <si>
    <t>IDENTIFIKACE ANTIERYTROCYTÁRNÍCH PROTILÁTEK - SLOU</t>
  </si>
  <si>
    <t>22133</t>
  </si>
  <si>
    <t>PŘÍMÝ ANTIGLOBULINOVÝ TEST</t>
  </si>
  <si>
    <t>22357</t>
  </si>
  <si>
    <t>KONZULTACE DISKREPANTNÍHO A DIAGNOSTICKY OBTÍŽNÉHO</t>
  </si>
  <si>
    <t>22341</t>
  </si>
  <si>
    <t>IDENTIFIKACE ANTIERYTROCYTÁRNÍCH PROTILÁTEK - ZKUM</t>
  </si>
  <si>
    <t>22317</t>
  </si>
  <si>
    <t>ELUCE ANTIERYTROCYTÁRNÍCH PROTILÁTEK - POUŽITÍ KOM</t>
  </si>
  <si>
    <t>37</t>
  </si>
  <si>
    <t>807</t>
  </si>
  <si>
    <t>87127</t>
  </si>
  <si>
    <t>JEDNODUCHÝ BIOPTICKÝ VZOREK: MAKROSKOPICKÉ POSOUZE</t>
  </si>
  <si>
    <t>87131</t>
  </si>
  <si>
    <t>BIOPTICKÝ MATERIÁL S ČÁSTEČNÉ NEBO RADIKÁLNÍ EKTOM</t>
  </si>
  <si>
    <t>87133</t>
  </si>
  <si>
    <t>BIOPTICKÝ MATERIÁL ZÍSKANÝ KOMPLEXNÍ EKTOMIÍ: MAKR</t>
  </si>
  <si>
    <t>87213</t>
  </si>
  <si>
    <t>PEROPERAČNÍ BIOPSIE (TECHNICKÁ KOMPONENTA ZA KAŽDÝ</t>
  </si>
  <si>
    <t>87217</t>
  </si>
  <si>
    <t>PROKRAJOVÁNÍ BLOKU (POLOSÉRIOVÉ ŘEZY) S 1-3 PREPAR</t>
  </si>
  <si>
    <t>87221</t>
  </si>
  <si>
    <t>ODBĚR PRO SPECIELNÍ VYŠETŘENÍ : RECEPTORY, HISTOCH</t>
  </si>
  <si>
    <t>87223</t>
  </si>
  <si>
    <t>SPECIELNÍ BARVENÍ JEDNODUCHÉ (KAŽDÝ PREPARÁT Z PAR</t>
  </si>
  <si>
    <t>87227</t>
  </si>
  <si>
    <t>ENZYMOVÁ HISTOCHEMIE I. (ZA KAŽDÝ MARKER Z 1 BLOKU</t>
  </si>
  <si>
    <t>87231</t>
  </si>
  <si>
    <t>IMUNOHISTOCHEMIE (ZA KAŽDÝ MARKER Z 1 BLOKU)</t>
  </si>
  <si>
    <t>87233</t>
  </si>
  <si>
    <t>METODA POLOTENKÝCH ŘEZŮ Z UMĚL. PRYSKYŘIC</t>
  </si>
  <si>
    <t>87413</t>
  </si>
  <si>
    <t>CYTOLOGICKÉ OTISKY A STĚRY -  ZA 1-3 PREPARÁTY</t>
  </si>
  <si>
    <t>87431</t>
  </si>
  <si>
    <t>PREPARÁTY METODOU CYTOBLOKU - ZA KAŽDÝ PREPARÁT</t>
  </si>
  <si>
    <t>87433</t>
  </si>
  <si>
    <t>STANDARDNÍ CYTOLOGICKÉ BARVENÍ,  ZA 1-3 PREPARÁTY</t>
  </si>
  <si>
    <t>87447</t>
  </si>
  <si>
    <t>CYTOLOGICKÉ PREPARÁTY ZHOTOVENÉ CYTOCENTRIFUGOU</t>
  </si>
  <si>
    <t>87513</t>
  </si>
  <si>
    <t>STANOVENÍ CYTOLOGICKÉ DIAGNÓZY I. STUPNĚ OBTÍŽNOST</t>
  </si>
  <si>
    <t>87517</t>
  </si>
  <si>
    <t>STANOVENÍ BIOPTICKÉ DIAGNÓZY II. STUPNĚ OBTÍŽNOSTI</t>
  </si>
  <si>
    <t>87523</t>
  </si>
  <si>
    <t>STANOVENÍ BIOPTICKÉ DIAGNÓZY III. STUPNĚ OBTÍŽNOST</t>
  </si>
  <si>
    <t>87613</t>
  </si>
  <si>
    <t>TECHNICKO ADMINISTRATIVNÍ KOMPONENTA BIOPSIE (STAN</t>
  </si>
  <si>
    <t>87617</t>
  </si>
  <si>
    <t xml:space="preserve">STANOVENÍ DIAGNÓZY IV. STUPNĚ OBTÍŽNOSTI Z JINÉHO </t>
  </si>
  <si>
    <t>94191</t>
  </si>
  <si>
    <t>FOTOGRAFIE GELU</t>
  </si>
  <si>
    <t>94201</t>
  </si>
  <si>
    <t>(VZP) FLUORESCENČNÍ IN SITU HYBRIDIZACE LIDSKÉ DNA</t>
  </si>
  <si>
    <t>87235</t>
  </si>
  <si>
    <t>VYŠETŘENÍ PREPARÁTU SPECIELNĚ BARVENÉHO NA MIKROOR</t>
  </si>
  <si>
    <t>87511</t>
  </si>
  <si>
    <t>STANOVENÍ BIOPTICKÉ DIAGNÓZY I. STUPNĚ OBTÍŽNOSTI</t>
  </si>
  <si>
    <t>87525</t>
  </si>
  <si>
    <t>STANOVENÍ CYTOLOGICKÉ DIAGNÓZY III. STUPNĚ OBTÍŽNO</t>
  </si>
  <si>
    <t>87225</t>
  </si>
  <si>
    <t>SPECIELNI BARVENÍ SLOŽITÉ (ZA KAŽDÝ PREPARÁT ZE ZM</t>
  </si>
  <si>
    <t>87129</t>
  </si>
  <si>
    <t>VÍCEČETNÉ MALÉ BIOPTICKÉ VZORKY: MAKROSKOPICKÉ POS</t>
  </si>
  <si>
    <t>87696</t>
  </si>
  <si>
    <t xml:space="preserve">(VZP) IMUNOHISTOCHEMICKÉ VYŠETŘENÍ CERTIFIKOVANÝM </t>
  </si>
  <si>
    <t>94115</t>
  </si>
  <si>
    <t>IN SITU HYBRIDIZACE LIDSKÉ DNA SE ZNAČENOU SONDOU</t>
  </si>
  <si>
    <t>87215</t>
  </si>
  <si>
    <t>DALŠÍ BLOK SE STANDARTNÍM PREPARÁTEM (OD 3. BIOPTI</t>
  </si>
  <si>
    <t>87449</t>
  </si>
  <si>
    <t xml:space="preserve">SCREENINGOVÉ ODEČÍTÁNÍ CYTOLOGICKÝCH NÁLEZŮ (ZA 1 </t>
  </si>
  <si>
    <t>87415</t>
  </si>
  <si>
    <t>CYTOLOGICKÉ OTISKY A STĚRY -  ZA 4-10 PREPARÁTŮ</t>
  </si>
  <si>
    <t>87219</t>
  </si>
  <si>
    <t>ODVÁPNĚNÍ, ZMĚKČOVÁNÍ MATERIÁLU (ZA KAŽDÉ ZAPOČATÉ</t>
  </si>
  <si>
    <t>87425</t>
  </si>
  <si>
    <t xml:space="preserve">CYTOLOGICKÉ NÁTĚRY Z NECENTRIFUGOVANÉ TEKUTINY -  </t>
  </si>
  <si>
    <t>87435</t>
  </si>
  <si>
    <t>STANDARDNÍ CYTOLOGICKÉ BARVENÍ,  ZA 4-10  PREPARÁT</t>
  </si>
  <si>
    <t>87519</t>
  </si>
  <si>
    <t>STANOVENÍ CYTOLOGICKÉ DIAGNÓZY II. STUPNĚ OBTÍŽNOS</t>
  </si>
  <si>
    <t>87135</t>
  </si>
  <si>
    <t>VYŠETŘENÍ MORFOMETRICKÉ - ZA KAŽDÝ PARAMETR</t>
  </si>
  <si>
    <t>87411</t>
  </si>
  <si>
    <t>PEROPERAČNÍ CYTOLOGIE (TECHNICKÁ KOMPONENTA ZA KAŽ</t>
  </si>
  <si>
    <t>87611</t>
  </si>
  <si>
    <t>TECHNICKÁ KOMPONENTA MIKROSKOPICKÉHO VYŠETŘENÍ PIT</t>
  </si>
  <si>
    <t>87209</t>
  </si>
  <si>
    <t>HISTOTOPOGRAM (5 X 5 CM A VĚTŠÍ)</t>
  </si>
  <si>
    <t>87011</t>
  </si>
  <si>
    <t>KONZULTACE NÁLEZU PATOLOGEM CÍLENÁ NA ŽÁDOST OŠETŘ</t>
  </si>
  <si>
    <t>87624</t>
  </si>
  <si>
    <t xml:space="preserve">POLYMERÁZOVÁ ŘETĚZOVÁ REAKCE (PCR) Z PARAFINOVÝCH </t>
  </si>
  <si>
    <t>94235</t>
  </si>
  <si>
    <t>IZOLACE NUKLEOVÝCH KYSELIN (DNA, RNA) Z MALÉHO MNO</t>
  </si>
  <si>
    <t>87618</t>
  </si>
  <si>
    <t>IMUNOHISTOCHEMIE CERTIFIKOVANÝCH KITEM Z HISTOLOGI</t>
  </si>
  <si>
    <t>87621</t>
  </si>
  <si>
    <t>DETEKCE MUTACÍ SEKVENOVÁNÍM DNA IZOLOVANÉ Z PARAFI</t>
  </si>
  <si>
    <t>94239</t>
  </si>
  <si>
    <t>FRAGMENTAČNÍ ANALÝZA LIDSKÉHO SOMATICKÉHO GENOMU</t>
  </si>
  <si>
    <t>87626</t>
  </si>
  <si>
    <t>STATIMOVÉ VYŠETŘENÍ</t>
  </si>
  <si>
    <t>40</t>
  </si>
  <si>
    <t>802</t>
  </si>
  <si>
    <t>82001</t>
  </si>
  <si>
    <t>KONZULTACE K MIKROBIOLOGICKÉMU, PARAZITOLOGICKÉMU,</t>
  </si>
  <si>
    <t>82041</t>
  </si>
  <si>
    <t>AMPLIFIKACE EXTRAHUMÁNNÍHO GENOMU METODOU POLYMERÁ</t>
  </si>
  <si>
    <t>82057</t>
  </si>
  <si>
    <t>IDENTIFIKACE KMENE ORIENTAČNÍ JEDNODUCHÝM TESTEM</t>
  </si>
  <si>
    <t>82087</t>
  </si>
  <si>
    <t>STANOVENÍ PROTILÁTEK AGLUTINACÍ</t>
  </si>
  <si>
    <t>82097</t>
  </si>
  <si>
    <t>STANOVENÍ PROTILÁTEK PROTI EBV A DALŠÍM VIRŮM (CMV</t>
  </si>
  <si>
    <t>82111</t>
  </si>
  <si>
    <t>PRŮKAZ PROTILÁTEK NEPŘÍMOU HEMAGLUTINACÍ NA NOSIČÍ</t>
  </si>
  <si>
    <t>82117</t>
  </si>
  <si>
    <t>PRŮKAZ ANTIGENU VIRU (MIMO VIRY HEPATITID), BAKTER</t>
  </si>
  <si>
    <t>82131</t>
  </si>
  <si>
    <t>IDENTIFIKACE BAKTERIÁLNÍHO KMENE V KULTUŘE (POMNOŽ</t>
  </si>
  <si>
    <t>82211</t>
  </si>
  <si>
    <t>KULTIVAČNÍ VYŠETŘENÍ NA MYKOBAKTERIA</t>
  </si>
  <si>
    <t>82221</t>
  </si>
  <si>
    <t>KULTIVAČNÍ VYŠETŘENÍ NA MYKOBAKTERIA RYCHLOU KULTI</t>
  </si>
  <si>
    <t>82231</t>
  </si>
  <si>
    <t>KULTIVAČNÍ VYŠETŘENÍ MYKOPLASMAT A L-FOREM BAKTÉRI</t>
  </si>
  <si>
    <t>84011</t>
  </si>
  <si>
    <t>STANDARDNÍ PARAZITOLOGICKÉ VYŠETŘENÍ STOLICE</t>
  </si>
  <si>
    <t>98111</t>
  </si>
  <si>
    <t>MYKOLOGICKÉ VYŠETŘENÍ KULTIVAČNÍ</t>
  </si>
  <si>
    <t>98117</t>
  </si>
  <si>
    <t>CÍLENÁ IDENTIFIKACE CANDIDA ALBICANS</t>
  </si>
  <si>
    <t>82065</t>
  </si>
  <si>
    <t>STANOVENÍ CITLIVOSTI NA ATB KVANTITATIVNÍ METODOU</t>
  </si>
  <si>
    <t>82003</t>
  </si>
  <si>
    <t>TELEFONICKÁ KONZULTACE K MIKROBIOLOGICKÉMU, PARAZI</t>
  </si>
  <si>
    <t>82025</t>
  </si>
  <si>
    <t>KULTIVAČNÍ VYŠETŘENÍ NA GO</t>
  </si>
  <si>
    <t>82069</t>
  </si>
  <si>
    <t>STANOVENÍ PRODUKCE BETA-LAKTAMÁZY</t>
  </si>
  <si>
    <t>82063</t>
  </si>
  <si>
    <t>STANOVENÍ CITLIVOSTI NA ATB KVALITATIVNÍ METODOU</t>
  </si>
  <si>
    <t>98119</t>
  </si>
  <si>
    <t>IDENTIFIKACE VLÁKNITÝCH HUB</t>
  </si>
  <si>
    <t>82083</t>
  </si>
  <si>
    <t>PRŮKAZ BAKTERIÁLNÍHO TOXINU NEBO ANTIGENU</t>
  </si>
  <si>
    <t>91419</t>
  </si>
  <si>
    <t xml:space="preserve">AUTOVAKCÍNA BAKTERIÁLNÍ PRO PERORÁLNÍ PODÁNÍ (4-6 </t>
  </si>
  <si>
    <t>82233</t>
  </si>
  <si>
    <t>IDENTIFIKACE MYKOPLASMAT</t>
  </si>
  <si>
    <t>82149</t>
  </si>
  <si>
    <t>SEROTYPIZACE STŘEVNÍCH A JINÝCH PATOGENŮ</t>
  </si>
  <si>
    <t>82036</t>
  </si>
  <si>
    <t>AMPLIFIKACE EXTRAHUMÁNNÍHO GENOMU METODOU MULTIPLE</t>
  </si>
  <si>
    <t>82034</t>
  </si>
  <si>
    <t>IZOLACE DNA PRO VYŠETŘENÍ EXTRAHUMÁNNÍHO GENOMU</t>
  </si>
  <si>
    <t>82040</t>
  </si>
  <si>
    <t>IZOLACE RNA A TRANSKRIPCE PRO VYŠETŘENÍ EXTRAHUMÁN</t>
  </si>
  <si>
    <t>82060</t>
  </si>
  <si>
    <t>ANALÝZA HMOTOVÉHO SPEKTRA</t>
  </si>
  <si>
    <t>82066</t>
  </si>
  <si>
    <t>STANOVENÍ CITLIVOSTI NA ATB E-TESTEM</t>
  </si>
  <si>
    <t>82051</t>
  </si>
  <si>
    <t>MIKROSKOPICKÉ VYŠETŘENÍ PO FLUORESCENČNÍM BARVENÍ</t>
  </si>
  <si>
    <t>82302</t>
  </si>
  <si>
    <t>DETEKCE NUKLEOVÉ KYSELINY SARS-COV-2 POMOCÍ METODY</t>
  </si>
  <si>
    <t>82301</t>
  </si>
  <si>
    <t>82038</t>
  </si>
  <si>
    <t>ANALÝZA EXTRAHUMÁNNÍHO GENOMU METODOU KVANTITATIVN</t>
  </si>
  <si>
    <t>41</t>
  </si>
  <si>
    <t>86213</t>
  </si>
  <si>
    <t>URČOVÁNÍ HLA ANTIGENŮ I. TŘÍDY - KOMBINOVANÝ SET</t>
  </si>
  <si>
    <t>86217</t>
  </si>
  <si>
    <t>URČOVÁNÍ HLA-B 27</t>
  </si>
  <si>
    <t>86323</t>
  </si>
  <si>
    <t>CROSS - MATCH DÁRCŮ JEDNODUCHÝ A PRODLOUŽENÝ</t>
  </si>
  <si>
    <t>86327</t>
  </si>
  <si>
    <t>CROSS MATCH S DTT</t>
  </si>
  <si>
    <t>86413</t>
  </si>
  <si>
    <t>SCREENING PROTILÁTEK NA PANELU 30TI DÁRCŮ</t>
  </si>
  <si>
    <t>91111</t>
  </si>
  <si>
    <t>STANOVENÍ IgG1</t>
  </si>
  <si>
    <t>91116</t>
  </si>
  <si>
    <t>STANOVENÍ IgG4</t>
  </si>
  <si>
    <t>91161</t>
  </si>
  <si>
    <t>STANOVENÍ C4 SLOŽKY KOMPLEMENTU</t>
  </si>
  <si>
    <t>91261</t>
  </si>
  <si>
    <t>STANOVENÍ ANTI ENA Ab ELISA</t>
  </si>
  <si>
    <t>91267</t>
  </si>
  <si>
    <t>STANOVENÍ ANTI Sm Ab ELISA</t>
  </si>
  <si>
    <t>91271</t>
  </si>
  <si>
    <t>STANOVENÍ ANTI Scl-70 Ab ELISA</t>
  </si>
  <si>
    <t>91277</t>
  </si>
  <si>
    <t>STANOVENÍ ANTI-MPO ELISA</t>
  </si>
  <si>
    <t>91285</t>
  </si>
  <si>
    <t>STANOVENÍ REVMATOIDNÍHO FAKTORU IgM ELISA</t>
  </si>
  <si>
    <t>91287</t>
  </si>
  <si>
    <t>STANOVENÍ REVMATOIDNÍHO FAKTORU IgG ELISA</t>
  </si>
  <si>
    <t>91317</t>
  </si>
  <si>
    <t>PRŮKAZ ANTINUKLEÁRNÍCH PROTILÁTEK IF</t>
  </si>
  <si>
    <t>91427</t>
  </si>
  <si>
    <t>IZOLACE MONONUKLEÁRŮ Z PERIFERNÍ KRVE GRADIENTOVOU</t>
  </si>
  <si>
    <t>91501</t>
  </si>
  <si>
    <t>STANOVENÍ HLADIN REVMATOIDNÍHO FAKTORU (RF) NEFELO</t>
  </si>
  <si>
    <t>91567</t>
  </si>
  <si>
    <t>IMUNOANALYTICKÉ STANOVENÍ AUTOPROTILÁTEK</t>
  </si>
  <si>
    <t>91323</t>
  </si>
  <si>
    <t>PRŮKAZ ANCA IF</t>
  </si>
  <si>
    <t>91355</t>
  </si>
  <si>
    <t>STANOVENÍ CIK METODOU PEG-IKEM</t>
  </si>
  <si>
    <t>22321</t>
  </si>
  <si>
    <t>URČENÍ SPECIFITY TROMBOCYTÁRNÍ PROTILÁTKY</t>
  </si>
  <si>
    <t>91189</t>
  </si>
  <si>
    <t>STANOVENÍ IgE</t>
  </si>
  <si>
    <t>91493</t>
  </si>
  <si>
    <t>IMUNOANALYTICKÉ STANOVENÍ AUTOPROTILÁTEK PROTI SPE</t>
  </si>
  <si>
    <t>91265</t>
  </si>
  <si>
    <t>STANOVENÍ ANTI SS-B/La Ab ELISA</t>
  </si>
  <si>
    <t>91263</t>
  </si>
  <si>
    <t>STANOVENÍ ANTI SS-A/Ro Ab ELISA</t>
  </si>
  <si>
    <t>91279</t>
  </si>
  <si>
    <t>STANOVENÍ ANTI-PR3 ELISA</t>
  </si>
  <si>
    <t>91253</t>
  </si>
  <si>
    <t>STANOVENÍ ANTI ds-DNA Ab ELISA</t>
  </si>
  <si>
    <t>91289</t>
  </si>
  <si>
    <t>STANOVENÍ REVMATOIDNÍHO FAKTORU IgA ELISA</t>
  </si>
  <si>
    <t>91115</t>
  </si>
  <si>
    <t>STANOVENÍ IgG3</t>
  </si>
  <si>
    <t>91159</t>
  </si>
  <si>
    <t>STANOVENÍ C3 SLOŽKY KOMPLEMENTU</t>
  </si>
  <si>
    <t>91489</t>
  </si>
  <si>
    <t>IMUNOANALYTICKÉ STANOVENÍ AUTOPROTILÁTEK PROTI LKM</t>
  </si>
  <si>
    <t>91269</t>
  </si>
  <si>
    <t>STANOVENÍ ANTI U1-RNP Ab ELISA</t>
  </si>
  <si>
    <t>91113</t>
  </si>
  <si>
    <t>STANOVENÍ IgG2</t>
  </si>
  <si>
    <t>86419</t>
  </si>
  <si>
    <t>ZMRAŽOVÁNÍ A UCHOVÁVÁNÍ LYMFOCYTŮ STUPŇOVITĚ</t>
  </si>
  <si>
    <t>86415</t>
  </si>
  <si>
    <t>SCREENING PROTILÁTEK NA PANELU 100 DÁRCŮ POMOCÍ DT</t>
  </si>
  <si>
    <t>91575</t>
  </si>
  <si>
    <t>STANOVENÍ TRYPTÁZY METODOU ENZYMOVÉ ANALÝZY EIA</t>
  </si>
  <si>
    <t>44</t>
  </si>
  <si>
    <t>816</t>
  </si>
  <si>
    <t>94225</t>
  </si>
  <si>
    <t>IZOLACE A BANKING LIDSKÝCH NUKLEOVÝCH KYSELIN (DNA</t>
  </si>
  <si>
    <t>94982</t>
  </si>
  <si>
    <t>(VZP) KOMPLEXNÍ MOLEKULÁRNÍ ANALÝZA 1 (NGS MENŠÍ R</t>
  </si>
  <si>
    <t>Zdravotní výkony (vybraných odborností) vyžádané pro pacienty hospitalizované na vlastním pracovišti - orientační přehled</t>
  </si>
  <si>
    <t>TISS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</si>
</sst>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4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67" formatCode="0.0%"/>
    <numFmt numFmtId="168" formatCode="0.0"/>
    <numFmt numFmtId="169" formatCode="#,##0,"/>
    <numFmt numFmtId="170" formatCode="#\ ##0"/>
    <numFmt numFmtId="171" formatCode="0.000"/>
    <numFmt numFmtId="172" formatCode="#.##0"/>
    <numFmt numFmtId="173" formatCode="#,##0;\-#,##0;"/>
    <numFmt numFmtId="174" formatCode="General;\-General;"/>
    <numFmt numFmtId="175" formatCode="#,##0%;\-#,##0%;"/>
    <numFmt numFmtId="176" formatCode="#,##0.0;\-#,##0.0;"/>
    <numFmt numFmtId="177" formatCode="#,##0.000"/>
  </numFmts>
  <fonts count="73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b/>
      <sz val="10"/>
      <color indexed="10"/>
      <name val="Calibri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u/>
      <sz val="10"/>
      <color rgb="FFFF0000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sz val="14"/>
      <name val="Arial"/>
      <family val="2"/>
      <charset val="238"/>
    </font>
    <font>
      <sz val="10"/>
      <name val="Arial CE"/>
      <family val="2"/>
      <charset val="238"/>
    </font>
    <font>
      <sz val="14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9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color theme="0"/>
      <name val="Calibri"/>
      <family val="2"/>
      <charset val="238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sz val="10"/>
      <color rgb="FF0000FF"/>
      <name val="Calibri"/>
      <family val="2"/>
      <charset val="238"/>
    </font>
    <font>
      <b/>
      <sz val="10"/>
      <color rgb="FFFF0000"/>
      <name val="Calibri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35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auto="1"/>
      </right>
      <top style="medium">
        <color theme="1"/>
      </top>
      <bottom style="medium">
        <color indexed="64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indexed="64"/>
      </left>
      <right style="medium">
        <color theme="1"/>
      </right>
      <top/>
      <bottom style="thin">
        <color indexed="64"/>
      </bottom>
      <diagonal/>
    </border>
    <border>
      <left/>
      <right/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thin">
        <color rgb="FFE4E4E4"/>
      </top>
      <bottom style="thin">
        <color rgb="FFE4E4E4"/>
      </bottom>
      <diagonal/>
    </border>
    <border>
      <left style="thin">
        <color auto="1"/>
      </left>
      <right style="thin">
        <color rgb="FFE4E4E4"/>
      </right>
      <top style="thin">
        <color rgb="FFE4E4E4"/>
      </top>
      <bottom style="thin">
        <color rgb="FFE4E4E4"/>
      </bottom>
      <diagonal/>
    </border>
    <border>
      <left style="thin">
        <color rgb="FFE4E4E4"/>
      </left>
      <right style="thin">
        <color rgb="FFE4E4E4"/>
      </right>
      <top style="thin">
        <color rgb="FFE4E4E4"/>
      </top>
      <bottom style="thin">
        <color rgb="FFE4E4E4"/>
      </bottom>
      <diagonal/>
    </border>
    <border>
      <left style="thin">
        <color rgb="FFE4E4E4"/>
      </left>
      <right/>
      <top style="thin">
        <color rgb="FFE4E4E4"/>
      </top>
      <bottom style="thin">
        <color rgb="FFE4E4E4"/>
      </bottom>
      <diagonal/>
    </border>
    <border>
      <left style="thin">
        <color rgb="FFE4E4E4"/>
      </left>
      <right style="thin">
        <color auto="1"/>
      </right>
      <top style="thin">
        <color rgb="FFE4E4E4"/>
      </top>
      <bottom style="thin">
        <color rgb="FFE4E4E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theme="1"/>
      </right>
      <top style="thin">
        <color indexed="64"/>
      </top>
      <bottom/>
      <diagonal/>
    </border>
  </borders>
  <cellStyleXfs count="99">
    <xf numFmtId="0" fontId="0" fillId="0" borderId="0"/>
    <xf numFmtId="0" fontId="27" fillId="0" borderId="0" applyNumberForma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26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23" fillId="0" borderId="0"/>
    <xf numFmtId="0" fontId="12" fillId="0" borderId="0"/>
    <xf numFmtId="0" fontId="13" fillId="0" borderId="0"/>
    <xf numFmtId="0" fontId="4" fillId="0" borderId="0"/>
    <xf numFmtId="0" fontId="12" fillId="0" borderId="0"/>
    <xf numFmtId="0" fontId="12" fillId="0" borderId="0"/>
    <xf numFmtId="0" fontId="4" fillId="0" borderId="0"/>
    <xf numFmtId="0" fontId="14" fillId="0" borderId="0"/>
    <xf numFmtId="0" fontId="12" fillId="0" borderId="0"/>
    <xf numFmtId="0" fontId="4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2" fillId="0" borderId="0"/>
    <xf numFmtId="0" fontId="24" fillId="0" borderId="0"/>
    <xf numFmtId="0" fontId="25" fillId="0" borderId="0"/>
    <xf numFmtId="0" fontId="28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6" fillId="0" borderId="0"/>
    <xf numFmtId="0" fontId="26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6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26" fillId="0" borderId="0"/>
  </cellStyleXfs>
  <cellXfs count="903">
    <xf numFmtId="0" fontId="0" fillId="0" borderId="0" xfId="0"/>
    <xf numFmtId="0" fontId="29" fillId="2" borderId="20" xfId="81" applyFont="1" applyFill="1" applyBorder="1"/>
    <xf numFmtId="0" fontId="30" fillId="2" borderId="21" xfId="81" applyFont="1" applyFill="1" applyBorder="1"/>
    <xf numFmtId="3" fontId="30" fillId="2" borderId="22" xfId="81" applyNumberFormat="1" applyFont="1" applyFill="1" applyBorder="1"/>
    <xf numFmtId="0" fontId="30" fillId="4" borderId="21" xfId="81" applyFont="1" applyFill="1" applyBorder="1"/>
    <xf numFmtId="3" fontId="31" fillId="0" borderId="10" xfId="26" applyNumberFormat="1" applyFont="1" applyFill="1" applyBorder="1" applyAlignment="1">
      <alignment horizontal="center"/>
    </xf>
    <xf numFmtId="3" fontId="31" fillId="0" borderId="12" xfId="26" applyNumberFormat="1" applyFont="1" applyFill="1" applyBorder="1" applyAlignment="1">
      <alignment horizontal="center"/>
    </xf>
    <xf numFmtId="3" fontId="31" fillId="0" borderId="27" xfId="26" applyNumberFormat="1" applyFont="1" applyFill="1" applyBorder="1" applyAlignment="1">
      <alignment horizontal="center"/>
    </xf>
    <xf numFmtId="3" fontId="31" fillId="0" borderId="28" xfId="26" applyNumberFormat="1" applyFont="1" applyFill="1" applyBorder="1" applyAlignment="1">
      <alignment horizontal="center"/>
    </xf>
    <xf numFmtId="3" fontId="30" fillId="4" borderId="22" xfId="81" applyNumberFormat="1" applyFont="1" applyFill="1" applyBorder="1"/>
    <xf numFmtId="171" fontId="30" fillId="3" borderId="22" xfId="81" applyNumberFormat="1" applyFont="1" applyFill="1" applyBorder="1"/>
    <xf numFmtId="0" fontId="31" fillId="5" borderId="0" xfId="74" applyFont="1" applyFill="1"/>
    <xf numFmtId="0" fontId="34" fillId="5" borderId="0" xfId="74" applyFont="1" applyFill="1"/>
    <xf numFmtId="3" fontId="29" fillId="5" borderId="27" xfId="81" applyNumberFormat="1" applyFont="1" applyFill="1" applyBorder="1"/>
    <xf numFmtId="3" fontId="29" fillId="5" borderId="10" xfId="81" applyNumberFormat="1" applyFont="1" applyFill="1" applyBorder="1"/>
    <xf numFmtId="3" fontId="29" fillId="5" borderId="14" xfId="81" applyNumberFormat="1" applyFont="1" applyFill="1" applyBorder="1"/>
    <xf numFmtId="0" fontId="29" fillId="5" borderId="0" xfId="81" applyFont="1" applyFill="1"/>
    <xf numFmtId="10" fontId="29" fillId="5" borderId="0" xfId="81" applyNumberFormat="1" applyFont="1" applyFill="1"/>
    <xf numFmtId="0" fontId="39" fillId="2" borderId="36" xfId="0" applyFont="1" applyFill="1" applyBorder="1" applyAlignment="1">
      <alignment vertical="top"/>
    </xf>
    <xf numFmtId="0" fontId="39" fillId="2" borderId="37" xfId="0" applyFont="1" applyFill="1" applyBorder="1" applyAlignment="1">
      <alignment vertical="top"/>
    </xf>
    <xf numFmtId="0" fontId="36" fillId="2" borderId="37" xfId="0" applyFont="1" applyFill="1" applyBorder="1" applyAlignment="1">
      <alignment vertical="top"/>
    </xf>
    <xf numFmtId="0" fontId="40" fillId="2" borderId="37" xfId="0" applyFont="1" applyFill="1" applyBorder="1" applyAlignment="1">
      <alignment vertical="top"/>
    </xf>
    <xf numFmtId="0" fontId="38" fillId="2" borderId="37" xfId="0" applyFont="1" applyFill="1" applyBorder="1" applyAlignment="1">
      <alignment vertical="top"/>
    </xf>
    <xf numFmtId="0" fontId="36" fillId="2" borderId="38" xfId="0" applyFont="1" applyFill="1" applyBorder="1" applyAlignment="1">
      <alignment vertical="top"/>
    </xf>
    <xf numFmtId="0" fontId="39" fillId="2" borderId="10" xfId="0" applyFont="1" applyFill="1" applyBorder="1" applyAlignment="1">
      <alignment horizontal="center" vertical="center"/>
    </xf>
    <xf numFmtId="0" fontId="39" fillId="2" borderId="24" xfId="0" applyFont="1" applyFill="1" applyBorder="1" applyAlignment="1">
      <alignment horizontal="center" vertical="center"/>
    </xf>
    <xf numFmtId="0" fontId="39" fillId="2" borderId="26" xfId="0" applyFont="1" applyFill="1" applyBorder="1" applyAlignment="1">
      <alignment horizontal="center" vertical="center"/>
    </xf>
    <xf numFmtId="0" fontId="39" fillId="2" borderId="25" xfId="0" applyFont="1" applyFill="1" applyBorder="1" applyAlignment="1">
      <alignment horizontal="center" vertical="center"/>
    </xf>
    <xf numFmtId="0" fontId="40" fillId="2" borderId="24" xfId="0" applyFont="1" applyFill="1" applyBorder="1" applyAlignment="1">
      <alignment horizontal="center" vertical="center" wrapText="1"/>
    </xf>
    <xf numFmtId="0" fontId="40" fillId="2" borderId="26" xfId="0" applyFont="1" applyFill="1" applyBorder="1" applyAlignment="1">
      <alignment horizontal="center" vertical="center" wrapText="1"/>
    </xf>
    <xf numFmtId="0" fontId="38" fillId="2" borderId="26" xfId="0" applyFont="1" applyFill="1" applyBorder="1" applyAlignment="1">
      <alignment horizontal="center" vertical="center" wrapText="1"/>
    </xf>
    <xf numFmtId="3" fontId="29" fillId="5" borderId="5" xfId="81" applyNumberFormat="1" applyFont="1" applyFill="1" applyBorder="1"/>
    <xf numFmtId="3" fontId="29" fillId="5" borderId="32" xfId="81" applyNumberFormat="1" applyFont="1" applyFill="1" applyBorder="1"/>
    <xf numFmtId="3" fontId="29" fillId="5" borderId="28" xfId="81" applyNumberFormat="1" applyFont="1" applyFill="1" applyBorder="1"/>
    <xf numFmtId="3" fontId="29" fillId="5" borderId="11" xfId="81" applyNumberFormat="1" applyFont="1" applyFill="1" applyBorder="1"/>
    <xf numFmtId="3" fontId="29" fillId="5" borderId="12" xfId="81" applyNumberFormat="1" applyFont="1" applyFill="1" applyBorder="1"/>
    <xf numFmtId="3" fontId="29" fillId="5" borderId="15" xfId="81" applyNumberFormat="1" applyFont="1" applyFill="1" applyBorder="1"/>
    <xf numFmtId="3" fontId="29" fillId="5" borderId="16" xfId="81" applyNumberFormat="1" applyFont="1" applyFill="1" applyBorder="1"/>
    <xf numFmtId="3" fontId="30" fillId="2" borderId="30" xfId="81" applyNumberFormat="1" applyFont="1" applyFill="1" applyBorder="1"/>
    <xf numFmtId="3" fontId="30" fillId="2" borderId="23" xfId="81" applyNumberFormat="1" applyFont="1" applyFill="1" applyBorder="1"/>
    <xf numFmtId="3" fontId="30" fillId="4" borderId="30" xfId="81" applyNumberFormat="1" applyFont="1" applyFill="1" applyBorder="1"/>
    <xf numFmtId="3" fontId="30" fillId="4" borderId="23" xfId="81" applyNumberFormat="1" applyFont="1" applyFill="1" applyBorder="1"/>
    <xf numFmtId="171" fontId="30" fillId="3" borderId="30" xfId="81" applyNumberFormat="1" applyFont="1" applyFill="1" applyBorder="1"/>
    <xf numFmtId="171" fontId="30" fillId="3" borderId="23" xfId="81" applyNumberFormat="1" applyFont="1" applyFill="1" applyBorder="1"/>
    <xf numFmtId="0" fontId="33" fillId="2" borderId="28" xfId="81" applyFont="1" applyFill="1" applyBorder="1" applyAlignment="1">
      <alignment horizontal="center"/>
    </xf>
    <xf numFmtId="0" fontId="41" fillId="0" borderId="2" xfId="0" applyFont="1" applyFill="1" applyBorder="1"/>
    <xf numFmtId="0" fontId="41" fillId="0" borderId="3" xfId="0" applyFont="1" applyFill="1" applyBorder="1"/>
    <xf numFmtId="3" fontId="30" fillId="0" borderId="30" xfId="78" applyNumberFormat="1" applyFont="1" applyFill="1" applyBorder="1" applyAlignment="1">
      <alignment horizontal="right"/>
    </xf>
    <xf numFmtId="9" fontId="30" fillId="0" borderId="30" xfId="78" applyNumberFormat="1" applyFont="1" applyFill="1" applyBorder="1" applyAlignment="1">
      <alignment horizontal="right"/>
    </xf>
    <xf numFmtId="3" fontId="30" fillId="0" borderId="23" xfId="78" applyNumberFormat="1" applyFont="1" applyFill="1" applyBorder="1" applyAlignment="1">
      <alignment horizontal="right"/>
    </xf>
    <xf numFmtId="0" fontId="34" fillId="0" borderId="40" xfId="0" applyFont="1" applyFill="1" applyBorder="1" applyAlignment="1"/>
    <xf numFmtId="0" fontId="43" fillId="0" borderId="0" xfId="0" applyFont="1" applyFill="1" applyBorder="1" applyAlignment="1"/>
    <xf numFmtId="3" fontId="35" fillId="0" borderId="8" xfId="0" applyNumberFormat="1" applyFont="1" applyFill="1" applyBorder="1" applyAlignment="1">
      <alignment horizontal="right" vertical="top"/>
    </xf>
    <xf numFmtId="3" fontId="35" fillId="0" borderId="6" xfId="0" applyNumberFormat="1" applyFont="1" applyFill="1" applyBorder="1" applyAlignment="1">
      <alignment horizontal="right" vertical="top"/>
    </xf>
    <xf numFmtId="3" fontId="36" fillId="0" borderId="6" xfId="0" applyNumberFormat="1" applyFont="1" applyFill="1" applyBorder="1" applyAlignment="1">
      <alignment horizontal="right" vertical="top"/>
    </xf>
    <xf numFmtId="3" fontId="35" fillId="0" borderId="13" xfId="0" applyNumberFormat="1" applyFont="1" applyFill="1" applyBorder="1" applyAlignment="1">
      <alignment horizontal="right" vertical="top"/>
    </xf>
    <xf numFmtId="3" fontId="35" fillId="0" borderId="11" xfId="0" applyNumberFormat="1" applyFont="1" applyFill="1" applyBorder="1" applyAlignment="1">
      <alignment horizontal="right" vertical="top"/>
    </xf>
    <xf numFmtId="3" fontId="36" fillId="0" borderId="11" xfId="0" applyNumberFormat="1" applyFont="1" applyFill="1" applyBorder="1" applyAlignment="1">
      <alignment horizontal="right" vertical="top"/>
    </xf>
    <xf numFmtId="3" fontId="37" fillId="0" borderId="13" xfId="0" applyNumberFormat="1" applyFont="1" applyFill="1" applyBorder="1" applyAlignment="1">
      <alignment horizontal="right" vertical="top"/>
    </xf>
    <xf numFmtId="3" fontId="37" fillId="0" borderId="11" xfId="0" applyNumberFormat="1" applyFont="1" applyFill="1" applyBorder="1" applyAlignment="1">
      <alignment horizontal="right" vertical="top"/>
    </xf>
    <xf numFmtId="3" fontId="38" fillId="0" borderId="11" xfId="0" applyNumberFormat="1" applyFont="1" applyFill="1" applyBorder="1" applyAlignment="1">
      <alignment horizontal="right" vertical="top"/>
    </xf>
    <xf numFmtId="3" fontId="35" fillId="0" borderId="35" xfId="0" applyNumberFormat="1" applyFont="1" applyFill="1" applyBorder="1" applyAlignment="1">
      <alignment horizontal="right" vertical="top"/>
    </xf>
    <xf numFmtId="3" fontId="35" fillId="0" borderId="26" xfId="0" applyNumberFormat="1" applyFont="1" applyFill="1" applyBorder="1" applyAlignment="1">
      <alignment horizontal="right" vertical="top"/>
    </xf>
    <xf numFmtId="3" fontId="36" fillId="0" borderId="26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0" xfId="82" applyFont="1" applyFill="1" applyBorder="1" applyAlignment="1"/>
    <xf numFmtId="0" fontId="31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164" fontId="3" fillId="0" borderId="64" xfId="53" applyNumberFormat="1" applyFont="1" applyFill="1" applyBorder="1"/>
    <xf numFmtId="9" fontId="3" fillId="0" borderId="64" xfId="53" applyNumberFormat="1" applyFont="1" applyFill="1" applyBorder="1"/>
    <xf numFmtId="3" fontId="31" fillId="0" borderId="0" xfId="26" applyNumberFormat="1" applyFont="1" applyFill="1" applyBorder="1"/>
    <xf numFmtId="0" fontId="31" fillId="0" borderId="0" xfId="26" applyFont="1" applyFill="1"/>
    <xf numFmtId="0" fontId="31" fillId="0" borderId="48" xfId="26" applyFont="1" applyFill="1" applyBorder="1" applyAlignment="1"/>
    <xf numFmtId="3" fontId="32" fillId="0" borderId="0" xfId="26" applyNumberFormat="1" applyFont="1" applyFill="1" applyBorder="1" applyAlignment="1">
      <alignment horizontal="center" vertical="center"/>
    </xf>
    <xf numFmtId="170" fontId="31" fillId="0" borderId="27" xfId="26" applyNumberFormat="1" applyFont="1" applyFill="1" applyBorder="1"/>
    <xf numFmtId="9" fontId="31" fillId="0" borderId="28" xfId="26" applyNumberFormat="1" applyFont="1" applyFill="1" applyBorder="1"/>
    <xf numFmtId="170" fontId="31" fillId="0" borderId="45" xfId="26" applyNumberFormat="1" applyFont="1" applyFill="1" applyBorder="1"/>
    <xf numFmtId="170" fontId="31" fillId="0" borderId="10" xfId="26" applyNumberFormat="1" applyFont="1" applyFill="1" applyBorder="1"/>
    <xf numFmtId="9" fontId="31" fillId="0" borderId="12" xfId="26" applyNumberFormat="1" applyFont="1" applyFill="1" applyBorder="1"/>
    <xf numFmtId="170" fontId="31" fillId="0" borderId="39" xfId="26" applyNumberFormat="1" applyFont="1" applyFill="1" applyBorder="1"/>
    <xf numFmtId="170" fontId="31" fillId="0" borderId="24" xfId="26" applyNumberFormat="1" applyFont="1" applyFill="1" applyBorder="1"/>
    <xf numFmtId="9" fontId="31" fillId="0" borderId="25" xfId="26" applyNumberFormat="1" applyFont="1" applyFill="1" applyBorder="1"/>
    <xf numFmtId="170" fontId="31" fillId="0" borderId="47" xfId="26" applyNumberFormat="1" applyFont="1" applyFill="1" applyBorder="1"/>
    <xf numFmtId="0" fontId="5" fillId="0" borderId="0" xfId="26" applyFont="1" applyFill="1"/>
    <xf numFmtId="0" fontId="3" fillId="0" borderId="0" xfId="26" applyFont="1" applyFill="1" applyAlignment="1">
      <alignment horizontal="left" vertical="top"/>
    </xf>
    <xf numFmtId="0" fontId="5" fillId="0" borderId="0" xfId="26" applyFont="1" applyFill="1" applyAlignment="1">
      <alignment horizontal="left" vertical="top"/>
    </xf>
    <xf numFmtId="49" fontId="3" fillId="0" borderId="0" xfId="26" applyNumberFormat="1" applyFont="1" applyFill="1" applyAlignment="1">
      <alignment horizontal="center"/>
    </xf>
    <xf numFmtId="3" fontId="5" fillId="0" borderId="0" xfId="26" applyNumberFormat="1" applyFont="1" applyFill="1"/>
    <xf numFmtId="166" fontId="5" fillId="0" borderId="0" xfId="26" applyNumberFormat="1" applyFont="1" applyFill="1"/>
    <xf numFmtId="168" fontId="5" fillId="0" borderId="0" xfId="26" applyNumberFormat="1" applyFont="1" applyFill="1" applyAlignment="1">
      <alignment horizontal="right"/>
    </xf>
    <xf numFmtId="9" fontId="5" fillId="0" borderId="0" xfId="26" applyNumberFormat="1" applyFont="1" applyFill="1"/>
    <xf numFmtId="0" fontId="34" fillId="0" borderId="33" xfId="0" applyFont="1" applyFill="1" applyBorder="1" applyAlignment="1"/>
    <xf numFmtId="0" fontId="34" fillId="0" borderId="34" xfId="0" applyFont="1" applyFill="1" applyBorder="1" applyAlignment="1"/>
    <xf numFmtId="0" fontId="34" fillId="0" borderId="59" xfId="0" applyFont="1" applyFill="1" applyBorder="1" applyAlignment="1"/>
    <xf numFmtId="0" fontId="30" fillId="2" borderId="29" xfId="78" applyFont="1" applyFill="1" applyBorder="1" applyAlignment="1">
      <alignment horizontal="right"/>
    </xf>
    <xf numFmtId="3" fontId="30" fillId="2" borderId="58" xfId="78" applyNumberFormat="1" applyFont="1" applyFill="1" applyBorder="1"/>
    <xf numFmtId="0" fontId="3" fillId="2" borderId="62" xfId="53" applyFont="1" applyFill="1" applyBorder="1" applyAlignment="1">
      <alignment horizontal="right"/>
    </xf>
    <xf numFmtId="3" fontId="31" fillId="7" borderId="11" xfId="26" applyNumberFormat="1" applyFont="1" applyFill="1" applyBorder="1"/>
    <xf numFmtId="3" fontId="31" fillId="7" borderId="6" xfId="26" applyNumberFormat="1" applyFont="1" applyFill="1" applyBorder="1"/>
    <xf numFmtId="3" fontId="33" fillId="2" borderId="22" xfId="26" applyNumberFormat="1" applyFont="1" applyFill="1" applyBorder="1"/>
    <xf numFmtId="3" fontId="33" fillId="2" borderId="30" xfId="26" applyNumberFormat="1" applyFont="1" applyFill="1" applyBorder="1"/>
    <xf numFmtId="3" fontId="33" fillId="2" borderId="21" xfId="26" applyNumberFormat="1" applyFont="1" applyFill="1" applyBorder="1"/>
    <xf numFmtId="3" fontId="33" fillId="4" borderId="22" xfId="26" applyNumberFormat="1" applyFont="1" applyFill="1" applyBorder="1"/>
    <xf numFmtId="3" fontId="31" fillId="7" borderId="5" xfId="26" applyNumberFormat="1" applyFont="1" applyFill="1" applyBorder="1"/>
    <xf numFmtId="3" fontId="31" fillId="7" borderId="10" xfId="26" applyNumberFormat="1" applyFont="1" applyFill="1" applyBorder="1"/>
    <xf numFmtId="3" fontId="31" fillId="5" borderId="0" xfId="26" applyNumberFormat="1" applyFont="1" applyFill="1" applyBorder="1"/>
    <xf numFmtId="3" fontId="48" fillId="5" borderId="0" xfId="26" applyNumberFormat="1" applyFont="1" applyFill="1" applyBorder="1"/>
    <xf numFmtId="167" fontId="31" fillId="5" borderId="0" xfId="26" applyNumberFormat="1" applyFont="1" applyFill="1" applyBorder="1"/>
    <xf numFmtId="0" fontId="33" fillId="2" borderId="1" xfId="26" applyNumberFormat="1" applyFont="1" applyFill="1" applyBorder="1" applyAlignment="1">
      <alignment horizontal="center"/>
    </xf>
    <xf numFmtId="0" fontId="33" fillId="2" borderId="2" xfId="26" applyNumberFormat="1" applyFont="1" applyFill="1" applyBorder="1" applyAlignment="1">
      <alignment horizontal="center"/>
    </xf>
    <xf numFmtId="167" fontId="33" fillId="2" borderId="3" xfId="26" applyNumberFormat="1" applyFont="1" applyFill="1" applyBorder="1" applyAlignment="1">
      <alignment horizontal="center"/>
    </xf>
    <xf numFmtId="3" fontId="33" fillId="2" borderId="22" xfId="26" applyNumberFormat="1" applyFont="1" applyFill="1" applyBorder="1" applyAlignment="1">
      <alignment horizontal="center"/>
    </xf>
    <xf numFmtId="167" fontId="33" fillId="2" borderId="23" xfId="26" applyNumberFormat="1" applyFont="1" applyFill="1" applyBorder="1" applyAlignment="1">
      <alignment horizontal="center"/>
    </xf>
    <xf numFmtId="167" fontId="33" fillId="7" borderId="7" xfId="86" applyNumberFormat="1" applyFont="1" applyFill="1" applyBorder="1" applyAlignment="1">
      <alignment horizontal="right"/>
    </xf>
    <xf numFmtId="3" fontId="31" fillId="7" borderId="8" xfId="26" applyNumberFormat="1" applyFont="1" applyFill="1" applyBorder="1"/>
    <xf numFmtId="167" fontId="33" fillId="7" borderId="7" xfId="86" applyNumberFormat="1" applyFont="1" applyFill="1" applyBorder="1"/>
    <xf numFmtId="167" fontId="33" fillId="7" borderId="12" xfId="86" applyNumberFormat="1" applyFont="1" applyFill="1" applyBorder="1" applyAlignment="1">
      <alignment horizontal="right"/>
    </xf>
    <xf numFmtId="3" fontId="31" fillId="7" borderId="13" xfId="26" applyNumberFormat="1" applyFont="1" applyFill="1" applyBorder="1"/>
    <xf numFmtId="167" fontId="33" fillId="7" borderId="12" xfId="86" applyNumberFormat="1" applyFont="1" applyFill="1" applyBorder="1"/>
    <xf numFmtId="167" fontId="33" fillId="2" borderId="23" xfId="86" applyNumberFormat="1" applyFont="1" applyFill="1" applyBorder="1" applyAlignment="1">
      <alignment horizontal="right"/>
    </xf>
    <xf numFmtId="3" fontId="33" fillId="2" borderId="31" xfId="26" applyNumberFormat="1" applyFont="1" applyFill="1" applyBorder="1"/>
    <xf numFmtId="167" fontId="33" fillId="2" borderId="23" xfId="86" applyNumberFormat="1" applyFont="1" applyFill="1" applyBorder="1"/>
    <xf numFmtId="3" fontId="33" fillId="2" borderId="23" xfId="26" applyNumberFormat="1" applyFont="1" applyFill="1" applyBorder="1" applyAlignment="1">
      <alignment horizontal="center"/>
    </xf>
    <xf numFmtId="3" fontId="33" fillId="7" borderId="0" xfId="26" applyNumberFormat="1" applyFont="1" applyFill="1" applyBorder="1" applyAlignment="1">
      <alignment horizontal="left"/>
    </xf>
    <xf numFmtId="0" fontId="33" fillId="3" borderId="1" xfId="26" applyNumberFormat="1" applyFont="1" applyFill="1" applyBorder="1" applyAlignment="1">
      <alignment horizontal="center"/>
    </xf>
    <xf numFmtId="0" fontId="33" fillId="3" borderId="2" xfId="26" applyNumberFormat="1" applyFont="1" applyFill="1" applyBorder="1" applyAlignment="1">
      <alignment horizontal="center"/>
    </xf>
    <xf numFmtId="167" fontId="33" fillId="3" borderId="3" xfId="26" applyNumberFormat="1" applyFont="1" applyFill="1" applyBorder="1" applyAlignment="1">
      <alignment horizontal="center"/>
    </xf>
    <xf numFmtId="3" fontId="33" fillId="3" borderId="22" xfId="26" applyNumberFormat="1" applyFont="1" applyFill="1" applyBorder="1" applyAlignment="1">
      <alignment horizontal="center"/>
    </xf>
    <xf numFmtId="167" fontId="33" fillId="3" borderId="23" xfId="26" applyNumberFormat="1" applyFont="1" applyFill="1" applyBorder="1" applyAlignment="1">
      <alignment horizontal="center"/>
    </xf>
    <xf numFmtId="3" fontId="31" fillId="7" borderId="27" xfId="26" applyNumberFormat="1" applyFont="1" applyFill="1" applyBorder="1" applyAlignment="1">
      <alignment horizontal="center"/>
    </xf>
    <xf numFmtId="3" fontId="31" fillId="7" borderId="28" xfId="26" applyNumberFormat="1" applyFont="1" applyFill="1" applyBorder="1" applyAlignment="1">
      <alignment horizontal="center"/>
    </xf>
    <xf numFmtId="3" fontId="31" fillId="7" borderId="10" xfId="26" applyNumberFormat="1" applyFont="1" applyFill="1" applyBorder="1" applyAlignment="1">
      <alignment horizontal="center"/>
    </xf>
    <xf numFmtId="3" fontId="31" fillId="7" borderId="12" xfId="26" applyNumberFormat="1" applyFont="1" applyFill="1" applyBorder="1" applyAlignment="1">
      <alignment horizontal="center"/>
    </xf>
    <xf numFmtId="3" fontId="33" fillId="3" borderId="22" xfId="26" applyNumberFormat="1" applyFont="1" applyFill="1" applyBorder="1"/>
    <xf numFmtId="3" fontId="33" fillId="3" borderId="30" xfId="26" applyNumberFormat="1" applyFont="1" applyFill="1" applyBorder="1"/>
    <xf numFmtId="167" fontId="33" fillId="3" borderId="23" xfId="86" applyNumberFormat="1" applyFont="1" applyFill="1" applyBorder="1" applyAlignment="1">
      <alignment horizontal="right"/>
    </xf>
    <xf numFmtId="167" fontId="33" fillId="3" borderId="23" xfId="86" applyNumberFormat="1" applyFont="1" applyFill="1" applyBorder="1"/>
    <xf numFmtId="3" fontId="33" fillId="3" borderId="23" xfId="26" applyNumberFormat="1" applyFont="1" applyFill="1" applyBorder="1" applyAlignment="1">
      <alignment horizontal="center"/>
    </xf>
    <xf numFmtId="3" fontId="33" fillId="7" borderId="0" xfId="26" applyNumberFormat="1" applyFont="1" applyFill="1" applyBorder="1"/>
    <xf numFmtId="3" fontId="31" fillId="7" borderId="0" xfId="26" applyNumberFormat="1" applyFont="1" applyFill="1" applyBorder="1"/>
    <xf numFmtId="167" fontId="31" fillId="7" borderId="0" xfId="26" applyNumberFormat="1" applyFont="1" applyFill="1" applyBorder="1"/>
    <xf numFmtId="0" fontId="33" fillId="4" borderId="1" xfId="26" applyNumberFormat="1" applyFont="1" applyFill="1" applyBorder="1" applyAlignment="1">
      <alignment horizontal="center"/>
    </xf>
    <xf numFmtId="0" fontId="33" fillId="4" borderId="2" xfId="26" applyNumberFormat="1" applyFont="1" applyFill="1" applyBorder="1" applyAlignment="1">
      <alignment horizontal="center"/>
    </xf>
    <xf numFmtId="167" fontId="33" fillId="4" borderId="3" xfId="26" applyNumberFormat="1" applyFont="1" applyFill="1" applyBorder="1" applyAlignment="1">
      <alignment horizontal="center"/>
    </xf>
    <xf numFmtId="3" fontId="33" fillId="4" borderId="22" xfId="26" applyNumberFormat="1" applyFont="1" applyFill="1" applyBorder="1" applyAlignment="1">
      <alignment horizontal="center"/>
    </xf>
    <xf numFmtId="167" fontId="33" fillId="4" borderId="23" xfId="26" applyNumberFormat="1" applyFont="1" applyFill="1" applyBorder="1" applyAlignment="1">
      <alignment horizontal="center"/>
    </xf>
    <xf numFmtId="3" fontId="33" fillId="4" borderId="30" xfId="26" applyNumberFormat="1" applyFont="1" applyFill="1" applyBorder="1"/>
    <xf numFmtId="167" fontId="33" fillId="4" borderId="23" xfId="86" applyNumberFormat="1" applyFont="1" applyFill="1" applyBorder="1" applyAlignment="1">
      <alignment horizontal="right"/>
    </xf>
    <xf numFmtId="3" fontId="33" fillId="4" borderId="31" xfId="26" applyNumberFormat="1" applyFont="1" applyFill="1" applyBorder="1"/>
    <xf numFmtId="167" fontId="33" fillId="4" borderId="23" xfId="86" applyNumberFormat="1" applyFont="1" applyFill="1" applyBorder="1"/>
    <xf numFmtId="3" fontId="33" fillId="4" borderId="23" xfId="26" applyNumberFormat="1" applyFont="1" applyFill="1" applyBorder="1" applyAlignment="1">
      <alignment horizontal="center"/>
    </xf>
    <xf numFmtId="9" fontId="3" fillId="2" borderId="33" xfId="27" applyNumberFormat="1" applyFont="1" applyFill="1" applyBorder="1" applyAlignment="1">
      <alignment horizontal="center" vertical="center" wrapText="1"/>
    </xf>
    <xf numFmtId="3" fontId="3" fillId="2" borderId="1" xfId="27" applyNumberFormat="1" applyFont="1" applyFill="1" applyBorder="1" applyAlignment="1">
      <alignment horizontal="center" vertical="center" wrapText="1"/>
    </xf>
    <xf numFmtId="3" fontId="3" fillId="2" borderId="2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/>
    </xf>
    <xf numFmtId="170" fontId="33" fillId="2" borderId="44" xfId="26" quotePrefix="1" applyNumberFormat="1" applyFont="1" applyFill="1" applyBorder="1" applyAlignment="1">
      <alignment horizontal="center"/>
    </xf>
    <xf numFmtId="170" fontId="33" fillId="2" borderId="9" xfId="26" quotePrefix="1" applyNumberFormat="1" applyFont="1" applyFill="1" applyBorder="1" applyAlignment="1">
      <alignment horizontal="center"/>
    </xf>
    <xf numFmtId="170" fontId="33" fillId="2" borderId="46" xfId="26" quotePrefix="1" applyNumberFormat="1" applyFont="1" applyFill="1" applyBorder="1" applyAlignment="1">
      <alignment horizontal="center"/>
    </xf>
    <xf numFmtId="0" fontId="31" fillId="2" borderId="33" xfId="26" applyFont="1" applyFill="1" applyBorder="1"/>
    <xf numFmtId="0" fontId="3" fillId="2" borderId="59" xfId="33" applyFont="1" applyFill="1" applyBorder="1" applyAlignment="1">
      <alignment horizontal="center" vertical="center"/>
    </xf>
    <xf numFmtId="9" fontId="3" fillId="0" borderId="63" xfId="53" applyNumberFormat="1" applyFont="1" applyFill="1" applyBorder="1"/>
    <xf numFmtId="0" fontId="34" fillId="0" borderId="28" xfId="0" applyFont="1" applyBorder="1" applyAlignment="1"/>
    <xf numFmtId="0" fontId="34" fillId="5" borderId="7" xfId="0" applyFont="1" applyFill="1" applyBorder="1"/>
    <xf numFmtId="0" fontId="34" fillId="5" borderId="12" xfId="0" applyFont="1" applyFill="1" applyBorder="1"/>
    <xf numFmtId="0" fontId="34" fillId="5" borderId="25" xfId="0" applyFont="1" applyFill="1" applyBorder="1"/>
    <xf numFmtId="0" fontId="34" fillId="5" borderId="40" xfId="0" applyFont="1" applyFill="1" applyBorder="1"/>
    <xf numFmtId="0" fontId="34" fillId="5" borderId="48" xfId="0" applyFont="1" applyFill="1" applyBorder="1"/>
    <xf numFmtId="9" fontId="36" fillId="0" borderId="7" xfId="0" applyNumberFormat="1" applyFont="1" applyFill="1" applyBorder="1" applyAlignment="1">
      <alignment horizontal="right" vertical="top"/>
    </xf>
    <xf numFmtId="9" fontId="36" fillId="0" borderId="12" xfId="0" applyNumberFormat="1" applyFont="1" applyFill="1" applyBorder="1" applyAlignment="1">
      <alignment horizontal="right" vertical="top"/>
    </xf>
    <xf numFmtId="9" fontId="38" fillId="0" borderId="12" xfId="0" applyNumberFormat="1" applyFont="1" applyFill="1" applyBorder="1" applyAlignment="1">
      <alignment horizontal="right" vertical="top"/>
    </xf>
    <xf numFmtId="9" fontId="36" fillId="0" borderId="25" xfId="0" applyNumberFormat="1" applyFont="1" applyFill="1" applyBorder="1" applyAlignment="1">
      <alignment horizontal="right" vertical="top"/>
    </xf>
    <xf numFmtId="0" fontId="31" fillId="0" borderId="0" xfId="76" applyFont="1" applyFill="1"/>
    <xf numFmtId="0" fontId="31" fillId="0" borderId="0" xfId="26" applyFont="1" applyFill="1" applyBorder="1" applyAlignment="1"/>
    <xf numFmtId="0" fontId="31" fillId="0" borderId="2" xfId="76" applyFont="1" applyFill="1" applyBorder="1" applyAlignment="1"/>
    <xf numFmtId="0" fontId="33" fillId="2" borderId="62" xfId="53" applyFont="1" applyFill="1" applyBorder="1" applyAlignment="1">
      <alignment horizontal="right"/>
    </xf>
    <xf numFmtId="164" fontId="33" fillId="0" borderId="67" xfId="53" applyNumberFormat="1" applyFont="1" applyFill="1" applyBorder="1"/>
    <xf numFmtId="164" fontId="33" fillId="0" borderId="68" xfId="53" applyNumberFormat="1" applyFont="1" applyFill="1" applyBorder="1"/>
    <xf numFmtId="9" fontId="33" fillId="0" borderId="69" xfId="83" applyNumberFormat="1" applyFont="1" applyFill="1" applyBorder="1"/>
    <xf numFmtId="3" fontId="33" fillId="0" borderId="69" xfId="83" applyNumberFormat="1" applyFont="1" applyFill="1" applyBorder="1"/>
    <xf numFmtId="3" fontId="31" fillId="0" borderId="0" xfId="76" applyNumberFormat="1" applyFont="1" applyFill="1"/>
    <xf numFmtId="9" fontId="31" fillId="0" borderId="0" xfId="76" applyNumberFormat="1" applyFont="1" applyFill="1"/>
    <xf numFmtId="0" fontId="31" fillId="0" borderId="48" xfId="26" applyFont="1" applyFill="1" applyBorder="1" applyAlignment="1">
      <alignment horizontal="right"/>
    </xf>
    <xf numFmtId="170" fontId="31" fillId="0" borderId="44" xfId="26" quotePrefix="1" applyNumberFormat="1" applyFont="1" applyFill="1" applyBorder="1" applyAlignment="1">
      <alignment horizontal="right"/>
    </xf>
    <xf numFmtId="170" fontId="31" fillId="0" borderId="9" xfId="26" quotePrefix="1" applyNumberFormat="1" applyFont="1" applyFill="1" applyBorder="1" applyAlignment="1">
      <alignment horizontal="right"/>
    </xf>
    <xf numFmtId="170" fontId="31" fillId="0" borderId="46" xfId="26" quotePrefix="1" applyNumberFormat="1" applyFont="1" applyFill="1" applyBorder="1" applyAlignment="1">
      <alignment horizontal="right"/>
    </xf>
    <xf numFmtId="0" fontId="31" fillId="0" borderId="0" xfId="26" applyFont="1" applyFill="1" applyAlignment="1">
      <alignment horizontal="right"/>
    </xf>
    <xf numFmtId="3" fontId="33" fillId="0" borderId="32" xfId="53" applyNumberFormat="1" applyFont="1" applyFill="1" applyBorder="1"/>
    <xf numFmtId="3" fontId="33" fillId="0" borderId="28" xfId="53" applyNumberFormat="1" applyFont="1" applyFill="1" applyBorder="1"/>
    <xf numFmtId="0" fontId="30" fillId="0" borderId="3" xfId="78" applyFont="1" applyFill="1" applyBorder="1" applyAlignment="1">
      <alignment horizontal="left"/>
    </xf>
    <xf numFmtId="0" fontId="33" fillId="2" borderId="48" xfId="0" applyFont="1" applyFill="1" applyBorder="1" applyAlignment="1">
      <alignment horizontal="center"/>
    </xf>
    <xf numFmtId="3" fontId="3" fillId="0" borderId="63" xfId="53" applyNumberFormat="1" applyFont="1" applyFill="1" applyBorder="1"/>
    <xf numFmtId="3" fontId="3" fillId="0" borderId="64" xfId="53" applyNumberFormat="1" applyFont="1" applyFill="1" applyBorder="1"/>
    <xf numFmtId="3" fontId="3" fillId="0" borderId="65" xfId="53" applyNumberFormat="1" applyFont="1" applyFill="1" applyBorder="1"/>
    <xf numFmtId="0" fontId="33" fillId="2" borderId="48" xfId="0" applyNumberFormat="1" applyFont="1" applyFill="1" applyBorder="1" applyAlignment="1">
      <alignment horizontal="center"/>
    </xf>
    <xf numFmtId="3" fontId="3" fillId="0" borderId="66" xfId="53" applyNumberFormat="1" applyFont="1" applyFill="1" applyBorder="1"/>
    <xf numFmtId="3" fontId="3" fillId="0" borderId="71" xfId="53" applyNumberFormat="1" applyFont="1" applyFill="1" applyBorder="1"/>
    <xf numFmtId="168" fontId="5" fillId="0" borderId="0" xfId="26" applyNumberFormat="1" applyFont="1" applyFill="1"/>
    <xf numFmtId="166" fontId="3" fillId="2" borderId="33" xfId="24" applyNumberFormat="1" applyFont="1" applyFill="1" applyBorder="1" applyAlignment="1">
      <alignment horizontal="center" vertical="center" wrapText="1"/>
    </xf>
    <xf numFmtId="169" fontId="34" fillId="0" borderId="0" xfId="0" applyNumberFormat="1" applyFont="1" applyFill="1"/>
    <xf numFmtId="0" fontId="33" fillId="2" borderId="44" xfId="74" applyFont="1" applyFill="1" applyBorder="1" applyAlignment="1">
      <alignment horizontal="center"/>
    </xf>
    <xf numFmtId="0" fontId="29" fillId="5" borderId="40" xfId="81" applyFont="1" applyFill="1" applyBorder="1"/>
    <xf numFmtId="0" fontId="33" fillId="2" borderId="26" xfId="81" applyFont="1" applyFill="1" applyBorder="1" applyAlignment="1">
      <alignment horizontal="center"/>
    </xf>
    <xf numFmtId="0" fontId="33" fillId="2" borderId="25" xfId="81" applyFont="1" applyFill="1" applyBorder="1" applyAlignment="1">
      <alignment horizontal="center"/>
    </xf>
    <xf numFmtId="0" fontId="34" fillId="0" borderId="0" xfId="0" applyFont="1" applyFill="1" applyBorder="1" applyAlignment="1"/>
    <xf numFmtId="0" fontId="49" fillId="2" borderId="20" xfId="1" applyFont="1" applyFill="1" applyBorder="1"/>
    <xf numFmtId="0" fontId="50" fillId="0" borderId="0" xfId="0" applyFont="1" applyFill="1"/>
    <xf numFmtId="0" fontId="51" fillId="0" borderId="0" xfId="0" applyFont="1" applyFill="1"/>
    <xf numFmtId="0" fontId="51" fillId="0" borderId="0" xfId="0" applyFont="1" applyFill="1" applyBorder="1"/>
    <xf numFmtId="3" fontId="34" fillId="0" borderId="32" xfId="0" applyNumberFormat="1" applyFont="1" applyFill="1" applyBorder="1"/>
    <xf numFmtId="3" fontId="34" fillId="0" borderId="27" xfId="0" applyNumberFormat="1" applyFont="1" applyFill="1" applyBorder="1"/>
    <xf numFmtId="3" fontId="34" fillId="0" borderId="10" xfId="0" applyNumberFormat="1" applyFont="1" applyFill="1" applyBorder="1"/>
    <xf numFmtId="3" fontId="34" fillId="0" borderId="11" xfId="0" applyNumberFormat="1" applyFont="1" applyFill="1" applyBorder="1"/>
    <xf numFmtId="3" fontId="34" fillId="0" borderId="14" xfId="0" applyNumberFormat="1" applyFont="1" applyFill="1" applyBorder="1"/>
    <xf numFmtId="3" fontId="34" fillId="0" borderId="15" xfId="0" applyNumberFormat="1" applyFont="1" applyFill="1" applyBorder="1"/>
    <xf numFmtId="9" fontId="34" fillId="0" borderId="28" xfId="0" applyNumberFormat="1" applyFont="1" applyFill="1" applyBorder="1"/>
    <xf numFmtId="9" fontId="34" fillId="0" borderId="12" xfId="0" applyNumberFormat="1" applyFont="1" applyFill="1" applyBorder="1"/>
    <xf numFmtId="9" fontId="34" fillId="0" borderId="16" xfId="0" applyNumberFormat="1" applyFont="1" applyFill="1" applyBorder="1"/>
    <xf numFmtId="9" fontId="30" fillId="2" borderId="23" xfId="81" applyNumberFormat="1" applyFont="1" applyFill="1" applyBorder="1"/>
    <xf numFmtId="9" fontId="30" fillId="4" borderId="23" xfId="81" applyNumberFormat="1" applyFont="1" applyFill="1" applyBorder="1"/>
    <xf numFmtId="9" fontId="30" fillId="3" borderId="23" xfId="81" applyNumberFormat="1" applyFont="1" applyFill="1" applyBorder="1"/>
    <xf numFmtId="0" fontId="33" fillId="2" borderId="24" xfId="81" applyFont="1" applyFill="1" applyBorder="1" applyAlignment="1">
      <alignment horizontal="center"/>
    </xf>
    <xf numFmtId="3" fontId="31" fillId="7" borderId="73" xfId="26" applyNumberFormat="1" applyFont="1" applyFill="1" applyBorder="1"/>
    <xf numFmtId="3" fontId="31" fillId="7" borderId="56" xfId="26" applyNumberFormat="1" applyFont="1" applyFill="1" applyBorder="1"/>
    <xf numFmtId="167" fontId="33" fillId="7" borderId="61" xfId="86" applyNumberFormat="1" applyFont="1" applyFill="1" applyBorder="1" applyAlignment="1">
      <alignment horizontal="right"/>
    </xf>
    <xf numFmtId="3" fontId="31" fillId="7" borderId="74" xfId="26" applyNumberFormat="1" applyFont="1" applyFill="1" applyBorder="1"/>
    <xf numFmtId="167" fontId="33" fillId="7" borderId="61" xfId="86" applyNumberFormat="1" applyFont="1" applyFill="1" applyBorder="1"/>
    <xf numFmtId="3" fontId="31" fillId="0" borderId="73" xfId="26" applyNumberFormat="1" applyFont="1" applyFill="1" applyBorder="1" applyAlignment="1">
      <alignment horizontal="center"/>
    </xf>
    <xf numFmtId="3" fontId="31" fillId="0" borderId="61" xfId="26" applyNumberFormat="1" applyFont="1" applyFill="1" applyBorder="1" applyAlignment="1">
      <alignment horizontal="center"/>
    </xf>
    <xf numFmtId="3" fontId="31" fillId="7" borderId="73" xfId="26" applyNumberFormat="1" applyFont="1" applyFill="1" applyBorder="1" applyAlignment="1">
      <alignment horizontal="center"/>
    </xf>
    <xf numFmtId="3" fontId="31" fillId="7" borderId="61" xfId="26" applyNumberFormat="1" applyFont="1" applyFill="1" applyBorder="1" applyAlignment="1">
      <alignment horizontal="center"/>
    </xf>
    <xf numFmtId="0" fontId="34" fillId="0" borderId="0" xfId="0" applyFont="1" applyFill="1"/>
    <xf numFmtId="0" fontId="34" fillId="0" borderId="48" xfId="0" applyFont="1" applyFill="1" applyBorder="1" applyAlignment="1"/>
    <xf numFmtId="0" fontId="34" fillId="0" borderId="0" xfId="0" applyFont="1" applyFill="1" applyAlignment="1"/>
    <xf numFmtId="0" fontId="49" fillId="4" borderId="36" xfId="1" applyFont="1" applyFill="1" applyBorder="1"/>
    <xf numFmtId="0" fontId="49" fillId="4" borderId="20" xfId="1" applyFont="1" applyFill="1" applyBorder="1"/>
    <xf numFmtId="0" fontId="49" fillId="3" borderId="21" xfId="1" applyFont="1" applyFill="1" applyBorder="1"/>
    <xf numFmtId="0" fontId="52" fillId="0" borderId="0" xfId="0" applyFont="1" applyFill="1" applyBorder="1" applyAlignment="1">
      <alignment vertical="center"/>
    </xf>
    <xf numFmtId="0" fontId="52" fillId="0" borderId="0" xfId="0" applyFont="1" applyFill="1" applyAlignment="1">
      <alignment vertical="center"/>
    </xf>
    <xf numFmtId="3" fontId="50" fillId="0" borderId="0" xfId="76" applyNumberFormat="1" applyFont="1" applyFill="1" applyBorder="1"/>
    <xf numFmtId="0" fontId="34" fillId="2" borderId="32" xfId="0" applyFont="1" applyFill="1" applyBorder="1" applyAlignment="1">
      <alignment horizontal="center" vertical="center"/>
    </xf>
    <xf numFmtId="0" fontId="39" fillId="2" borderId="11" xfId="0" applyFont="1" applyFill="1" applyBorder="1" applyAlignment="1">
      <alignment horizontal="center" vertical="center"/>
    </xf>
    <xf numFmtId="0" fontId="34" fillId="2" borderId="28" xfId="0" applyFont="1" applyFill="1" applyBorder="1" applyAlignment="1">
      <alignment horizontal="center" vertical="center"/>
    </xf>
    <xf numFmtId="0" fontId="40" fillId="2" borderId="11" xfId="0" applyFont="1" applyFill="1" applyBorder="1" applyAlignment="1">
      <alignment horizontal="center" vertical="center" wrapText="1"/>
    </xf>
    <xf numFmtId="164" fontId="33" fillId="2" borderId="27" xfId="53" applyNumberFormat="1" applyFont="1" applyFill="1" applyBorder="1" applyAlignment="1">
      <alignment horizontal="right"/>
    </xf>
    <xf numFmtId="168" fontId="3" fillId="2" borderId="33" xfId="26" applyNumberFormat="1" applyFont="1" applyFill="1" applyBorder="1" applyAlignment="1">
      <alignment horizontal="left" vertical="top"/>
    </xf>
    <xf numFmtId="0" fontId="49" fillId="3" borderId="10" xfId="1" applyFont="1" applyFill="1" applyBorder="1"/>
    <xf numFmtId="0" fontId="49" fillId="3" borderId="5" xfId="1" applyFont="1" applyFill="1" applyBorder="1"/>
    <xf numFmtId="0" fontId="49" fillId="6" borderId="5" xfId="1" applyFont="1" applyFill="1" applyBorder="1"/>
    <xf numFmtId="0" fontId="49" fillId="6" borderId="57" xfId="1" applyFont="1" applyFill="1" applyBorder="1"/>
    <xf numFmtId="0" fontId="49" fillId="2" borderId="5" xfId="1" applyFont="1" applyFill="1" applyBorder="1"/>
    <xf numFmtId="0" fontId="49" fillId="4" borderId="5" xfId="1" applyFont="1" applyFill="1" applyBorder="1"/>
    <xf numFmtId="0" fontId="34" fillId="0" borderId="0" xfId="0" applyFont="1"/>
    <xf numFmtId="0" fontId="34" fillId="0" borderId="0" xfId="0" applyFont="1" applyBorder="1" applyAlignment="1"/>
    <xf numFmtId="3" fontId="34" fillId="0" borderId="0" xfId="0" applyNumberFormat="1" applyFont="1"/>
    <xf numFmtId="9" fontId="34" fillId="0" borderId="0" xfId="0" applyNumberFormat="1" applyFont="1"/>
    <xf numFmtId="0" fontId="34" fillId="0" borderId="0" xfId="0" applyFont="1" applyBorder="1"/>
    <xf numFmtId="3" fontId="41" fillId="2" borderId="51" xfId="0" applyNumberFormat="1" applyFont="1" applyFill="1" applyBorder="1"/>
    <xf numFmtId="3" fontId="41" fillId="2" borderId="53" xfId="0" applyNumberFormat="1" applyFont="1" applyFill="1" applyBorder="1"/>
    <xf numFmtId="9" fontId="41" fillId="2" borderId="58" xfId="0" applyNumberFormat="1" applyFont="1" applyFill="1" applyBorder="1"/>
    <xf numFmtId="0" fontId="53" fillId="2" borderId="21" xfId="1" applyFont="1" applyFill="1" applyBorder="1" applyAlignment="1"/>
    <xf numFmtId="0" fontId="34" fillId="2" borderId="31" xfId="0" applyFont="1" applyFill="1" applyBorder="1" applyAlignment="1"/>
    <xf numFmtId="3" fontId="34" fillId="2" borderId="30" xfId="0" applyNumberFormat="1" applyFont="1" applyFill="1" applyBorder="1" applyAlignment="1"/>
    <xf numFmtId="9" fontId="34" fillId="2" borderId="23" xfId="0" applyNumberFormat="1" applyFont="1" applyFill="1" applyBorder="1" applyAlignment="1"/>
    <xf numFmtId="0" fontId="41" fillId="2" borderId="55" xfId="0" applyFont="1" applyFill="1" applyBorder="1" applyAlignment="1"/>
    <xf numFmtId="0" fontId="34" fillId="0" borderId="8" xfId="0" applyFont="1" applyBorder="1" applyAlignment="1"/>
    <xf numFmtId="3" fontId="34" fillId="0" borderId="6" xfId="0" applyNumberFormat="1" applyFont="1" applyBorder="1" applyAlignment="1"/>
    <xf numFmtId="9" fontId="34" fillId="0" borderId="12" xfId="0" applyNumberFormat="1" applyFont="1" applyBorder="1" applyAlignment="1"/>
    <xf numFmtId="0" fontId="31" fillId="2" borderId="37" xfId="1" applyFont="1" applyFill="1" applyBorder="1" applyAlignment="1">
      <alignment horizontal="left" indent="2"/>
    </xf>
    <xf numFmtId="0" fontId="34" fillId="0" borderId="13" xfId="0" applyFont="1" applyBorder="1" applyAlignment="1"/>
    <xf numFmtId="3" fontId="34" fillId="0" borderId="11" xfId="0" applyNumberFormat="1" applyFont="1" applyBorder="1" applyAlignment="1"/>
    <xf numFmtId="9" fontId="34" fillId="0" borderId="11" xfId="0" applyNumberFormat="1" applyFont="1" applyBorder="1" applyAlignment="1"/>
    <xf numFmtId="0" fontId="34" fillId="2" borderId="37" xfId="0" applyFont="1" applyFill="1" applyBorder="1" applyAlignment="1">
      <alignment horizontal="left" indent="2"/>
    </xf>
    <xf numFmtId="0" fontId="33" fillId="2" borderId="37" xfId="1" applyFont="1" applyFill="1" applyBorder="1" applyAlignment="1"/>
    <xf numFmtId="0" fontId="49" fillId="2" borderId="37" xfId="1" applyFont="1" applyFill="1" applyBorder="1" applyAlignment="1">
      <alignment horizontal="left" indent="2"/>
    </xf>
    <xf numFmtId="0" fontId="53" fillId="2" borderId="37" xfId="1" applyFont="1" applyFill="1" applyBorder="1" applyAlignment="1"/>
    <xf numFmtId="0" fontId="34" fillId="0" borderId="35" xfId="0" applyFont="1" applyBorder="1" applyAlignment="1"/>
    <xf numFmtId="3" fontId="34" fillId="0" borderId="26" xfId="0" applyNumberFormat="1" applyFont="1" applyBorder="1" applyAlignment="1"/>
    <xf numFmtId="9" fontId="34" fillId="0" borderId="25" xfId="0" applyNumberFormat="1" applyFont="1" applyBorder="1" applyAlignment="1"/>
    <xf numFmtId="0" fontId="41" fillId="0" borderId="40" xfId="0" applyFont="1" applyFill="1" applyBorder="1" applyAlignment="1">
      <alignment horizontal="left" indent="2"/>
    </xf>
    <xf numFmtId="0" fontId="34" fillId="0" borderId="40" xfId="0" applyFont="1" applyBorder="1" applyAlignment="1"/>
    <xf numFmtId="3" fontId="34" fillId="0" borderId="40" xfId="0" applyNumberFormat="1" applyFont="1" applyBorder="1" applyAlignment="1"/>
    <xf numFmtId="9" fontId="34" fillId="0" borderId="40" xfId="0" applyNumberFormat="1" applyFont="1" applyBorder="1" applyAlignment="1"/>
    <xf numFmtId="0" fontId="53" fillId="4" borderId="21" xfId="1" applyFont="1" applyFill="1" applyBorder="1" applyAlignment="1">
      <alignment horizontal="left"/>
    </xf>
    <xf numFmtId="0" fontId="34" fillId="4" borderId="31" xfId="0" applyFont="1" applyFill="1" applyBorder="1" applyAlignment="1"/>
    <xf numFmtId="3" fontId="34" fillId="4" borderId="30" xfId="0" applyNumberFormat="1" applyFont="1" applyFill="1" applyBorder="1" applyAlignment="1"/>
    <xf numFmtId="9" fontId="34" fillId="4" borderId="23" xfId="0" applyNumberFormat="1" applyFont="1" applyFill="1" applyBorder="1" applyAlignment="1"/>
    <xf numFmtId="0" fontId="49" fillId="4" borderId="37" xfId="1" applyFont="1" applyFill="1" applyBorder="1" applyAlignment="1">
      <alignment horizontal="left" indent="2"/>
    </xf>
    <xf numFmtId="0" fontId="53" fillId="4" borderId="37" xfId="1" applyFont="1" applyFill="1" applyBorder="1" applyAlignment="1">
      <alignment horizontal="left"/>
    </xf>
    <xf numFmtId="9" fontId="34" fillId="0" borderId="11" xfId="0" applyNumberFormat="1" applyFont="1" applyBorder="1" applyAlignment="1">
      <alignment horizontal="right"/>
    </xf>
    <xf numFmtId="0" fontId="49" fillId="4" borderId="37" xfId="1" applyFont="1" applyFill="1" applyBorder="1" applyAlignment="1">
      <alignment horizontal="left" wrapText="1" indent="2"/>
    </xf>
    <xf numFmtId="0" fontId="34" fillId="4" borderId="38" xfId="0" applyFont="1" applyFill="1" applyBorder="1" applyAlignment="1">
      <alignment horizontal="left" indent="2"/>
    </xf>
    <xf numFmtId="0" fontId="41" fillId="0" borderId="0" xfId="0" applyFont="1" applyFill="1" applyBorder="1" applyAlignment="1"/>
    <xf numFmtId="0" fontId="34" fillId="0" borderId="0" xfId="0" applyFont="1" applyAlignment="1"/>
    <xf numFmtId="3" fontId="34" fillId="0" borderId="0" xfId="0" applyNumberFormat="1" applyFont="1" applyAlignment="1"/>
    <xf numFmtId="9" fontId="34" fillId="0" borderId="48" xfId="0" applyNumberFormat="1" applyFont="1" applyBorder="1" applyAlignment="1"/>
    <xf numFmtId="0" fontId="41" fillId="3" borderId="21" xfId="0" applyFont="1" applyFill="1" applyBorder="1" applyAlignment="1"/>
    <xf numFmtId="0" fontId="34" fillId="3" borderId="31" xfId="0" applyFont="1" applyFill="1" applyBorder="1" applyAlignment="1"/>
    <xf numFmtId="3" fontId="34" fillId="3" borderId="30" xfId="0" applyNumberFormat="1" applyFont="1" applyFill="1" applyBorder="1" applyAlignment="1"/>
    <xf numFmtId="9" fontId="34" fillId="3" borderId="23" xfId="0" applyNumberFormat="1" applyFont="1" applyFill="1" applyBorder="1" applyAlignment="1"/>
    <xf numFmtId="0" fontId="42" fillId="0" borderId="0" xfId="0" applyFont="1" applyFill="1" applyBorder="1" applyAlignment="1"/>
    <xf numFmtId="0" fontId="43" fillId="0" borderId="0" xfId="0" applyFont="1" applyFill="1"/>
    <xf numFmtId="16" fontId="43" fillId="0" borderId="0" xfId="0" quotePrefix="1" applyNumberFormat="1" applyFont="1" applyFill="1"/>
    <xf numFmtId="0" fontId="43" fillId="0" borderId="0" xfId="0" quotePrefix="1" applyFont="1" applyFill="1"/>
    <xf numFmtId="171" fontId="43" fillId="0" borderId="0" xfId="0" applyNumberFormat="1" applyFont="1" applyFill="1"/>
    <xf numFmtId="172" fontId="43" fillId="0" borderId="0" xfId="0" applyNumberFormat="1" applyFont="1" applyFill="1"/>
    <xf numFmtId="3" fontId="43" fillId="0" borderId="0" xfId="0" applyNumberFormat="1" applyFont="1" applyFill="1"/>
    <xf numFmtId="0" fontId="8" fillId="0" borderId="0" xfId="81" applyFont="1" applyFill="1"/>
    <xf numFmtId="0" fontId="54" fillId="0" borderId="40" xfId="81" applyFont="1" applyFill="1" applyBorder="1" applyAlignment="1"/>
    <xf numFmtId="0" fontId="7" fillId="0" borderId="0" xfId="78" applyFont="1" applyFill="1" applyBorder="1" applyAlignment="1"/>
    <xf numFmtId="3" fontId="34" fillId="0" borderId="0" xfId="0" applyNumberFormat="1" applyFont="1" applyFill="1"/>
    <xf numFmtId="0" fontId="34" fillId="0" borderId="0" xfId="0" applyFont="1" applyFill="1" applyAlignment="1">
      <alignment horizontal="left"/>
    </xf>
    <xf numFmtId="164" fontId="34" fillId="0" borderId="0" xfId="0" applyNumberFormat="1" applyFont="1" applyFill="1"/>
    <xf numFmtId="9" fontId="34" fillId="0" borderId="0" xfId="0" applyNumberFormat="1" applyFont="1" applyFill="1"/>
    <xf numFmtId="164" fontId="29" fillId="0" borderId="0" xfId="78" applyNumberFormat="1" applyFont="1" applyFill="1" applyBorder="1" applyAlignment="1"/>
    <xf numFmtId="3" fontId="29" fillId="0" borderId="0" xfId="78" applyNumberFormat="1" applyFont="1" applyFill="1" applyBorder="1" applyAlignment="1"/>
    <xf numFmtId="164" fontId="34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41" fillId="2" borderId="29" xfId="0" applyFont="1" applyFill="1" applyBorder="1" applyAlignment="1">
      <alignment horizontal="right"/>
    </xf>
    <xf numFmtId="169" fontId="41" fillId="0" borderId="22" xfId="0" applyNumberFormat="1" applyFont="1" applyFill="1" applyBorder="1" applyAlignment="1"/>
    <xf numFmtId="169" fontId="41" fillId="0" borderId="30" xfId="0" applyNumberFormat="1" applyFont="1" applyFill="1" applyBorder="1" applyAlignment="1"/>
    <xf numFmtId="9" fontId="41" fillId="0" borderId="23" xfId="0" applyNumberFormat="1" applyFont="1" applyFill="1" applyBorder="1" applyAlignment="1"/>
    <xf numFmtId="169" fontId="41" fillId="0" borderId="31" xfId="0" applyNumberFormat="1" applyFont="1" applyFill="1" applyBorder="1" applyAlignment="1"/>
    <xf numFmtId="9" fontId="41" fillId="0" borderId="50" xfId="0" applyNumberFormat="1" applyFont="1" applyFill="1" applyBorder="1" applyAlignment="1"/>
    <xf numFmtId="169" fontId="34" fillId="0" borderId="0" xfId="0" applyNumberFormat="1" applyFont="1" applyFill="1" applyBorder="1" applyAlignment="1"/>
    <xf numFmtId="9" fontId="34" fillId="0" borderId="0" xfId="0" applyNumberFormat="1" applyFont="1" applyFill="1" applyBorder="1" applyAlignment="1"/>
    <xf numFmtId="3" fontId="34" fillId="0" borderId="48" xfId="0" applyNumberFormat="1" applyFont="1" applyFill="1" applyBorder="1" applyAlignment="1"/>
    <xf numFmtId="9" fontId="34" fillId="0" borderId="48" xfId="0" applyNumberFormat="1" applyFont="1" applyFill="1" applyBorder="1" applyAlignment="1"/>
    <xf numFmtId="3" fontId="34" fillId="0" borderId="0" xfId="0" applyNumberFormat="1" applyFont="1" applyFill="1" applyBorder="1" applyAlignment="1"/>
    <xf numFmtId="3" fontId="4" fillId="0" borderId="0" xfId="76" applyNumberFormat="1" applyFont="1" applyFill="1"/>
    <xf numFmtId="3" fontId="33" fillId="0" borderId="2" xfId="26" applyNumberFormat="1" applyFont="1" applyFill="1" applyBorder="1" applyAlignment="1">
      <alignment horizontal="right" vertical="top"/>
    </xf>
    <xf numFmtId="0" fontId="34" fillId="0" borderId="2" xfId="0" applyFont="1" applyFill="1" applyBorder="1" applyAlignment="1">
      <alignment horizontal="right" vertical="top"/>
    </xf>
    <xf numFmtId="167" fontId="31" fillId="5" borderId="0" xfId="26" applyNumberFormat="1" applyFont="1" applyFill="1" applyBorder="1" applyAlignment="1">
      <alignment horizontal="center"/>
    </xf>
    <xf numFmtId="0" fontId="34" fillId="0" borderId="0" xfId="98" applyFont="1" applyBorder="1" applyAlignment="1">
      <alignment horizontal="center"/>
    </xf>
    <xf numFmtId="3" fontId="57" fillId="0" borderId="0" xfId="76" applyNumberFormat="1" applyFont="1" applyFill="1" applyBorder="1"/>
    <xf numFmtId="9" fontId="57" fillId="0" borderId="0" xfId="76" applyNumberFormat="1" applyFont="1" applyFill="1" applyBorder="1" applyAlignment="1">
      <alignment horizontal="right"/>
    </xf>
    <xf numFmtId="9" fontId="57" fillId="0" borderId="0" xfId="76" applyNumberFormat="1" applyFont="1" applyFill="1" applyBorder="1"/>
    <xf numFmtId="9" fontId="4" fillId="0" borderId="0" xfId="76" applyNumberFormat="1" applyFont="1" applyFill="1" applyAlignment="1">
      <alignment horizontal="right"/>
    </xf>
    <xf numFmtId="9" fontId="4" fillId="0" borderId="0" xfId="76" applyNumberFormat="1" applyFont="1" applyFill="1"/>
    <xf numFmtId="3" fontId="31" fillId="0" borderId="0" xfId="26" applyNumberFormat="1" applyFont="1" applyFill="1" applyBorder="1" applyAlignment="1">
      <alignment horizontal="right"/>
    </xf>
    <xf numFmtId="0" fontId="32" fillId="0" borderId="0" xfId="26" applyFont="1" applyFill="1" applyBorder="1" applyAlignment="1">
      <alignment horizontal="right"/>
    </xf>
    <xf numFmtId="9" fontId="32" fillId="0" borderId="0" xfId="26" applyNumberFormat="1" applyFont="1" applyFill="1" applyBorder="1" applyAlignment="1">
      <alignment horizontal="right"/>
    </xf>
    <xf numFmtId="3" fontId="43" fillId="0" borderId="0" xfId="26" applyNumberFormat="1" applyFont="1" applyFill="1" applyBorder="1"/>
    <xf numFmtId="0" fontId="3" fillId="0" borderId="40" xfId="26" applyFont="1" applyFill="1" applyBorder="1" applyAlignment="1">
      <alignment vertical="center"/>
    </xf>
    <xf numFmtId="168" fontId="3" fillId="0" borderId="40" xfId="26" applyNumberFormat="1" applyFont="1" applyFill="1" applyBorder="1" applyAlignment="1">
      <alignment vertical="center"/>
    </xf>
    <xf numFmtId="166" fontId="3" fillId="0" borderId="40" xfId="26" applyNumberFormat="1" applyFont="1" applyFill="1" applyBorder="1" applyAlignment="1">
      <alignment vertical="center"/>
    </xf>
    <xf numFmtId="3" fontId="0" fillId="0" borderId="0" xfId="0" applyNumberFormat="1"/>
    <xf numFmtId="0" fontId="60" fillId="0" borderId="0" xfId="1" applyFont="1" applyFill="1"/>
    <xf numFmtId="3" fontId="55" fillId="0" borderId="0" xfId="26" applyNumberFormat="1" applyFont="1" applyFill="1" applyBorder="1" applyAlignment="1"/>
    <xf numFmtId="0" fontId="63" fillId="0" borderId="0" xfId="0" applyFont="1" applyAlignment="1">
      <alignment horizontal="left" vertical="center" indent="1"/>
    </xf>
    <xf numFmtId="0" fontId="63" fillId="0" borderId="0" xfId="0" applyFont="1" applyAlignment="1">
      <alignment vertical="center"/>
    </xf>
    <xf numFmtId="0" fontId="0" fillId="0" borderId="0" xfId="0" applyAlignment="1"/>
    <xf numFmtId="0" fontId="64" fillId="0" borderId="0" xfId="0" applyFont="1"/>
    <xf numFmtId="0" fontId="33" fillId="2" borderId="101" xfId="74" applyFont="1" applyFill="1" applyBorder="1" applyAlignment="1">
      <alignment horizontal="center"/>
    </xf>
    <xf numFmtId="0" fontId="33" fillId="2" borderId="80" xfId="81" applyFont="1" applyFill="1" applyBorder="1" applyAlignment="1">
      <alignment horizontal="center"/>
    </xf>
    <xf numFmtId="0" fontId="33" fillId="2" borderId="81" xfId="81" applyFont="1" applyFill="1" applyBorder="1" applyAlignment="1">
      <alignment horizontal="center"/>
    </xf>
    <xf numFmtId="0" fontId="33" fillId="2" borderId="82" xfId="81" applyFont="1" applyFill="1" applyBorder="1" applyAlignment="1">
      <alignment horizontal="center"/>
    </xf>
    <xf numFmtId="0" fontId="33" fillId="2" borderId="83" xfId="81" applyFont="1" applyFill="1" applyBorder="1" applyAlignment="1">
      <alignment horizontal="center"/>
    </xf>
    <xf numFmtId="0" fontId="3" fillId="2" borderId="22" xfId="79" applyFont="1" applyFill="1" applyBorder="1" applyAlignment="1"/>
    <xf numFmtId="0" fontId="3" fillId="2" borderId="30" xfId="79" applyFont="1" applyFill="1" applyBorder="1" applyAlignment="1"/>
    <xf numFmtId="0" fontId="31" fillId="5" borderId="0" xfId="74" applyFont="1" applyFill="1" applyAlignment="1">
      <alignment horizontal="center"/>
    </xf>
    <xf numFmtId="3" fontId="65" fillId="0" borderId="0" xfId="76" applyNumberFormat="1" applyFont="1" applyFill="1"/>
    <xf numFmtId="3" fontId="65" fillId="0" borderId="0" xfId="76" applyNumberFormat="1" applyFont="1" applyFill="1" applyAlignment="1">
      <alignment horizontal="left" indent="1"/>
    </xf>
    <xf numFmtId="3" fontId="31" fillId="0" borderId="0" xfId="26" applyNumberFormat="1" applyFont="1" applyFill="1" applyBorder="1" applyAlignment="1"/>
    <xf numFmtId="3" fontId="33" fillId="0" borderId="67" xfId="53" applyNumberFormat="1" applyFont="1" applyFill="1" applyBorder="1"/>
    <xf numFmtId="3" fontId="33" fillId="0" borderId="68" xfId="53" applyNumberFormat="1" applyFont="1" applyFill="1" applyBorder="1"/>
    <xf numFmtId="0" fontId="3" fillId="0" borderId="0" xfId="79" applyFont="1" applyFill="1" applyBorder="1" applyAlignment="1">
      <alignment horizontal="left"/>
    </xf>
    <xf numFmtId="0" fontId="3" fillId="2" borderId="29" xfId="79" applyFont="1" applyFill="1" applyBorder="1" applyAlignment="1">
      <alignment horizontal="right"/>
    </xf>
    <xf numFmtId="9" fontId="34" fillId="0" borderId="30" xfId="0" applyNumberFormat="1" applyFont="1" applyFill="1" applyBorder="1"/>
    <xf numFmtId="9" fontId="34" fillId="0" borderId="23" xfId="0" applyNumberFormat="1" applyFont="1" applyFill="1" applyBorder="1"/>
    <xf numFmtId="9" fontId="34" fillId="0" borderId="31" xfId="0" applyNumberFormat="1" applyFont="1" applyFill="1" applyBorder="1"/>
    <xf numFmtId="3" fontId="7" fillId="0" borderId="22" xfId="78" applyNumberFormat="1" applyFont="1" applyFill="1" applyBorder="1" applyAlignment="1"/>
    <xf numFmtId="3" fontId="7" fillId="0" borderId="30" xfId="78" applyNumberFormat="1" applyFont="1" applyFill="1" applyBorder="1" applyAlignment="1"/>
    <xf numFmtId="3" fontId="7" fillId="0" borderId="23" xfId="78" applyNumberFormat="1" applyFont="1" applyFill="1" applyBorder="1" applyAlignment="1"/>
    <xf numFmtId="0" fontId="34" fillId="5" borderId="88" xfId="0" applyFont="1" applyFill="1" applyBorder="1"/>
    <xf numFmtId="0" fontId="34" fillId="0" borderId="89" xfId="0" applyFont="1" applyBorder="1" applyAlignment="1"/>
    <xf numFmtId="9" fontId="34" fillId="0" borderId="87" xfId="0" applyNumberFormat="1" applyFont="1" applyBorder="1" applyAlignment="1"/>
    <xf numFmtId="0" fontId="27" fillId="2" borderId="37" xfId="1" applyFill="1" applyBorder="1" applyAlignment="1">
      <alignment horizontal="left" indent="4"/>
    </xf>
    <xf numFmtId="0" fontId="41" fillId="0" borderId="0" xfId="0" applyFont="1" applyFill="1" applyAlignment="1">
      <alignment horizontal="left" indent="1"/>
    </xf>
    <xf numFmtId="3" fontId="41" fillId="0" borderId="22" xfId="0" applyNumberFormat="1" applyFont="1" applyFill="1" applyBorder="1" applyAlignment="1"/>
    <xf numFmtId="3" fontId="41" fillId="0" borderId="30" xfId="0" applyNumberFormat="1" applyFont="1" applyFill="1" applyBorder="1" applyAlignment="1"/>
    <xf numFmtId="169" fontId="41" fillId="0" borderId="23" xfId="0" applyNumberFormat="1" applyFont="1" applyFill="1" applyBorder="1" applyAlignment="1"/>
    <xf numFmtId="49" fontId="39" fillId="2" borderId="87" xfId="0" quotePrefix="1" applyNumberFormat="1" applyFont="1" applyFill="1" applyBorder="1" applyAlignment="1">
      <alignment horizontal="center" vertical="center"/>
    </xf>
    <xf numFmtId="0" fontId="33" fillId="10" borderId="1" xfId="26" applyNumberFormat="1" applyFont="1" applyFill="1" applyBorder="1" applyAlignment="1">
      <alignment horizontal="center"/>
    </xf>
    <xf numFmtId="0" fontId="33" fillId="10" borderId="2" xfId="26" applyNumberFormat="1" applyFont="1" applyFill="1" applyBorder="1" applyAlignment="1">
      <alignment horizontal="center"/>
    </xf>
    <xf numFmtId="167" fontId="33" fillId="10" borderId="3" xfId="26" applyNumberFormat="1" applyFont="1" applyFill="1" applyBorder="1" applyAlignment="1">
      <alignment horizontal="center"/>
    </xf>
    <xf numFmtId="3" fontId="33" fillId="10" borderId="22" xfId="26" applyNumberFormat="1" applyFont="1" applyFill="1" applyBorder="1"/>
    <xf numFmtId="3" fontId="33" fillId="10" borderId="30" xfId="26" applyNumberFormat="1" applyFont="1" applyFill="1" applyBorder="1"/>
    <xf numFmtId="167" fontId="33" fillId="10" borderId="23" xfId="86" applyNumberFormat="1" applyFont="1" applyFill="1" applyBorder="1" applyAlignment="1">
      <alignment horizontal="right"/>
    </xf>
    <xf numFmtId="3" fontId="33" fillId="10" borderId="31" xfId="26" applyNumberFormat="1" applyFont="1" applyFill="1" applyBorder="1"/>
    <xf numFmtId="167" fontId="33" fillId="10" borderId="23" xfId="86" applyNumberFormat="1" applyFont="1" applyFill="1" applyBorder="1"/>
    <xf numFmtId="3" fontId="33" fillId="10" borderId="22" xfId="26" applyNumberFormat="1" applyFont="1" applyFill="1" applyBorder="1" applyAlignment="1">
      <alignment horizontal="center"/>
    </xf>
    <xf numFmtId="3" fontId="33" fillId="10" borderId="23" xfId="26" applyNumberFormat="1" applyFont="1" applyFill="1" applyBorder="1" applyAlignment="1">
      <alignment horizontal="center"/>
    </xf>
    <xf numFmtId="167" fontId="33" fillId="10" borderId="23" xfId="26" applyNumberFormat="1" applyFont="1" applyFill="1" applyBorder="1" applyAlignment="1">
      <alignment horizontal="center"/>
    </xf>
    <xf numFmtId="0" fontId="33" fillId="2" borderId="2" xfId="26" quotePrefix="1" applyNumberFormat="1" applyFont="1" applyFill="1" applyBorder="1" applyAlignment="1">
      <alignment horizontal="center"/>
    </xf>
    <xf numFmtId="167" fontId="33" fillId="2" borderId="3" xfId="26" quotePrefix="1" applyNumberFormat="1" applyFont="1" applyFill="1" applyBorder="1" applyAlignment="1">
      <alignment horizontal="center"/>
    </xf>
    <xf numFmtId="167" fontId="33" fillId="2" borderId="50" xfId="26" applyNumberFormat="1" applyFont="1" applyFill="1" applyBorder="1"/>
    <xf numFmtId="167" fontId="33" fillId="3" borderId="50" xfId="26" applyNumberFormat="1" applyFont="1" applyFill="1" applyBorder="1"/>
    <xf numFmtId="167" fontId="33" fillId="4" borderId="50" xfId="26" applyNumberFormat="1" applyFont="1" applyFill="1" applyBorder="1"/>
    <xf numFmtId="167" fontId="33" fillId="10" borderId="50" xfId="26" applyNumberFormat="1" applyFont="1" applyFill="1" applyBorder="1"/>
    <xf numFmtId="167" fontId="31" fillId="7" borderId="17" xfId="26" applyNumberFormat="1" applyFont="1" applyFill="1" applyBorder="1"/>
    <xf numFmtId="167" fontId="31" fillId="7" borderId="98" xfId="26" applyNumberFormat="1" applyFont="1" applyFill="1" applyBorder="1"/>
    <xf numFmtId="167" fontId="31" fillId="7" borderId="105" xfId="26" applyNumberFormat="1" applyFont="1" applyFill="1" applyBorder="1"/>
    <xf numFmtId="0" fontId="27" fillId="4" borderId="85" xfId="1" applyFill="1" applyBorder="1" applyAlignment="1">
      <alignment horizontal="left" indent="4"/>
    </xf>
    <xf numFmtId="0" fontId="27" fillId="4" borderId="37" xfId="1" applyFill="1" applyBorder="1" applyAlignment="1">
      <alignment horizontal="left" indent="4"/>
    </xf>
    <xf numFmtId="0" fontId="27" fillId="4" borderId="37" xfId="1" applyFill="1" applyBorder="1" applyAlignment="1">
      <alignment horizontal="left" indent="2"/>
    </xf>
    <xf numFmtId="0" fontId="34" fillId="0" borderId="86" xfId="0" applyFont="1" applyBorder="1"/>
    <xf numFmtId="0" fontId="33" fillId="2" borderId="76" xfId="0" applyFont="1" applyFill="1" applyBorder="1" applyAlignment="1">
      <alignment horizontal="center" vertical="top" wrapText="1"/>
    </xf>
    <xf numFmtId="0" fontId="27" fillId="6" borderId="5" xfId="1" applyFill="1" applyBorder="1"/>
    <xf numFmtId="0" fontId="33" fillId="2" borderId="42" xfId="81" applyFont="1" applyFill="1" applyBorder="1" applyAlignment="1">
      <alignment horizontal="center"/>
    </xf>
    <xf numFmtId="0" fontId="33" fillId="2" borderId="43" xfId="81" applyFont="1" applyFill="1" applyBorder="1" applyAlignment="1">
      <alignment horizontal="center"/>
    </xf>
    <xf numFmtId="0" fontId="7" fillId="0" borderId="0" xfId="26" applyFont="1" applyFill="1" applyBorder="1" applyAlignment="1"/>
    <xf numFmtId="0" fontId="33" fillId="2" borderId="27" xfId="74" applyFont="1" applyFill="1" applyBorder="1" applyAlignment="1">
      <alignment horizontal="center"/>
    </xf>
    <xf numFmtId="0" fontId="7" fillId="0" borderId="3" xfId="78" applyFont="1" applyFill="1" applyBorder="1" applyAlignment="1"/>
    <xf numFmtId="3" fontId="41" fillId="0" borderId="23" xfId="0" applyNumberFormat="1" applyFont="1" applyFill="1" applyBorder="1" applyAlignment="1"/>
    <xf numFmtId="0" fontId="41" fillId="2" borderId="21" xfId="0" applyFont="1" applyFill="1" applyBorder="1" applyAlignment="1">
      <alignment horizontal="right"/>
    </xf>
    <xf numFmtId="3" fontId="33" fillId="7" borderId="55" xfId="26" applyNumberFormat="1" applyFont="1" applyFill="1" applyBorder="1"/>
    <xf numFmtId="3" fontId="33" fillId="7" borderId="85" xfId="26" applyNumberFormat="1" applyFont="1" applyFill="1" applyBorder="1"/>
    <xf numFmtId="3" fontId="33" fillId="7" borderId="34" xfId="26" applyNumberFormat="1" applyFont="1" applyFill="1" applyBorder="1"/>
    <xf numFmtId="3" fontId="33" fillId="10" borderId="21" xfId="26" applyNumberFormat="1" applyFont="1" applyFill="1" applyBorder="1"/>
    <xf numFmtId="3" fontId="33" fillId="4" borderId="21" xfId="26" applyNumberFormat="1" applyFont="1" applyFill="1" applyBorder="1"/>
    <xf numFmtId="3" fontId="33" fillId="3" borderId="21" xfId="26" applyNumberFormat="1" applyFont="1" applyFill="1" applyBorder="1"/>
    <xf numFmtId="168" fontId="3" fillId="2" borderId="0" xfId="26" applyNumberFormat="1" applyFont="1" applyFill="1" applyBorder="1" applyAlignment="1">
      <alignment horizontal="left" vertical="top"/>
    </xf>
    <xf numFmtId="168" fontId="3" fillId="2" borderId="0" xfId="24" applyNumberFormat="1" applyFont="1" applyFill="1" applyBorder="1" applyAlignment="1">
      <alignment horizontal="left" vertical="center" wrapText="1"/>
    </xf>
    <xf numFmtId="168" fontId="3" fillId="2" borderId="18" xfId="26" applyNumberFormat="1" applyFont="1" applyFill="1" applyBorder="1" applyAlignment="1">
      <alignment horizontal="left" vertical="top"/>
    </xf>
    <xf numFmtId="168" fontId="3" fillId="2" borderId="19" xfId="26" applyNumberFormat="1" applyFont="1" applyFill="1" applyBorder="1" applyAlignment="1">
      <alignment horizontal="left" vertical="top"/>
    </xf>
    <xf numFmtId="168" fontId="3" fillId="2" borderId="34" xfId="26" applyNumberFormat="1" applyFont="1" applyFill="1" applyBorder="1" applyAlignment="1">
      <alignment horizontal="left" vertical="top"/>
    </xf>
    <xf numFmtId="3" fontId="3" fillId="2" borderId="18" xfId="26" applyNumberFormat="1" applyFont="1" applyFill="1" applyBorder="1" applyAlignment="1">
      <alignment horizontal="left" vertical="center"/>
    </xf>
    <xf numFmtId="3" fontId="3" fillId="2" borderId="19" xfId="26" applyNumberFormat="1" applyFont="1" applyFill="1" applyBorder="1" applyAlignment="1">
      <alignment horizontal="left" vertical="center"/>
    </xf>
    <xf numFmtId="168" fontId="3" fillId="2" borderId="18" xfId="24" applyNumberFormat="1" applyFont="1" applyFill="1" applyBorder="1" applyAlignment="1">
      <alignment horizontal="left" vertical="center" wrapText="1"/>
    </xf>
    <xf numFmtId="9" fontId="3" fillId="2" borderId="19" xfId="24" applyNumberFormat="1" applyFont="1" applyFill="1" applyBorder="1" applyAlignment="1">
      <alignment horizontal="left" vertical="center" wrapText="1"/>
    </xf>
    <xf numFmtId="166" fontId="3" fillId="2" borderId="19" xfId="24" applyNumberFormat="1" applyFont="1" applyFill="1" applyBorder="1" applyAlignment="1">
      <alignment horizontal="left" vertical="center" wrapText="1"/>
    </xf>
    <xf numFmtId="0" fontId="5" fillId="0" borderId="0" xfId="26" applyFont="1" applyFill="1" applyBorder="1"/>
    <xf numFmtId="0" fontId="29" fillId="0" borderId="0" xfId="78" applyNumberFormat="1" applyFont="1" applyFill="1" applyBorder="1" applyAlignment="1"/>
    <xf numFmtId="0" fontId="34" fillId="0" borderId="0" xfId="0" applyNumberFormat="1" applyFont="1" applyFill="1"/>
    <xf numFmtId="9" fontId="0" fillId="0" borderId="0" xfId="0" applyNumberFormat="1"/>
    <xf numFmtId="168" fontId="0" fillId="0" borderId="0" xfId="0" applyNumberFormat="1"/>
    <xf numFmtId="0" fontId="51" fillId="0" borderId="0" xfId="0" applyFont="1" applyFill="1" applyAlignment="1">
      <alignment horizontal="left" indent="2"/>
    </xf>
    <xf numFmtId="176" fontId="41" fillId="0" borderId="18" xfId="0" applyNumberFormat="1" applyFont="1" applyBorder="1" applyAlignment="1">
      <alignment vertical="center"/>
    </xf>
    <xf numFmtId="173" fontId="41" fillId="0" borderId="34" xfId="0" applyNumberFormat="1" applyFont="1" applyBorder="1" applyAlignment="1">
      <alignment vertical="center"/>
    </xf>
    <xf numFmtId="173" fontId="34" fillId="0" borderId="19" xfId="0" applyNumberFormat="1" applyFont="1" applyBorder="1" applyAlignment="1">
      <alignment vertical="center"/>
    </xf>
    <xf numFmtId="173" fontId="34" fillId="0" borderId="0" xfId="0" applyNumberFormat="1" applyFont="1" applyBorder="1" applyAlignment="1">
      <alignment vertical="center"/>
    </xf>
    <xf numFmtId="173" fontId="34" fillId="0" borderId="18" xfId="0" applyNumberFormat="1" applyFont="1" applyBorder="1" applyAlignment="1">
      <alignment vertical="center"/>
    </xf>
    <xf numFmtId="174" fontId="34" fillId="0" borderId="0" xfId="0" applyNumberFormat="1" applyFont="1" applyBorder="1" applyAlignment="1">
      <alignment vertical="center"/>
    </xf>
    <xf numFmtId="0" fontId="61" fillId="0" borderId="19" xfId="0" applyFont="1" applyFill="1" applyBorder="1" applyAlignment="1">
      <alignment horizontal="left" vertical="center"/>
    </xf>
    <xf numFmtId="0" fontId="41" fillId="2" borderId="0" xfId="0" applyFont="1" applyFill="1" applyBorder="1" applyAlignment="1">
      <alignment horizontal="center" vertical="center"/>
    </xf>
    <xf numFmtId="173" fontId="34" fillId="0" borderId="0" xfId="0" applyNumberFormat="1" applyFont="1" applyBorder="1" applyAlignment="1">
      <alignment horizontal="right" vertical="center"/>
    </xf>
    <xf numFmtId="175" fontId="34" fillId="0" borderId="0" xfId="0" applyNumberFormat="1" applyFont="1" applyBorder="1" applyAlignment="1">
      <alignment horizontal="right" vertical="center"/>
    </xf>
    <xf numFmtId="3" fontId="41" fillId="0" borderId="61" xfId="0" applyNumberFormat="1" applyFont="1" applyBorder="1" applyAlignment="1">
      <alignment horizontal="right" vertical="center"/>
    </xf>
    <xf numFmtId="9" fontId="41" fillId="0" borderId="109" xfId="0" applyNumberFormat="1" applyFont="1" applyBorder="1" applyAlignment="1">
      <alignment horizontal="right" vertical="center"/>
    </xf>
    <xf numFmtId="173" fontId="41" fillId="0" borderId="109" xfId="0" applyNumberFormat="1" applyFont="1" applyBorder="1" applyAlignment="1">
      <alignment horizontal="right" vertical="center"/>
    </xf>
    <xf numFmtId="173" fontId="41" fillId="0" borderId="74" xfId="0" applyNumberFormat="1" applyFont="1" applyBorder="1" applyAlignment="1">
      <alignment horizontal="right" vertical="center"/>
    </xf>
    <xf numFmtId="173" fontId="41" fillId="0" borderId="76" xfId="0" applyNumberFormat="1" applyFont="1" applyBorder="1" applyAlignment="1">
      <alignment vertical="center"/>
    </xf>
    <xf numFmtId="173" fontId="41" fillId="0" borderId="110" xfId="0" applyNumberFormat="1" applyFont="1" applyBorder="1" applyAlignment="1">
      <alignment vertical="center"/>
    </xf>
    <xf numFmtId="173" fontId="41" fillId="0" borderId="109" xfId="0" applyNumberFormat="1" applyFont="1" applyBorder="1" applyAlignment="1">
      <alignment vertical="center"/>
    </xf>
    <xf numFmtId="173" fontId="41" fillId="0" borderId="74" xfId="0" applyNumberFormat="1" applyFont="1" applyBorder="1" applyAlignment="1">
      <alignment vertical="center"/>
    </xf>
    <xf numFmtId="173" fontId="41" fillId="0" borderId="111" xfId="0" applyNumberFormat="1" applyFont="1" applyBorder="1" applyAlignment="1">
      <alignment vertical="center"/>
    </xf>
    <xf numFmtId="174" fontId="41" fillId="0" borderId="112" xfId="0" applyNumberFormat="1" applyFont="1" applyBorder="1" applyAlignment="1">
      <alignment vertical="center"/>
    </xf>
    <xf numFmtId="174" fontId="41" fillId="0" borderId="109" xfId="0" applyNumberFormat="1" applyFont="1" applyBorder="1" applyAlignment="1">
      <alignment vertical="center"/>
    </xf>
    <xf numFmtId="174" fontId="41" fillId="0" borderId="74" xfId="0" applyNumberFormat="1" applyFont="1" applyBorder="1" applyAlignment="1">
      <alignment vertical="center"/>
    </xf>
    <xf numFmtId="168" fontId="41" fillId="0" borderId="102" xfId="0" applyNumberFormat="1" applyFont="1" applyBorder="1" applyAlignment="1">
      <alignment vertical="center"/>
    </xf>
    <xf numFmtId="0" fontId="34" fillId="0" borderId="110" xfId="0" applyFont="1" applyBorder="1" applyAlignment="1">
      <alignment horizontal="center" vertical="center"/>
    </xf>
    <xf numFmtId="166" fontId="41" fillId="2" borderId="74" xfId="0" applyNumberFormat="1" applyFont="1" applyFill="1" applyBorder="1" applyAlignment="1">
      <alignment horizontal="center" vertical="center"/>
    </xf>
    <xf numFmtId="173" fontId="41" fillId="0" borderId="83" xfId="0" applyNumberFormat="1" applyFont="1" applyBorder="1" applyAlignment="1">
      <alignment horizontal="right" vertical="center"/>
    </xf>
    <xf numFmtId="175" fontId="41" fillId="0" borderId="82" xfId="0" applyNumberFormat="1" applyFont="1" applyBorder="1" applyAlignment="1">
      <alignment horizontal="right" vertical="center"/>
    </xf>
    <xf numFmtId="173" fontId="41" fillId="0" borderId="82" xfId="0" applyNumberFormat="1" applyFont="1" applyBorder="1" applyAlignment="1">
      <alignment horizontal="right" vertical="center"/>
    </xf>
    <xf numFmtId="173" fontId="41" fillId="0" borderId="83" xfId="0" applyNumberFormat="1" applyFont="1" applyBorder="1" applyAlignment="1">
      <alignment vertical="center"/>
    </xf>
    <xf numFmtId="173" fontId="41" fillId="0" borderId="82" xfId="0" applyNumberFormat="1" applyFont="1" applyBorder="1" applyAlignment="1">
      <alignment vertical="center"/>
    </xf>
    <xf numFmtId="173" fontId="41" fillId="0" borderId="81" xfId="0" applyNumberFormat="1" applyFont="1" applyBorder="1" applyAlignment="1">
      <alignment vertical="center"/>
    </xf>
    <xf numFmtId="176" fontId="41" fillId="0" borderId="81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61" fillId="11" borderId="87" xfId="0" quotePrefix="1" applyFont="1" applyFill="1" applyBorder="1" applyAlignment="1">
      <alignment horizontal="center" vertical="center" wrapText="1"/>
    </xf>
    <xf numFmtId="0" fontId="42" fillId="11" borderId="87" xfId="0" quotePrefix="1" applyFont="1" applyFill="1" applyBorder="1" applyAlignment="1">
      <alignment horizontal="center" vertical="center" wrapText="1"/>
    </xf>
    <xf numFmtId="0" fontId="42" fillId="11" borderId="86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8" borderId="118" xfId="0" applyNumberFormat="1" applyFont="1" applyFill="1" applyBorder="1"/>
    <xf numFmtId="3" fontId="0" fillId="8" borderId="75" xfId="0" applyNumberFormat="1" applyFont="1" applyFill="1" applyBorder="1"/>
    <xf numFmtId="0" fontId="0" fillId="0" borderId="119" xfId="0" applyNumberFormat="1" applyFont="1" applyBorder="1"/>
    <xf numFmtId="3" fontId="0" fillId="0" borderId="120" xfId="0" applyNumberFormat="1" applyFont="1" applyBorder="1"/>
    <xf numFmtId="0" fontId="0" fillId="8" borderId="119" xfId="0" applyNumberFormat="1" applyFont="1" applyFill="1" applyBorder="1"/>
    <xf numFmtId="3" fontId="0" fillId="8" borderId="120" xfId="0" applyNumberFormat="1" applyFont="1" applyFill="1" applyBorder="1"/>
    <xf numFmtId="0" fontId="59" fillId="9" borderId="119" xfId="0" applyNumberFormat="1" applyFont="1" applyFill="1" applyBorder="1"/>
    <xf numFmtId="3" fontId="59" fillId="9" borderId="120" xfId="0" applyNumberFormat="1" applyFont="1" applyFill="1" applyBorder="1"/>
    <xf numFmtId="9" fontId="33" fillId="3" borderId="2" xfId="26" applyNumberFormat="1" applyFont="1" applyFill="1" applyBorder="1" applyAlignment="1">
      <alignment horizontal="center"/>
    </xf>
    <xf numFmtId="9" fontId="33" fillId="4" borderId="2" xfId="26" applyNumberFormat="1" applyFont="1" applyFill="1" applyBorder="1" applyAlignment="1">
      <alignment horizontal="center"/>
    </xf>
    <xf numFmtId="9" fontId="33" fillId="10" borderId="2" xfId="26" quotePrefix="1" applyNumberFormat="1" applyFont="1" applyFill="1" applyBorder="1" applyAlignment="1">
      <alignment horizontal="center"/>
    </xf>
    <xf numFmtId="0" fontId="27" fillId="4" borderId="55" xfId="1" applyFill="1" applyBorder="1" applyAlignment="1">
      <alignment horizontal="left"/>
    </xf>
    <xf numFmtId="9" fontId="33" fillId="2" borderId="2" xfId="26" quotePrefix="1" applyNumberFormat="1" applyFont="1" applyFill="1" applyBorder="1" applyAlignment="1">
      <alignment horizontal="center"/>
    </xf>
    <xf numFmtId="0" fontId="41" fillId="3" borderId="29" xfId="0" applyFont="1" applyFill="1" applyBorder="1" applyAlignment="1"/>
    <xf numFmtId="0" fontId="34" fillId="0" borderId="41" xfId="0" applyFont="1" applyBorder="1" applyAlignment="1"/>
    <xf numFmtId="0" fontId="41" fillId="2" borderId="29" xfId="0" applyFont="1" applyFill="1" applyBorder="1" applyAlignment="1"/>
    <xf numFmtId="0" fontId="41" fillId="4" borderId="29" xfId="0" applyFont="1" applyFill="1" applyBorder="1" applyAlignment="1"/>
    <xf numFmtId="0" fontId="44" fillId="0" borderId="2" xfId="0" applyFont="1" applyFill="1" applyBorder="1" applyAlignment="1"/>
    <xf numFmtId="0" fontId="44" fillId="0" borderId="2" xfId="0" applyFont="1" applyBorder="1" applyAlignment="1"/>
    <xf numFmtId="0" fontId="32" fillId="5" borderId="19" xfId="81" applyFont="1" applyFill="1" applyBorder="1" applyAlignment="1">
      <alignment horizontal="center" vertical="center"/>
    </xf>
    <xf numFmtId="0" fontId="43" fillId="0" borderId="3" xfId="0" applyFont="1" applyBorder="1" applyAlignment="1">
      <alignment horizontal="center" vertical="center"/>
    </xf>
    <xf numFmtId="0" fontId="33" fillId="2" borderId="46" xfId="81" applyFont="1" applyFill="1" applyBorder="1" applyAlignment="1">
      <alignment horizontal="center"/>
    </xf>
    <xf numFmtId="0" fontId="33" fillId="2" borderId="47" xfId="81" applyFont="1" applyFill="1" applyBorder="1" applyAlignment="1">
      <alignment horizontal="center"/>
    </xf>
    <xf numFmtId="0" fontId="33" fillId="2" borderId="44" xfId="81" applyFont="1" applyFill="1" applyBorder="1" applyAlignment="1">
      <alignment horizontal="center"/>
    </xf>
    <xf numFmtId="0" fontId="33" fillId="2" borderId="72" xfId="81" applyFont="1" applyFill="1" applyBorder="1" applyAlignment="1">
      <alignment horizontal="center"/>
    </xf>
    <xf numFmtId="0" fontId="33" fillId="2" borderId="45" xfId="81" applyFont="1" applyFill="1" applyBorder="1" applyAlignment="1">
      <alignment horizontal="center"/>
    </xf>
    <xf numFmtId="0" fontId="33" fillId="2" borderId="101" xfId="81" applyFont="1" applyFill="1" applyBorder="1" applyAlignment="1">
      <alignment horizontal="center"/>
    </xf>
    <xf numFmtId="0" fontId="33" fillId="2" borderId="84" xfId="81" applyFont="1" applyFill="1" applyBorder="1" applyAlignment="1">
      <alignment horizontal="center"/>
    </xf>
    <xf numFmtId="0" fontId="44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40" fillId="2" borderId="27" xfId="0" applyFont="1" applyFill="1" applyBorder="1" applyAlignment="1">
      <alignment horizontal="center" vertical="center"/>
    </xf>
    <xf numFmtId="0" fontId="34" fillId="2" borderId="32" xfId="0" applyFont="1" applyFill="1" applyBorder="1" applyAlignment="1">
      <alignment horizontal="center" vertical="center"/>
    </xf>
    <xf numFmtId="0" fontId="39" fillId="2" borderId="11" xfId="0" applyFont="1" applyFill="1" applyBorder="1" applyAlignment="1">
      <alignment horizontal="center" vertical="center"/>
    </xf>
    <xf numFmtId="0" fontId="34" fillId="2" borderId="12" xfId="0" applyFont="1" applyFill="1" applyBorder="1" applyAlignment="1">
      <alignment horizontal="center" vertical="center"/>
    </xf>
    <xf numFmtId="0" fontId="6" fillId="0" borderId="2" xfId="0" applyFont="1" applyFill="1" applyBorder="1" applyAlignment="1"/>
    <xf numFmtId="0" fontId="34" fillId="2" borderId="10" xfId="0" applyFont="1" applyFill="1" applyBorder="1" applyAlignment="1">
      <alignment horizontal="center" vertical="center"/>
    </xf>
    <xf numFmtId="0" fontId="34" fillId="2" borderId="11" xfId="0" applyFont="1" applyFill="1" applyBorder="1" applyAlignment="1">
      <alignment horizontal="center" vertical="center"/>
    </xf>
    <xf numFmtId="0" fontId="40" fillId="2" borderId="32" xfId="0" applyFont="1" applyFill="1" applyBorder="1" applyAlignment="1">
      <alignment horizontal="center" vertical="center"/>
    </xf>
    <xf numFmtId="0" fontId="34" fillId="2" borderId="28" xfId="0" applyFont="1" applyFill="1" applyBorder="1" applyAlignment="1">
      <alignment horizontal="center" vertical="center"/>
    </xf>
    <xf numFmtId="0" fontId="40" fillId="2" borderId="11" xfId="0" applyFont="1" applyFill="1" applyBorder="1" applyAlignment="1">
      <alignment horizontal="center" vertical="center" wrapText="1"/>
    </xf>
    <xf numFmtId="0" fontId="34" fillId="2" borderId="26" xfId="0" applyFont="1" applyFill="1" applyBorder="1" applyAlignment="1">
      <alignment horizontal="center" vertical="center" wrapText="1"/>
    </xf>
    <xf numFmtId="0" fontId="38" fillId="2" borderId="11" xfId="0" applyFont="1" applyFill="1" applyBorder="1" applyAlignment="1">
      <alignment horizontal="center" vertical="center" wrapText="1"/>
    </xf>
    <xf numFmtId="0" fontId="38" fillId="2" borderId="12" xfId="0" applyFont="1" applyFill="1" applyBorder="1" applyAlignment="1">
      <alignment horizontal="center" vertical="center" wrapText="1"/>
    </xf>
    <xf numFmtId="0" fontId="34" fillId="2" borderId="25" xfId="0" applyFont="1" applyFill="1" applyBorder="1" applyAlignment="1">
      <alignment horizontal="center" vertical="center" wrapText="1"/>
    </xf>
    <xf numFmtId="0" fontId="33" fillId="2" borderId="99" xfId="81" applyFont="1" applyFill="1" applyBorder="1" applyAlignment="1">
      <alignment horizontal="center"/>
    </xf>
    <xf numFmtId="0" fontId="33" fillId="2" borderId="100" xfId="81" applyFont="1" applyFill="1" applyBorder="1" applyAlignment="1">
      <alignment horizontal="center"/>
    </xf>
    <xf numFmtId="0" fontId="33" fillId="2" borderId="94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4" fillId="0" borderId="2" xfId="14" applyFont="1" applyFill="1" applyBorder="1" applyAlignment="1"/>
    <xf numFmtId="0" fontId="0" fillId="0" borderId="2" xfId="0" applyBorder="1" applyAlignment="1"/>
    <xf numFmtId="164" fontId="33" fillId="0" borderId="0" xfId="53" applyNumberFormat="1" applyFont="1" applyFill="1" applyBorder="1" applyAlignment="1">
      <alignment horizontal="center"/>
    </xf>
    <xf numFmtId="164" fontId="31" fillId="0" borderId="0" xfId="79" applyNumberFormat="1" applyFont="1" applyFill="1" applyBorder="1" applyAlignment="1">
      <alignment horizontal="center"/>
    </xf>
    <xf numFmtId="164" fontId="33" fillId="2" borderId="27" xfId="53" applyNumberFormat="1" applyFont="1" applyFill="1" applyBorder="1" applyAlignment="1">
      <alignment horizontal="right"/>
    </xf>
    <xf numFmtId="164" fontId="31" fillId="2" borderId="32" xfId="79" applyNumberFormat="1" applyFont="1" applyFill="1" applyBorder="1" applyAlignment="1">
      <alignment horizontal="right"/>
    </xf>
    <xf numFmtId="164" fontId="45" fillId="0" borderId="2" xfId="14" applyNumberFormat="1" applyFont="1" applyFill="1" applyBorder="1" applyAlignment="1"/>
    <xf numFmtId="0" fontId="6" fillId="0" borderId="2" xfId="14" applyFont="1" applyFill="1" applyBorder="1" applyAlignment="1">
      <alignment wrapText="1"/>
    </xf>
    <xf numFmtId="0" fontId="6" fillId="0" borderId="2" xfId="14" applyFont="1" applyFill="1" applyBorder="1" applyAlignment="1"/>
    <xf numFmtId="3" fontId="30" fillId="2" borderId="60" xfId="78" applyNumberFormat="1" applyFont="1" applyFill="1" applyBorder="1" applyAlignment="1">
      <alignment horizontal="left"/>
    </xf>
    <xf numFmtId="0" fontId="34" fillId="2" borderId="52" xfId="0" applyFont="1" applyFill="1" applyBorder="1" applyAlignment="1"/>
    <xf numFmtId="3" fontId="30" fillId="2" borderId="54" xfId="78" applyNumberFormat="1" applyFont="1" applyFill="1" applyBorder="1" applyAlignment="1"/>
    <xf numFmtId="0" fontId="41" fillId="2" borderId="60" xfId="0" applyFont="1" applyFill="1" applyBorder="1" applyAlignment="1">
      <alignment horizontal="left"/>
    </xf>
    <xf numFmtId="0" fontId="34" fillId="2" borderId="48" xfId="0" applyFont="1" applyFill="1" applyBorder="1" applyAlignment="1">
      <alignment horizontal="left"/>
    </xf>
    <xf numFmtId="0" fontId="34" fillId="2" borderId="52" xfId="0" applyFont="1" applyFill="1" applyBorder="1" applyAlignment="1">
      <alignment horizontal="left"/>
    </xf>
    <xf numFmtId="0" fontId="41" fillId="2" borderId="54" xfId="0" applyFont="1" applyFill="1" applyBorder="1" applyAlignment="1">
      <alignment horizontal="left"/>
    </xf>
    <xf numFmtId="3" fontId="41" fillId="2" borderId="54" xfId="0" applyNumberFormat="1" applyFont="1" applyFill="1" applyBorder="1" applyAlignment="1">
      <alignment horizontal="left"/>
    </xf>
    <xf numFmtId="3" fontId="34" fillId="2" borderId="49" xfId="0" applyNumberFormat="1" applyFont="1" applyFill="1" applyBorder="1" applyAlignment="1">
      <alignment horizontal="left"/>
    </xf>
    <xf numFmtId="9" fontId="3" fillId="2" borderId="104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103" xfId="80" applyNumberFormat="1" applyFont="1" applyFill="1" applyBorder="1" applyAlignment="1">
      <alignment horizontal="left"/>
    </xf>
    <xf numFmtId="3" fontId="3" fillId="2" borderId="96" xfId="80" applyNumberFormat="1" applyFont="1" applyFill="1" applyBorder="1" applyAlignment="1">
      <alignment horizontal="left"/>
    </xf>
    <xf numFmtId="0" fontId="2" fillId="0" borderId="2" xfId="26" applyFont="1" applyFill="1" applyBorder="1" applyAlignment="1"/>
    <xf numFmtId="3" fontId="61" fillId="4" borderId="91" xfId="0" applyNumberFormat="1" applyFont="1" applyFill="1" applyBorder="1" applyAlignment="1">
      <alignment horizontal="center" vertical="center"/>
    </xf>
    <xf numFmtId="3" fontId="61" fillId="4" borderId="107" xfId="0" applyNumberFormat="1" applyFont="1" applyFill="1" applyBorder="1" applyAlignment="1">
      <alignment horizontal="center" vertical="center"/>
    </xf>
    <xf numFmtId="9" fontId="61" fillId="4" borderId="91" xfId="0" applyNumberFormat="1" applyFont="1" applyFill="1" applyBorder="1" applyAlignment="1">
      <alignment horizontal="center" vertical="center"/>
    </xf>
    <xf numFmtId="9" fontId="61" fillId="4" borderId="107" xfId="0" applyNumberFormat="1" applyFont="1" applyFill="1" applyBorder="1" applyAlignment="1">
      <alignment horizontal="center" vertical="center"/>
    </xf>
    <xf numFmtId="3" fontId="61" fillId="4" borderId="92" xfId="0" applyNumberFormat="1" applyFont="1" applyFill="1" applyBorder="1" applyAlignment="1">
      <alignment horizontal="center" vertical="center" wrapText="1"/>
    </xf>
    <xf numFmtId="3" fontId="61" fillId="4" borderId="108" xfId="0" applyNumberFormat="1" applyFont="1" applyFill="1" applyBorder="1" applyAlignment="1">
      <alignment horizontal="center" vertical="center" wrapText="1"/>
    </xf>
    <xf numFmtId="0" fontId="41" fillId="2" borderId="115" xfId="0" applyFont="1" applyFill="1" applyBorder="1" applyAlignment="1">
      <alignment horizontal="center" vertical="center" wrapText="1"/>
    </xf>
    <xf numFmtId="0" fontId="41" fillId="2" borderId="96" xfId="0" applyFont="1" applyFill="1" applyBorder="1" applyAlignment="1">
      <alignment horizontal="center" vertical="center" wrapText="1"/>
    </xf>
    <xf numFmtId="0" fontId="61" fillId="11" borderId="117" xfId="0" applyFont="1" applyFill="1" applyBorder="1" applyAlignment="1">
      <alignment horizontal="center"/>
    </xf>
    <xf numFmtId="0" fontId="61" fillId="11" borderId="116" xfId="0" applyFont="1" applyFill="1" applyBorder="1" applyAlignment="1">
      <alignment horizontal="center"/>
    </xf>
    <xf numFmtId="0" fontId="61" fillId="11" borderId="89" xfId="0" applyFont="1" applyFill="1" applyBorder="1" applyAlignment="1">
      <alignment horizontal="center"/>
    </xf>
    <xf numFmtId="0" fontId="61" fillId="2" borderId="92" xfId="0" applyFont="1" applyFill="1" applyBorder="1" applyAlignment="1">
      <alignment horizontal="center" vertical="center" wrapText="1"/>
    </xf>
    <xf numFmtId="0" fontId="61" fillId="2" borderId="108" xfId="0" applyFont="1" applyFill="1" applyBorder="1" applyAlignment="1">
      <alignment horizontal="center" vertical="center" wrapText="1"/>
    </xf>
    <xf numFmtId="0" fontId="41" fillId="4" borderId="102" xfId="0" applyFont="1" applyFill="1" applyBorder="1" applyAlignment="1">
      <alignment horizontal="center" vertical="center" wrapText="1"/>
    </xf>
    <xf numFmtId="0" fontId="41" fillId="4" borderId="77" xfId="0" applyFont="1" applyFill="1" applyBorder="1" applyAlignment="1">
      <alignment horizontal="center" vertical="center" wrapText="1"/>
    </xf>
    <xf numFmtId="0" fontId="66" fillId="2" borderId="44" xfId="0" applyFont="1" applyFill="1" applyBorder="1" applyAlignment="1">
      <alignment horizontal="center"/>
    </xf>
    <xf numFmtId="0" fontId="66" fillId="2" borderId="99" xfId="0" applyFont="1" applyFill="1" applyBorder="1" applyAlignment="1">
      <alignment horizontal="center"/>
    </xf>
    <xf numFmtId="0" fontId="66" fillId="2" borderId="84" xfId="0" applyFont="1" applyFill="1" applyBorder="1" applyAlignment="1">
      <alignment horizontal="center"/>
    </xf>
    <xf numFmtId="0" fontId="66" fillId="4" borderId="27" xfId="0" applyFont="1" applyFill="1" applyBorder="1" applyAlignment="1">
      <alignment horizontal="center"/>
    </xf>
    <xf numFmtId="0" fontId="66" fillId="4" borderId="79" xfId="0" applyFont="1" applyFill="1" applyBorder="1" applyAlignment="1">
      <alignment horizontal="center"/>
    </xf>
    <xf numFmtId="0" fontId="66" fillId="4" borderId="80" xfId="0" applyFont="1" applyFill="1" applyBorder="1" applyAlignment="1">
      <alignment horizontal="center"/>
    </xf>
    <xf numFmtId="0" fontId="66" fillId="2" borderId="27" xfId="0" applyFont="1" applyFill="1" applyBorder="1" applyAlignment="1">
      <alignment horizontal="center"/>
    </xf>
    <xf numFmtId="0" fontId="66" fillId="2" borderId="79" xfId="0" applyFont="1" applyFill="1" applyBorder="1" applyAlignment="1">
      <alignment horizontal="center"/>
    </xf>
    <xf numFmtId="0" fontId="66" fillId="2" borderId="80" xfId="0" applyFont="1" applyFill="1" applyBorder="1" applyAlignment="1">
      <alignment horizontal="center"/>
    </xf>
    <xf numFmtId="166" fontId="41" fillId="2" borderId="81" xfId="0" applyNumberFormat="1" applyFont="1" applyFill="1" applyBorder="1" applyAlignment="1">
      <alignment horizontal="center" vertical="center"/>
    </xf>
    <xf numFmtId="0" fontId="34" fillId="0" borderId="113" xfId="0" applyFont="1" applyBorder="1" applyAlignment="1">
      <alignment horizontal="center" vertical="center"/>
    </xf>
    <xf numFmtId="0" fontId="61" fillId="4" borderId="106" xfId="0" applyFont="1" applyFill="1" applyBorder="1" applyAlignment="1">
      <alignment horizontal="center" vertical="center" wrapText="1"/>
    </xf>
    <xf numFmtId="0" fontId="61" fillId="4" borderId="114" xfId="0" applyFont="1" applyFill="1" applyBorder="1" applyAlignment="1">
      <alignment horizontal="center" vertical="center" wrapText="1"/>
    </xf>
    <xf numFmtId="0" fontId="61" fillId="4" borderId="91" xfId="0" applyFont="1" applyFill="1" applyBorder="1" applyAlignment="1">
      <alignment horizontal="center" vertical="center" wrapText="1"/>
    </xf>
    <xf numFmtId="0" fontId="61" fillId="4" borderId="107" xfId="0" applyFont="1" applyFill="1" applyBorder="1" applyAlignment="1">
      <alignment horizontal="center" vertical="center" wrapText="1"/>
    </xf>
    <xf numFmtId="0" fontId="61" fillId="4" borderId="92" xfId="0" applyFont="1" applyFill="1" applyBorder="1" applyAlignment="1">
      <alignment horizontal="center" vertical="center" wrapText="1"/>
    </xf>
    <xf numFmtId="0" fontId="61" fillId="4" borderId="108" xfId="0" applyFont="1" applyFill="1" applyBorder="1" applyAlignment="1">
      <alignment horizontal="center" vertical="center" wrapText="1"/>
    </xf>
    <xf numFmtId="0" fontId="41" fillId="4" borderId="1" xfId="0" applyFont="1" applyFill="1" applyBorder="1" applyAlignment="1">
      <alignment horizontal="center" vertical="center" wrapText="1"/>
    </xf>
    <xf numFmtId="0" fontId="41" fillId="4" borderId="3" xfId="0" applyFont="1" applyFill="1" applyBorder="1" applyAlignment="1">
      <alignment horizontal="center" vertical="center" wrapText="1"/>
    </xf>
    <xf numFmtId="168" fontId="61" fillId="2" borderId="106" xfId="0" applyNumberFormat="1" applyFont="1" applyFill="1" applyBorder="1" applyAlignment="1">
      <alignment horizontal="center" vertical="center" wrapText="1"/>
    </xf>
    <xf numFmtId="168" fontId="61" fillId="2" borderId="114" xfId="0" applyNumberFormat="1" applyFont="1" applyFill="1" applyBorder="1" applyAlignment="1">
      <alignment horizontal="center" vertical="center" wrapText="1"/>
    </xf>
    <xf numFmtId="0" fontId="61" fillId="2" borderId="91" xfId="0" applyFont="1" applyFill="1" applyBorder="1" applyAlignment="1">
      <alignment horizontal="center" vertical="center" wrapText="1"/>
    </xf>
    <xf numFmtId="0" fontId="61" fillId="2" borderId="107" xfId="0" applyFont="1" applyFill="1" applyBorder="1" applyAlignment="1">
      <alignment horizontal="center" vertical="center" wrapText="1"/>
    </xf>
    <xf numFmtId="0" fontId="56" fillId="0" borderId="2" xfId="26" applyFont="1" applyFill="1" applyBorder="1" applyAlignment="1"/>
    <xf numFmtId="0" fontId="2" fillId="0" borderId="2" xfId="0" applyFont="1" applyFill="1" applyBorder="1" applyAlignment="1">
      <alignment wrapText="1"/>
    </xf>
    <xf numFmtId="0" fontId="41" fillId="2" borderId="58" xfId="0" applyFont="1" applyFill="1" applyBorder="1" applyAlignment="1">
      <alignment vertical="center"/>
    </xf>
    <xf numFmtId="3" fontId="33" fillId="2" borderId="60" xfId="26" applyNumberFormat="1" applyFont="1" applyFill="1" applyBorder="1" applyAlignment="1">
      <alignment horizontal="center"/>
    </xf>
    <xf numFmtId="3" fontId="33" fillId="2" borderId="48" xfId="26" applyNumberFormat="1" applyFont="1" applyFill="1" applyBorder="1" applyAlignment="1">
      <alignment horizontal="center"/>
    </xf>
    <xf numFmtId="3" fontId="33" fillId="2" borderId="97" xfId="26" applyNumberFormat="1" applyFont="1" applyFill="1" applyBorder="1" applyAlignment="1">
      <alignment horizontal="center"/>
    </xf>
    <xf numFmtId="3" fontId="33" fillId="2" borderId="49" xfId="26" applyNumberFormat="1" applyFont="1" applyFill="1" applyBorder="1" applyAlignment="1">
      <alignment horizontal="center"/>
    </xf>
    <xf numFmtId="3" fontId="33" fillId="2" borderId="102" xfId="26" applyNumberFormat="1" applyFont="1" applyFill="1" applyBorder="1" applyAlignment="1">
      <alignment horizontal="center"/>
    </xf>
    <xf numFmtId="3" fontId="33" fillId="2" borderId="77" xfId="26" applyNumberFormat="1" applyFont="1" applyFill="1" applyBorder="1" applyAlignment="1">
      <alignment horizontal="center"/>
    </xf>
    <xf numFmtId="0" fontId="33" fillId="2" borderId="33" xfId="0" applyFont="1" applyFill="1" applyBorder="1" applyAlignment="1">
      <alignment horizontal="center" vertical="top" wrapText="1"/>
    </xf>
    <xf numFmtId="3" fontId="33" fillId="2" borderId="49" xfId="0" applyNumberFormat="1" applyFont="1" applyFill="1" applyBorder="1" applyAlignment="1">
      <alignment horizontal="center" vertical="top"/>
    </xf>
    <xf numFmtId="0" fontId="33" fillId="2" borderId="33" xfId="0" applyFont="1" applyFill="1" applyBorder="1" applyAlignment="1">
      <alignment horizontal="center" vertical="top"/>
    </xf>
    <xf numFmtId="0" fontId="33" fillId="2" borderId="33" xfId="0" applyFont="1" applyFill="1" applyBorder="1" applyAlignment="1">
      <alignment horizontal="center" vertical="center"/>
    </xf>
    <xf numFmtId="0" fontId="33" fillId="2" borderId="60" xfId="0" quotePrefix="1" applyFont="1" applyFill="1" applyBorder="1" applyAlignment="1">
      <alignment horizontal="center"/>
    </xf>
    <xf numFmtId="0" fontId="33" fillId="2" borderId="49" xfId="0" applyFont="1" applyFill="1" applyBorder="1" applyAlignment="1">
      <alignment horizontal="center"/>
    </xf>
    <xf numFmtId="9" fontId="46" fillId="2" borderId="49" xfId="0" applyNumberFormat="1" applyFont="1" applyFill="1" applyBorder="1" applyAlignment="1">
      <alignment horizontal="center" vertical="top"/>
    </xf>
    <xf numFmtId="0" fontId="33" fillId="2" borderId="76" xfId="0" applyNumberFormat="1" applyFont="1" applyFill="1" applyBorder="1" applyAlignment="1">
      <alignment horizontal="center" vertical="top"/>
    </xf>
    <xf numFmtId="0" fontId="33" fillId="2" borderId="76" xfId="0" applyFont="1" applyFill="1" applyBorder="1" applyAlignment="1">
      <alignment horizontal="center" vertical="top" wrapText="1"/>
    </xf>
    <xf numFmtId="0" fontId="33" fillId="2" borderId="60" xfId="0" quotePrefix="1" applyNumberFormat="1" applyFont="1" applyFill="1" applyBorder="1" applyAlignment="1">
      <alignment horizontal="center"/>
    </xf>
    <xf numFmtId="0" fontId="33" fillId="2" borderId="49" xfId="0" applyNumberFormat="1" applyFont="1" applyFill="1" applyBorder="1" applyAlignment="1">
      <alignment horizontal="center"/>
    </xf>
    <xf numFmtId="49" fontId="33" fillId="2" borderId="33" xfId="0" applyNumberFormat="1" applyFont="1" applyFill="1" applyBorder="1" applyAlignment="1">
      <alignment horizontal="center" vertical="top"/>
    </xf>
    <xf numFmtId="0" fontId="46" fillId="2" borderId="49" xfId="0" applyNumberFormat="1" applyFont="1" applyFill="1" applyBorder="1" applyAlignment="1">
      <alignment horizontal="center" vertical="top"/>
    </xf>
    <xf numFmtId="0" fontId="6" fillId="0" borderId="2" xfId="26" applyFont="1" applyFill="1" applyBorder="1" applyAlignment="1">
      <alignment horizontal="left"/>
    </xf>
    <xf numFmtId="3" fontId="33" fillId="0" borderId="48" xfId="26" applyNumberFormat="1" applyFont="1" applyFill="1" applyBorder="1" applyAlignment="1">
      <alignment horizontal="right" vertical="top"/>
    </xf>
    <xf numFmtId="0" fontId="34" fillId="0" borderId="48" xfId="0" applyFont="1" applyFill="1" applyBorder="1" applyAlignment="1">
      <alignment horizontal="right" vertical="top"/>
    </xf>
    <xf numFmtId="0" fontId="34" fillId="0" borderId="97" xfId="0" applyFont="1" applyFill="1" applyBorder="1" applyAlignment="1">
      <alignment horizontal="right" vertical="top"/>
    </xf>
    <xf numFmtId="3" fontId="33" fillId="10" borderId="76" xfId="26" applyNumberFormat="1" applyFont="1" applyFill="1" applyBorder="1" applyAlignment="1">
      <alignment horizontal="center" vertical="center" wrapText="1"/>
    </xf>
    <xf numFmtId="3" fontId="33" fillId="10" borderId="59" xfId="26" applyNumberFormat="1" applyFont="1" applyFill="1" applyBorder="1" applyAlignment="1">
      <alignment horizontal="center" vertical="center" wrapText="1"/>
    </xf>
    <xf numFmtId="3" fontId="33" fillId="10" borderId="60" xfId="26" applyNumberFormat="1" applyFont="1" applyFill="1" applyBorder="1" applyAlignment="1">
      <alignment horizontal="center"/>
    </xf>
    <xf numFmtId="3" fontId="33" fillId="10" borderId="48" xfId="26" applyNumberFormat="1" applyFont="1" applyFill="1" applyBorder="1" applyAlignment="1">
      <alignment horizontal="center"/>
    </xf>
    <xf numFmtId="3" fontId="33" fillId="10" borderId="97" xfId="26" applyNumberFormat="1" applyFont="1" applyFill="1" applyBorder="1" applyAlignment="1">
      <alignment horizontal="center"/>
    </xf>
    <xf numFmtId="3" fontId="33" fillId="10" borderId="49" xfId="26" applyNumberFormat="1" applyFont="1" applyFill="1" applyBorder="1" applyAlignment="1">
      <alignment horizontal="center"/>
    </xf>
    <xf numFmtId="3" fontId="33" fillId="4" borderId="76" xfId="26" applyNumberFormat="1" applyFont="1" applyFill="1" applyBorder="1" applyAlignment="1">
      <alignment horizontal="center" vertical="center" wrapText="1"/>
    </xf>
    <xf numFmtId="3" fontId="33" fillId="4" borderId="59" xfId="26" applyNumberFormat="1" applyFont="1" applyFill="1" applyBorder="1" applyAlignment="1">
      <alignment horizontal="center" vertical="center" wrapText="1"/>
    </xf>
    <xf numFmtId="3" fontId="33" fillId="4" borderId="60" xfId="26" applyNumberFormat="1" applyFont="1" applyFill="1" applyBorder="1" applyAlignment="1">
      <alignment horizontal="center"/>
    </xf>
    <xf numFmtId="3" fontId="33" fillId="4" borderId="48" xfId="26" applyNumberFormat="1" applyFont="1" applyFill="1" applyBorder="1" applyAlignment="1">
      <alignment horizontal="center"/>
    </xf>
    <xf numFmtId="3" fontId="33" fillId="4" borderId="97" xfId="26" applyNumberFormat="1" applyFont="1" applyFill="1" applyBorder="1" applyAlignment="1">
      <alignment horizontal="center"/>
    </xf>
    <xf numFmtId="3" fontId="33" fillId="4" borderId="49" xfId="26" applyNumberFormat="1" applyFont="1" applyFill="1" applyBorder="1" applyAlignment="1">
      <alignment horizontal="center"/>
    </xf>
    <xf numFmtId="167" fontId="31" fillId="5" borderId="18" xfId="26" applyNumberFormat="1" applyFont="1" applyFill="1" applyBorder="1" applyAlignment="1">
      <alignment horizontal="center"/>
    </xf>
    <xf numFmtId="0" fontId="34" fillId="0" borderId="19" xfId="98" applyFont="1" applyBorder="1" applyAlignment="1">
      <alignment horizontal="center"/>
    </xf>
    <xf numFmtId="3" fontId="33" fillId="5" borderId="18" xfId="26" applyNumberFormat="1" applyFont="1" applyFill="1" applyBorder="1" applyAlignment="1">
      <alignment horizontal="center"/>
    </xf>
    <xf numFmtId="0" fontId="34" fillId="0" borderId="0" xfId="0" applyFont="1" applyBorder="1" applyAlignment="1">
      <alignment horizontal="center"/>
    </xf>
    <xf numFmtId="3" fontId="33" fillId="0" borderId="18" xfId="26" applyNumberFormat="1" applyFont="1" applyBorder="1" applyAlignment="1">
      <alignment horizontal="center"/>
    </xf>
    <xf numFmtId="0" fontId="34" fillId="0" borderId="19" xfId="0" applyFont="1" applyBorder="1" applyAlignment="1">
      <alignment horizontal="center"/>
    </xf>
    <xf numFmtId="3" fontId="33" fillId="2" borderId="76" xfId="26" applyNumberFormat="1" applyFont="1" applyFill="1" applyBorder="1" applyAlignment="1">
      <alignment horizontal="center" vertical="center"/>
    </xf>
    <xf numFmtId="3" fontId="33" fillId="2" borderId="59" xfId="26" applyNumberFormat="1" applyFont="1" applyFill="1" applyBorder="1" applyAlignment="1">
      <alignment horizontal="center" vertical="center"/>
    </xf>
    <xf numFmtId="3" fontId="33" fillId="0" borderId="97" xfId="26" applyNumberFormat="1" applyFont="1" applyFill="1" applyBorder="1" applyAlignment="1">
      <alignment horizontal="right" vertical="top"/>
    </xf>
    <xf numFmtId="3" fontId="33" fillId="3" borderId="76" xfId="26" applyNumberFormat="1" applyFont="1" applyFill="1" applyBorder="1" applyAlignment="1">
      <alignment horizontal="center" vertical="center" wrapText="1"/>
    </xf>
    <xf numFmtId="3" fontId="33" fillId="3" borderId="59" xfId="26" applyNumberFormat="1" applyFont="1" applyFill="1" applyBorder="1" applyAlignment="1">
      <alignment horizontal="center" vertical="center" wrapText="1"/>
    </xf>
    <xf numFmtId="3" fontId="33" fillId="3" borderId="60" xfId="26" applyNumberFormat="1" applyFont="1" applyFill="1" applyBorder="1" applyAlignment="1">
      <alignment horizontal="center"/>
    </xf>
    <xf numFmtId="3" fontId="33" fillId="3" borderId="48" xfId="26" applyNumberFormat="1" applyFont="1" applyFill="1" applyBorder="1" applyAlignment="1">
      <alignment horizontal="center"/>
    </xf>
    <xf numFmtId="3" fontId="33" fillId="3" borderId="97" xfId="26" applyNumberFormat="1" applyFont="1" applyFill="1" applyBorder="1" applyAlignment="1">
      <alignment horizontal="center"/>
    </xf>
    <xf numFmtId="3" fontId="33" fillId="3" borderId="49" xfId="26" applyNumberFormat="1" applyFont="1" applyFill="1" applyBorder="1" applyAlignment="1">
      <alignment horizontal="center"/>
    </xf>
    <xf numFmtId="3" fontId="3" fillId="2" borderId="60" xfId="27" applyNumberFormat="1" applyFont="1" applyFill="1" applyBorder="1" applyAlignment="1">
      <alignment horizontal="center"/>
    </xf>
    <xf numFmtId="0" fontId="34" fillId="2" borderId="48" xfId="14" applyFont="1" applyFill="1" applyBorder="1" applyAlignment="1">
      <alignment horizontal="center"/>
    </xf>
    <xf numFmtId="0" fontId="34" fillId="2" borderId="49" xfId="14" applyFont="1" applyFill="1" applyBorder="1" applyAlignment="1">
      <alignment horizontal="center"/>
    </xf>
    <xf numFmtId="3" fontId="3" fillId="2" borderId="60" xfId="24" applyNumberFormat="1" applyFont="1" applyFill="1" applyBorder="1" applyAlignment="1">
      <alignment horizontal="center"/>
    </xf>
    <xf numFmtId="0" fontId="4" fillId="2" borderId="48" xfId="26" applyFont="1" applyFill="1" applyBorder="1" applyAlignment="1">
      <alignment horizontal="center"/>
    </xf>
    <xf numFmtId="168" fontId="3" fillId="2" borderId="33" xfId="26" applyNumberFormat="1" applyFont="1" applyFill="1" applyBorder="1" applyAlignment="1">
      <alignment horizontal="left" vertical="top"/>
    </xf>
    <xf numFmtId="168" fontId="3" fillId="2" borderId="34" xfId="26" applyNumberFormat="1" applyFont="1" applyFill="1" applyBorder="1" applyAlignment="1">
      <alignment horizontal="left" vertical="top"/>
    </xf>
    <xf numFmtId="3" fontId="3" fillId="2" borderId="33" xfId="26" applyNumberFormat="1" applyFont="1" applyFill="1" applyBorder="1" applyAlignment="1">
      <alignment horizontal="center" vertical="top"/>
    </xf>
    <xf numFmtId="3" fontId="3" fillId="2" borderId="34" xfId="26" applyNumberFormat="1" applyFont="1" applyFill="1" applyBorder="1" applyAlignment="1">
      <alignment horizontal="center" vertical="top"/>
    </xf>
    <xf numFmtId="3" fontId="3" fillId="2" borderId="60" xfId="26" applyNumberFormat="1" applyFont="1" applyFill="1" applyBorder="1" applyAlignment="1">
      <alignment horizontal="center"/>
    </xf>
    <xf numFmtId="3" fontId="3" fillId="2" borderId="49" xfId="26" applyNumberFormat="1" applyFont="1" applyFill="1" applyBorder="1" applyAlignment="1">
      <alignment horizontal="center"/>
    </xf>
    <xf numFmtId="49" fontId="3" fillId="2" borderId="33" xfId="26" applyNumberFormat="1" applyFont="1" applyFill="1" applyBorder="1" applyAlignment="1">
      <alignment horizontal="left" vertical="top"/>
    </xf>
    <xf numFmtId="49" fontId="3" fillId="2" borderId="34" xfId="26" applyNumberFormat="1" applyFont="1" applyFill="1" applyBorder="1" applyAlignment="1">
      <alignment horizontal="left" vertical="top"/>
    </xf>
    <xf numFmtId="0" fontId="3" fillId="2" borderId="60" xfId="26" quotePrefix="1" applyNumberFormat="1" applyFont="1" applyFill="1" applyBorder="1" applyAlignment="1">
      <alignment horizontal="center" vertical="top"/>
    </xf>
    <xf numFmtId="0" fontId="3" fillId="2" borderId="48" xfId="26" applyNumberFormat="1" applyFont="1" applyFill="1" applyBorder="1" applyAlignment="1">
      <alignment horizontal="center" vertical="top"/>
    </xf>
    <xf numFmtId="0" fontId="3" fillId="2" borderId="49" xfId="26" applyNumberFormat="1" applyFont="1" applyFill="1" applyBorder="1" applyAlignment="1">
      <alignment horizontal="center" vertical="top"/>
    </xf>
    <xf numFmtId="168" fontId="3" fillId="2" borderId="33" xfId="26" applyNumberFormat="1" applyFont="1" applyFill="1" applyBorder="1" applyAlignment="1">
      <alignment horizontal="left" vertical="top" wrapText="1"/>
    </xf>
    <xf numFmtId="168" fontId="3" fillId="2" borderId="34" xfId="26" applyNumberFormat="1" applyFont="1" applyFill="1" applyBorder="1" applyAlignment="1">
      <alignment horizontal="left" vertical="top" wrapText="1"/>
    </xf>
    <xf numFmtId="0" fontId="33" fillId="2" borderId="33" xfId="0" applyFont="1" applyFill="1" applyBorder="1" applyAlignment="1">
      <alignment vertical="center" wrapText="1"/>
    </xf>
    <xf numFmtId="0" fontId="45" fillId="0" borderId="2" xfId="26" applyFont="1" applyFill="1" applyBorder="1" applyAlignment="1"/>
    <xf numFmtId="0" fontId="58" fillId="0" borderId="2" xfId="26" applyFont="1" applyFill="1" applyBorder="1" applyAlignment="1"/>
    <xf numFmtId="3" fontId="33" fillId="2" borderId="51" xfId="76" applyNumberFormat="1" applyFont="1" applyFill="1" applyBorder="1" applyAlignment="1">
      <alignment horizontal="center" vertical="center"/>
    </xf>
    <xf numFmtId="3" fontId="33" fillId="2" borderId="53" xfId="76" applyNumberFormat="1" applyFont="1" applyFill="1" applyBorder="1" applyAlignment="1">
      <alignment horizontal="center" vertical="center"/>
    </xf>
    <xf numFmtId="3" fontId="33" fillId="2" borderId="6" xfId="76" applyNumberFormat="1" applyFont="1" applyFill="1" applyBorder="1" applyAlignment="1">
      <alignment horizontal="center"/>
    </xf>
    <xf numFmtId="3" fontId="33" fillId="2" borderId="70" xfId="76" applyNumberFormat="1" applyFont="1" applyFill="1" applyBorder="1" applyAlignment="1">
      <alignment horizontal="center"/>
    </xf>
    <xf numFmtId="3" fontId="33" fillId="2" borderId="8" xfId="76" applyNumberFormat="1" applyFont="1" applyFill="1" applyBorder="1" applyAlignment="1">
      <alignment horizontal="center"/>
    </xf>
    <xf numFmtId="3" fontId="33" fillId="2" borderId="7" xfId="76" applyNumberFormat="1" applyFont="1" applyFill="1" applyBorder="1" applyAlignment="1">
      <alignment horizontal="center"/>
    </xf>
    <xf numFmtId="0" fontId="68" fillId="0" borderId="0" xfId="0" applyFont="1"/>
    <xf numFmtId="3" fontId="35" fillId="12" borderId="122" xfId="83" applyNumberFormat="1" applyFont="1" applyFill="1" applyBorder="1" applyAlignment="1">
      <alignment horizontal="right" vertical="top"/>
    </xf>
    <xf numFmtId="3" fontId="35" fillId="12" borderId="123" xfId="83" applyNumberFormat="1" applyFont="1" applyFill="1" applyBorder="1" applyAlignment="1">
      <alignment horizontal="right" vertical="top"/>
    </xf>
    <xf numFmtId="9" fontId="35" fillId="12" borderId="124" xfId="83" applyFont="1" applyFill="1" applyBorder="1" applyAlignment="1">
      <alignment horizontal="right" vertical="top"/>
    </xf>
    <xf numFmtId="9" fontId="35" fillId="12" borderId="125" xfId="83" applyFont="1" applyFill="1" applyBorder="1" applyAlignment="1">
      <alignment horizontal="right" vertical="top"/>
    </xf>
    <xf numFmtId="3" fontId="35" fillId="13" borderId="121" xfId="24" applyNumberFormat="1" applyFont="1" applyFill="1" applyBorder="1" applyAlignment="1">
      <alignment horizontal="left" vertical="top"/>
    </xf>
    <xf numFmtId="0" fontId="31" fillId="0" borderId="0" xfId="0" applyFont="1" applyAlignment="1">
      <alignment horizontal="left"/>
    </xf>
    <xf numFmtId="3" fontId="31" fillId="0" borderId="0" xfId="0" applyNumberFormat="1" applyFont="1" applyAlignment="1">
      <alignment horizontal="left"/>
    </xf>
    <xf numFmtId="3" fontId="31" fillId="0" borderId="0" xfId="0" applyNumberFormat="1" applyFont="1" applyAlignment="1">
      <alignment horizontal="right"/>
    </xf>
    <xf numFmtId="9" fontId="31" fillId="0" borderId="0" xfId="0" applyNumberFormat="1" applyFont="1" applyAlignment="1">
      <alignment horizontal="right"/>
    </xf>
    <xf numFmtId="3" fontId="31" fillId="0" borderId="0" xfId="0" applyNumberFormat="1" applyFont="1"/>
    <xf numFmtId="164" fontId="33" fillId="2" borderId="111" xfId="53" applyNumberFormat="1" applyFont="1" applyFill="1" applyBorder="1" applyAlignment="1">
      <alignment horizontal="left"/>
    </xf>
    <xf numFmtId="164" fontId="33" fillId="2" borderId="126" xfId="53" applyNumberFormat="1" applyFont="1" applyFill="1" applyBorder="1" applyAlignment="1">
      <alignment horizontal="left"/>
    </xf>
    <xf numFmtId="0" fontId="33" fillId="2" borderId="126" xfId="53" applyNumberFormat="1" applyFont="1" applyFill="1" applyBorder="1" applyAlignment="1">
      <alignment horizontal="left"/>
    </xf>
    <xf numFmtId="164" fontId="33" fillId="2" borderId="109" xfId="53" applyNumberFormat="1" applyFont="1" applyFill="1" applyBorder="1" applyAlignment="1">
      <alignment horizontal="left"/>
    </xf>
    <xf numFmtId="3" fontId="33" fillId="2" borderId="109" xfId="53" applyNumberFormat="1" applyFont="1" applyFill="1" applyBorder="1" applyAlignment="1">
      <alignment horizontal="left"/>
    </xf>
    <xf numFmtId="3" fontId="33" fillId="2" borderId="61" xfId="53" applyNumberFormat="1" applyFont="1" applyFill="1" applyBorder="1" applyAlignment="1">
      <alignment horizontal="left"/>
    </xf>
    <xf numFmtId="3" fontId="34" fillId="0" borderId="126" xfId="0" applyNumberFormat="1" applyFont="1" applyFill="1" applyBorder="1"/>
    <xf numFmtId="3" fontId="34" fillId="0" borderId="110" xfId="0" applyNumberFormat="1" applyFont="1" applyFill="1" applyBorder="1"/>
    <xf numFmtId="0" fontId="34" fillId="0" borderId="78" xfId="0" applyFont="1" applyFill="1" applyBorder="1"/>
    <xf numFmtId="0" fontId="34" fillId="0" borderId="79" xfId="0" applyFont="1" applyFill="1" applyBorder="1"/>
    <xf numFmtId="164" fontId="34" fillId="0" borderId="79" xfId="0" applyNumberFormat="1" applyFont="1" applyFill="1" applyBorder="1"/>
    <xf numFmtId="164" fontId="34" fillId="0" borderId="79" xfId="0" applyNumberFormat="1" applyFont="1" applyFill="1" applyBorder="1" applyAlignment="1">
      <alignment horizontal="right"/>
    </xf>
    <xf numFmtId="0" fontId="34" fillId="0" borderId="79" xfId="0" applyNumberFormat="1" applyFont="1" applyFill="1" applyBorder="1"/>
    <xf numFmtId="3" fontId="34" fillId="0" borderId="79" xfId="0" applyNumberFormat="1" applyFont="1" applyFill="1" applyBorder="1"/>
    <xf numFmtId="3" fontId="34" fillId="0" borderId="80" xfId="0" applyNumberFormat="1" applyFont="1" applyFill="1" applyBorder="1"/>
    <xf numFmtId="0" fontId="34" fillId="0" borderId="86" xfId="0" applyFont="1" applyFill="1" applyBorder="1"/>
    <xf numFmtId="0" fontId="34" fillId="0" borderId="87" xfId="0" applyFont="1" applyFill="1" applyBorder="1"/>
    <xf numFmtId="164" fontId="34" fillId="0" borderId="87" xfId="0" applyNumberFormat="1" applyFont="1" applyFill="1" applyBorder="1"/>
    <xf numFmtId="164" fontId="34" fillId="0" borderId="87" xfId="0" applyNumberFormat="1" applyFont="1" applyFill="1" applyBorder="1" applyAlignment="1">
      <alignment horizontal="right"/>
    </xf>
    <xf numFmtId="0" fontId="34" fillId="0" borderId="87" xfId="0" applyNumberFormat="1" applyFont="1" applyFill="1" applyBorder="1"/>
    <xf numFmtId="3" fontId="34" fillId="0" borderId="87" xfId="0" applyNumberFormat="1" applyFont="1" applyFill="1" applyBorder="1"/>
    <xf numFmtId="3" fontId="34" fillId="0" borderId="88" xfId="0" applyNumberFormat="1" applyFont="1" applyFill="1" applyBorder="1"/>
    <xf numFmtId="0" fontId="34" fillId="0" borderId="81" xfId="0" applyFont="1" applyFill="1" applyBorder="1"/>
    <xf numFmtId="0" fontId="34" fillId="0" borderId="82" xfId="0" applyFont="1" applyFill="1" applyBorder="1"/>
    <xf numFmtId="164" fontId="34" fillId="0" borderId="82" xfId="0" applyNumberFormat="1" applyFont="1" applyFill="1" applyBorder="1"/>
    <xf numFmtId="164" fontId="34" fillId="0" borderId="82" xfId="0" applyNumberFormat="1" applyFont="1" applyFill="1" applyBorder="1" applyAlignment="1">
      <alignment horizontal="right"/>
    </xf>
    <xf numFmtId="0" fontId="34" fillId="0" borderId="82" xfId="0" applyNumberFormat="1" applyFont="1" applyFill="1" applyBorder="1"/>
    <xf numFmtId="3" fontId="34" fillId="0" borderId="82" xfId="0" applyNumberFormat="1" applyFont="1" applyFill="1" applyBorder="1"/>
    <xf numFmtId="3" fontId="34" fillId="0" borderId="83" xfId="0" applyNumberFormat="1" applyFont="1" applyFill="1" applyBorder="1"/>
    <xf numFmtId="0" fontId="41" fillId="2" borderId="111" xfId="0" applyFont="1" applyFill="1" applyBorder="1"/>
    <xf numFmtId="3" fontId="41" fillId="2" borderId="112" xfId="0" applyNumberFormat="1" applyFont="1" applyFill="1" applyBorder="1"/>
    <xf numFmtId="9" fontId="41" fillId="2" borderId="74" xfId="0" applyNumberFormat="1" applyFont="1" applyFill="1" applyBorder="1"/>
    <xf numFmtId="3" fontId="41" fillId="2" borderId="61" xfId="0" applyNumberFormat="1" applyFont="1" applyFill="1" applyBorder="1"/>
    <xf numFmtId="9" fontId="34" fillId="0" borderId="126" xfId="0" applyNumberFormat="1" applyFont="1" applyFill="1" applyBorder="1"/>
    <xf numFmtId="9" fontId="34" fillId="0" borderId="79" xfId="0" applyNumberFormat="1" applyFont="1" applyFill="1" applyBorder="1"/>
    <xf numFmtId="9" fontId="34" fillId="0" borderId="82" xfId="0" applyNumberFormat="1" applyFont="1" applyFill="1" applyBorder="1"/>
    <xf numFmtId="0" fontId="34" fillId="0" borderId="22" xfId="0" applyFont="1" applyFill="1" applyBorder="1"/>
    <xf numFmtId="3" fontId="34" fillId="0" borderId="30" xfId="0" applyNumberFormat="1" applyFont="1" applyFill="1" applyBorder="1"/>
    <xf numFmtId="3" fontId="34" fillId="0" borderId="23" xfId="0" applyNumberFormat="1" applyFont="1" applyFill="1" applyBorder="1"/>
    <xf numFmtId="0" fontId="41" fillId="13" borderId="22" xfId="0" applyFont="1" applyFill="1" applyBorder="1"/>
    <xf numFmtId="3" fontId="41" fillId="13" borderId="30" xfId="0" applyNumberFormat="1" applyFont="1" applyFill="1" applyBorder="1"/>
    <xf numFmtId="9" fontId="41" fillId="13" borderId="30" xfId="0" applyNumberFormat="1" applyFont="1" applyFill="1" applyBorder="1"/>
    <xf numFmtId="3" fontId="41" fillId="13" borderId="23" xfId="0" applyNumberFormat="1" applyFont="1" applyFill="1" applyBorder="1"/>
    <xf numFmtId="0" fontId="41" fillId="0" borderId="111" xfId="0" applyFont="1" applyFill="1" applyBorder="1"/>
    <xf numFmtId="0" fontId="34" fillId="5" borderId="12" xfId="0" applyFont="1" applyFill="1" applyBorder="1" applyAlignment="1">
      <alignment wrapText="1"/>
    </xf>
    <xf numFmtId="9" fontId="34" fillId="0" borderId="87" xfId="0" applyNumberFormat="1" applyFont="1" applyFill="1" applyBorder="1"/>
    <xf numFmtId="3" fontId="34" fillId="0" borderId="91" xfId="0" applyNumberFormat="1" applyFont="1" applyFill="1" applyBorder="1"/>
    <xf numFmtId="9" fontId="34" fillId="0" borderId="91" xfId="0" applyNumberFormat="1" applyFont="1" applyFill="1" applyBorder="1"/>
    <xf numFmtId="3" fontId="34" fillId="0" borderId="92" xfId="0" applyNumberFormat="1" applyFont="1" applyFill="1" applyBorder="1"/>
    <xf numFmtId="0" fontId="41" fillId="0" borderId="78" xfId="0" applyFont="1" applyFill="1" applyBorder="1"/>
    <xf numFmtId="0" fontId="41" fillId="0" borderId="86" xfId="0" applyFont="1" applyFill="1" applyBorder="1"/>
    <xf numFmtId="0" fontId="41" fillId="0" borderId="106" xfId="0" applyFont="1" applyFill="1" applyBorder="1"/>
    <xf numFmtId="0" fontId="41" fillId="2" borderId="126" xfId="0" applyFont="1" applyFill="1" applyBorder="1"/>
    <xf numFmtId="3" fontId="41" fillId="2" borderId="0" xfId="0" applyNumberFormat="1" applyFont="1" applyFill="1" applyBorder="1"/>
    <xf numFmtId="3" fontId="41" fillId="2" borderId="19" xfId="0" applyNumberFormat="1" applyFont="1" applyFill="1" applyBorder="1"/>
    <xf numFmtId="0" fontId="3" fillId="2" borderId="111" xfId="79" applyFont="1" applyFill="1" applyBorder="1" applyAlignment="1">
      <alignment horizontal="left"/>
    </xf>
    <xf numFmtId="3" fontId="3" fillId="2" borderId="91" xfId="80" applyNumberFormat="1" applyFont="1" applyFill="1" applyBorder="1"/>
    <xf numFmtId="3" fontId="3" fillId="2" borderId="92" xfId="80" applyNumberFormat="1" applyFont="1" applyFill="1" applyBorder="1"/>
    <xf numFmtId="9" fontId="3" fillId="2" borderId="129" xfId="80" applyNumberFormat="1" applyFont="1" applyFill="1" applyBorder="1"/>
    <xf numFmtId="9" fontId="3" fillId="2" borderId="91" xfId="80" applyNumberFormat="1" applyFont="1" applyFill="1" applyBorder="1"/>
    <xf numFmtId="9" fontId="3" fillId="2" borderId="92" xfId="80" applyNumberFormat="1" applyFont="1" applyFill="1" applyBorder="1"/>
    <xf numFmtId="9" fontId="34" fillId="0" borderId="80" xfId="0" applyNumberFormat="1" applyFont="1" applyFill="1" applyBorder="1"/>
    <xf numFmtId="9" fontId="34" fillId="0" borderId="83" xfId="0" applyNumberFormat="1" applyFont="1" applyFill="1" applyBorder="1"/>
    <xf numFmtId="0" fontId="41" fillId="0" borderId="101" xfId="0" applyFont="1" applyFill="1" applyBorder="1"/>
    <xf numFmtId="0" fontId="41" fillId="0" borderId="100" xfId="0" applyFont="1" applyFill="1" applyBorder="1" applyAlignment="1">
      <alignment horizontal="left" indent="1"/>
    </xf>
    <xf numFmtId="9" fontId="34" fillId="0" borderId="130" xfId="0" applyNumberFormat="1" applyFont="1" applyFill="1" applyBorder="1"/>
    <xf numFmtId="9" fontId="34" fillId="0" borderId="95" xfId="0" applyNumberFormat="1" applyFont="1" applyFill="1" applyBorder="1"/>
    <xf numFmtId="3" fontId="34" fillId="0" borderId="78" xfId="0" applyNumberFormat="1" applyFont="1" applyFill="1" applyBorder="1"/>
    <xf numFmtId="3" fontId="34" fillId="0" borderId="81" xfId="0" applyNumberFormat="1" applyFont="1" applyFill="1" applyBorder="1"/>
    <xf numFmtId="9" fontId="34" fillId="0" borderId="131" xfId="0" applyNumberFormat="1" applyFont="1" applyFill="1" applyBorder="1"/>
    <xf numFmtId="9" fontId="34" fillId="0" borderId="113" xfId="0" applyNumberFormat="1" applyFont="1" applyFill="1" applyBorder="1"/>
    <xf numFmtId="0" fontId="34" fillId="2" borderId="61" xfId="0" applyFont="1" applyFill="1" applyBorder="1" applyAlignment="1">
      <alignment vertical="center"/>
    </xf>
    <xf numFmtId="0" fontId="33" fillId="2" borderId="18" xfId="26" applyNumberFormat="1" applyFont="1" applyFill="1" applyBorder="1"/>
    <xf numFmtId="0" fontId="33" fillId="2" borderId="0" xfId="26" applyNumberFormat="1" applyFont="1" applyFill="1" applyBorder="1"/>
    <xf numFmtId="9" fontId="33" fillId="2" borderId="0" xfId="26" quotePrefix="1" applyNumberFormat="1" applyFont="1" applyFill="1" applyBorder="1" applyAlignment="1">
      <alignment horizontal="right"/>
    </xf>
    <xf numFmtId="9" fontId="33" fillId="2" borderId="19" xfId="26" applyNumberFormat="1" applyFont="1" applyFill="1" applyBorder="1" applyAlignment="1">
      <alignment horizontal="right"/>
    </xf>
    <xf numFmtId="0" fontId="66" fillId="4" borderId="78" xfId="0" applyFont="1" applyFill="1" applyBorder="1" applyAlignment="1">
      <alignment horizontal="left"/>
    </xf>
    <xf numFmtId="169" fontId="66" fillId="4" borderId="79" xfId="0" applyNumberFormat="1" applyFont="1" applyFill="1" applyBorder="1"/>
    <xf numFmtId="9" fontId="66" fillId="4" borderId="79" xfId="0" applyNumberFormat="1" applyFont="1" applyFill="1" applyBorder="1"/>
    <xf numFmtId="9" fontId="66" fillId="4" borderId="80" xfId="0" applyNumberFormat="1" applyFont="1" applyFill="1" applyBorder="1"/>
    <xf numFmtId="169" fontId="0" fillId="0" borderId="82" xfId="0" applyNumberFormat="1" applyBorder="1"/>
    <xf numFmtId="9" fontId="0" fillId="0" borderId="82" xfId="0" applyNumberFormat="1" applyBorder="1"/>
    <xf numFmtId="9" fontId="0" fillId="0" borderId="83" xfId="0" applyNumberFormat="1" applyBorder="1"/>
    <xf numFmtId="0" fontId="66" fillId="0" borderId="81" xfId="0" applyFont="1" applyBorder="1" applyAlignment="1">
      <alignment horizontal="left" indent="1"/>
    </xf>
    <xf numFmtId="0" fontId="69" fillId="0" borderId="0" xfId="0" applyFont="1" applyFill="1"/>
    <xf numFmtId="0" fontId="70" fillId="0" borderId="0" xfId="0" applyFont="1" applyFill="1"/>
    <xf numFmtId="0" fontId="33" fillId="2" borderId="19" xfId="26" applyNumberFormat="1" applyFont="1" applyFill="1" applyBorder="1"/>
    <xf numFmtId="169" fontId="34" fillId="0" borderId="30" xfId="0" applyNumberFormat="1" applyFont="1" applyFill="1" applyBorder="1"/>
    <xf numFmtId="169" fontId="34" fillId="0" borderId="23" xfId="0" applyNumberFormat="1" applyFont="1" applyFill="1" applyBorder="1"/>
    <xf numFmtId="0" fontId="41" fillId="0" borderId="22" xfId="0" applyFont="1" applyFill="1" applyBorder="1"/>
    <xf numFmtId="0" fontId="34" fillId="2" borderId="34" xfId="0" applyFont="1" applyFill="1" applyBorder="1" applyAlignment="1">
      <alignment horizontal="center" vertical="top" wrapText="1"/>
    </xf>
    <xf numFmtId="0" fontId="33" fillId="2" borderId="34" xfId="0" applyFont="1" applyFill="1" applyBorder="1" applyAlignment="1">
      <alignment horizontal="center" vertical="top" wrapText="1"/>
    </xf>
    <xf numFmtId="0" fontId="33" fillId="2" borderId="34" xfId="0" applyFont="1" applyFill="1" applyBorder="1" applyAlignment="1">
      <alignment horizontal="center" vertical="top"/>
    </xf>
    <xf numFmtId="0" fontId="0" fillId="0" borderId="34" xfId="0" applyNumberFormat="1" applyBorder="1" applyAlignment="1">
      <alignment horizontal="center" vertical="top"/>
    </xf>
    <xf numFmtId="0" fontId="33" fillId="2" borderId="34" xfId="0" applyFont="1" applyFill="1" applyBorder="1" applyAlignment="1">
      <alignment horizontal="center" vertical="center"/>
    </xf>
    <xf numFmtId="3" fontId="33" fillId="2" borderId="18" xfId="0" applyNumberFormat="1" applyFont="1" applyFill="1" applyBorder="1" applyAlignment="1">
      <alignment horizontal="left"/>
    </xf>
    <xf numFmtId="3" fontId="33" fillId="2" borderId="19" xfId="0" applyNumberFormat="1" applyFont="1" applyFill="1" applyBorder="1" applyAlignment="1">
      <alignment horizontal="center"/>
    </xf>
    <xf numFmtId="3" fontId="33" fillId="2" borderId="0" xfId="0" applyNumberFormat="1" applyFont="1" applyFill="1" applyBorder="1" applyAlignment="1">
      <alignment horizontal="center"/>
    </xf>
    <xf numFmtId="9" fontId="46" fillId="2" borderId="19" xfId="0" applyNumberFormat="1" applyFont="1" applyFill="1" applyBorder="1" applyAlignment="1">
      <alignment horizontal="center" vertical="top"/>
    </xf>
    <xf numFmtId="3" fontId="33" fillId="2" borderId="19" xfId="0" applyNumberFormat="1" applyFont="1" applyFill="1" applyBorder="1" applyAlignment="1">
      <alignment horizontal="center" vertical="top"/>
    </xf>
    <xf numFmtId="0" fontId="34" fillId="0" borderId="30" xfId="0" applyFont="1" applyFill="1" applyBorder="1"/>
    <xf numFmtId="0" fontId="33" fillId="2" borderId="34" xfId="0" applyFont="1" applyFill="1" applyBorder="1" applyAlignment="1">
      <alignment horizontal="center" vertical="top" wrapText="1"/>
    </xf>
    <xf numFmtId="0" fontId="33" fillId="2" borderId="19" xfId="26" applyNumberFormat="1" applyFont="1" applyFill="1" applyBorder="1" applyAlignment="1">
      <alignment horizontal="right"/>
    </xf>
    <xf numFmtId="49" fontId="33" fillId="2" borderId="34" xfId="0" applyNumberFormat="1" applyFont="1" applyFill="1" applyBorder="1" applyAlignment="1">
      <alignment horizontal="center" vertical="top"/>
    </xf>
    <xf numFmtId="0" fontId="33" fillId="2" borderId="18" xfId="0" applyNumberFormat="1" applyFont="1" applyFill="1" applyBorder="1" applyAlignment="1">
      <alignment horizontal="left"/>
    </xf>
    <xf numFmtId="0" fontId="33" fillId="2" borderId="19" xfId="0" applyNumberFormat="1" applyFont="1" applyFill="1" applyBorder="1" applyAlignment="1">
      <alignment horizontal="left"/>
    </xf>
    <xf numFmtId="0" fontId="33" fillId="2" borderId="0" xfId="0" applyNumberFormat="1" applyFont="1" applyFill="1" applyBorder="1" applyAlignment="1">
      <alignment horizontal="left"/>
    </xf>
    <xf numFmtId="0" fontId="46" fillId="2" borderId="19" xfId="0" applyNumberFormat="1" applyFont="1" applyFill="1" applyBorder="1" applyAlignment="1">
      <alignment horizontal="center" vertical="top"/>
    </xf>
    <xf numFmtId="166" fontId="5" fillId="0" borderId="128" xfId="0" applyNumberFormat="1" applyFont="1" applyBorder="1" applyAlignment="1">
      <alignment horizontal="right"/>
    </xf>
    <xf numFmtId="166" fontId="5" fillId="0" borderId="132" xfId="0" applyNumberFormat="1" applyFont="1" applyBorder="1" applyAlignment="1">
      <alignment horizontal="right"/>
    </xf>
    <xf numFmtId="3" fontId="71" fillId="0" borderId="128" xfId="0" applyNumberFormat="1" applyFont="1" applyBorder="1" applyAlignment="1">
      <alignment horizontal="right"/>
    </xf>
    <xf numFmtId="166" fontId="71" fillId="0" borderId="128" xfId="0" applyNumberFormat="1" applyFont="1" applyBorder="1" applyAlignment="1">
      <alignment horizontal="right"/>
    </xf>
    <xf numFmtId="166" fontId="71" fillId="0" borderId="132" xfId="0" applyNumberFormat="1" applyFont="1" applyBorder="1" applyAlignment="1">
      <alignment horizontal="right"/>
    </xf>
    <xf numFmtId="177" fontId="5" fillId="0" borderId="128" xfId="0" applyNumberFormat="1" applyFont="1" applyBorder="1" applyAlignment="1">
      <alignment horizontal="right"/>
    </xf>
    <xf numFmtId="3" fontId="5" fillId="0" borderId="128" xfId="0" applyNumberFormat="1" applyFont="1" applyBorder="1" applyAlignment="1">
      <alignment horizontal="right"/>
    </xf>
    <xf numFmtId="4" fontId="5" fillId="0" borderId="128" xfId="0" applyNumberFormat="1" applyFont="1" applyBorder="1" applyAlignment="1">
      <alignment horizontal="right"/>
    </xf>
    <xf numFmtId="3" fontId="5" fillId="0" borderId="128" xfId="0" applyNumberFormat="1" applyFont="1" applyBorder="1"/>
    <xf numFmtId="166" fontId="5" fillId="0" borderId="19" xfId="0" applyNumberFormat="1" applyFont="1" applyBorder="1" applyAlignment="1">
      <alignment horizontal="right"/>
    </xf>
    <xf numFmtId="166" fontId="71" fillId="0" borderId="19" xfId="0" applyNumberFormat="1" applyFont="1" applyBorder="1" applyAlignment="1">
      <alignment horizontal="right"/>
    </xf>
    <xf numFmtId="166" fontId="72" fillId="0" borderId="19" xfId="0" applyNumberFormat="1" applyFont="1" applyBorder="1" applyAlignment="1">
      <alignment horizontal="right"/>
    </xf>
    <xf numFmtId="3" fontId="71" fillId="0" borderId="128" xfId="0" applyNumberFormat="1" applyFont="1" applyBorder="1"/>
    <xf numFmtId="166" fontId="71" fillId="0" borderId="128" xfId="0" applyNumberFormat="1" applyFont="1" applyBorder="1"/>
    <xf numFmtId="166" fontId="71" fillId="0" borderId="132" xfId="0" applyNumberFormat="1" applyFont="1" applyBorder="1"/>
    <xf numFmtId="166" fontId="71" fillId="0" borderId="19" xfId="0" applyNumberFormat="1" applyFont="1" applyBorder="1"/>
    <xf numFmtId="166" fontId="72" fillId="0" borderId="132" xfId="0" applyNumberFormat="1" applyFont="1" applyBorder="1" applyAlignment="1">
      <alignment horizontal="right"/>
    </xf>
    <xf numFmtId="3" fontId="34" fillId="0" borderId="128" xfId="0" applyNumberFormat="1" applyFont="1" applyBorder="1"/>
    <xf numFmtId="166" fontId="34" fillId="0" borderId="128" xfId="0" applyNumberFormat="1" applyFont="1" applyBorder="1"/>
    <xf numFmtId="166" fontId="34" fillId="0" borderId="132" xfId="0" applyNumberFormat="1" applyFont="1" applyBorder="1"/>
    <xf numFmtId="3" fontId="34" fillId="0" borderId="128" xfId="0" applyNumberFormat="1" applyFont="1" applyBorder="1" applyAlignment="1">
      <alignment horizontal="right"/>
    </xf>
    <xf numFmtId="0" fontId="5" fillId="0" borderId="128" xfId="0" applyFont="1" applyBorder="1"/>
    <xf numFmtId="166" fontId="34" fillId="0" borderId="19" xfId="0" applyNumberFormat="1" applyFont="1" applyBorder="1"/>
    <xf numFmtId="3" fontId="34" fillId="0" borderId="0" xfId="0" applyNumberFormat="1" applyFont="1" applyBorder="1"/>
    <xf numFmtId="166" fontId="34" fillId="0" borderId="0" xfId="0" applyNumberFormat="1" applyFont="1" applyBorder="1"/>
    <xf numFmtId="3" fontId="34" fillId="0" borderId="0" xfId="0" applyNumberFormat="1" applyFont="1" applyBorder="1" applyAlignment="1">
      <alignment horizontal="right"/>
    </xf>
    <xf numFmtId="166" fontId="5" fillId="0" borderId="0" xfId="0" applyNumberFormat="1" applyFont="1" applyBorder="1" applyAlignment="1">
      <alignment horizontal="right"/>
    </xf>
    <xf numFmtId="3" fontId="71" fillId="0" borderId="0" xfId="0" applyNumberFormat="1" applyFont="1" applyBorder="1" applyAlignment="1">
      <alignment horizontal="right"/>
    </xf>
    <xf numFmtId="166" fontId="71" fillId="0" borderId="0" xfId="0" applyNumberFormat="1" applyFont="1" applyBorder="1" applyAlignment="1">
      <alignment horizontal="right"/>
    </xf>
    <xf numFmtId="177" fontId="5" fillId="0" borderId="0" xfId="0" applyNumberFormat="1" applyFont="1" applyBorder="1" applyAlignment="1">
      <alignment horizontal="right"/>
    </xf>
    <xf numFmtId="3" fontId="5" fillId="0" borderId="0" xfId="0" applyNumberFormat="1" applyFont="1" applyBorder="1" applyAlignment="1">
      <alignment horizontal="right"/>
    </xf>
    <xf numFmtId="4" fontId="5" fillId="0" borderId="0" xfId="0" applyNumberFormat="1" applyFont="1" applyBorder="1" applyAlignment="1">
      <alignment horizontal="right"/>
    </xf>
    <xf numFmtId="0" fontId="5" fillId="0" borderId="0" xfId="0" applyFont="1" applyBorder="1"/>
    <xf numFmtId="3" fontId="5" fillId="0" borderId="0" xfId="0" applyNumberFormat="1" applyFont="1" applyBorder="1"/>
    <xf numFmtId="3" fontId="71" fillId="0" borderId="0" xfId="0" applyNumberFormat="1" applyFont="1" applyBorder="1"/>
    <xf numFmtId="166" fontId="71" fillId="0" borderId="0" xfId="0" applyNumberFormat="1" applyFont="1" applyBorder="1"/>
    <xf numFmtId="49" fontId="3" fillId="0" borderId="90" xfId="0" applyNumberFormat="1" applyFont="1" applyBorder="1" applyAlignment="1">
      <alignment horizontal="center"/>
    </xf>
    <xf numFmtId="49" fontId="3" fillId="0" borderId="34" xfId="0" applyNumberFormat="1" applyFont="1" applyBorder="1" applyAlignment="1">
      <alignment horizontal="center"/>
    </xf>
    <xf numFmtId="49" fontId="3" fillId="0" borderId="76" xfId="0" applyNumberFormat="1" applyFont="1" applyBorder="1" applyAlignment="1">
      <alignment horizontal="center"/>
    </xf>
    <xf numFmtId="3" fontId="34" fillId="0" borderId="97" xfId="0" applyNumberFormat="1" applyFont="1" applyBorder="1"/>
    <xf numFmtId="166" fontId="34" fillId="0" borderId="97" xfId="0" applyNumberFormat="1" applyFont="1" applyBorder="1"/>
    <xf numFmtId="166" fontId="34" fillId="0" borderId="77" xfId="0" applyNumberFormat="1" applyFont="1" applyBorder="1"/>
    <xf numFmtId="3" fontId="34" fillId="0" borderId="97" xfId="0" applyNumberFormat="1" applyFont="1" applyBorder="1" applyAlignment="1">
      <alignment horizontal="right"/>
    </xf>
    <xf numFmtId="166" fontId="5" fillId="0" borderId="97" xfId="0" applyNumberFormat="1" applyFont="1" applyBorder="1" applyAlignment="1">
      <alignment horizontal="right"/>
    </xf>
    <xf numFmtId="166" fontId="5" fillId="0" borderId="77" xfId="0" applyNumberFormat="1" applyFont="1" applyBorder="1" applyAlignment="1">
      <alignment horizontal="right"/>
    </xf>
    <xf numFmtId="3" fontId="71" fillId="0" borderId="97" xfId="0" applyNumberFormat="1" applyFont="1" applyBorder="1" applyAlignment="1">
      <alignment horizontal="right"/>
    </xf>
    <xf numFmtId="166" fontId="71" fillId="0" borderId="97" xfId="0" applyNumberFormat="1" applyFont="1" applyBorder="1" applyAlignment="1">
      <alignment horizontal="right"/>
    </xf>
    <xf numFmtId="166" fontId="71" fillId="0" borderId="77" xfId="0" applyNumberFormat="1" applyFont="1" applyBorder="1" applyAlignment="1">
      <alignment horizontal="right"/>
    </xf>
    <xf numFmtId="177" fontId="5" fillId="0" borderId="97" xfId="0" applyNumberFormat="1" applyFont="1" applyBorder="1" applyAlignment="1">
      <alignment horizontal="right"/>
    </xf>
    <xf numFmtId="3" fontId="5" fillId="0" borderId="97" xfId="0" applyNumberFormat="1" applyFont="1" applyBorder="1" applyAlignment="1">
      <alignment horizontal="right"/>
    </xf>
    <xf numFmtId="4" fontId="5" fillId="0" borderId="97" xfId="0" applyNumberFormat="1" applyFont="1" applyBorder="1" applyAlignment="1">
      <alignment horizontal="right"/>
    </xf>
    <xf numFmtId="0" fontId="5" fillId="0" borderId="97" xfId="0" applyFont="1" applyBorder="1"/>
    <xf numFmtId="3" fontId="5" fillId="0" borderId="97" xfId="0" applyNumberFormat="1" applyFont="1" applyBorder="1"/>
    <xf numFmtId="49" fontId="3" fillId="0" borderId="93" xfId="0" applyNumberFormat="1" applyFont="1" applyBorder="1" applyAlignment="1">
      <alignment horizontal="center"/>
    </xf>
    <xf numFmtId="3" fontId="71" fillId="0" borderId="133" xfId="0" applyNumberFormat="1" applyFont="1" applyBorder="1"/>
    <xf numFmtId="166" fontId="71" fillId="0" borderId="133" xfId="0" applyNumberFormat="1" applyFont="1" applyBorder="1"/>
    <xf numFmtId="166" fontId="71" fillId="0" borderId="94" xfId="0" applyNumberFormat="1" applyFont="1" applyBorder="1"/>
    <xf numFmtId="3" fontId="34" fillId="0" borderId="133" xfId="0" applyNumberFormat="1" applyFont="1" applyBorder="1" applyAlignment="1">
      <alignment horizontal="right"/>
    </xf>
    <xf numFmtId="166" fontId="5" fillId="0" borderId="133" xfId="0" applyNumberFormat="1" applyFont="1" applyBorder="1" applyAlignment="1">
      <alignment horizontal="right"/>
    </xf>
    <xf numFmtId="166" fontId="5" fillId="0" borderId="94" xfId="0" applyNumberFormat="1" applyFont="1" applyBorder="1" applyAlignment="1">
      <alignment horizontal="right"/>
    </xf>
    <xf numFmtId="3" fontId="5" fillId="0" borderId="133" xfId="0" applyNumberFormat="1" applyFont="1" applyBorder="1" applyAlignment="1">
      <alignment horizontal="right"/>
    </xf>
    <xf numFmtId="177" fontId="5" fillId="0" borderId="133" xfId="0" applyNumberFormat="1" applyFont="1" applyBorder="1" applyAlignment="1">
      <alignment horizontal="right"/>
    </xf>
    <xf numFmtId="4" fontId="5" fillId="0" borderId="133" xfId="0" applyNumberFormat="1" applyFont="1" applyBorder="1" applyAlignment="1">
      <alignment horizontal="right"/>
    </xf>
    <xf numFmtId="0" fontId="5" fillId="0" borderId="133" xfId="0" applyFont="1" applyBorder="1"/>
    <xf numFmtId="3" fontId="5" fillId="0" borderId="133" xfId="0" applyNumberFormat="1" applyFont="1" applyBorder="1"/>
    <xf numFmtId="3" fontId="5" fillId="0" borderId="77" xfId="0" applyNumberFormat="1" applyFont="1" applyBorder="1"/>
    <xf numFmtId="3" fontId="5" fillId="0" borderId="19" xfId="0" applyNumberFormat="1" applyFont="1" applyBorder="1"/>
    <xf numFmtId="3" fontId="5" fillId="0" borderId="132" xfId="0" applyNumberFormat="1" applyFont="1" applyBorder="1"/>
    <xf numFmtId="3" fontId="5" fillId="0" borderId="94" xfId="0" applyNumberFormat="1" applyFont="1" applyBorder="1"/>
    <xf numFmtId="3" fontId="11" fillId="0" borderId="90" xfId="0" applyNumberFormat="1" applyFont="1" applyBorder="1" applyAlignment="1">
      <alignment horizontal="center"/>
    </xf>
    <xf numFmtId="3" fontId="11" fillId="0" borderId="34" xfId="0" applyNumberFormat="1" applyFont="1" applyBorder="1" applyAlignment="1">
      <alignment horizontal="center"/>
    </xf>
    <xf numFmtId="9" fontId="34" fillId="0" borderId="128" xfId="0" applyNumberFormat="1" applyFont="1" applyBorder="1"/>
    <xf numFmtId="9" fontId="34" fillId="0" borderId="0" xfId="0" applyNumberFormat="1" applyFont="1" applyBorder="1"/>
    <xf numFmtId="3" fontId="34" fillId="0" borderId="127" xfId="0" applyNumberFormat="1" applyFont="1" applyBorder="1"/>
    <xf numFmtId="3" fontId="34" fillId="0" borderId="18" xfId="0" applyNumberFormat="1" applyFont="1" applyBorder="1"/>
    <xf numFmtId="3" fontId="34" fillId="0" borderId="102" xfId="0" applyNumberFormat="1" applyFont="1" applyBorder="1"/>
    <xf numFmtId="9" fontId="34" fillId="0" borderId="97" xfId="0" applyNumberFormat="1" applyFont="1" applyBorder="1"/>
    <xf numFmtId="3" fontId="11" fillId="0" borderId="76" xfId="0" applyNumberFormat="1" applyFont="1" applyBorder="1" applyAlignment="1">
      <alignment horizontal="center"/>
    </xf>
    <xf numFmtId="3" fontId="34" fillId="0" borderId="100" xfId="0" applyNumberFormat="1" applyFont="1" applyBorder="1"/>
    <xf numFmtId="3" fontId="34" fillId="0" borderId="133" xfId="0" applyNumberFormat="1" applyFont="1" applyBorder="1"/>
    <xf numFmtId="9" fontId="34" fillId="0" borderId="133" xfId="0" applyNumberFormat="1" applyFont="1" applyBorder="1"/>
    <xf numFmtId="3" fontId="11" fillId="0" borderId="93" xfId="0" applyNumberFormat="1" applyFont="1" applyBorder="1" applyAlignment="1">
      <alignment horizontal="center"/>
    </xf>
    <xf numFmtId="0" fontId="31" fillId="2" borderId="34" xfId="0" applyFont="1" applyFill="1" applyBorder="1" applyAlignment="1">
      <alignment vertical="center" wrapText="1"/>
    </xf>
    <xf numFmtId="0" fontId="33" fillId="2" borderId="18" xfId="26" applyNumberFormat="1" applyFont="1" applyFill="1" applyBorder="1" applyAlignment="1">
      <alignment horizontal="right"/>
    </xf>
    <xf numFmtId="0" fontId="33" fillId="2" borderId="0" xfId="26" applyNumberFormat="1" applyFont="1" applyFill="1" applyBorder="1" applyAlignment="1">
      <alignment horizontal="right"/>
    </xf>
    <xf numFmtId="169" fontId="34" fillId="0" borderId="79" xfId="0" applyNumberFormat="1" applyFont="1" applyFill="1" applyBorder="1"/>
    <xf numFmtId="169" fontId="34" fillId="0" borderId="87" xfId="0" applyNumberFormat="1" applyFont="1" applyFill="1" applyBorder="1"/>
    <xf numFmtId="9" fontId="34" fillId="0" borderId="88" xfId="0" applyNumberFormat="1" applyFont="1" applyFill="1" applyBorder="1"/>
    <xf numFmtId="169" fontId="34" fillId="0" borderId="82" xfId="0" applyNumberFormat="1" applyFont="1" applyFill="1" applyBorder="1"/>
    <xf numFmtId="0" fontId="41" fillId="0" borderId="81" xfId="0" applyFont="1" applyFill="1" applyBorder="1"/>
    <xf numFmtId="3" fontId="33" fillId="2" borderId="73" xfId="76" applyNumberFormat="1" applyFont="1" applyFill="1" applyBorder="1" applyAlignment="1">
      <alignment horizontal="center" vertical="center"/>
    </xf>
    <xf numFmtId="3" fontId="33" fillId="2" borderId="109" xfId="76" applyNumberFormat="1" applyFont="1" applyFill="1" applyBorder="1" applyAlignment="1">
      <alignment horizontal="center" vertical="center"/>
    </xf>
    <xf numFmtId="0" fontId="31" fillId="0" borderId="78" xfId="76" applyFont="1" applyFill="1" applyBorder="1"/>
    <xf numFmtId="0" fontId="31" fillId="0" borderId="86" xfId="76" applyFont="1" applyFill="1" applyBorder="1"/>
    <xf numFmtId="0" fontId="31" fillId="0" borderId="81" xfId="76" applyFont="1" applyFill="1" applyBorder="1"/>
    <xf numFmtId="0" fontId="31" fillId="0" borderId="131" xfId="76" applyFont="1" applyFill="1" applyBorder="1"/>
    <xf numFmtId="0" fontId="31" fillId="0" borderId="98" xfId="76" applyFont="1" applyFill="1" applyBorder="1"/>
    <xf numFmtId="0" fontId="31" fillId="0" borderId="113" xfId="76" applyFont="1" applyFill="1" applyBorder="1"/>
    <xf numFmtId="0" fontId="33" fillId="2" borderId="91" xfId="76" applyNumberFormat="1" applyFont="1" applyFill="1" applyBorder="1" applyAlignment="1">
      <alignment horizontal="left"/>
    </xf>
    <xf numFmtId="0" fontId="33" fillId="2" borderId="134" xfId="76" applyNumberFormat="1" applyFont="1" applyFill="1" applyBorder="1" applyAlignment="1">
      <alignment horizontal="left"/>
    </xf>
    <xf numFmtId="3" fontId="31" fillId="0" borderId="78" xfId="76" applyNumberFormat="1" applyFont="1" applyFill="1" applyBorder="1"/>
    <xf numFmtId="3" fontId="31" fillId="0" borderId="79" xfId="76" applyNumberFormat="1" applyFont="1" applyFill="1" applyBorder="1"/>
    <xf numFmtId="3" fontId="31" fillId="0" borderId="86" xfId="76" applyNumberFormat="1" applyFont="1" applyFill="1" applyBorder="1"/>
    <xf numFmtId="3" fontId="31" fillId="0" borderId="87" xfId="76" applyNumberFormat="1" applyFont="1" applyFill="1" applyBorder="1"/>
    <xf numFmtId="3" fontId="31" fillId="0" borderId="81" xfId="76" applyNumberFormat="1" applyFont="1" applyFill="1" applyBorder="1"/>
    <xf numFmtId="3" fontId="31" fillId="0" borderId="82" xfId="76" applyNumberFormat="1" applyFont="1" applyFill="1" applyBorder="1"/>
    <xf numFmtId="9" fontId="31" fillId="0" borderId="131" xfId="76" applyNumberFormat="1" applyFont="1" applyFill="1" applyBorder="1"/>
    <xf numFmtId="9" fontId="31" fillId="0" borderId="98" xfId="76" applyNumberFormat="1" applyFont="1" applyFill="1" applyBorder="1"/>
    <xf numFmtId="9" fontId="31" fillId="0" borderId="113" xfId="76" applyNumberFormat="1" applyFont="1" applyFill="1" applyBorder="1"/>
    <xf numFmtId="0" fontId="33" fillId="2" borderId="129" xfId="76" applyNumberFormat="1" applyFont="1" applyFill="1" applyBorder="1" applyAlignment="1">
      <alignment horizontal="left"/>
    </xf>
    <xf numFmtId="0" fontId="33" fillId="2" borderId="92" xfId="76" applyNumberFormat="1" applyFont="1" applyFill="1" applyBorder="1" applyAlignment="1">
      <alignment horizontal="left"/>
    </xf>
    <xf numFmtId="3" fontId="31" fillId="0" borderId="80" xfId="76" applyNumberFormat="1" applyFont="1" applyFill="1" applyBorder="1"/>
    <xf numFmtId="3" fontId="31" fillId="0" borderId="88" xfId="76" applyNumberFormat="1" applyFont="1" applyFill="1" applyBorder="1"/>
    <xf numFmtId="3" fontId="31" fillId="0" borderId="83" xfId="76" applyNumberFormat="1" applyFont="1" applyFill="1" applyBorder="1"/>
  </cellXfs>
  <cellStyles count="99">
    <cellStyle name="Hypertextový odkaz" xfId="1" builtinId="8"/>
    <cellStyle name="Měna 10" xfId="2" xr:uid="{00000000-0005-0000-0000-000001000000}"/>
    <cellStyle name="Měna 11" xfId="3" xr:uid="{00000000-0005-0000-0000-000002000000}"/>
    <cellStyle name="Měna 12" xfId="4" xr:uid="{00000000-0005-0000-0000-000003000000}"/>
    <cellStyle name="Měna 13" xfId="5" xr:uid="{00000000-0005-0000-0000-000004000000}"/>
    <cellStyle name="Měna 2" xfId="6" xr:uid="{00000000-0005-0000-0000-000005000000}"/>
    <cellStyle name="Měna 3" xfId="7" xr:uid="{00000000-0005-0000-0000-000006000000}"/>
    <cellStyle name="Měna 4" xfId="8" xr:uid="{00000000-0005-0000-0000-000007000000}"/>
    <cellStyle name="Měna 5" xfId="9" xr:uid="{00000000-0005-0000-0000-000008000000}"/>
    <cellStyle name="Měna 6" xfId="10" xr:uid="{00000000-0005-0000-0000-000009000000}"/>
    <cellStyle name="Měna 7" xfId="11" xr:uid="{00000000-0005-0000-0000-00000A000000}"/>
    <cellStyle name="Měna 8" xfId="12" xr:uid="{00000000-0005-0000-0000-00000B000000}"/>
    <cellStyle name="Měna 9" xfId="13" xr:uid="{00000000-0005-0000-0000-00000C000000}"/>
    <cellStyle name="Normální" xfId="0" builtinId="0"/>
    <cellStyle name="Normální 10" xfId="14" xr:uid="{00000000-0005-0000-0000-00000E000000}"/>
    <cellStyle name="Normální 11" xfId="15" xr:uid="{00000000-0005-0000-0000-00000F000000}"/>
    <cellStyle name="Normální 12" xfId="16" xr:uid="{00000000-0005-0000-0000-000010000000}"/>
    <cellStyle name="Normální 13" xfId="17" xr:uid="{00000000-0005-0000-0000-000011000000}"/>
    <cellStyle name="Normální 14" xfId="18" xr:uid="{00000000-0005-0000-0000-000012000000}"/>
    <cellStyle name="Normální 15" xfId="19" xr:uid="{00000000-0005-0000-0000-000013000000}"/>
    <cellStyle name="Normální 16" xfId="20" xr:uid="{00000000-0005-0000-0000-000014000000}"/>
    <cellStyle name="Normální 17" xfId="21" xr:uid="{00000000-0005-0000-0000-000015000000}"/>
    <cellStyle name="Normální 18" xfId="22" xr:uid="{00000000-0005-0000-0000-000016000000}"/>
    <cellStyle name="Normální 19" xfId="23" xr:uid="{00000000-0005-0000-0000-000017000000}"/>
    <cellStyle name="normální 2" xfId="24" xr:uid="{00000000-0005-0000-0000-000018000000}"/>
    <cellStyle name="Normální 2 10" xfId="25" xr:uid="{00000000-0005-0000-0000-000019000000}"/>
    <cellStyle name="Normální 2 10 2" xfId="26" xr:uid="{00000000-0005-0000-0000-00001A000000}"/>
    <cellStyle name="normální 2 11" xfId="27" xr:uid="{00000000-0005-0000-0000-00001B000000}"/>
    <cellStyle name="normální 2 12" xfId="28" xr:uid="{00000000-0005-0000-0000-00001C000000}"/>
    <cellStyle name="Normální 2 13" xfId="29" xr:uid="{00000000-0005-0000-0000-00001D000000}"/>
    <cellStyle name="normální 2 2" xfId="30" xr:uid="{00000000-0005-0000-0000-00001E000000}"/>
    <cellStyle name="normální 2 3" xfId="31" xr:uid="{00000000-0005-0000-0000-00001F000000}"/>
    <cellStyle name="Normální 2 4" xfId="32" xr:uid="{00000000-0005-0000-0000-000020000000}"/>
    <cellStyle name="Normální 2 4 2" xfId="33" xr:uid="{00000000-0005-0000-0000-000021000000}"/>
    <cellStyle name="Normální 2 5" xfId="34" xr:uid="{00000000-0005-0000-0000-000022000000}"/>
    <cellStyle name="Normální 2 5 2" xfId="35" xr:uid="{00000000-0005-0000-0000-000023000000}"/>
    <cellStyle name="Normální 2 6" xfId="36" xr:uid="{00000000-0005-0000-0000-000024000000}"/>
    <cellStyle name="Normální 2 6 2" xfId="37" xr:uid="{00000000-0005-0000-0000-000025000000}"/>
    <cellStyle name="Normální 2 7" xfId="38" xr:uid="{00000000-0005-0000-0000-000026000000}"/>
    <cellStyle name="Normální 2 7 2" xfId="39" xr:uid="{00000000-0005-0000-0000-000027000000}"/>
    <cellStyle name="Normální 2 8" xfId="40" xr:uid="{00000000-0005-0000-0000-000028000000}"/>
    <cellStyle name="Normální 2 8 2" xfId="41" xr:uid="{00000000-0005-0000-0000-000029000000}"/>
    <cellStyle name="Normální 2 9" xfId="42" xr:uid="{00000000-0005-0000-0000-00002A000000}"/>
    <cellStyle name="Normální 2 9 2" xfId="43" xr:uid="{00000000-0005-0000-0000-00002B000000}"/>
    <cellStyle name="normální 2_Hodiny_Plan" xfId="44" xr:uid="{00000000-0005-0000-0000-00002C000000}"/>
    <cellStyle name="Normální 20" xfId="45" xr:uid="{00000000-0005-0000-0000-00002D000000}"/>
    <cellStyle name="Normální 21" xfId="46" xr:uid="{00000000-0005-0000-0000-00002E000000}"/>
    <cellStyle name="Normální 22" xfId="47" xr:uid="{00000000-0005-0000-0000-00002F000000}"/>
    <cellStyle name="normální 3" xfId="48" xr:uid="{00000000-0005-0000-0000-000030000000}"/>
    <cellStyle name="Normální 3 10" xfId="49" xr:uid="{00000000-0005-0000-0000-000031000000}"/>
    <cellStyle name="normální 3 11" xfId="50" xr:uid="{00000000-0005-0000-0000-000032000000}"/>
    <cellStyle name="normální 3 12" xfId="51" xr:uid="{00000000-0005-0000-0000-000033000000}"/>
    <cellStyle name="Normální 3 13" xfId="98" xr:uid="{00000000-0005-0000-0000-000034000000}"/>
    <cellStyle name="normální 3 2" xfId="52" xr:uid="{00000000-0005-0000-0000-000035000000}"/>
    <cellStyle name="Normální 3 3" xfId="53" xr:uid="{00000000-0005-0000-0000-000036000000}"/>
    <cellStyle name="Normální 3 3 2" xfId="54" xr:uid="{00000000-0005-0000-0000-000037000000}"/>
    <cellStyle name="Normální 3 4" xfId="55" xr:uid="{00000000-0005-0000-0000-000038000000}"/>
    <cellStyle name="Normální 3 5" xfId="56" xr:uid="{00000000-0005-0000-0000-000039000000}"/>
    <cellStyle name="Normální 3 6" xfId="57" xr:uid="{00000000-0005-0000-0000-00003A000000}"/>
    <cellStyle name="Normální 3 7" xfId="58" xr:uid="{00000000-0005-0000-0000-00003B000000}"/>
    <cellStyle name="Normální 3 8" xfId="59" xr:uid="{00000000-0005-0000-0000-00003C000000}"/>
    <cellStyle name="Normální 3 9" xfId="60" xr:uid="{00000000-0005-0000-0000-00003D000000}"/>
    <cellStyle name="normální 3_Hodiny_" xfId="61" xr:uid="{00000000-0005-0000-0000-00003E000000}"/>
    <cellStyle name="normální 4" xfId="62" xr:uid="{00000000-0005-0000-0000-00003F000000}"/>
    <cellStyle name="normální 4 2" xfId="63" xr:uid="{00000000-0005-0000-0000-000040000000}"/>
    <cellStyle name="normální 4 2 2" xfId="64" xr:uid="{00000000-0005-0000-0000-000041000000}"/>
    <cellStyle name="normální 4 2_Hodiny_" xfId="65" xr:uid="{00000000-0005-0000-0000-000042000000}"/>
    <cellStyle name="normální 4 3" xfId="66" xr:uid="{00000000-0005-0000-0000-000043000000}"/>
    <cellStyle name="normální 4 4" xfId="67" xr:uid="{00000000-0005-0000-0000-000044000000}"/>
    <cellStyle name="normální 4 5" xfId="68" xr:uid="{00000000-0005-0000-0000-000045000000}"/>
    <cellStyle name="normální 4 6" xfId="69" xr:uid="{00000000-0005-0000-0000-000046000000}"/>
    <cellStyle name="normální 4_Hodiny_" xfId="70" xr:uid="{00000000-0005-0000-0000-000047000000}"/>
    <cellStyle name="normální 5" xfId="71" xr:uid="{00000000-0005-0000-0000-000048000000}"/>
    <cellStyle name="normální 6" xfId="72" xr:uid="{00000000-0005-0000-0000-000049000000}"/>
    <cellStyle name="normální 7" xfId="73" xr:uid="{00000000-0005-0000-0000-00004A000000}"/>
    <cellStyle name="Normální 8" xfId="74" xr:uid="{00000000-0005-0000-0000-00004B000000}"/>
    <cellStyle name="Normální 8 2" xfId="75" xr:uid="{00000000-0005-0000-0000-00004C000000}"/>
    <cellStyle name="Normální 9" xfId="76" xr:uid="{00000000-0005-0000-0000-00004D000000}"/>
    <cellStyle name="Normální 9 2" xfId="77" xr:uid="{00000000-0005-0000-0000-00004E000000}"/>
    <cellStyle name="normální_LEK_01" xfId="78" xr:uid="{00000000-0005-0000-0000-00004F000000}"/>
    <cellStyle name="normální_LEK_FNOL" xfId="79" xr:uid="{00000000-0005-0000-0000-000050000000}"/>
    <cellStyle name="normální_LEK_FNOL 2" xfId="80" xr:uid="{00000000-0005-0000-0000-000051000000}"/>
    <cellStyle name="normální_Manažerské tabulky" xfId="81" xr:uid="{00000000-0005-0000-0000-000052000000}"/>
    <cellStyle name="normální_Sestava hospodaření" xfId="82" xr:uid="{00000000-0005-0000-0000-000053000000}"/>
    <cellStyle name="Procenta" xfId="83" builtinId="5"/>
    <cellStyle name="Procenta 10" xfId="84" xr:uid="{00000000-0005-0000-0000-000055000000}"/>
    <cellStyle name="Procenta 11" xfId="85" xr:uid="{00000000-0005-0000-0000-000056000000}"/>
    <cellStyle name="Procenta 2" xfId="86" xr:uid="{00000000-0005-0000-0000-000057000000}"/>
    <cellStyle name="Procenta 2 2" xfId="87" xr:uid="{00000000-0005-0000-0000-000058000000}"/>
    <cellStyle name="Procenta 2 2 2" xfId="88" xr:uid="{00000000-0005-0000-0000-000059000000}"/>
    <cellStyle name="Procenta 2 3" xfId="89" xr:uid="{00000000-0005-0000-0000-00005A000000}"/>
    <cellStyle name="Procenta 3" xfId="90" xr:uid="{00000000-0005-0000-0000-00005B000000}"/>
    <cellStyle name="Procenta 3 2" xfId="91" xr:uid="{00000000-0005-0000-0000-00005C000000}"/>
    <cellStyle name="Procenta 4" xfId="92" xr:uid="{00000000-0005-0000-0000-00005D000000}"/>
    <cellStyle name="Procenta 5" xfId="93" xr:uid="{00000000-0005-0000-0000-00005E000000}"/>
    <cellStyle name="Procenta 6" xfId="94" xr:uid="{00000000-0005-0000-0000-00005F000000}"/>
    <cellStyle name="Procenta 7" xfId="95" xr:uid="{00000000-0005-0000-0000-000060000000}"/>
    <cellStyle name="Procenta 8" xfId="96" xr:uid="{00000000-0005-0000-0000-000061000000}"/>
    <cellStyle name="Procenta 9" xfId="97" xr:uid="{00000000-0005-0000-0000-000062000000}"/>
  </cellStyles>
  <dxfs count="116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lor rgb="FFFF000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lor rgb="FFFF000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</font>
      <border>
        <top style="thin">
          <color auto="1"/>
        </top>
        <vertical/>
        <horizontal/>
      </border>
    </dxf>
    <dxf>
      <font>
        <b/>
        <i val="0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border>
        <top style="thin">
          <color auto="1"/>
        </top>
        <vertical/>
        <horizontal/>
      </border>
    </dxf>
    <dxf>
      <font>
        <b/>
        <i val="0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 xr9:uid="{00000000-0011-0000-FFFF-FFFF00000000}">
      <tableStyleElement type="wholeTable" dxfId="115"/>
      <tableStyleElement type="headerRow" dxfId="114"/>
      <tableStyleElement type="totalRow" dxfId="113"/>
      <tableStyleElement type="firstColumn" dxfId="112"/>
      <tableStyleElement type="lastColumn" dxfId="111"/>
      <tableStyleElement type="firstRowStripe" dxfId="110"/>
      <tableStyleElement type="firstColumnStripe" dxfId="109"/>
    </tableStyle>
    <tableStyle name="TableStyleMedium2 2" pivot="0" count="7" xr9:uid="{00000000-0011-0000-FFFF-FFFF01000000}">
      <tableStyleElement type="wholeTable" dxfId="108"/>
      <tableStyleElement type="headerRow" dxfId="107"/>
      <tableStyleElement type="totalRow" dxfId="106"/>
      <tableStyleElement type="firstColumn" dxfId="105"/>
      <tableStyleElement type="lastColumn" dxfId="104"/>
      <tableStyleElement type="firstRowStripe" dxfId="103"/>
      <tableStyleElement type="firstColumnStripe" dxfId="102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Graf'!$B$4:$L$4</c:f>
              <c:numCache>
                <c:formatCode>General</c:formatCode>
                <c:ptCount val="11"/>
                <c:pt idx="0">
                  <c:v>0.32004188195747835</c:v>
                </c:pt>
                <c:pt idx="1">
                  <c:v>0.33076167589853067</c:v>
                </c:pt>
                <c:pt idx="2">
                  <c:v>0.39277157625018105</c:v>
                </c:pt>
                <c:pt idx="3">
                  <c:v>0.33697027880423391</c:v>
                </c:pt>
                <c:pt idx="4">
                  <c:v>0.35424613596424842</c:v>
                </c:pt>
                <c:pt idx="5">
                  <c:v>0.34482539034282456</c:v>
                </c:pt>
                <c:pt idx="6">
                  <c:v>0.30265065855547435</c:v>
                </c:pt>
                <c:pt idx="7">
                  <c:v>0.27293617748761317</c:v>
                </c:pt>
                <c:pt idx="8">
                  <c:v>0.26860596655702823</c:v>
                </c:pt>
                <c:pt idx="9">
                  <c:v>0.25417176063821667</c:v>
                </c:pt>
                <c:pt idx="10">
                  <c:v>0.22844895790183001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78790560"/>
        <c:axId val="-585227104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585219488"/>
        <c:axId val="-585228192"/>
      </c:scatterChart>
      <c:catAx>
        <c:axId val="-1978790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585227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58522710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1978790560"/>
        <c:crosses val="autoZero"/>
        <c:crossBetween val="between"/>
      </c:valAx>
      <c:valAx>
        <c:axId val="-585219488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585228192"/>
        <c:crosses val="max"/>
        <c:crossBetween val="midCat"/>
      </c:valAx>
      <c:valAx>
        <c:axId val="-58522819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585219488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186982254294491E-3"/>
          <c:y val="5.0152439238661207E-3"/>
          <c:w val="0.98971349332984049"/>
          <c:h val="0.90199495667231877"/>
        </c:manualLayout>
      </c:layout>
      <c:lineChart>
        <c:grouping val="standard"/>
        <c:varyColors val="0"/>
        <c:ser>
          <c:idx val="1"/>
          <c:order val="0"/>
          <c:tx>
            <c:strRef>
              <c:f>ALOS!$E$32</c:f>
              <c:strCache>
                <c:ptCount val="1"/>
                <c:pt idx="0">
                  <c:v>%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ALOS!$A$33:$A$45</c:f>
              <c:strCache>
                <c:ptCount val="13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  <c:pt idx="12">
                  <c:v>1-13</c:v>
                </c:pt>
              </c:strCache>
            </c:strRef>
          </c:cat>
          <c:val>
            <c:numRef>
              <c:f>ALOS!$E$33:$E$43</c:f>
              <c:numCache>
                <c:formatCode>0%</c:formatCode>
                <c:ptCount val="11"/>
                <c:pt idx="0">
                  <c:v>0.73333333333333328</c:v>
                </c:pt>
                <c:pt idx="1">
                  <c:v>0.70460704607046065</c:v>
                </c:pt>
                <c:pt idx="2">
                  <c:v>0.60983102918586785</c:v>
                </c:pt>
                <c:pt idx="3">
                  <c:v>0.59399332591768628</c:v>
                </c:pt>
                <c:pt idx="4">
                  <c:v>0.61585365853658536</c:v>
                </c:pt>
                <c:pt idx="5">
                  <c:v>0.62299035369774924</c:v>
                </c:pt>
                <c:pt idx="6">
                  <c:v>0.61766945925361771</c:v>
                </c:pt>
                <c:pt idx="7">
                  <c:v>0.63185185185185189</c:v>
                </c:pt>
                <c:pt idx="8">
                  <c:v>0.63447828904731041</c:v>
                </c:pt>
                <c:pt idx="9">
                  <c:v>0.62815405046480743</c:v>
                </c:pt>
                <c:pt idx="10">
                  <c:v>0.62849533954727033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1D1-4C90-8F7E-BB3592EC0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85220576"/>
        <c:axId val="-585218944"/>
      </c:lineChart>
      <c:scatterChart>
        <c:scatterStyle val="smoothMarker"/>
        <c:varyColors val="0"/>
        <c:ser>
          <c:idx val="0"/>
          <c:order val="1"/>
          <c:tx>
            <c:strRef>
              <c:f>ALOS!$H$32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ALOS!$G$33:$G$34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ALOS!$H$33:$H$34</c:f>
              <c:numCache>
                <c:formatCode>0%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21D1-4C90-8F7E-BB3592EC0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585218400"/>
        <c:axId val="-585217856"/>
      </c:scatterChart>
      <c:catAx>
        <c:axId val="-5852205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5852189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585218944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extTo"/>
        <c:crossAx val="-585220576"/>
        <c:crosses val="autoZero"/>
        <c:crossBetween val="between"/>
      </c:valAx>
      <c:valAx>
        <c:axId val="-585218400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585217856"/>
        <c:crosses val="max"/>
        <c:crossBetween val="midCat"/>
      </c:valAx>
      <c:valAx>
        <c:axId val="-585217856"/>
        <c:scaling>
          <c:orientation val="minMax"/>
        </c:scaling>
        <c:delete val="1"/>
        <c:axPos val="r"/>
        <c:numFmt formatCode="0%" sourceLinked="1"/>
        <c:majorTickMark val="out"/>
        <c:minorTickMark val="none"/>
        <c:tickLblPos val="nextTo"/>
        <c:crossAx val="-585218400"/>
        <c:crosses val="max"/>
        <c:crossBetween val="midCat"/>
      </c:valAx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>
          <a:extLst>
            <a:ext uri="{FF2B5EF4-FFF2-40B4-BE49-F238E27FC236}">
              <a16:creationId xmlns:a16="http://schemas.microsoft.com/office/drawing/2014/main" id="{00000000-0008-0000-0400-000061280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1333500</xdr:colOff>
      <xdr:row>28</xdr:row>
      <xdr:rowOff>163285</xdr:rowOff>
    </xdr:to>
    <xdr:graphicFrame macro="">
      <xdr:nvGraphicFramePr>
        <xdr:cNvPr id="638038" name="graf 1">
          <a:extLst>
            <a:ext uri="{FF2B5EF4-FFF2-40B4-BE49-F238E27FC236}">
              <a16:creationId xmlns:a16="http://schemas.microsoft.com/office/drawing/2014/main" id="{00000000-0008-0000-2B00-000056BC0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0000000}" name="Tabulka" displayName="Tabulka" ref="A7:S51" totalsRowShown="0" headerRowDxfId="101" tableBorderDxfId="100">
  <autoFilter ref="A7:S51" xr:uid="{00000000-0009-0000-0100-000006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xr3:uid="{00000000-0010-0000-0000-000001000000}" name="kat" dataDxfId="99"/>
    <tableColumn id="2" xr3:uid="{00000000-0010-0000-0000-000002000000}" name="popis" dataDxfId="98"/>
    <tableColumn id="3" xr3:uid="{00000000-0010-0000-0000-000003000000}" name="01 uv_sk" dataDxfId="9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xr3:uid="{00000000-0010-0000-0000-000004000000}" name="02 uv_pla" dataDxfId="9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xr3:uid="{00000000-0010-0000-0000-000005000000}" name="03 uv_pln" dataDxfId="9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xr3:uid="{00000000-0010-0000-0000-000006000000}" name="04 uv_rozd" dataDxfId="9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xr3:uid="{00000000-0010-0000-0000-000007000000}" name="05 h_vram" dataDxfId="9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xr3:uid="{00000000-0010-0000-0000-000008000000}" name="06 h_naduv" dataDxfId="9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xr3:uid="{00000000-0010-0000-0000-000009000000}" name="07 h_nadzk" dataDxfId="9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xr3:uid="{00000000-0010-0000-0000-00000A000000}" name="08 h_oon" dataDxfId="9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xr3:uid="{00000000-0010-0000-0000-00000B000000}" name="09 m_kl" dataDxfId="8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xr3:uid="{00000000-0010-0000-0000-00000C000000}" name="10 m_gr" dataDxfId="8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xr3:uid="{00000000-0010-0000-0000-00000D000000}" name="11 m_jo" dataDxfId="8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xr3:uid="{00000000-0010-0000-0000-00000E000000}" name="12 m_oc" dataDxfId="8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xr3:uid="{00000000-0010-0000-0000-00000F000000}" name="13 m_sk" dataDxfId="8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xr3:uid="{00000000-0010-0000-0000-000011000000}" name="14_vzsk" dataDxfId="8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xr3:uid="{00000000-0010-0000-0000-000012000000}" name="15_vzpl" dataDxfId="8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xr3:uid="{00000000-0010-0000-0000-000013000000}" name="16_vzpln" dataDxfId="82">
      <calculatedColumnFormula>IF(Tabulka[[#This Row],[15_vzpl]]=0,"",Tabulka[[#This Row],[14_vzsk]]/Tabulka[[#This Row],[15_vzpl]])</calculatedColumnFormula>
    </tableColumn>
    <tableColumn id="20" xr3:uid="{00000000-0010-0000-0000-000014000000}" name="17_vzroz" dataDxfId="81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ONData" displayName="ONData" ref="C3:S142" totalsRowShown="0">
  <autoFilter ref="C3:S142" xr:uid="{00000000-0009-0000-0100-000007000000}"/>
  <tableColumns count="17">
    <tableColumn id="1" xr3:uid="{00000000-0010-0000-0100-000001000000}" name="mesic"/>
    <tableColumn id="2" xr3:uid="{00000000-0010-0000-0100-000002000000}" name="kat"/>
    <tableColumn id="3" xr3:uid="{00000000-0010-0000-0100-000003000000}" name="01 uv_sk"/>
    <tableColumn id="4" xr3:uid="{00000000-0010-0000-0100-000004000000}" name="02 uv_pla"/>
    <tableColumn id="5" xr3:uid="{00000000-0010-0000-0100-000005000000}" name="03 uv_pln"/>
    <tableColumn id="6" xr3:uid="{00000000-0010-0000-0100-000006000000}" name="04 uv_rozd"/>
    <tableColumn id="7" xr3:uid="{00000000-0010-0000-0100-000007000000}" name="05 h_vram"/>
    <tableColumn id="8" xr3:uid="{00000000-0010-0000-0100-000008000000}" name="06 h_naduv"/>
    <tableColumn id="9" xr3:uid="{00000000-0010-0000-0100-000009000000}" name="07 h_nadzk"/>
    <tableColumn id="10" xr3:uid="{00000000-0010-0000-0100-00000A000000}" name="08 h_oon"/>
    <tableColumn id="11" xr3:uid="{00000000-0010-0000-0100-00000B000000}" name="09 m_kl"/>
    <tableColumn id="12" xr3:uid="{00000000-0010-0000-0100-00000C000000}" name="10 m_gr"/>
    <tableColumn id="13" xr3:uid="{00000000-0010-0000-0100-00000D000000}" name="11 m_jo"/>
    <tableColumn id="14" xr3:uid="{00000000-0010-0000-0100-00000E000000}" name="12 m_oc"/>
    <tableColumn id="15" xr3:uid="{00000000-0010-0000-0100-00000F000000}" name="13 m_sk"/>
    <tableColumn id="16" xr3:uid="{00000000-0010-0000-0100-000010000000}" name="14_vzsk"/>
    <tableColumn id="17" xr3:uid="{00000000-0010-0000-0100-000011000000}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4.bin"/><Relationship Id="rId4" Type="http://schemas.openxmlformats.org/officeDocument/2006/relationships/comments" Target="../comments1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26">
    <tabColor rgb="FF00B050"/>
    <pageSetUpPr fitToPage="1"/>
  </sheetPr>
  <dimension ref="A1:C32"/>
  <sheetViews>
    <sheetView showGridLines="0" showRowColHeaders="0" tabSelected="1" zoomScaleNormal="100" workbookViewId="0">
      <selection sqref="A1:B1"/>
    </sheetView>
  </sheetViews>
  <sheetFormatPr defaultColWidth="8.85546875" defaultRowHeight="14.45" customHeight="1" x14ac:dyDescent="0.2"/>
  <cols>
    <col min="1" max="1" width="17.85546875" style="233" bestFit="1" customWidth="1"/>
    <col min="2" max="2" width="102.28515625" style="233" bestFit="1" customWidth="1"/>
    <col min="3" max="3" width="16.140625" style="51" hidden="1" customWidth="1"/>
    <col min="4" max="16384" width="8.85546875" style="233"/>
  </cols>
  <sheetData>
    <row r="1" spans="1:3" ht="18.600000000000001" customHeight="1" thickBot="1" x14ac:dyDescent="0.35">
      <c r="A1" s="496" t="s">
        <v>118</v>
      </c>
      <c r="B1" s="496"/>
    </row>
    <row r="2" spans="1:3" ht="14.45" customHeight="1" thickBot="1" x14ac:dyDescent="0.25">
      <c r="A2" s="350" t="s">
        <v>305</v>
      </c>
      <c r="B2" s="50"/>
    </row>
    <row r="3" spans="1:3" ht="14.45" customHeight="1" thickBot="1" x14ac:dyDescent="0.25">
      <c r="A3" s="492" t="s">
        <v>165</v>
      </c>
      <c r="B3" s="493"/>
    </row>
    <row r="4" spans="1:3" ht="14.45" customHeight="1" x14ac:dyDescent="0.2">
      <c r="A4" s="248" t="str">
        <f t="shared" ref="A4:A8" si="0">HYPERLINK("#'"&amp;C4&amp;"'!A1",C4)</f>
        <v>Motivace</v>
      </c>
      <c r="B4" s="164" t="s">
        <v>135</v>
      </c>
      <c r="C4" s="51" t="s">
        <v>136</v>
      </c>
    </row>
    <row r="5" spans="1:3" ht="14.45" customHeight="1" x14ac:dyDescent="0.2">
      <c r="A5" s="249" t="str">
        <f t="shared" si="0"/>
        <v>HI</v>
      </c>
      <c r="B5" s="165" t="s">
        <v>159</v>
      </c>
      <c r="C5" s="51" t="s">
        <v>122</v>
      </c>
    </row>
    <row r="6" spans="1:3" ht="14.45" customHeight="1" x14ac:dyDescent="0.2">
      <c r="A6" s="250" t="str">
        <f t="shared" si="0"/>
        <v>HI Graf</v>
      </c>
      <c r="B6" s="166" t="s">
        <v>114</v>
      </c>
      <c r="C6" s="51" t="s">
        <v>123</v>
      </c>
    </row>
    <row r="7" spans="1:3" ht="14.45" customHeight="1" x14ac:dyDescent="0.2">
      <c r="A7" s="250" t="str">
        <f t="shared" si="0"/>
        <v>Man Tab</v>
      </c>
      <c r="B7" s="166" t="s">
        <v>307</v>
      </c>
      <c r="C7" s="51" t="s">
        <v>124</v>
      </c>
    </row>
    <row r="8" spans="1:3" ht="14.45" customHeight="1" thickBot="1" x14ac:dyDescent="0.25">
      <c r="A8" s="251" t="str">
        <f t="shared" si="0"/>
        <v>HV</v>
      </c>
      <c r="B8" s="167" t="s">
        <v>48</v>
      </c>
      <c r="C8" s="51" t="s">
        <v>53</v>
      </c>
    </row>
    <row r="9" spans="1:3" ht="14.45" customHeight="1" thickBot="1" x14ac:dyDescent="0.25">
      <c r="A9" s="168"/>
      <c r="B9" s="168"/>
    </row>
    <row r="10" spans="1:3" ht="14.45" customHeight="1" thickBot="1" x14ac:dyDescent="0.25">
      <c r="A10" s="494" t="s">
        <v>119</v>
      </c>
      <c r="B10" s="493"/>
    </row>
    <row r="11" spans="1:3" ht="14.45" customHeight="1" x14ac:dyDescent="0.2">
      <c r="A11" s="252" t="str">
        <f t="shared" ref="A11" si="1">HYPERLINK("#'"&amp;C11&amp;"'!A1",C11)</f>
        <v>Léky Žádanky</v>
      </c>
      <c r="B11" s="165" t="s">
        <v>160</v>
      </c>
      <c r="C11" s="51" t="s">
        <v>125</v>
      </c>
    </row>
    <row r="12" spans="1:3" ht="14.45" customHeight="1" x14ac:dyDescent="0.2">
      <c r="A12" s="250" t="str">
        <f t="shared" ref="A12:A18" si="2">HYPERLINK("#'"&amp;C12&amp;"'!A1",C12)</f>
        <v>LŽ Detail</v>
      </c>
      <c r="B12" s="166" t="s">
        <v>182</v>
      </c>
      <c r="C12" s="51" t="s">
        <v>126</v>
      </c>
    </row>
    <row r="13" spans="1:3" ht="28.9" customHeight="1" x14ac:dyDescent="0.2">
      <c r="A13" s="250" t="str">
        <f t="shared" si="2"/>
        <v>LŽ PL</v>
      </c>
      <c r="B13" s="725" t="s">
        <v>183</v>
      </c>
      <c r="C13" s="51" t="s">
        <v>169</v>
      </c>
    </row>
    <row r="14" spans="1:3" ht="14.45" customHeight="1" x14ac:dyDescent="0.2">
      <c r="A14" s="250" t="str">
        <f t="shared" si="2"/>
        <v>LŽ PL Detail</v>
      </c>
      <c r="B14" s="166" t="s">
        <v>2006</v>
      </c>
      <c r="C14" s="51" t="s">
        <v>170</v>
      </c>
    </row>
    <row r="15" spans="1:3" ht="14.45" customHeight="1" x14ac:dyDescent="0.2">
      <c r="A15" s="250" t="str">
        <f t="shared" si="2"/>
        <v>LŽ Statim</v>
      </c>
      <c r="B15" s="377" t="s">
        <v>218</v>
      </c>
      <c r="C15" s="51" t="s">
        <v>228</v>
      </c>
    </row>
    <row r="16" spans="1:3" ht="14.45" customHeight="1" x14ac:dyDescent="0.2">
      <c r="A16" s="252" t="str">
        <f t="shared" ref="A16" si="3">HYPERLINK("#'"&amp;C16&amp;"'!A1",C16)</f>
        <v>Materiál Žádanky</v>
      </c>
      <c r="B16" s="166" t="s">
        <v>161</v>
      </c>
      <c r="C16" s="51" t="s">
        <v>127</v>
      </c>
    </row>
    <row r="17" spans="1:3" ht="14.45" customHeight="1" x14ac:dyDescent="0.2">
      <c r="A17" s="250" t="str">
        <f t="shared" si="2"/>
        <v>MŽ Detail</v>
      </c>
      <c r="B17" s="166" t="s">
        <v>2856</v>
      </c>
      <c r="C17" s="51" t="s">
        <v>128</v>
      </c>
    </row>
    <row r="18" spans="1:3" ht="14.45" customHeight="1" thickBot="1" x14ac:dyDescent="0.25">
      <c r="A18" s="252" t="str">
        <f t="shared" si="2"/>
        <v>Osobní náklady</v>
      </c>
      <c r="B18" s="166" t="s">
        <v>116</v>
      </c>
      <c r="C18" s="51" t="s">
        <v>129</v>
      </c>
    </row>
    <row r="19" spans="1:3" ht="14.45" customHeight="1" thickBot="1" x14ac:dyDescent="0.25">
      <c r="A19" s="169"/>
      <c r="B19" s="169"/>
    </row>
    <row r="20" spans="1:3" ht="14.45" customHeight="1" thickBot="1" x14ac:dyDescent="0.25">
      <c r="A20" s="495" t="s">
        <v>120</v>
      </c>
      <c r="B20" s="493"/>
    </row>
    <row r="21" spans="1:3" ht="14.45" customHeight="1" x14ac:dyDescent="0.2">
      <c r="A21" s="253" t="str">
        <f t="shared" ref="A21:A32" si="4">HYPERLINK("#'"&amp;C21&amp;"'!A1",C21)</f>
        <v>ZV Vykáz.-A</v>
      </c>
      <c r="B21" s="165" t="s">
        <v>2892</v>
      </c>
      <c r="C21" s="51" t="s">
        <v>137</v>
      </c>
    </row>
    <row r="22" spans="1:3" ht="14.45" customHeight="1" x14ac:dyDescent="0.2">
      <c r="A22" s="250" t="str">
        <f t="shared" ref="A22" si="5">HYPERLINK("#'"&amp;C22&amp;"'!A1",C22)</f>
        <v>ZV Vykáz.-A Lékaři</v>
      </c>
      <c r="B22" s="166" t="s">
        <v>2897</v>
      </c>
      <c r="C22" s="51" t="s">
        <v>231</v>
      </c>
    </row>
    <row r="23" spans="1:3" ht="14.45" customHeight="1" x14ac:dyDescent="0.2">
      <c r="A23" s="250" t="str">
        <f t="shared" si="4"/>
        <v>ZV Vykáz.-A Detail</v>
      </c>
      <c r="B23" s="166" t="s">
        <v>2902</v>
      </c>
      <c r="C23" s="51" t="s">
        <v>138</v>
      </c>
    </row>
    <row r="24" spans="1:3" ht="14.45" customHeight="1" x14ac:dyDescent="0.25">
      <c r="A24" s="411" t="str">
        <f>HYPERLINK("#'"&amp;C24&amp;"'!A1",C24)</f>
        <v>ZV Vykáz.-A Det.Lék.</v>
      </c>
      <c r="B24" s="166" t="s">
        <v>2903</v>
      </c>
      <c r="C24" s="51" t="s">
        <v>238</v>
      </c>
    </row>
    <row r="25" spans="1:3" ht="14.45" customHeight="1" x14ac:dyDescent="0.2">
      <c r="A25" s="250" t="str">
        <f t="shared" si="4"/>
        <v>ZV Vykáz.-H</v>
      </c>
      <c r="B25" s="166" t="s">
        <v>141</v>
      </c>
      <c r="C25" s="51" t="s">
        <v>139</v>
      </c>
    </row>
    <row r="26" spans="1:3" ht="14.45" customHeight="1" x14ac:dyDescent="0.2">
      <c r="A26" s="250" t="str">
        <f t="shared" si="4"/>
        <v>ZV Vykáz.-H Detail</v>
      </c>
      <c r="B26" s="166" t="s">
        <v>3876</v>
      </c>
      <c r="C26" s="51" t="s">
        <v>140</v>
      </c>
    </row>
    <row r="27" spans="1:3" ht="14.45" customHeight="1" x14ac:dyDescent="0.2">
      <c r="A27" s="253" t="str">
        <f t="shared" si="4"/>
        <v>CaseMix</v>
      </c>
      <c r="B27" s="166" t="s">
        <v>121</v>
      </c>
      <c r="C27" s="51" t="s">
        <v>130</v>
      </c>
    </row>
    <row r="28" spans="1:3" ht="14.45" customHeight="1" x14ac:dyDescent="0.2">
      <c r="A28" s="250" t="str">
        <f t="shared" si="4"/>
        <v>ALOS</v>
      </c>
      <c r="B28" s="166" t="s">
        <v>101</v>
      </c>
      <c r="C28" s="51" t="s">
        <v>72</v>
      </c>
    </row>
    <row r="29" spans="1:3" ht="14.45" customHeight="1" x14ac:dyDescent="0.2">
      <c r="A29" s="250" t="str">
        <f t="shared" si="4"/>
        <v>Total</v>
      </c>
      <c r="B29" s="166" t="s">
        <v>4041</v>
      </c>
      <c r="C29" s="51" t="s">
        <v>131</v>
      </c>
    </row>
    <row r="30" spans="1:3" ht="14.45" customHeight="1" x14ac:dyDescent="0.2">
      <c r="A30" s="250" t="str">
        <f t="shared" si="4"/>
        <v>ZV Vyžád.</v>
      </c>
      <c r="B30" s="166" t="s">
        <v>142</v>
      </c>
      <c r="C30" s="51" t="s">
        <v>134</v>
      </c>
    </row>
    <row r="31" spans="1:3" ht="14.45" customHeight="1" x14ac:dyDescent="0.2">
      <c r="A31" s="250" t="str">
        <f t="shared" si="4"/>
        <v>ZV Vyžád. Detail</v>
      </c>
      <c r="B31" s="166" t="s">
        <v>4977</v>
      </c>
      <c r="C31" s="51" t="s">
        <v>133</v>
      </c>
    </row>
    <row r="32" spans="1:3" ht="14.45" customHeight="1" x14ac:dyDescent="0.2">
      <c r="A32" s="250" t="str">
        <f t="shared" si="4"/>
        <v>OD TISS</v>
      </c>
      <c r="B32" s="166" t="s">
        <v>164</v>
      </c>
      <c r="C32" s="51" t="s">
        <v>132</v>
      </c>
    </row>
  </sheetData>
  <mergeCells count="4">
    <mergeCell ref="A3:B3"/>
    <mergeCell ref="A10:B10"/>
    <mergeCell ref="A20:B20"/>
    <mergeCell ref="A1:B1"/>
  </mergeCells>
  <hyperlinks>
    <hyperlink ref="A2" location="Obsah!A1" display="Zpět na Obsah  KL 01  1.-4.měsíc" xr:uid="{C40CE29B-6CA9-4448-8D41-3C3512C151F9}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List27">
    <tabColor theme="0" tint="-0.249977111117893"/>
    <pageSetUpPr fitToPage="1"/>
  </sheetPr>
  <dimension ref="A1:M165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ColWidth="8.85546875" defaultRowHeight="14.45" customHeight="1" x14ac:dyDescent="0.2"/>
  <cols>
    <col min="1" max="1" width="5.7109375" style="233" bestFit="1" customWidth="1"/>
    <col min="2" max="2" width="8.85546875" style="233" bestFit="1" customWidth="1"/>
    <col min="3" max="3" width="7" style="233" bestFit="1" customWidth="1"/>
    <col min="4" max="4" width="53.42578125" style="233" bestFit="1" customWidth="1"/>
    <col min="5" max="5" width="28.42578125" style="233" bestFit="1" customWidth="1"/>
    <col min="6" max="6" width="6.7109375" style="312" customWidth="1"/>
    <col min="7" max="7" width="10" style="312" customWidth="1"/>
    <col min="8" max="8" width="6.7109375" style="315" bestFit="1" customWidth="1"/>
    <col min="9" max="9" width="6.7109375" style="312" customWidth="1"/>
    <col min="10" max="10" width="10.85546875" style="312" customWidth="1"/>
    <col min="11" max="11" width="6.7109375" style="315" bestFit="1" customWidth="1"/>
    <col min="12" max="12" width="6.7109375" style="312" customWidth="1"/>
    <col min="13" max="13" width="10.85546875" style="312" customWidth="1"/>
    <col min="14" max="16384" width="8.85546875" style="233"/>
  </cols>
  <sheetData>
    <row r="1" spans="1:13" ht="18.600000000000001" customHeight="1" thickBot="1" x14ac:dyDescent="0.35">
      <c r="A1" s="535" t="s">
        <v>2006</v>
      </c>
      <c r="B1" s="535"/>
      <c r="C1" s="535"/>
      <c r="D1" s="535"/>
      <c r="E1" s="535"/>
      <c r="F1" s="535"/>
      <c r="G1" s="535"/>
      <c r="H1" s="535"/>
      <c r="I1" s="535"/>
      <c r="J1" s="535"/>
      <c r="K1" s="535"/>
      <c r="L1" s="496"/>
      <c r="M1" s="496"/>
    </row>
    <row r="2" spans="1:13" ht="14.45" customHeight="1" thickBot="1" x14ac:dyDescent="0.25">
      <c r="A2" s="350" t="s">
        <v>305</v>
      </c>
      <c r="B2" s="311"/>
      <c r="C2" s="311"/>
      <c r="D2" s="311"/>
      <c r="E2" s="311"/>
      <c r="F2" s="319"/>
      <c r="G2" s="319"/>
      <c r="H2" s="320"/>
      <c r="I2" s="319"/>
      <c r="J2" s="319"/>
      <c r="K2" s="320"/>
      <c r="L2" s="319"/>
    </row>
    <row r="3" spans="1:13" ht="14.45" customHeight="1" thickBot="1" x14ac:dyDescent="0.25">
      <c r="E3" s="96" t="s">
        <v>143</v>
      </c>
      <c r="F3" s="47">
        <f>SUBTOTAL(9,F6:F1048576)</f>
        <v>964.5</v>
      </c>
      <c r="G3" s="47">
        <f>SUBTOTAL(9,G6:G1048576)</f>
        <v>578681.05456567788</v>
      </c>
      <c r="H3" s="48">
        <f>IF(M3=0,0,G3/M3)</f>
        <v>0.1940647320214344</v>
      </c>
      <c r="I3" s="47">
        <f>SUBTOTAL(9,I6:I1048576)</f>
        <v>8101.1500000000005</v>
      </c>
      <c r="J3" s="47">
        <f>SUBTOTAL(9,J6:J1048576)</f>
        <v>2403216.0090479329</v>
      </c>
      <c r="K3" s="48">
        <f>IF(M3=0,0,J3/M3)</f>
        <v>0.80593526797856496</v>
      </c>
      <c r="L3" s="47">
        <f>SUBTOTAL(9,L6:L1048576)</f>
        <v>9065.6500000000015</v>
      </c>
      <c r="M3" s="49">
        <f>SUBTOTAL(9,M6:M1048576)</f>
        <v>2981897.0636136127</v>
      </c>
    </row>
    <row r="4" spans="1:13" ht="14.45" customHeight="1" thickBot="1" x14ac:dyDescent="0.25">
      <c r="A4" s="45"/>
      <c r="B4" s="45"/>
      <c r="C4" s="45"/>
      <c r="D4" s="45"/>
      <c r="E4" s="46"/>
      <c r="F4" s="539" t="s">
        <v>145</v>
      </c>
      <c r="G4" s="540"/>
      <c r="H4" s="541"/>
      <c r="I4" s="542" t="s">
        <v>144</v>
      </c>
      <c r="J4" s="540"/>
      <c r="K4" s="541"/>
      <c r="L4" s="543" t="s">
        <v>3</v>
      </c>
      <c r="M4" s="544"/>
    </row>
    <row r="5" spans="1:13" ht="14.45" customHeight="1" thickBot="1" x14ac:dyDescent="0.25">
      <c r="A5" s="710" t="s">
        <v>146</v>
      </c>
      <c r="B5" s="733" t="s">
        <v>147</v>
      </c>
      <c r="C5" s="733" t="s">
        <v>76</v>
      </c>
      <c r="D5" s="733" t="s">
        <v>148</v>
      </c>
      <c r="E5" s="733" t="s">
        <v>149</v>
      </c>
      <c r="F5" s="734" t="s">
        <v>15</v>
      </c>
      <c r="G5" s="734" t="s">
        <v>14</v>
      </c>
      <c r="H5" s="712" t="s">
        <v>150</v>
      </c>
      <c r="I5" s="711" t="s">
        <v>15</v>
      </c>
      <c r="J5" s="734" t="s">
        <v>14</v>
      </c>
      <c r="K5" s="712" t="s">
        <v>150</v>
      </c>
      <c r="L5" s="711" t="s">
        <v>15</v>
      </c>
      <c r="M5" s="735" t="s">
        <v>14</v>
      </c>
    </row>
    <row r="6" spans="1:13" ht="14.45" customHeight="1" x14ac:dyDescent="0.2">
      <c r="A6" s="689" t="s">
        <v>550</v>
      </c>
      <c r="B6" s="690" t="s">
        <v>1629</v>
      </c>
      <c r="C6" s="690" t="s">
        <v>1630</v>
      </c>
      <c r="D6" s="690" t="s">
        <v>1129</v>
      </c>
      <c r="E6" s="690" t="s">
        <v>1130</v>
      </c>
      <c r="F6" s="694">
        <v>12</v>
      </c>
      <c r="G6" s="694">
        <v>3096.4800000000005</v>
      </c>
      <c r="H6" s="715">
        <v>1</v>
      </c>
      <c r="I6" s="694"/>
      <c r="J6" s="694"/>
      <c r="K6" s="715">
        <v>0</v>
      </c>
      <c r="L6" s="694">
        <v>12</v>
      </c>
      <c r="M6" s="695">
        <v>3096.4800000000005</v>
      </c>
    </row>
    <row r="7" spans="1:13" ht="14.45" customHeight="1" x14ac:dyDescent="0.2">
      <c r="A7" s="696" t="s">
        <v>550</v>
      </c>
      <c r="B7" s="697" t="s">
        <v>1629</v>
      </c>
      <c r="C7" s="697" t="s">
        <v>1631</v>
      </c>
      <c r="D7" s="697" t="s">
        <v>1632</v>
      </c>
      <c r="E7" s="697" t="s">
        <v>1633</v>
      </c>
      <c r="F7" s="701"/>
      <c r="G7" s="701"/>
      <c r="H7" s="726">
        <v>0</v>
      </c>
      <c r="I7" s="701">
        <v>3071</v>
      </c>
      <c r="J7" s="701">
        <v>50892.746500000001</v>
      </c>
      <c r="K7" s="726">
        <v>1</v>
      </c>
      <c r="L7" s="701">
        <v>3071</v>
      </c>
      <c r="M7" s="702">
        <v>50892.746500000001</v>
      </c>
    </row>
    <row r="8" spans="1:13" ht="14.45" customHeight="1" x14ac:dyDescent="0.2">
      <c r="A8" s="696" t="s">
        <v>550</v>
      </c>
      <c r="B8" s="697" t="s">
        <v>1629</v>
      </c>
      <c r="C8" s="697" t="s">
        <v>1634</v>
      </c>
      <c r="D8" s="697" t="s">
        <v>1632</v>
      </c>
      <c r="E8" s="697" t="s">
        <v>1635</v>
      </c>
      <c r="F8" s="701"/>
      <c r="G8" s="701"/>
      <c r="H8" s="726">
        <v>0</v>
      </c>
      <c r="I8" s="701">
        <v>8</v>
      </c>
      <c r="J8" s="701">
        <v>98.56</v>
      </c>
      <c r="K8" s="726">
        <v>1</v>
      </c>
      <c r="L8" s="701">
        <v>8</v>
      </c>
      <c r="M8" s="702">
        <v>98.56</v>
      </c>
    </row>
    <row r="9" spans="1:13" ht="14.45" customHeight="1" x14ac:dyDescent="0.2">
      <c r="A9" s="696" t="s">
        <v>550</v>
      </c>
      <c r="B9" s="697" t="s">
        <v>1629</v>
      </c>
      <c r="C9" s="697" t="s">
        <v>1636</v>
      </c>
      <c r="D9" s="697" t="s">
        <v>1632</v>
      </c>
      <c r="E9" s="697" t="s">
        <v>1637</v>
      </c>
      <c r="F9" s="701"/>
      <c r="G9" s="701"/>
      <c r="H9" s="726">
        <v>0</v>
      </c>
      <c r="I9" s="701">
        <v>1</v>
      </c>
      <c r="J9" s="701">
        <v>42.88</v>
      </c>
      <c r="K9" s="726">
        <v>1</v>
      </c>
      <c r="L9" s="701">
        <v>1</v>
      </c>
      <c r="M9" s="702">
        <v>42.88</v>
      </c>
    </row>
    <row r="10" spans="1:13" ht="14.45" customHeight="1" x14ac:dyDescent="0.2">
      <c r="A10" s="696" t="s">
        <v>550</v>
      </c>
      <c r="B10" s="697" t="s">
        <v>1638</v>
      </c>
      <c r="C10" s="697" t="s">
        <v>1639</v>
      </c>
      <c r="D10" s="697" t="s">
        <v>977</v>
      </c>
      <c r="E10" s="697" t="s">
        <v>978</v>
      </c>
      <c r="F10" s="701"/>
      <c r="G10" s="701"/>
      <c r="H10" s="726">
        <v>0</v>
      </c>
      <c r="I10" s="701">
        <v>2</v>
      </c>
      <c r="J10" s="701">
        <v>244.22000000000003</v>
      </c>
      <c r="K10" s="726">
        <v>1</v>
      </c>
      <c r="L10" s="701">
        <v>2</v>
      </c>
      <c r="M10" s="702">
        <v>244.22000000000003</v>
      </c>
    </row>
    <row r="11" spans="1:13" ht="14.45" customHeight="1" x14ac:dyDescent="0.2">
      <c r="A11" s="696" t="s">
        <v>550</v>
      </c>
      <c r="B11" s="697" t="s">
        <v>1640</v>
      </c>
      <c r="C11" s="697" t="s">
        <v>1641</v>
      </c>
      <c r="D11" s="697" t="s">
        <v>1642</v>
      </c>
      <c r="E11" s="697" t="s">
        <v>1643</v>
      </c>
      <c r="F11" s="701"/>
      <c r="G11" s="701"/>
      <c r="H11" s="726">
        <v>0</v>
      </c>
      <c r="I11" s="701">
        <v>19</v>
      </c>
      <c r="J11" s="701">
        <v>5204.1000000000004</v>
      </c>
      <c r="K11" s="726">
        <v>1</v>
      </c>
      <c r="L11" s="701">
        <v>19</v>
      </c>
      <c r="M11" s="702">
        <v>5204.1000000000004</v>
      </c>
    </row>
    <row r="12" spans="1:13" ht="14.45" customHeight="1" x14ac:dyDescent="0.2">
      <c r="A12" s="696" t="s">
        <v>550</v>
      </c>
      <c r="B12" s="697" t="s">
        <v>1644</v>
      </c>
      <c r="C12" s="697" t="s">
        <v>1645</v>
      </c>
      <c r="D12" s="697" t="s">
        <v>778</v>
      </c>
      <c r="E12" s="697" t="s">
        <v>779</v>
      </c>
      <c r="F12" s="701">
        <v>8</v>
      </c>
      <c r="G12" s="701">
        <v>1061.7199999999998</v>
      </c>
      <c r="H12" s="726">
        <v>1</v>
      </c>
      <c r="I12" s="701"/>
      <c r="J12" s="701"/>
      <c r="K12" s="726">
        <v>0</v>
      </c>
      <c r="L12" s="701">
        <v>8</v>
      </c>
      <c r="M12" s="702">
        <v>1061.7199999999998</v>
      </c>
    </row>
    <row r="13" spans="1:13" ht="14.45" customHeight="1" x14ac:dyDescent="0.2">
      <c r="A13" s="696" t="s">
        <v>550</v>
      </c>
      <c r="B13" s="697" t="s">
        <v>1644</v>
      </c>
      <c r="C13" s="697" t="s">
        <v>1646</v>
      </c>
      <c r="D13" s="697" t="s">
        <v>1647</v>
      </c>
      <c r="E13" s="697" t="s">
        <v>1648</v>
      </c>
      <c r="F13" s="701"/>
      <c r="G13" s="701"/>
      <c r="H13" s="726">
        <v>0</v>
      </c>
      <c r="I13" s="701">
        <v>2</v>
      </c>
      <c r="J13" s="701">
        <v>176.26</v>
      </c>
      <c r="K13" s="726">
        <v>1</v>
      </c>
      <c r="L13" s="701">
        <v>2</v>
      </c>
      <c r="M13" s="702">
        <v>176.26</v>
      </c>
    </row>
    <row r="14" spans="1:13" ht="14.45" customHeight="1" x14ac:dyDescent="0.2">
      <c r="A14" s="696" t="s">
        <v>550</v>
      </c>
      <c r="B14" s="697" t="s">
        <v>1649</v>
      </c>
      <c r="C14" s="697" t="s">
        <v>1650</v>
      </c>
      <c r="D14" s="697" t="s">
        <v>1651</v>
      </c>
      <c r="E14" s="697" t="s">
        <v>1652</v>
      </c>
      <c r="F14" s="701"/>
      <c r="G14" s="701"/>
      <c r="H14" s="726">
        <v>0</v>
      </c>
      <c r="I14" s="701">
        <v>108</v>
      </c>
      <c r="J14" s="701">
        <v>43513.04</v>
      </c>
      <c r="K14" s="726">
        <v>1</v>
      </c>
      <c r="L14" s="701">
        <v>108</v>
      </c>
      <c r="M14" s="702">
        <v>43513.04</v>
      </c>
    </row>
    <row r="15" spans="1:13" ht="14.45" customHeight="1" x14ac:dyDescent="0.2">
      <c r="A15" s="696" t="s">
        <v>550</v>
      </c>
      <c r="B15" s="697" t="s">
        <v>1653</v>
      </c>
      <c r="C15" s="697" t="s">
        <v>1654</v>
      </c>
      <c r="D15" s="697" t="s">
        <v>1655</v>
      </c>
      <c r="E15" s="697" t="s">
        <v>1656</v>
      </c>
      <c r="F15" s="701"/>
      <c r="G15" s="701"/>
      <c r="H15" s="726">
        <v>0</v>
      </c>
      <c r="I15" s="701">
        <v>2</v>
      </c>
      <c r="J15" s="701">
        <v>274.73999999999995</v>
      </c>
      <c r="K15" s="726">
        <v>1</v>
      </c>
      <c r="L15" s="701">
        <v>2</v>
      </c>
      <c r="M15" s="702">
        <v>274.73999999999995</v>
      </c>
    </row>
    <row r="16" spans="1:13" ht="14.45" customHeight="1" x14ac:dyDescent="0.2">
      <c r="A16" s="696" t="s">
        <v>550</v>
      </c>
      <c r="B16" s="697" t="s">
        <v>1657</v>
      </c>
      <c r="C16" s="697" t="s">
        <v>1658</v>
      </c>
      <c r="D16" s="697" t="s">
        <v>1659</v>
      </c>
      <c r="E16" s="697" t="s">
        <v>935</v>
      </c>
      <c r="F16" s="701"/>
      <c r="G16" s="701"/>
      <c r="H16" s="726">
        <v>0</v>
      </c>
      <c r="I16" s="701">
        <v>1</v>
      </c>
      <c r="J16" s="701">
        <v>480.7</v>
      </c>
      <c r="K16" s="726">
        <v>1</v>
      </c>
      <c r="L16" s="701">
        <v>1</v>
      </c>
      <c r="M16" s="702">
        <v>480.7</v>
      </c>
    </row>
    <row r="17" spans="1:13" ht="14.45" customHeight="1" x14ac:dyDescent="0.2">
      <c r="A17" s="696" t="s">
        <v>550</v>
      </c>
      <c r="B17" s="697" t="s">
        <v>1657</v>
      </c>
      <c r="C17" s="697" t="s">
        <v>1660</v>
      </c>
      <c r="D17" s="697" t="s">
        <v>1659</v>
      </c>
      <c r="E17" s="697" t="s">
        <v>939</v>
      </c>
      <c r="F17" s="701"/>
      <c r="G17" s="701"/>
      <c r="H17" s="726">
        <v>0</v>
      </c>
      <c r="I17" s="701">
        <v>6</v>
      </c>
      <c r="J17" s="701">
        <v>3709.2</v>
      </c>
      <c r="K17" s="726">
        <v>1</v>
      </c>
      <c r="L17" s="701">
        <v>6</v>
      </c>
      <c r="M17" s="702">
        <v>3709.2</v>
      </c>
    </row>
    <row r="18" spans="1:13" ht="14.45" customHeight="1" x14ac:dyDescent="0.2">
      <c r="A18" s="696" t="s">
        <v>550</v>
      </c>
      <c r="B18" s="697" t="s">
        <v>1657</v>
      </c>
      <c r="C18" s="697" t="s">
        <v>1661</v>
      </c>
      <c r="D18" s="697" t="s">
        <v>1659</v>
      </c>
      <c r="E18" s="697" t="s">
        <v>937</v>
      </c>
      <c r="F18" s="701">
        <v>1</v>
      </c>
      <c r="G18" s="701">
        <v>3077.0299999999997</v>
      </c>
      <c r="H18" s="726">
        <v>1</v>
      </c>
      <c r="I18" s="701"/>
      <c r="J18" s="701"/>
      <c r="K18" s="726">
        <v>0</v>
      </c>
      <c r="L18" s="701">
        <v>1</v>
      </c>
      <c r="M18" s="702">
        <v>3077.0299999999997</v>
      </c>
    </row>
    <row r="19" spans="1:13" ht="14.45" customHeight="1" x14ac:dyDescent="0.2">
      <c r="A19" s="696" t="s">
        <v>550</v>
      </c>
      <c r="B19" s="697" t="s">
        <v>1662</v>
      </c>
      <c r="C19" s="697" t="s">
        <v>1663</v>
      </c>
      <c r="D19" s="697" t="s">
        <v>850</v>
      </c>
      <c r="E19" s="697" t="s">
        <v>1664</v>
      </c>
      <c r="F19" s="701"/>
      <c r="G19" s="701"/>
      <c r="H19" s="726">
        <v>0</v>
      </c>
      <c r="I19" s="701">
        <v>7</v>
      </c>
      <c r="J19" s="701">
        <v>23099.23</v>
      </c>
      <c r="K19" s="726">
        <v>1</v>
      </c>
      <c r="L19" s="701">
        <v>7</v>
      </c>
      <c r="M19" s="702">
        <v>23099.23</v>
      </c>
    </row>
    <row r="20" spans="1:13" ht="14.45" customHeight="1" x14ac:dyDescent="0.2">
      <c r="A20" s="696" t="s">
        <v>550</v>
      </c>
      <c r="B20" s="697" t="s">
        <v>1662</v>
      </c>
      <c r="C20" s="697" t="s">
        <v>1665</v>
      </c>
      <c r="D20" s="697" t="s">
        <v>858</v>
      </c>
      <c r="E20" s="697" t="s">
        <v>1666</v>
      </c>
      <c r="F20" s="701"/>
      <c r="G20" s="701"/>
      <c r="H20" s="726">
        <v>0</v>
      </c>
      <c r="I20" s="701">
        <v>2</v>
      </c>
      <c r="J20" s="701">
        <v>2212.3200000000002</v>
      </c>
      <c r="K20" s="726">
        <v>1</v>
      </c>
      <c r="L20" s="701">
        <v>2</v>
      </c>
      <c r="M20" s="702">
        <v>2212.3200000000002</v>
      </c>
    </row>
    <row r="21" spans="1:13" ht="14.45" customHeight="1" x14ac:dyDescent="0.2">
      <c r="A21" s="696" t="s">
        <v>550</v>
      </c>
      <c r="B21" s="697" t="s">
        <v>1662</v>
      </c>
      <c r="C21" s="697" t="s">
        <v>1667</v>
      </c>
      <c r="D21" s="697" t="s">
        <v>852</v>
      </c>
      <c r="E21" s="697" t="s">
        <v>854</v>
      </c>
      <c r="F21" s="701"/>
      <c r="G21" s="701"/>
      <c r="H21" s="726">
        <v>0</v>
      </c>
      <c r="I21" s="701">
        <v>27</v>
      </c>
      <c r="J21" s="701">
        <v>19471.32</v>
      </c>
      <c r="K21" s="726">
        <v>1</v>
      </c>
      <c r="L21" s="701">
        <v>27</v>
      </c>
      <c r="M21" s="702">
        <v>19471.32</v>
      </c>
    </row>
    <row r="22" spans="1:13" ht="14.45" customHeight="1" x14ac:dyDescent="0.2">
      <c r="A22" s="696" t="s">
        <v>550</v>
      </c>
      <c r="B22" s="697" t="s">
        <v>1662</v>
      </c>
      <c r="C22" s="697" t="s">
        <v>1668</v>
      </c>
      <c r="D22" s="697" t="s">
        <v>852</v>
      </c>
      <c r="E22" s="697" t="s">
        <v>857</v>
      </c>
      <c r="F22" s="701"/>
      <c r="G22" s="701"/>
      <c r="H22" s="726">
        <v>0</v>
      </c>
      <c r="I22" s="701">
        <v>79</v>
      </c>
      <c r="J22" s="701">
        <v>20733.400000000001</v>
      </c>
      <c r="K22" s="726">
        <v>1</v>
      </c>
      <c r="L22" s="701">
        <v>79</v>
      </c>
      <c r="M22" s="702">
        <v>20733.400000000001</v>
      </c>
    </row>
    <row r="23" spans="1:13" ht="14.45" customHeight="1" x14ac:dyDescent="0.2">
      <c r="A23" s="696" t="s">
        <v>550</v>
      </c>
      <c r="B23" s="697" t="s">
        <v>1662</v>
      </c>
      <c r="C23" s="697" t="s">
        <v>1669</v>
      </c>
      <c r="D23" s="697" t="s">
        <v>852</v>
      </c>
      <c r="E23" s="697" t="s">
        <v>1670</v>
      </c>
      <c r="F23" s="701"/>
      <c r="G23" s="701"/>
      <c r="H23" s="726">
        <v>0</v>
      </c>
      <c r="I23" s="701">
        <v>77</v>
      </c>
      <c r="J23" s="701">
        <v>41659.250004570218</v>
      </c>
      <c r="K23" s="726">
        <v>1</v>
      </c>
      <c r="L23" s="701">
        <v>77</v>
      </c>
      <c r="M23" s="702">
        <v>41659.250004570218</v>
      </c>
    </row>
    <row r="24" spans="1:13" ht="14.45" customHeight="1" x14ac:dyDescent="0.2">
      <c r="A24" s="696" t="s">
        <v>550</v>
      </c>
      <c r="B24" s="697" t="s">
        <v>1662</v>
      </c>
      <c r="C24" s="697" t="s">
        <v>1671</v>
      </c>
      <c r="D24" s="697" t="s">
        <v>852</v>
      </c>
      <c r="E24" s="697" t="s">
        <v>1672</v>
      </c>
      <c r="F24" s="701"/>
      <c r="G24" s="701"/>
      <c r="H24" s="726">
        <v>0</v>
      </c>
      <c r="I24" s="701">
        <v>1</v>
      </c>
      <c r="J24" s="701">
        <v>913.55</v>
      </c>
      <c r="K24" s="726">
        <v>1</v>
      </c>
      <c r="L24" s="701">
        <v>1</v>
      </c>
      <c r="M24" s="702">
        <v>913.55</v>
      </c>
    </row>
    <row r="25" spans="1:13" ht="14.45" customHeight="1" x14ac:dyDescent="0.2">
      <c r="A25" s="696" t="s">
        <v>550</v>
      </c>
      <c r="B25" s="697" t="s">
        <v>1662</v>
      </c>
      <c r="C25" s="697" t="s">
        <v>1673</v>
      </c>
      <c r="D25" s="697" t="s">
        <v>852</v>
      </c>
      <c r="E25" s="697" t="s">
        <v>856</v>
      </c>
      <c r="F25" s="701"/>
      <c r="G25" s="701"/>
      <c r="H25" s="726">
        <v>0</v>
      </c>
      <c r="I25" s="701">
        <v>193</v>
      </c>
      <c r="J25" s="701">
        <v>67578.039968976984</v>
      </c>
      <c r="K25" s="726">
        <v>1</v>
      </c>
      <c r="L25" s="701">
        <v>193</v>
      </c>
      <c r="M25" s="702">
        <v>67578.039968976984</v>
      </c>
    </row>
    <row r="26" spans="1:13" ht="14.45" customHeight="1" x14ac:dyDescent="0.2">
      <c r="A26" s="696" t="s">
        <v>550</v>
      </c>
      <c r="B26" s="697" t="s">
        <v>1674</v>
      </c>
      <c r="C26" s="697" t="s">
        <v>1675</v>
      </c>
      <c r="D26" s="697" t="s">
        <v>724</v>
      </c>
      <c r="E26" s="697" t="s">
        <v>1676</v>
      </c>
      <c r="F26" s="701"/>
      <c r="G26" s="701"/>
      <c r="H26" s="726">
        <v>0</v>
      </c>
      <c r="I26" s="701">
        <v>3</v>
      </c>
      <c r="J26" s="701">
        <v>268.95</v>
      </c>
      <c r="K26" s="726">
        <v>1</v>
      </c>
      <c r="L26" s="701">
        <v>3</v>
      </c>
      <c r="M26" s="702">
        <v>268.95</v>
      </c>
    </row>
    <row r="27" spans="1:13" ht="14.45" customHeight="1" x14ac:dyDescent="0.2">
      <c r="A27" s="696" t="s">
        <v>550</v>
      </c>
      <c r="B27" s="697" t="s">
        <v>1677</v>
      </c>
      <c r="C27" s="697" t="s">
        <v>1678</v>
      </c>
      <c r="D27" s="697" t="s">
        <v>1102</v>
      </c>
      <c r="E27" s="697" t="s">
        <v>1679</v>
      </c>
      <c r="F27" s="701"/>
      <c r="G27" s="701"/>
      <c r="H27" s="726">
        <v>0</v>
      </c>
      <c r="I27" s="701">
        <v>937</v>
      </c>
      <c r="J27" s="701">
        <v>628376.27</v>
      </c>
      <c r="K27" s="726">
        <v>1</v>
      </c>
      <c r="L27" s="701">
        <v>937</v>
      </c>
      <c r="M27" s="702">
        <v>628376.27</v>
      </c>
    </row>
    <row r="28" spans="1:13" ht="14.45" customHeight="1" x14ac:dyDescent="0.2">
      <c r="A28" s="696" t="s">
        <v>550</v>
      </c>
      <c r="B28" s="697" t="s">
        <v>1680</v>
      </c>
      <c r="C28" s="697" t="s">
        <v>1681</v>
      </c>
      <c r="D28" s="697" t="s">
        <v>802</v>
      </c>
      <c r="E28" s="697" t="s">
        <v>1682</v>
      </c>
      <c r="F28" s="701">
        <v>1</v>
      </c>
      <c r="G28" s="701">
        <v>181.91</v>
      </c>
      <c r="H28" s="726">
        <v>1</v>
      </c>
      <c r="I28" s="701"/>
      <c r="J28" s="701"/>
      <c r="K28" s="726">
        <v>0</v>
      </c>
      <c r="L28" s="701">
        <v>1</v>
      </c>
      <c r="M28" s="702">
        <v>181.91</v>
      </c>
    </row>
    <row r="29" spans="1:13" ht="14.45" customHeight="1" x14ac:dyDescent="0.2">
      <c r="A29" s="696" t="s">
        <v>550</v>
      </c>
      <c r="B29" s="697" t="s">
        <v>1683</v>
      </c>
      <c r="C29" s="697" t="s">
        <v>1684</v>
      </c>
      <c r="D29" s="697" t="s">
        <v>1685</v>
      </c>
      <c r="E29" s="697" t="s">
        <v>1686</v>
      </c>
      <c r="F29" s="701"/>
      <c r="G29" s="701"/>
      <c r="H29" s="726">
        <v>0</v>
      </c>
      <c r="I29" s="701">
        <v>1</v>
      </c>
      <c r="J29" s="701">
        <v>77.740000000000009</v>
      </c>
      <c r="K29" s="726">
        <v>1</v>
      </c>
      <c r="L29" s="701">
        <v>1</v>
      </c>
      <c r="M29" s="702">
        <v>77.740000000000009</v>
      </c>
    </row>
    <row r="30" spans="1:13" ht="14.45" customHeight="1" x14ac:dyDescent="0.2">
      <c r="A30" s="696" t="s">
        <v>550</v>
      </c>
      <c r="B30" s="697" t="s">
        <v>1687</v>
      </c>
      <c r="C30" s="697" t="s">
        <v>1688</v>
      </c>
      <c r="D30" s="697" t="s">
        <v>863</v>
      </c>
      <c r="E30" s="697" t="s">
        <v>864</v>
      </c>
      <c r="F30" s="701"/>
      <c r="G30" s="701"/>
      <c r="H30" s="726">
        <v>0</v>
      </c>
      <c r="I30" s="701">
        <v>12</v>
      </c>
      <c r="J30" s="701">
        <v>484.68</v>
      </c>
      <c r="K30" s="726">
        <v>1</v>
      </c>
      <c r="L30" s="701">
        <v>12</v>
      </c>
      <c r="M30" s="702">
        <v>484.68</v>
      </c>
    </row>
    <row r="31" spans="1:13" ht="14.45" customHeight="1" x14ac:dyDescent="0.2">
      <c r="A31" s="696" t="s">
        <v>550</v>
      </c>
      <c r="B31" s="697" t="s">
        <v>1687</v>
      </c>
      <c r="C31" s="697" t="s">
        <v>1689</v>
      </c>
      <c r="D31" s="697" t="s">
        <v>1690</v>
      </c>
      <c r="E31" s="697" t="s">
        <v>1691</v>
      </c>
      <c r="F31" s="701"/>
      <c r="G31" s="701"/>
      <c r="H31" s="726">
        <v>0</v>
      </c>
      <c r="I31" s="701">
        <v>2</v>
      </c>
      <c r="J31" s="701">
        <v>116.78000000000003</v>
      </c>
      <c r="K31" s="726">
        <v>1</v>
      </c>
      <c r="L31" s="701">
        <v>2</v>
      </c>
      <c r="M31" s="702">
        <v>116.78000000000003</v>
      </c>
    </row>
    <row r="32" spans="1:13" ht="14.45" customHeight="1" x14ac:dyDescent="0.2">
      <c r="A32" s="696" t="s">
        <v>550</v>
      </c>
      <c r="B32" s="697" t="s">
        <v>1692</v>
      </c>
      <c r="C32" s="697" t="s">
        <v>1693</v>
      </c>
      <c r="D32" s="697" t="s">
        <v>904</v>
      </c>
      <c r="E32" s="697" t="s">
        <v>1694</v>
      </c>
      <c r="F32" s="701"/>
      <c r="G32" s="701"/>
      <c r="H32" s="726">
        <v>0</v>
      </c>
      <c r="I32" s="701">
        <v>5</v>
      </c>
      <c r="J32" s="701">
        <v>222.47000000000006</v>
      </c>
      <c r="K32" s="726">
        <v>1</v>
      </c>
      <c r="L32" s="701">
        <v>5</v>
      </c>
      <c r="M32" s="702">
        <v>222.47000000000006</v>
      </c>
    </row>
    <row r="33" spans="1:13" ht="14.45" customHeight="1" x14ac:dyDescent="0.2">
      <c r="A33" s="696" t="s">
        <v>550</v>
      </c>
      <c r="B33" s="697" t="s">
        <v>1692</v>
      </c>
      <c r="C33" s="697" t="s">
        <v>1695</v>
      </c>
      <c r="D33" s="697" t="s">
        <v>1696</v>
      </c>
      <c r="E33" s="697" t="s">
        <v>1697</v>
      </c>
      <c r="F33" s="701">
        <v>23</v>
      </c>
      <c r="G33" s="701">
        <v>1822.08</v>
      </c>
      <c r="H33" s="726">
        <v>1</v>
      </c>
      <c r="I33" s="701"/>
      <c r="J33" s="701"/>
      <c r="K33" s="726">
        <v>0</v>
      </c>
      <c r="L33" s="701">
        <v>23</v>
      </c>
      <c r="M33" s="702">
        <v>1822.08</v>
      </c>
    </row>
    <row r="34" spans="1:13" ht="14.45" customHeight="1" x14ac:dyDescent="0.2">
      <c r="A34" s="696" t="s">
        <v>550</v>
      </c>
      <c r="B34" s="697" t="s">
        <v>1698</v>
      </c>
      <c r="C34" s="697" t="s">
        <v>1699</v>
      </c>
      <c r="D34" s="697" t="s">
        <v>643</v>
      </c>
      <c r="E34" s="697" t="s">
        <v>644</v>
      </c>
      <c r="F34" s="701"/>
      <c r="G34" s="701"/>
      <c r="H34" s="726">
        <v>0</v>
      </c>
      <c r="I34" s="701">
        <v>1</v>
      </c>
      <c r="J34" s="701">
        <v>291.40000000000003</v>
      </c>
      <c r="K34" s="726">
        <v>1</v>
      </c>
      <c r="L34" s="701">
        <v>1</v>
      </c>
      <c r="M34" s="702">
        <v>291.40000000000003</v>
      </c>
    </row>
    <row r="35" spans="1:13" ht="14.45" customHeight="1" x14ac:dyDescent="0.2">
      <c r="A35" s="696" t="s">
        <v>550</v>
      </c>
      <c r="B35" s="697" t="s">
        <v>1698</v>
      </c>
      <c r="C35" s="697" t="s">
        <v>1700</v>
      </c>
      <c r="D35" s="697" t="s">
        <v>643</v>
      </c>
      <c r="E35" s="697" t="s">
        <v>645</v>
      </c>
      <c r="F35" s="701"/>
      <c r="G35" s="701"/>
      <c r="H35" s="726">
        <v>0</v>
      </c>
      <c r="I35" s="701">
        <v>1</v>
      </c>
      <c r="J35" s="701">
        <v>249.59</v>
      </c>
      <c r="K35" s="726">
        <v>1</v>
      </c>
      <c r="L35" s="701">
        <v>1</v>
      </c>
      <c r="M35" s="702">
        <v>249.59</v>
      </c>
    </row>
    <row r="36" spans="1:13" ht="14.45" customHeight="1" x14ac:dyDescent="0.2">
      <c r="A36" s="696" t="s">
        <v>550</v>
      </c>
      <c r="B36" s="697" t="s">
        <v>1698</v>
      </c>
      <c r="C36" s="697" t="s">
        <v>1701</v>
      </c>
      <c r="D36" s="697" t="s">
        <v>641</v>
      </c>
      <c r="E36" s="697" t="s">
        <v>642</v>
      </c>
      <c r="F36" s="701"/>
      <c r="G36" s="701"/>
      <c r="H36" s="726">
        <v>0</v>
      </c>
      <c r="I36" s="701">
        <v>33</v>
      </c>
      <c r="J36" s="701">
        <v>2942.4598909748233</v>
      </c>
      <c r="K36" s="726">
        <v>1</v>
      </c>
      <c r="L36" s="701">
        <v>33</v>
      </c>
      <c r="M36" s="702">
        <v>2942.4598909748233</v>
      </c>
    </row>
    <row r="37" spans="1:13" ht="14.45" customHeight="1" x14ac:dyDescent="0.2">
      <c r="A37" s="696" t="s">
        <v>550</v>
      </c>
      <c r="B37" s="697" t="s">
        <v>1702</v>
      </c>
      <c r="C37" s="697" t="s">
        <v>1703</v>
      </c>
      <c r="D37" s="697" t="s">
        <v>646</v>
      </c>
      <c r="E37" s="697" t="s">
        <v>647</v>
      </c>
      <c r="F37" s="701"/>
      <c r="G37" s="701"/>
      <c r="H37" s="726">
        <v>0</v>
      </c>
      <c r="I37" s="701">
        <v>1</v>
      </c>
      <c r="J37" s="701">
        <v>174.23</v>
      </c>
      <c r="K37" s="726">
        <v>1</v>
      </c>
      <c r="L37" s="701">
        <v>1</v>
      </c>
      <c r="M37" s="702">
        <v>174.23</v>
      </c>
    </row>
    <row r="38" spans="1:13" ht="14.45" customHeight="1" x14ac:dyDescent="0.2">
      <c r="A38" s="696" t="s">
        <v>550</v>
      </c>
      <c r="B38" s="697" t="s">
        <v>1704</v>
      </c>
      <c r="C38" s="697" t="s">
        <v>1705</v>
      </c>
      <c r="D38" s="697" t="s">
        <v>654</v>
      </c>
      <c r="E38" s="697" t="s">
        <v>657</v>
      </c>
      <c r="F38" s="701"/>
      <c r="G38" s="701"/>
      <c r="H38" s="726">
        <v>0</v>
      </c>
      <c r="I38" s="701">
        <v>2</v>
      </c>
      <c r="J38" s="701">
        <v>52.22</v>
      </c>
      <c r="K38" s="726">
        <v>1</v>
      </c>
      <c r="L38" s="701">
        <v>2</v>
      </c>
      <c r="M38" s="702">
        <v>52.22</v>
      </c>
    </row>
    <row r="39" spans="1:13" ht="14.45" customHeight="1" x14ac:dyDescent="0.2">
      <c r="A39" s="696" t="s">
        <v>550</v>
      </c>
      <c r="B39" s="697" t="s">
        <v>1704</v>
      </c>
      <c r="C39" s="697" t="s">
        <v>1706</v>
      </c>
      <c r="D39" s="697" t="s">
        <v>654</v>
      </c>
      <c r="E39" s="697" t="s">
        <v>655</v>
      </c>
      <c r="F39" s="701"/>
      <c r="G39" s="701"/>
      <c r="H39" s="726">
        <v>0</v>
      </c>
      <c r="I39" s="701">
        <v>3</v>
      </c>
      <c r="J39" s="701">
        <v>156.66000000000005</v>
      </c>
      <c r="K39" s="726">
        <v>1</v>
      </c>
      <c r="L39" s="701">
        <v>3</v>
      </c>
      <c r="M39" s="702">
        <v>156.66000000000005</v>
      </c>
    </row>
    <row r="40" spans="1:13" ht="14.45" customHeight="1" x14ac:dyDescent="0.2">
      <c r="A40" s="696" t="s">
        <v>550</v>
      </c>
      <c r="B40" s="697" t="s">
        <v>1707</v>
      </c>
      <c r="C40" s="697" t="s">
        <v>1708</v>
      </c>
      <c r="D40" s="697" t="s">
        <v>1081</v>
      </c>
      <c r="E40" s="697" t="s">
        <v>1709</v>
      </c>
      <c r="F40" s="701">
        <v>1</v>
      </c>
      <c r="G40" s="701">
        <v>93.52000000000001</v>
      </c>
      <c r="H40" s="726">
        <v>1</v>
      </c>
      <c r="I40" s="701"/>
      <c r="J40" s="701"/>
      <c r="K40" s="726">
        <v>0</v>
      </c>
      <c r="L40" s="701">
        <v>1</v>
      </c>
      <c r="M40" s="702">
        <v>93.52000000000001</v>
      </c>
    </row>
    <row r="41" spans="1:13" ht="14.45" customHeight="1" x14ac:dyDescent="0.2">
      <c r="A41" s="696" t="s">
        <v>550</v>
      </c>
      <c r="B41" s="697" t="s">
        <v>1710</v>
      </c>
      <c r="C41" s="697" t="s">
        <v>1711</v>
      </c>
      <c r="D41" s="697" t="s">
        <v>1712</v>
      </c>
      <c r="E41" s="697" t="s">
        <v>1713</v>
      </c>
      <c r="F41" s="701"/>
      <c r="G41" s="701"/>
      <c r="H41" s="726">
        <v>0</v>
      </c>
      <c r="I41" s="701">
        <v>1</v>
      </c>
      <c r="J41" s="701">
        <v>8.6999999999999975</v>
      </c>
      <c r="K41" s="726">
        <v>1</v>
      </c>
      <c r="L41" s="701">
        <v>1</v>
      </c>
      <c r="M41" s="702">
        <v>8.6999999999999975</v>
      </c>
    </row>
    <row r="42" spans="1:13" ht="14.45" customHeight="1" x14ac:dyDescent="0.2">
      <c r="A42" s="696" t="s">
        <v>550</v>
      </c>
      <c r="B42" s="697" t="s">
        <v>1714</v>
      </c>
      <c r="C42" s="697" t="s">
        <v>1715</v>
      </c>
      <c r="D42" s="697" t="s">
        <v>1157</v>
      </c>
      <c r="E42" s="697" t="s">
        <v>657</v>
      </c>
      <c r="F42" s="701"/>
      <c r="G42" s="701"/>
      <c r="H42" s="726">
        <v>0</v>
      </c>
      <c r="I42" s="701">
        <v>2</v>
      </c>
      <c r="J42" s="701">
        <v>152.90000000000003</v>
      </c>
      <c r="K42" s="726">
        <v>1</v>
      </c>
      <c r="L42" s="701">
        <v>2</v>
      </c>
      <c r="M42" s="702">
        <v>152.90000000000003</v>
      </c>
    </row>
    <row r="43" spans="1:13" ht="14.45" customHeight="1" x14ac:dyDescent="0.2">
      <c r="A43" s="696" t="s">
        <v>550</v>
      </c>
      <c r="B43" s="697" t="s">
        <v>1714</v>
      </c>
      <c r="C43" s="697" t="s">
        <v>1716</v>
      </c>
      <c r="D43" s="697" t="s">
        <v>1157</v>
      </c>
      <c r="E43" s="697" t="s">
        <v>1717</v>
      </c>
      <c r="F43" s="701"/>
      <c r="G43" s="701"/>
      <c r="H43" s="726">
        <v>0</v>
      </c>
      <c r="I43" s="701">
        <v>2</v>
      </c>
      <c r="J43" s="701">
        <v>377.64</v>
      </c>
      <c r="K43" s="726">
        <v>1</v>
      </c>
      <c r="L43" s="701">
        <v>2</v>
      </c>
      <c r="M43" s="702">
        <v>377.64</v>
      </c>
    </row>
    <row r="44" spans="1:13" ht="14.45" customHeight="1" x14ac:dyDescent="0.2">
      <c r="A44" s="696" t="s">
        <v>550</v>
      </c>
      <c r="B44" s="697" t="s">
        <v>1718</v>
      </c>
      <c r="C44" s="697" t="s">
        <v>1719</v>
      </c>
      <c r="D44" s="697" t="s">
        <v>1720</v>
      </c>
      <c r="E44" s="697" t="s">
        <v>1721</v>
      </c>
      <c r="F44" s="701"/>
      <c r="G44" s="701"/>
      <c r="H44" s="726">
        <v>0</v>
      </c>
      <c r="I44" s="701">
        <v>1</v>
      </c>
      <c r="J44" s="701">
        <v>63.310000000000016</v>
      </c>
      <c r="K44" s="726">
        <v>1</v>
      </c>
      <c r="L44" s="701">
        <v>1</v>
      </c>
      <c r="M44" s="702">
        <v>63.310000000000016</v>
      </c>
    </row>
    <row r="45" spans="1:13" ht="14.45" customHeight="1" x14ac:dyDescent="0.2">
      <c r="A45" s="696" t="s">
        <v>550</v>
      </c>
      <c r="B45" s="697" t="s">
        <v>1718</v>
      </c>
      <c r="C45" s="697" t="s">
        <v>1722</v>
      </c>
      <c r="D45" s="697" t="s">
        <v>1720</v>
      </c>
      <c r="E45" s="697" t="s">
        <v>1723</v>
      </c>
      <c r="F45" s="701"/>
      <c r="G45" s="701"/>
      <c r="H45" s="726">
        <v>0</v>
      </c>
      <c r="I45" s="701">
        <v>1</v>
      </c>
      <c r="J45" s="701">
        <v>15.500000000000007</v>
      </c>
      <c r="K45" s="726">
        <v>1</v>
      </c>
      <c r="L45" s="701">
        <v>1</v>
      </c>
      <c r="M45" s="702">
        <v>15.500000000000007</v>
      </c>
    </row>
    <row r="46" spans="1:13" ht="14.45" customHeight="1" x14ac:dyDescent="0.2">
      <c r="A46" s="696" t="s">
        <v>550</v>
      </c>
      <c r="B46" s="697" t="s">
        <v>1718</v>
      </c>
      <c r="C46" s="697" t="s">
        <v>1724</v>
      </c>
      <c r="D46" s="697" t="s">
        <v>1720</v>
      </c>
      <c r="E46" s="697" t="s">
        <v>1725</v>
      </c>
      <c r="F46" s="701"/>
      <c r="G46" s="701"/>
      <c r="H46" s="726">
        <v>0</v>
      </c>
      <c r="I46" s="701">
        <v>1</v>
      </c>
      <c r="J46" s="701">
        <v>12.420000000000003</v>
      </c>
      <c r="K46" s="726">
        <v>1</v>
      </c>
      <c r="L46" s="701">
        <v>1</v>
      </c>
      <c r="M46" s="702">
        <v>12.420000000000003</v>
      </c>
    </row>
    <row r="47" spans="1:13" ht="14.45" customHeight="1" x14ac:dyDescent="0.2">
      <c r="A47" s="696" t="s">
        <v>550</v>
      </c>
      <c r="B47" s="697" t="s">
        <v>1718</v>
      </c>
      <c r="C47" s="697" t="s">
        <v>1726</v>
      </c>
      <c r="D47" s="697" t="s">
        <v>1720</v>
      </c>
      <c r="E47" s="697" t="s">
        <v>1727</v>
      </c>
      <c r="F47" s="701"/>
      <c r="G47" s="701"/>
      <c r="H47" s="726">
        <v>0</v>
      </c>
      <c r="I47" s="701">
        <v>1</v>
      </c>
      <c r="J47" s="701">
        <v>31.660000000000011</v>
      </c>
      <c r="K47" s="726">
        <v>1</v>
      </c>
      <c r="L47" s="701">
        <v>1</v>
      </c>
      <c r="M47" s="702">
        <v>31.660000000000011</v>
      </c>
    </row>
    <row r="48" spans="1:13" ht="14.45" customHeight="1" x14ac:dyDescent="0.2">
      <c r="A48" s="696" t="s">
        <v>550</v>
      </c>
      <c r="B48" s="697" t="s">
        <v>1728</v>
      </c>
      <c r="C48" s="697" t="s">
        <v>1729</v>
      </c>
      <c r="D48" s="697" t="s">
        <v>1730</v>
      </c>
      <c r="E48" s="697" t="s">
        <v>649</v>
      </c>
      <c r="F48" s="701"/>
      <c r="G48" s="701"/>
      <c r="H48" s="726">
        <v>0</v>
      </c>
      <c r="I48" s="701">
        <v>1</v>
      </c>
      <c r="J48" s="701">
        <v>158.97999999999999</v>
      </c>
      <c r="K48" s="726">
        <v>1</v>
      </c>
      <c r="L48" s="701">
        <v>1</v>
      </c>
      <c r="M48" s="702">
        <v>158.97999999999999</v>
      </c>
    </row>
    <row r="49" spans="1:13" ht="14.45" customHeight="1" x14ac:dyDescent="0.2">
      <c r="A49" s="696" t="s">
        <v>550</v>
      </c>
      <c r="B49" s="697" t="s">
        <v>1731</v>
      </c>
      <c r="C49" s="697" t="s">
        <v>1732</v>
      </c>
      <c r="D49" s="697" t="s">
        <v>1733</v>
      </c>
      <c r="E49" s="697" t="s">
        <v>1734</v>
      </c>
      <c r="F49" s="701">
        <v>1</v>
      </c>
      <c r="G49" s="701">
        <v>157.22</v>
      </c>
      <c r="H49" s="726">
        <v>1</v>
      </c>
      <c r="I49" s="701"/>
      <c r="J49" s="701"/>
      <c r="K49" s="726">
        <v>0</v>
      </c>
      <c r="L49" s="701">
        <v>1</v>
      </c>
      <c r="M49" s="702">
        <v>157.22</v>
      </c>
    </row>
    <row r="50" spans="1:13" ht="14.45" customHeight="1" x14ac:dyDescent="0.2">
      <c r="A50" s="696" t="s">
        <v>550</v>
      </c>
      <c r="B50" s="697" t="s">
        <v>1735</v>
      </c>
      <c r="C50" s="697" t="s">
        <v>1736</v>
      </c>
      <c r="D50" s="697" t="s">
        <v>1737</v>
      </c>
      <c r="E50" s="697" t="s">
        <v>1738</v>
      </c>
      <c r="F50" s="701"/>
      <c r="G50" s="701"/>
      <c r="H50" s="726">
        <v>0</v>
      </c>
      <c r="I50" s="701">
        <v>1</v>
      </c>
      <c r="J50" s="701">
        <v>77.13</v>
      </c>
      <c r="K50" s="726">
        <v>1</v>
      </c>
      <c r="L50" s="701">
        <v>1</v>
      </c>
      <c r="M50" s="702">
        <v>77.13</v>
      </c>
    </row>
    <row r="51" spans="1:13" ht="14.45" customHeight="1" x14ac:dyDescent="0.2">
      <c r="A51" s="696" t="s">
        <v>550</v>
      </c>
      <c r="B51" s="697" t="s">
        <v>1739</v>
      </c>
      <c r="C51" s="697" t="s">
        <v>1740</v>
      </c>
      <c r="D51" s="697" t="s">
        <v>1741</v>
      </c>
      <c r="E51" s="697" t="s">
        <v>1742</v>
      </c>
      <c r="F51" s="701"/>
      <c r="G51" s="701"/>
      <c r="H51" s="726">
        <v>0</v>
      </c>
      <c r="I51" s="701">
        <v>1</v>
      </c>
      <c r="J51" s="701">
        <v>121.95</v>
      </c>
      <c r="K51" s="726">
        <v>1</v>
      </c>
      <c r="L51" s="701">
        <v>1</v>
      </c>
      <c r="M51" s="702">
        <v>121.95</v>
      </c>
    </row>
    <row r="52" spans="1:13" ht="14.45" customHeight="1" x14ac:dyDescent="0.2">
      <c r="A52" s="696" t="s">
        <v>550</v>
      </c>
      <c r="B52" s="697" t="s">
        <v>1743</v>
      </c>
      <c r="C52" s="697" t="s">
        <v>1744</v>
      </c>
      <c r="D52" s="697" t="s">
        <v>846</v>
      </c>
      <c r="E52" s="697" t="s">
        <v>1745</v>
      </c>
      <c r="F52" s="701"/>
      <c r="G52" s="701"/>
      <c r="H52" s="726">
        <v>0</v>
      </c>
      <c r="I52" s="701">
        <v>1</v>
      </c>
      <c r="J52" s="701">
        <v>99.23</v>
      </c>
      <c r="K52" s="726">
        <v>1</v>
      </c>
      <c r="L52" s="701">
        <v>1</v>
      </c>
      <c r="M52" s="702">
        <v>99.23</v>
      </c>
    </row>
    <row r="53" spans="1:13" ht="14.45" customHeight="1" x14ac:dyDescent="0.2">
      <c r="A53" s="696" t="s">
        <v>550</v>
      </c>
      <c r="B53" s="697" t="s">
        <v>1746</v>
      </c>
      <c r="C53" s="697" t="s">
        <v>1747</v>
      </c>
      <c r="D53" s="697" t="s">
        <v>1748</v>
      </c>
      <c r="E53" s="697" t="s">
        <v>1749</v>
      </c>
      <c r="F53" s="701"/>
      <c r="G53" s="701"/>
      <c r="H53" s="726">
        <v>0</v>
      </c>
      <c r="I53" s="701">
        <v>268</v>
      </c>
      <c r="J53" s="701">
        <v>368500</v>
      </c>
      <c r="K53" s="726">
        <v>1</v>
      </c>
      <c r="L53" s="701">
        <v>268</v>
      </c>
      <c r="M53" s="702">
        <v>368500</v>
      </c>
    </row>
    <row r="54" spans="1:13" ht="14.45" customHeight="1" x14ac:dyDescent="0.2">
      <c r="A54" s="696" t="s">
        <v>550</v>
      </c>
      <c r="B54" s="697" t="s">
        <v>1750</v>
      </c>
      <c r="C54" s="697" t="s">
        <v>1751</v>
      </c>
      <c r="D54" s="697" t="s">
        <v>1203</v>
      </c>
      <c r="E54" s="697" t="s">
        <v>1752</v>
      </c>
      <c r="F54" s="701"/>
      <c r="G54" s="701"/>
      <c r="H54" s="726">
        <v>0</v>
      </c>
      <c r="I54" s="701">
        <v>90</v>
      </c>
      <c r="J54" s="701">
        <v>5841</v>
      </c>
      <c r="K54" s="726">
        <v>1</v>
      </c>
      <c r="L54" s="701">
        <v>90</v>
      </c>
      <c r="M54" s="702">
        <v>5841</v>
      </c>
    </row>
    <row r="55" spans="1:13" ht="14.45" customHeight="1" x14ac:dyDescent="0.2">
      <c r="A55" s="696" t="s">
        <v>550</v>
      </c>
      <c r="B55" s="697" t="s">
        <v>1750</v>
      </c>
      <c r="C55" s="697" t="s">
        <v>1753</v>
      </c>
      <c r="D55" s="697" t="s">
        <v>1203</v>
      </c>
      <c r="E55" s="697" t="s">
        <v>1754</v>
      </c>
      <c r="F55" s="701"/>
      <c r="G55" s="701"/>
      <c r="H55" s="726">
        <v>0</v>
      </c>
      <c r="I55" s="701">
        <v>20</v>
      </c>
      <c r="J55" s="701">
        <v>3405.5999999999995</v>
      </c>
      <c r="K55" s="726">
        <v>1</v>
      </c>
      <c r="L55" s="701">
        <v>20</v>
      </c>
      <c r="M55" s="702">
        <v>3405.5999999999995</v>
      </c>
    </row>
    <row r="56" spans="1:13" ht="14.45" customHeight="1" x14ac:dyDescent="0.2">
      <c r="A56" s="696" t="s">
        <v>550</v>
      </c>
      <c r="B56" s="697" t="s">
        <v>1755</v>
      </c>
      <c r="C56" s="697" t="s">
        <v>1756</v>
      </c>
      <c r="D56" s="697" t="s">
        <v>1757</v>
      </c>
      <c r="E56" s="697" t="s">
        <v>1758</v>
      </c>
      <c r="F56" s="701"/>
      <c r="G56" s="701"/>
      <c r="H56" s="726">
        <v>0</v>
      </c>
      <c r="I56" s="701">
        <v>5</v>
      </c>
      <c r="J56" s="701">
        <v>554.49</v>
      </c>
      <c r="K56" s="726">
        <v>1</v>
      </c>
      <c r="L56" s="701">
        <v>5</v>
      </c>
      <c r="M56" s="702">
        <v>554.49</v>
      </c>
    </row>
    <row r="57" spans="1:13" ht="14.45" customHeight="1" x14ac:dyDescent="0.2">
      <c r="A57" s="696" t="s">
        <v>550</v>
      </c>
      <c r="B57" s="697" t="s">
        <v>1755</v>
      </c>
      <c r="C57" s="697" t="s">
        <v>1759</v>
      </c>
      <c r="D57" s="697" t="s">
        <v>1757</v>
      </c>
      <c r="E57" s="697" t="s">
        <v>1760</v>
      </c>
      <c r="F57" s="701"/>
      <c r="G57" s="701"/>
      <c r="H57" s="726">
        <v>0</v>
      </c>
      <c r="I57" s="701">
        <v>1</v>
      </c>
      <c r="J57" s="701">
        <v>60.460000000000015</v>
      </c>
      <c r="K57" s="726">
        <v>1</v>
      </c>
      <c r="L57" s="701">
        <v>1</v>
      </c>
      <c r="M57" s="702">
        <v>60.460000000000015</v>
      </c>
    </row>
    <row r="58" spans="1:13" ht="14.45" customHeight="1" x14ac:dyDescent="0.2">
      <c r="A58" s="696" t="s">
        <v>550</v>
      </c>
      <c r="B58" s="697" t="s">
        <v>1755</v>
      </c>
      <c r="C58" s="697" t="s">
        <v>1761</v>
      </c>
      <c r="D58" s="697" t="s">
        <v>1757</v>
      </c>
      <c r="E58" s="697" t="s">
        <v>1762</v>
      </c>
      <c r="F58" s="701"/>
      <c r="G58" s="701"/>
      <c r="H58" s="726">
        <v>0</v>
      </c>
      <c r="I58" s="701">
        <v>5</v>
      </c>
      <c r="J58" s="701">
        <v>246.52999581469064</v>
      </c>
      <c r="K58" s="726">
        <v>1</v>
      </c>
      <c r="L58" s="701">
        <v>5</v>
      </c>
      <c r="M58" s="702">
        <v>246.52999581469064</v>
      </c>
    </row>
    <row r="59" spans="1:13" ht="14.45" customHeight="1" x14ac:dyDescent="0.2">
      <c r="A59" s="696" t="s">
        <v>550</v>
      </c>
      <c r="B59" s="697" t="s">
        <v>1755</v>
      </c>
      <c r="C59" s="697" t="s">
        <v>1763</v>
      </c>
      <c r="D59" s="697" t="s">
        <v>1757</v>
      </c>
      <c r="E59" s="697" t="s">
        <v>1764</v>
      </c>
      <c r="F59" s="701"/>
      <c r="G59" s="701"/>
      <c r="H59" s="726">
        <v>0</v>
      </c>
      <c r="I59" s="701">
        <v>10</v>
      </c>
      <c r="J59" s="701">
        <v>606.78000027495693</v>
      </c>
      <c r="K59" s="726">
        <v>1</v>
      </c>
      <c r="L59" s="701">
        <v>10</v>
      </c>
      <c r="M59" s="702">
        <v>606.78000027495693</v>
      </c>
    </row>
    <row r="60" spans="1:13" ht="14.45" customHeight="1" x14ac:dyDescent="0.2">
      <c r="A60" s="696" t="s">
        <v>550</v>
      </c>
      <c r="B60" s="697" t="s">
        <v>1755</v>
      </c>
      <c r="C60" s="697" t="s">
        <v>1765</v>
      </c>
      <c r="D60" s="697" t="s">
        <v>825</v>
      </c>
      <c r="E60" s="697" t="s">
        <v>832</v>
      </c>
      <c r="F60" s="701"/>
      <c r="G60" s="701"/>
      <c r="H60" s="726">
        <v>0</v>
      </c>
      <c r="I60" s="701">
        <v>2</v>
      </c>
      <c r="J60" s="701">
        <v>185.95</v>
      </c>
      <c r="K60" s="726">
        <v>1</v>
      </c>
      <c r="L60" s="701">
        <v>2</v>
      </c>
      <c r="M60" s="702">
        <v>185.95</v>
      </c>
    </row>
    <row r="61" spans="1:13" ht="14.45" customHeight="1" x14ac:dyDescent="0.2">
      <c r="A61" s="696" t="s">
        <v>550</v>
      </c>
      <c r="B61" s="697" t="s">
        <v>1755</v>
      </c>
      <c r="C61" s="697" t="s">
        <v>1766</v>
      </c>
      <c r="D61" s="697" t="s">
        <v>825</v>
      </c>
      <c r="E61" s="697" t="s">
        <v>826</v>
      </c>
      <c r="F61" s="701"/>
      <c r="G61" s="701"/>
      <c r="H61" s="726">
        <v>0</v>
      </c>
      <c r="I61" s="701">
        <v>1</v>
      </c>
      <c r="J61" s="701">
        <v>125.04999999999997</v>
      </c>
      <c r="K61" s="726">
        <v>1</v>
      </c>
      <c r="L61" s="701">
        <v>1</v>
      </c>
      <c r="M61" s="702">
        <v>125.04999999999997</v>
      </c>
    </row>
    <row r="62" spans="1:13" ht="14.45" customHeight="1" x14ac:dyDescent="0.2">
      <c r="A62" s="696" t="s">
        <v>550</v>
      </c>
      <c r="B62" s="697" t="s">
        <v>1755</v>
      </c>
      <c r="C62" s="697" t="s">
        <v>1767</v>
      </c>
      <c r="D62" s="697" t="s">
        <v>825</v>
      </c>
      <c r="E62" s="697" t="s">
        <v>1768</v>
      </c>
      <c r="F62" s="701"/>
      <c r="G62" s="701"/>
      <c r="H62" s="726">
        <v>0</v>
      </c>
      <c r="I62" s="701">
        <v>2</v>
      </c>
      <c r="J62" s="701">
        <v>110.6</v>
      </c>
      <c r="K62" s="726">
        <v>1</v>
      </c>
      <c r="L62" s="701">
        <v>2</v>
      </c>
      <c r="M62" s="702">
        <v>110.6</v>
      </c>
    </row>
    <row r="63" spans="1:13" ht="14.45" customHeight="1" x14ac:dyDescent="0.2">
      <c r="A63" s="696" t="s">
        <v>550</v>
      </c>
      <c r="B63" s="697" t="s">
        <v>1755</v>
      </c>
      <c r="C63" s="697" t="s">
        <v>1769</v>
      </c>
      <c r="D63" s="697" t="s">
        <v>825</v>
      </c>
      <c r="E63" s="697" t="s">
        <v>1770</v>
      </c>
      <c r="F63" s="701"/>
      <c r="G63" s="701"/>
      <c r="H63" s="726">
        <v>0</v>
      </c>
      <c r="I63" s="701">
        <v>1</v>
      </c>
      <c r="J63" s="701">
        <v>104.94</v>
      </c>
      <c r="K63" s="726">
        <v>1</v>
      </c>
      <c r="L63" s="701">
        <v>1</v>
      </c>
      <c r="M63" s="702">
        <v>104.94</v>
      </c>
    </row>
    <row r="64" spans="1:13" ht="14.45" customHeight="1" x14ac:dyDescent="0.2">
      <c r="A64" s="696" t="s">
        <v>550</v>
      </c>
      <c r="B64" s="697" t="s">
        <v>1771</v>
      </c>
      <c r="C64" s="697" t="s">
        <v>1772</v>
      </c>
      <c r="D64" s="697" t="s">
        <v>1773</v>
      </c>
      <c r="E64" s="697" t="s">
        <v>1774</v>
      </c>
      <c r="F64" s="701"/>
      <c r="G64" s="701"/>
      <c r="H64" s="726">
        <v>0</v>
      </c>
      <c r="I64" s="701">
        <v>125.30000000000001</v>
      </c>
      <c r="J64" s="701">
        <v>280387.56900000002</v>
      </c>
      <c r="K64" s="726">
        <v>1</v>
      </c>
      <c r="L64" s="701">
        <v>125.30000000000001</v>
      </c>
      <c r="M64" s="702">
        <v>280387.56900000002</v>
      </c>
    </row>
    <row r="65" spans="1:13" ht="14.45" customHeight="1" x14ac:dyDescent="0.2">
      <c r="A65" s="696" t="s">
        <v>550</v>
      </c>
      <c r="B65" s="697" t="s">
        <v>1775</v>
      </c>
      <c r="C65" s="697" t="s">
        <v>1776</v>
      </c>
      <c r="D65" s="697" t="s">
        <v>1777</v>
      </c>
      <c r="E65" s="697" t="s">
        <v>1778</v>
      </c>
      <c r="F65" s="701"/>
      <c r="G65" s="701"/>
      <c r="H65" s="726">
        <v>0</v>
      </c>
      <c r="I65" s="701">
        <v>62.9</v>
      </c>
      <c r="J65" s="701">
        <v>27361.865046709001</v>
      </c>
      <c r="K65" s="726">
        <v>1</v>
      </c>
      <c r="L65" s="701">
        <v>62.9</v>
      </c>
      <c r="M65" s="702">
        <v>27361.865046709001</v>
      </c>
    </row>
    <row r="66" spans="1:13" ht="14.45" customHeight="1" x14ac:dyDescent="0.2">
      <c r="A66" s="696" t="s">
        <v>550</v>
      </c>
      <c r="B66" s="697" t="s">
        <v>1779</v>
      </c>
      <c r="C66" s="697" t="s">
        <v>1780</v>
      </c>
      <c r="D66" s="697" t="s">
        <v>1781</v>
      </c>
      <c r="E66" s="697" t="s">
        <v>1782</v>
      </c>
      <c r="F66" s="701">
        <v>95.199999999999989</v>
      </c>
      <c r="G66" s="701">
        <v>39605.945787644298</v>
      </c>
      <c r="H66" s="726">
        <v>1</v>
      </c>
      <c r="I66" s="701"/>
      <c r="J66" s="701"/>
      <c r="K66" s="726">
        <v>0</v>
      </c>
      <c r="L66" s="701">
        <v>95.199999999999989</v>
      </c>
      <c r="M66" s="702">
        <v>39605.945787644298</v>
      </c>
    </row>
    <row r="67" spans="1:13" ht="14.45" customHeight="1" x14ac:dyDescent="0.2">
      <c r="A67" s="696" t="s">
        <v>550</v>
      </c>
      <c r="B67" s="697" t="s">
        <v>1783</v>
      </c>
      <c r="C67" s="697" t="s">
        <v>1784</v>
      </c>
      <c r="D67" s="697" t="s">
        <v>1785</v>
      </c>
      <c r="E67" s="697" t="s">
        <v>1514</v>
      </c>
      <c r="F67" s="701">
        <v>155.80000000000001</v>
      </c>
      <c r="G67" s="701">
        <v>116538.4</v>
      </c>
      <c r="H67" s="726">
        <v>1</v>
      </c>
      <c r="I67" s="701"/>
      <c r="J67" s="701"/>
      <c r="K67" s="726">
        <v>0</v>
      </c>
      <c r="L67" s="701">
        <v>155.80000000000001</v>
      </c>
      <c r="M67" s="702">
        <v>116538.4</v>
      </c>
    </row>
    <row r="68" spans="1:13" ht="14.45" customHeight="1" x14ac:dyDescent="0.2">
      <c r="A68" s="696" t="s">
        <v>550</v>
      </c>
      <c r="B68" s="697" t="s">
        <v>1783</v>
      </c>
      <c r="C68" s="697" t="s">
        <v>1786</v>
      </c>
      <c r="D68" s="697" t="s">
        <v>1513</v>
      </c>
      <c r="E68" s="697" t="s">
        <v>1514</v>
      </c>
      <c r="F68" s="701"/>
      <c r="G68" s="701"/>
      <c r="H68" s="726">
        <v>0</v>
      </c>
      <c r="I68" s="701">
        <v>64.099999999999994</v>
      </c>
      <c r="J68" s="701">
        <v>48884.4</v>
      </c>
      <c r="K68" s="726">
        <v>1</v>
      </c>
      <c r="L68" s="701">
        <v>64.099999999999994</v>
      </c>
      <c r="M68" s="702">
        <v>48884.4</v>
      </c>
    </row>
    <row r="69" spans="1:13" ht="14.45" customHeight="1" x14ac:dyDescent="0.2">
      <c r="A69" s="696" t="s">
        <v>550</v>
      </c>
      <c r="B69" s="697" t="s">
        <v>1787</v>
      </c>
      <c r="C69" s="697" t="s">
        <v>1788</v>
      </c>
      <c r="D69" s="697" t="s">
        <v>1789</v>
      </c>
      <c r="E69" s="697" t="s">
        <v>1790</v>
      </c>
      <c r="F69" s="701"/>
      <c r="G69" s="701"/>
      <c r="H69" s="726">
        <v>0</v>
      </c>
      <c r="I69" s="701">
        <v>12.9</v>
      </c>
      <c r="J69" s="701">
        <v>2528.6578800001225</v>
      </c>
      <c r="K69" s="726">
        <v>1</v>
      </c>
      <c r="L69" s="701">
        <v>12.9</v>
      </c>
      <c r="M69" s="702">
        <v>2528.6578800001225</v>
      </c>
    </row>
    <row r="70" spans="1:13" ht="14.45" customHeight="1" x14ac:dyDescent="0.2">
      <c r="A70" s="696" t="s">
        <v>550</v>
      </c>
      <c r="B70" s="697" t="s">
        <v>1791</v>
      </c>
      <c r="C70" s="697" t="s">
        <v>1792</v>
      </c>
      <c r="D70" s="697" t="s">
        <v>1517</v>
      </c>
      <c r="E70" s="697" t="s">
        <v>1518</v>
      </c>
      <c r="F70" s="701"/>
      <c r="G70" s="701"/>
      <c r="H70" s="726">
        <v>0</v>
      </c>
      <c r="I70" s="701">
        <v>180</v>
      </c>
      <c r="J70" s="701">
        <v>3674.3999999999996</v>
      </c>
      <c r="K70" s="726">
        <v>1</v>
      </c>
      <c r="L70" s="701">
        <v>180</v>
      </c>
      <c r="M70" s="702">
        <v>3674.3999999999996</v>
      </c>
    </row>
    <row r="71" spans="1:13" ht="14.45" customHeight="1" x14ac:dyDescent="0.2">
      <c r="A71" s="696" t="s">
        <v>550</v>
      </c>
      <c r="B71" s="697" t="s">
        <v>1791</v>
      </c>
      <c r="C71" s="697" t="s">
        <v>1793</v>
      </c>
      <c r="D71" s="697" t="s">
        <v>1517</v>
      </c>
      <c r="E71" s="697" t="s">
        <v>1519</v>
      </c>
      <c r="F71" s="701">
        <v>1</v>
      </c>
      <c r="G71" s="701">
        <v>482.77</v>
      </c>
      <c r="H71" s="726">
        <v>1</v>
      </c>
      <c r="I71" s="701"/>
      <c r="J71" s="701"/>
      <c r="K71" s="726">
        <v>0</v>
      </c>
      <c r="L71" s="701">
        <v>1</v>
      </c>
      <c r="M71" s="702">
        <v>482.77</v>
      </c>
    </row>
    <row r="72" spans="1:13" ht="14.45" customHeight="1" x14ac:dyDescent="0.2">
      <c r="A72" s="696" t="s">
        <v>550</v>
      </c>
      <c r="B72" s="697" t="s">
        <v>1794</v>
      </c>
      <c r="C72" s="697" t="s">
        <v>1795</v>
      </c>
      <c r="D72" s="697" t="s">
        <v>1501</v>
      </c>
      <c r="E72" s="697" t="s">
        <v>598</v>
      </c>
      <c r="F72" s="701"/>
      <c r="G72" s="701"/>
      <c r="H72" s="726">
        <v>0</v>
      </c>
      <c r="I72" s="701">
        <v>207.3</v>
      </c>
      <c r="J72" s="701">
        <v>148460.32658696664</v>
      </c>
      <c r="K72" s="726">
        <v>1</v>
      </c>
      <c r="L72" s="701">
        <v>207.3</v>
      </c>
      <c r="M72" s="702">
        <v>148460.32658696664</v>
      </c>
    </row>
    <row r="73" spans="1:13" ht="14.45" customHeight="1" x14ac:dyDescent="0.2">
      <c r="A73" s="696" t="s">
        <v>550</v>
      </c>
      <c r="B73" s="697" t="s">
        <v>1796</v>
      </c>
      <c r="C73" s="697" t="s">
        <v>1797</v>
      </c>
      <c r="D73" s="697" t="s">
        <v>926</v>
      </c>
      <c r="E73" s="697" t="s">
        <v>927</v>
      </c>
      <c r="F73" s="701">
        <v>19</v>
      </c>
      <c r="G73" s="701">
        <v>24366.348000000002</v>
      </c>
      <c r="H73" s="726">
        <v>1</v>
      </c>
      <c r="I73" s="701"/>
      <c r="J73" s="701"/>
      <c r="K73" s="726">
        <v>0</v>
      </c>
      <c r="L73" s="701">
        <v>19</v>
      </c>
      <c r="M73" s="702">
        <v>24366.348000000002</v>
      </c>
    </row>
    <row r="74" spans="1:13" ht="14.45" customHeight="1" x14ac:dyDescent="0.2">
      <c r="A74" s="696" t="s">
        <v>550</v>
      </c>
      <c r="B74" s="697" t="s">
        <v>1798</v>
      </c>
      <c r="C74" s="697" t="s">
        <v>1799</v>
      </c>
      <c r="D74" s="697" t="s">
        <v>1800</v>
      </c>
      <c r="E74" s="697" t="s">
        <v>1801</v>
      </c>
      <c r="F74" s="701"/>
      <c r="G74" s="701"/>
      <c r="H74" s="726">
        <v>0</v>
      </c>
      <c r="I74" s="701">
        <v>11.1</v>
      </c>
      <c r="J74" s="701">
        <v>1672.77</v>
      </c>
      <c r="K74" s="726">
        <v>1</v>
      </c>
      <c r="L74" s="701">
        <v>11.1</v>
      </c>
      <c r="M74" s="702">
        <v>1672.77</v>
      </c>
    </row>
    <row r="75" spans="1:13" ht="14.45" customHeight="1" x14ac:dyDescent="0.2">
      <c r="A75" s="696" t="s">
        <v>550</v>
      </c>
      <c r="B75" s="697" t="s">
        <v>1798</v>
      </c>
      <c r="C75" s="697" t="s">
        <v>1802</v>
      </c>
      <c r="D75" s="697" t="s">
        <v>1800</v>
      </c>
      <c r="E75" s="697" t="s">
        <v>1803</v>
      </c>
      <c r="F75" s="701"/>
      <c r="G75" s="701"/>
      <c r="H75" s="726">
        <v>0</v>
      </c>
      <c r="I75" s="701">
        <v>21.2</v>
      </c>
      <c r="J75" s="701">
        <v>5596.8</v>
      </c>
      <c r="K75" s="726">
        <v>1</v>
      </c>
      <c r="L75" s="701">
        <v>21.2</v>
      </c>
      <c r="M75" s="702">
        <v>5596.8</v>
      </c>
    </row>
    <row r="76" spans="1:13" ht="14.45" customHeight="1" x14ac:dyDescent="0.2">
      <c r="A76" s="696" t="s">
        <v>550</v>
      </c>
      <c r="B76" s="697" t="s">
        <v>1804</v>
      </c>
      <c r="C76" s="697" t="s">
        <v>1805</v>
      </c>
      <c r="D76" s="697" t="s">
        <v>1806</v>
      </c>
      <c r="E76" s="697" t="s">
        <v>1807</v>
      </c>
      <c r="F76" s="701">
        <v>21.8</v>
      </c>
      <c r="G76" s="701">
        <v>11867.702000000001</v>
      </c>
      <c r="H76" s="726">
        <v>1</v>
      </c>
      <c r="I76" s="701"/>
      <c r="J76" s="701"/>
      <c r="K76" s="726">
        <v>0</v>
      </c>
      <c r="L76" s="701">
        <v>21.8</v>
      </c>
      <c r="M76" s="702">
        <v>11867.702000000001</v>
      </c>
    </row>
    <row r="77" spans="1:13" ht="14.45" customHeight="1" x14ac:dyDescent="0.2">
      <c r="A77" s="696" t="s">
        <v>550</v>
      </c>
      <c r="B77" s="697" t="s">
        <v>1808</v>
      </c>
      <c r="C77" s="697" t="s">
        <v>1809</v>
      </c>
      <c r="D77" s="697" t="s">
        <v>1508</v>
      </c>
      <c r="E77" s="697" t="s">
        <v>1509</v>
      </c>
      <c r="F77" s="701">
        <v>1</v>
      </c>
      <c r="G77" s="701">
        <v>4213.6859999999997</v>
      </c>
      <c r="H77" s="726">
        <v>1</v>
      </c>
      <c r="I77" s="701"/>
      <c r="J77" s="701"/>
      <c r="K77" s="726">
        <v>0</v>
      </c>
      <c r="L77" s="701">
        <v>1</v>
      </c>
      <c r="M77" s="702">
        <v>4213.6859999999997</v>
      </c>
    </row>
    <row r="78" spans="1:13" ht="14.45" customHeight="1" x14ac:dyDescent="0.2">
      <c r="A78" s="696" t="s">
        <v>550</v>
      </c>
      <c r="B78" s="697" t="s">
        <v>1810</v>
      </c>
      <c r="C78" s="697" t="s">
        <v>1811</v>
      </c>
      <c r="D78" s="697" t="s">
        <v>1812</v>
      </c>
      <c r="E78" s="697" t="s">
        <v>1813</v>
      </c>
      <c r="F78" s="701"/>
      <c r="G78" s="701"/>
      <c r="H78" s="726">
        <v>0</v>
      </c>
      <c r="I78" s="701">
        <v>35</v>
      </c>
      <c r="J78" s="701">
        <v>21683.200000000001</v>
      </c>
      <c r="K78" s="726">
        <v>1</v>
      </c>
      <c r="L78" s="701">
        <v>35</v>
      </c>
      <c r="M78" s="702">
        <v>21683.200000000001</v>
      </c>
    </row>
    <row r="79" spans="1:13" ht="14.45" customHeight="1" x14ac:dyDescent="0.2">
      <c r="A79" s="696" t="s">
        <v>550</v>
      </c>
      <c r="B79" s="697" t="s">
        <v>1810</v>
      </c>
      <c r="C79" s="697" t="s">
        <v>1814</v>
      </c>
      <c r="D79" s="697" t="s">
        <v>1815</v>
      </c>
      <c r="E79" s="697" t="s">
        <v>1816</v>
      </c>
      <c r="F79" s="701"/>
      <c r="G79" s="701"/>
      <c r="H79" s="726">
        <v>0</v>
      </c>
      <c r="I79" s="701">
        <v>1</v>
      </c>
      <c r="J79" s="701">
        <v>49.63</v>
      </c>
      <c r="K79" s="726">
        <v>1</v>
      </c>
      <c r="L79" s="701">
        <v>1</v>
      </c>
      <c r="M79" s="702">
        <v>49.63</v>
      </c>
    </row>
    <row r="80" spans="1:13" ht="14.45" customHeight="1" x14ac:dyDescent="0.2">
      <c r="A80" s="696" t="s">
        <v>550</v>
      </c>
      <c r="B80" s="697" t="s">
        <v>1817</v>
      </c>
      <c r="C80" s="697" t="s">
        <v>1818</v>
      </c>
      <c r="D80" s="697" t="s">
        <v>1819</v>
      </c>
      <c r="E80" s="697" t="s">
        <v>1820</v>
      </c>
      <c r="F80" s="701"/>
      <c r="G80" s="701"/>
      <c r="H80" s="726">
        <v>0</v>
      </c>
      <c r="I80" s="701">
        <v>60</v>
      </c>
      <c r="J80" s="701">
        <v>2003.2099999999998</v>
      </c>
      <c r="K80" s="726">
        <v>1</v>
      </c>
      <c r="L80" s="701">
        <v>60</v>
      </c>
      <c r="M80" s="702">
        <v>2003.2099999999998</v>
      </c>
    </row>
    <row r="81" spans="1:13" ht="14.45" customHeight="1" x14ac:dyDescent="0.2">
      <c r="A81" s="696" t="s">
        <v>550</v>
      </c>
      <c r="B81" s="697" t="s">
        <v>1817</v>
      </c>
      <c r="C81" s="697" t="s">
        <v>1821</v>
      </c>
      <c r="D81" s="697" t="s">
        <v>1819</v>
      </c>
      <c r="E81" s="697" t="s">
        <v>1822</v>
      </c>
      <c r="F81" s="701"/>
      <c r="G81" s="701"/>
      <c r="H81" s="726">
        <v>0</v>
      </c>
      <c r="I81" s="701">
        <v>193</v>
      </c>
      <c r="J81" s="701">
        <v>10205.833360007626</v>
      </c>
      <c r="K81" s="726">
        <v>1</v>
      </c>
      <c r="L81" s="701">
        <v>193</v>
      </c>
      <c r="M81" s="702">
        <v>10205.833360007626</v>
      </c>
    </row>
    <row r="82" spans="1:13" ht="14.45" customHeight="1" x14ac:dyDescent="0.2">
      <c r="A82" s="696" t="s">
        <v>550</v>
      </c>
      <c r="B82" s="697" t="s">
        <v>1823</v>
      </c>
      <c r="C82" s="697" t="s">
        <v>1824</v>
      </c>
      <c r="D82" s="697" t="s">
        <v>1825</v>
      </c>
      <c r="E82" s="697" t="s">
        <v>1826</v>
      </c>
      <c r="F82" s="701"/>
      <c r="G82" s="701"/>
      <c r="H82" s="726">
        <v>0</v>
      </c>
      <c r="I82" s="701">
        <v>48.6</v>
      </c>
      <c r="J82" s="701">
        <v>32934.858000000007</v>
      </c>
      <c r="K82" s="726">
        <v>1</v>
      </c>
      <c r="L82" s="701">
        <v>48.6</v>
      </c>
      <c r="M82" s="702">
        <v>32934.858000000007</v>
      </c>
    </row>
    <row r="83" spans="1:13" ht="14.45" customHeight="1" x14ac:dyDescent="0.2">
      <c r="A83" s="696" t="s">
        <v>550</v>
      </c>
      <c r="B83" s="697" t="s">
        <v>1827</v>
      </c>
      <c r="C83" s="697" t="s">
        <v>1828</v>
      </c>
      <c r="D83" s="697" t="s">
        <v>1502</v>
      </c>
      <c r="E83" s="697" t="s">
        <v>1829</v>
      </c>
      <c r="F83" s="701"/>
      <c r="G83" s="701"/>
      <c r="H83" s="726">
        <v>0</v>
      </c>
      <c r="I83" s="701">
        <v>9.3999999999999844</v>
      </c>
      <c r="J83" s="701">
        <v>1771.5239999999972</v>
      </c>
      <c r="K83" s="726">
        <v>1</v>
      </c>
      <c r="L83" s="701">
        <v>9.3999999999999844</v>
      </c>
      <c r="M83" s="702">
        <v>1771.5239999999972</v>
      </c>
    </row>
    <row r="84" spans="1:13" ht="14.45" customHeight="1" x14ac:dyDescent="0.2">
      <c r="A84" s="696" t="s">
        <v>550</v>
      </c>
      <c r="B84" s="697" t="s">
        <v>1827</v>
      </c>
      <c r="C84" s="697" t="s">
        <v>1830</v>
      </c>
      <c r="D84" s="697" t="s">
        <v>1502</v>
      </c>
      <c r="E84" s="697" t="s">
        <v>1831</v>
      </c>
      <c r="F84" s="701"/>
      <c r="G84" s="701"/>
      <c r="H84" s="726">
        <v>0</v>
      </c>
      <c r="I84" s="701">
        <v>5.15</v>
      </c>
      <c r="J84" s="701">
        <v>1941.1379999999999</v>
      </c>
      <c r="K84" s="726">
        <v>1</v>
      </c>
      <c r="L84" s="701">
        <v>5.15</v>
      </c>
      <c r="M84" s="702">
        <v>1941.1379999999999</v>
      </c>
    </row>
    <row r="85" spans="1:13" ht="14.45" customHeight="1" x14ac:dyDescent="0.2">
      <c r="A85" s="696" t="s">
        <v>550</v>
      </c>
      <c r="B85" s="697" t="s">
        <v>1827</v>
      </c>
      <c r="C85" s="697" t="s">
        <v>1832</v>
      </c>
      <c r="D85" s="697" t="s">
        <v>1502</v>
      </c>
      <c r="E85" s="697" t="s">
        <v>1503</v>
      </c>
      <c r="F85" s="701">
        <v>245.29999999999998</v>
      </c>
      <c r="G85" s="701">
        <v>48191.898778033617</v>
      </c>
      <c r="H85" s="726">
        <v>1</v>
      </c>
      <c r="I85" s="701"/>
      <c r="J85" s="701"/>
      <c r="K85" s="726">
        <v>0</v>
      </c>
      <c r="L85" s="701">
        <v>245.29999999999998</v>
      </c>
      <c r="M85" s="702">
        <v>48191.898778033617</v>
      </c>
    </row>
    <row r="86" spans="1:13" ht="14.45" customHeight="1" x14ac:dyDescent="0.2">
      <c r="A86" s="696" t="s">
        <v>550</v>
      </c>
      <c r="B86" s="697" t="s">
        <v>1833</v>
      </c>
      <c r="C86" s="697" t="s">
        <v>1834</v>
      </c>
      <c r="D86" s="697" t="s">
        <v>1496</v>
      </c>
      <c r="E86" s="697" t="s">
        <v>1025</v>
      </c>
      <c r="F86" s="701"/>
      <c r="G86" s="701"/>
      <c r="H86" s="726">
        <v>0</v>
      </c>
      <c r="I86" s="701">
        <v>14.6</v>
      </c>
      <c r="J86" s="701">
        <v>15250.400000000001</v>
      </c>
      <c r="K86" s="726">
        <v>1</v>
      </c>
      <c r="L86" s="701">
        <v>14.6</v>
      </c>
      <c r="M86" s="702">
        <v>15250.400000000001</v>
      </c>
    </row>
    <row r="87" spans="1:13" ht="14.45" customHeight="1" x14ac:dyDescent="0.2">
      <c r="A87" s="696" t="s">
        <v>550</v>
      </c>
      <c r="B87" s="697" t="s">
        <v>1833</v>
      </c>
      <c r="C87" s="697" t="s">
        <v>1835</v>
      </c>
      <c r="D87" s="697" t="s">
        <v>1024</v>
      </c>
      <c r="E87" s="697" t="s">
        <v>1025</v>
      </c>
      <c r="F87" s="701">
        <v>6</v>
      </c>
      <c r="G87" s="701">
        <v>5313.06</v>
      </c>
      <c r="H87" s="726">
        <v>1</v>
      </c>
      <c r="I87" s="701"/>
      <c r="J87" s="701"/>
      <c r="K87" s="726">
        <v>0</v>
      </c>
      <c r="L87" s="701">
        <v>6</v>
      </c>
      <c r="M87" s="702">
        <v>5313.06</v>
      </c>
    </row>
    <row r="88" spans="1:13" ht="14.45" customHeight="1" x14ac:dyDescent="0.2">
      <c r="A88" s="696" t="s">
        <v>550</v>
      </c>
      <c r="B88" s="697" t="s">
        <v>1833</v>
      </c>
      <c r="C88" s="697" t="s">
        <v>1836</v>
      </c>
      <c r="D88" s="697" t="s">
        <v>1024</v>
      </c>
      <c r="E88" s="697" t="s">
        <v>1025</v>
      </c>
      <c r="F88" s="701">
        <v>2.4</v>
      </c>
      <c r="G88" s="701">
        <v>2125.2240000000002</v>
      </c>
      <c r="H88" s="726">
        <v>1</v>
      </c>
      <c r="I88" s="701"/>
      <c r="J88" s="701"/>
      <c r="K88" s="726">
        <v>0</v>
      </c>
      <c r="L88" s="701">
        <v>2.4</v>
      </c>
      <c r="M88" s="702">
        <v>2125.2240000000002</v>
      </c>
    </row>
    <row r="89" spans="1:13" ht="14.45" customHeight="1" x14ac:dyDescent="0.2">
      <c r="A89" s="696" t="s">
        <v>550</v>
      </c>
      <c r="B89" s="697" t="s">
        <v>1837</v>
      </c>
      <c r="C89" s="697" t="s">
        <v>1838</v>
      </c>
      <c r="D89" s="697" t="s">
        <v>1839</v>
      </c>
      <c r="E89" s="697" t="s">
        <v>1840</v>
      </c>
      <c r="F89" s="701"/>
      <c r="G89" s="701"/>
      <c r="H89" s="726">
        <v>0</v>
      </c>
      <c r="I89" s="701">
        <v>89.6</v>
      </c>
      <c r="J89" s="701">
        <v>28582.399936915612</v>
      </c>
      <c r="K89" s="726">
        <v>1</v>
      </c>
      <c r="L89" s="701">
        <v>89.6</v>
      </c>
      <c r="M89" s="702">
        <v>28582.399936915612</v>
      </c>
    </row>
    <row r="90" spans="1:13" ht="14.45" customHeight="1" x14ac:dyDescent="0.2">
      <c r="A90" s="696" t="s">
        <v>550</v>
      </c>
      <c r="B90" s="697" t="s">
        <v>1837</v>
      </c>
      <c r="C90" s="697" t="s">
        <v>1841</v>
      </c>
      <c r="D90" s="697" t="s">
        <v>1839</v>
      </c>
      <c r="E90" s="697" t="s">
        <v>1842</v>
      </c>
      <c r="F90" s="701"/>
      <c r="G90" s="701"/>
      <c r="H90" s="726">
        <v>0</v>
      </c>
      <c r="I90" s="701">
        <v>28.999999999999996</v>
      </c>
      <c r="J90" s="701">
        <v>18502.000000000004</v>
      </c>
      <c r="K90" s="726">
        <v>1</v>
      </c>
      <c r="L90" s="701">
        <v>28.999999999999996</v>
      </c>
      <c r="M90" s="702">
        <v>18502.000000000004</v>
      </c>
    </row>
    <row r="91" spans="1:13" ht="14.45" customHeight="1" x14ac:dyDescent="0.2">
      <c r="A91" s="696" t="s">
        <v>550</v>
      </c>
      <c r="B91" s="697" t="s">
        <v>1843</v>
      </c>
      <c r="C91" s="697" t="s">
        <v>1844</v>
      </c>
      <c r="D91" s="697" t="s">
        <v>1845</v>
      </c>
      <c r="E91" s="697" t="s">
        <v>1846</v>
      </c>
      <c r="F91" s="701"/>
      <c r="G91" s="701"/>
      <c r="H91" s="726">
        <v>0</v>
      </c>
      <c r="I91" s="701">
        <v>1</v>
      </c>
      <c r="J91" s="701">
        <v>6765</v>
      </c>
      <c r="K91" s="726">
        <v>1</v>
      </c>
      <c r="L91" s="701">
        <v>1</v>
      </c>
      <c r="M91" s="702">
        <v>6765</v>
      </c>
    </row>
    <row r="92" spans="1:13" ht="14.45" customHeight="1" x14ac:dyDescent="0.2">
      <c r="A92" s="696" t="s">
        <v>550</v>
      </c>
      <c r="B92" s="697" t="s">
        <v>1843</v>
      </c>
      <c r="C92" s="697" t="s">
        <v>1847</v>
      </c>
      <c r="D92" s="697" t="s">
        <v>1845</v>
      </c>
      <c r="E92" s="697" t="s">
        <v>1530</v>
      </c>
      <c r="F92" s="701">
        <v>20</v>
      </c>
      <c r="G92" s="701">
        <v>12220.8</v>
      </c>
      <c r="H92" s="726">
        <v>1</v>
      </c>
      <c r="I92" s="701"/>
      <c r="J92" s="701"/>
      <c r="K92" s="726">
        <v>0</v>
      </c>
      <c r="L92" s="701">
        <v>20</v>
      </c>
      <c r="M92" s="702">
        <v>12220.8</v>
      </c>
    </row>
    <row r="93" spans="1:13" ht="14.45" customHeight="1" x14ac:dyDescent="0.2">
      <c r="A93" s="696" t="s">
        <v>550</v>
      </c>
      <c r="B93" s="697" t="s">
        <v>1843</v>
      </c>
      <c r="C93" s="697" t="s">
        <v>1848</v>
      </c>
      <c r="D93" s="697" t="s">
        <v>1529</v>
      </c>
      <c r="E93" s="697" t="s">
        <v>1530</v>
      </c>
      <c r="F93" s="701">
        <v>103</v>
      </c>
      <c r="G93" s="701">
        <v>90640</v>
      </c>
      <c r="H93" s="726">
        <v>1</v>
      </c>
      <c r="I93" s="701"/>
      <c r="J93" s="701"/>
      <c r="K93" s="726">
        <v>0</v>
      </c>
      <c r="L93" s="701">
        <v>103</v>
      </c>
      <c r="M93" s="702">
        <v>90640</v>
      </c>
    </row>
    <row r="94" spans="1:13" ht="14.45" customHeight="1" x14ac:dyDescent="0.2">
      <c r="A94" s="696" t="s">
        <v>550</v>
      </c>
      <c r="B94" s="697" t="s">
        <v>1843</v>
      </c>
      <c r="C94" s="697" t="s">
        <v>1849</v>
      </c>
      <c r="D94" s="697" t="s">
        <v>1531</v>
      </c>
      <c r="E94" s="697" t="s">
        <v>1530</v>
      </c>
      <c r="F94" s="701"/>
      <c r="G94" s="701"/>
      <c r="H94" s="726">
        <v>0</v>
      </c>
      <c r="I94" s="701">
        <v>20</v>
      </c>
      <c r="J94" s="701">
        <v>6652.4</v>
      </c>
      <c r="K94" s="726">
        <v>1</v>
      </c>
      <c r="L94" s="701">
        <v>20</v>
      </c>
      <c r="M94" s="702">
        <v>6652.4</v>
      </c>
    </row>
    <row r="95" spans="1:13" ht="14.45" customHeight="1" x14ac:dyDescent="0.2">
      <c r="A95" s="696" t="s">
        <v>550</v>
      </c>
      <c r="B95" s="697" t="s">
        <v>1850</v>
      </c>
      <c r="C95" s="697" t="s">
        <v>1851</v>
      </c>
      <c r="D95" s="697" t="s">
        <v>1506</v>
      </c>
      <c r="E95" s="697" t="s">
        <v>1507</v>
      </c>
      <c r="F95" s="701"/>
      <c r="G95" s="701"/>
      <c r="H95" s="726">
        <v>0</v>
      </c>
      <c r="I95" s="701">
        <v>30</v>
      </c>
      <c r="J95" s="701">
        <v>49673.4</v>
      </c>
      <c r="K95" s="726">
        <v>1</v>
      </c>
      <c r="L95" s="701">
        <v>30</v>
      </c>
      <c r="M95" s="702">
        <v>49673.4</v>
      </c>
    </row>
    <row r="96" spans="1:13" ht="14.45" customHeight="1" x14ac:dyDescent="0.2">
      <c r="A96" s="696" t="s">
        <v>550</v>
      </c>
      <c r="B96" s="697" t="s">
        <v>1850</v>
      </c>
      <c r="C96" s="697" t="s">
        <v>1852</v>
      </c>
      <c r="D96" s="697" t="s">
        <v>1853</v>
      </c>
      <c r="E96" s="697" t="s">
        <v>1854</v>
      </c>
      <c r="F96" s="701">
        <v>40</v>
      </c>
      <c r="G96" s="701">
        <v>145200</v>
      </c>
      <c r="H96" s="726">
        <v>1</v>
      </c>
      <c r="I96" s="701"/>
      <c r="J96" s="701"/>
      <c r="K96" s="726">
        <v>0</v>
      </c>
      <c r="L96" s="701">
        <v>40</v>
      </c>
      <c r="M96" s="702">
        <v>145200</v>
      </c>
    </row>
    <row r="97" spans="1:13" ht="14.45" customHeight="1" x14ac:dyDescent="0.2">
      <c r="A97" s="696" t="s">
        <v>550</v>
      </c>
      <c r="B97" s="697" t="s">
        <v>1855</v>
      </c>
      <c r="C97" s="697" t="s">
        <v>1856</v>
      </c>
      <c r="D97" s="697" t="s">
        <v>1857</v>
      </c>
      <c r="E97" s="697" t="s">
        <v>1507</v>
      </c>
      <c r="F97" s="701"/>
      <c r="G97" s="701"/>
      <c r="H97" s="726">
        <v>0</v>
      </c>
      <c r="I97" s="701">
        <v>10</v>
      </c>
      <c r="J97" s="701">
        <v>11152.52</v>
      </c>
      <c r="K97" s="726">
        <v>1</v>
      </c>
      <c r="L97" s="701">
        <v>10</v>
      </c>
      <c r="M97" s="702">
        <v>11152.52</v>
      </c>
    </row>
    <row r="98" spans="1:13" ht="14.45" customHeight="1" x14ac:dyDescent="0.2">
      <c r="A98" s="696" t="s">
        <v>550</v>
      </c>
      <c r="B98" s="697" t="s">
        <v>1858</v>
      </c>
      <c r="C98" s="697" t="s">
        <v>1859</v>
      </c>
      <c r="D98" s="697" t="s">
        <v>560</v>
      </c>
      <c r="E98" s="697" t="s">
        <v>562</v>
      </c>
      <c r="F98" s="701">
        <v>3</v>
      </c>
      <c r="G98" s="701">
        <v>1614.09</v>
      </c>
      <c r="H98" s="726">
        <v>1</v>
      </c>
      <c r="I98" s="701"/>
      <c r="J98" s="701"/>
      <c r="K98" s="726">
        <v>0</v>
      </c>
      <c r="L98" s="701">
        <v>3</v>
      </c>
      <c r="M98" s="702">
        <v>1614.09</v>
      </c>
    </row>
    <row r="99" spans="1:13" ht="14.45" customHeight="1" x14ac:dyDescent="0.2">
      <c r="A99" s="696" t="s">
        <v>550</v>
      </c>
      <c r="B99" s="697" t="s">
        <v>1860</v>
      </c>
      <c r="C99" s="697" t="s">
        <v>1861</v>
      </c>
      <c r="D99" s="697" t="s">
        <v>732</v>
      </c>
      <c r="E99" s="697" t="s">
        <v>733</v>
      </c>
      <c r="F99" s="701"/>
      <c r="G99" s="701"/>
      <c r="H99" s="726">
        <v>0</v>
      </c>
      <c r="I99" s="701">
        <v>70</v>
      </c>
      <c r="J99" s="701">
        <v>38272.120000000003</v>
      </c>
      <c r="K99" s="726">
        <v>1</v>
      </c>
      <c r="L99" s="701">
        <v>70</v>
      </c>
      <c r="M99" s="702">
        <v>38272.120000000003</v>
      </c>
    </row>
    <row r="100" spans="1:13" ht="14.45" customHeight="1" x14ac:dyDescent="0.2">
      <c r="A100" s="696" t="s">
        <v>550</v>
      </c>
      <c r="B100" s="697" t="s">
        <v>1862</v>
      </c>
      <c r="C100" s="697" t="s">
        <v>1863</v>
      </c>
      <c r="D100" s="697" t="s">
        <v>1280</v>
      </c>
      <c r="E100" s="697" t="s">
        <v>1281</v>
      </c>
      <c r="F100" s="701"/>
      <c r="G100" s="701"/>
      <c r="H100" s="726">
        <v>0</v>
      </c>
      <c r="I100" s="701">
        <v>1</v>
      </c>
      <c r="J100" s="701">
        <v>224.18</v>
      </c>
      <c r="K100" s="726">
        <v>1</v>
      </c>
      <c r="L100" s="701">
        <v>1</v>
      </c>
      <c r="M100" s="702">
        <v>224.18</v>
      </c>
    </row>
    <row r="101" spans="1:13" ht="14.45" customHeight="1" x14ac:dyDescent="0.2">
      <c r="A101" s="696" t="s">
        <v>550</v>
      </c>
      <c r="B101" s="697" t="s">
        <v>1864</v>
      </c>
      <c r="C101" s="697" t="s">
        <v>1865</v>
      </c>
      <c r="D101" s="697" t="s">
        <v>958</v>
      </c>
      <c r="E101" s="697" t="s">
        <v>1866</v>
      </c>
      <c r="F101" s="701"/>
      <c r="G101" s="701"/>
      <c r="H101" s="726">
        <v>0</v>
      </c>
      <c r="I101" s="701">
        <v>4</v>
      </c>
      <c r="J101" s="701">
        <v>1454.9499999999998</v>
      </c>
      <c r="K101" s="726">
        <v>1</v>
      </c>
      <c r="L101" s="701">
        <v>4</v>
      </c>
      <c r="M101" s="702">
        <v>1454.9499999999998</v>
      </c>
    </row>
    <row r="102" spans="1:13" ht="14.45" customHeight="1" x14ac:dyDescent="0.2">
      <c r="A102" s="696" t="s">
        <v>550</v>
      </c>
      <c r="B102" s="697" t="s">
        <v>1864</v>
      </c>
      <c r="C102" s="697" t="s">
        <v>1867</v>
      </c>
      <c r="D102" s="697" t="s">
        <v>958</v>
      </c>
      <c r="E102" s="697" t="s">
        <v>1868</v>
      </c>
      <c r="F102" s="701"/>
      <c r="G102" s="701"/>
      <c r="H102" s="726">
        <v>0</v>
      </c>
      <c r="I102" s="701">
        <v>3</v>
      </c>
      <c r="J102" s="701">
        <v>2261.6999999999998</v>
      </c>
      <c r="K102" s="726">
        <v>1</v>
      </c>
      <c r="L102" s="701">
        <v>3</v>
      </c>
      <c r="M102" s="702">
        <v>2261.6999999999998</v>
      </c>
    </row>
    <row r="103" spans="1:13" ht="14.45" customHeight="1" x14ac:dyDescent="0.2">
      <c r="A103" s="696" t="s">
        <v>550</v>
      </c>
      <c r="B103" s="697" t="s">
        <v>1869</v>
      </c>
      <c r="C103" s="697" t="s">
        <v>1870</v>
      </c>
      <c r="D103" s="697" t="s">
        <v>585</v>
      </c>
      <c r="E103" s="697" t="s">
        <v>586</v>
      </c>
      <c r="F103" s="701">
        <v>1</v>
      </c>
      <c r="G103" s="701">
        <v>163.07999999999998</v>
      </c>
      <c r="H103" s="726">
        <v>1</v>
      </c>
      <c r="I103" s="701"/>
      <c r="J103" s="701"/>
      <c r="K103" s="726">
        <v>0</v>
      </c>
      <c r="L103" s="701">
        <v>1</v>
      </c>
      <c r="M103" s="702">
        <v>163.07999999999998</v>
      </c>
    </row>
    <row r="104" spans="1:13" ht="14.45" customHeight="1" x14ac:dyDescent="0.2">
      <c r="A104" s="696" t="s">
        <v>550</v>
      </c>
      <c r="B104" s="697" t="s">
        <v>1871</v>
      </c>
      <c r="C104" s="697" t="s">
        <v>1872</v>
      </c>
      <c r="D104" s="697" t="s">
        <v>1873</v>
      </c>
      <c r="E104" s="697" t="s">
        <v>1874</v>
      </c>
      <c r="F104" s="701"/>
      <c r="G104" s="701"/>
      <c r="H104" s="726">
        <v>0</v>
      </c>
      <c r="I104" s="701">
        <v>3</v>
      </c>
      <c r="J104" s="701">
        <v>1600.730875</v>
      </c>
      <c r="K104" s="726">
        <v>1</v>
      </c>
      <c r="L104" s="701">
        <v>3</v>
      </c>
      <c r="M104" s="702">
        <v>1600.730875</v>
      </c>
    </row>
    <row r="105" spans="1:13" ht="14.45" customHeight="1" x14ac:dyDescent="0.2">
      <c r="A105" s="696" t="s">
        <v>550</v>
      </c>
      <c r="B105" s="697" t="s">
        <v>1875</v>
      </c>
      <c r="C105" s="697" t="s">
        <v>1876</v>
      </c>
      <c r="D105" s="697" t="s">
        <v>1877</v>
      </c>
      <c r="E105" s="697" t="s">
        <v>1878</v>
      </c>
      <c r="F105" s="701"/>
      <c r="G105" s="701"/>
      <c r="H105" s="726">
        <v>0</v>
      </c>
      <c r="I105" s="701">
        <v>1</v>
      </c>
      <c r="J105" s="701">
        <v>1058.78</v>
      </c>
      <c r="K105" s="726">
        <v>1</v>
      </c>
      <c r="L105" s="701">
        <v>1</v>
      </c>
      <c r="M105" s="702">
        <v>1058.78</v>
      </c>
    </row>
    <row r="106" spans="1:13" ht="14.45" customHeight="1" x14ac:dyDescent="0.2">
      <c r="A106" s="696" t="s">
        <v>550</v>
      </c>
      <c r="B106" s="697" t="s">
        <v>1879</v>
      </c>
      <c r="C106" s="697" t="s">
        <v>1880</v>
      </c>
      <c r="D106" s="697" t="s">
        <v>1881</v>
      </c>
      <c r="E106" s="697" t="s">
        <v>704</v>
      </c>
      <c r="F106" s="701">
        <v>1</v>
      </c>
      <c r="G106" s="701">
        <v>625.31000000000006</v>
      </c>
      <c r="H106" s="726">
        <v>1</v>
      </c>
      <c r="I106" s="701"/>
      <c r="J106" s="701"/>
      <c r="K106" s="726">
        <v>0</v>
      </c>
      <c r="L106" s="701">
        <v>1</v>
      </c>
      <c r="M106" s="702">
        <v>625.31000000000006</v>
      </c>
    </row>
    <row r="107" spans="1:13" ht="14.45" customHeight="1" x14ac:dyDescent="0.2">
      <c r="A107" s="696" t="s">
        <v>550</v>
      </c>
      <c r="B107" s="697" t="s">
        <v>1882</v>
      </c>
      <c r="C107" s="697" t="s">
        <v>1883</v>
      </c>
      <c r="D107" s="697" t="s">
        <v>1188</v>
      </c>
      <c r="E107" s="697" t="s">
        <v>1884</v>
      </c>
      <c r="F107" s="701"/>
      <c r="G107" s="701"/>
      <c r="H107" s="726">
        <v>0</v>
      </c>
      <c r="I107" s="701">
        <v>1</v>
      </c>
      <c r="J107" s="701">
        <v>770.43</v>
      </c>
      <c r="K107" s="726">
        <v>1</v>
      </c>
      <c r="L107" s="701">
        <v>1</v>
      </c>
      <c r="M107" s="702">
        <v>770.43</v>
      </c>
    </row>
    <row r="108" spans="1:13" ht="14.45" customHeight="1" x14ac:dyDescent="0.2">
      <c r="A108" s="696" t="s">
        <v>550</v>
      </c>
      <c r="B108" s="697" t="s">
        <v>1885</v>
      </c>
      <c r="C108" s="697" t="s">
        <v>1886</v>
      </c>
      <c r="D108" s="697" t="s">
        <v>1887</v>
      </c>
      <c r="E108" s="697" t="s">
        <v>1888</v>
      </c>
      <c r="F108" s="701"/>
      <c r="G108" s="701"/>
      <c r="H108" s="726">
        <v>0</v>
      </c>
      <c r="I108" s="701">
        <v>1</v>
      </c>
      <c r="J108" s="701">
        <v>2199.85</v>
      </c>
      <c r="K108" s="726">
        <v>1</v>
      </c>
      <c r="L108" s="701">
        <v>1</v>
      </c>
      <c r="M108" s="702">
        <v>2199.85</v>
      </c>
    </row>
    <row r="109" spans="1:13" ht="14.45" customHeight="1" x14ac:dyDescent="0.2">
      <c r="A109" s="696" t="s">
        <v>550</v>
      </c>
      <c r="B109" s="697" t="s">
        <v>1885</v>
      </c>
      <c r="C109" s="697" t="s">
        <v>1889</v>
      </c>
      <c r="D109" s="697" t="s">
        <v>1887</v>
      </c>
      <c r="E109" s="697" t="s">
        <v>1890</v>
      </c>
      <c r="F109" s="701"/>
      <c r="G109" s="701"/>
      <c r="H109" s="726">
        <v>0</v>
      </c>
      <c r="I109" s="701">
        <v>1</v>
      </c>
      <c r="J109" s="701">
        <v>3735.97</v>
      </c>
      <c r="K109" s="726">
        <v>1</v>
      </c>
      <c r="L109" s="701">
        <v>1</v>
      </c>
      <c r="M109" s="702">
        <v>3735.97</v>
      </c>
    </row>
    <row r="110" spans="1:13" ht="14.45" customHeight="1" x14ac:dyDescent="0.2">
      <c r="A110" s="696" t="s">
        <v>550</v>
      </c>
      <c r="B110" s="697" t="s">
        <v>1891</v>
      </c>
      <c r="C110" s="697" t="s">
        <v>1892</v>
      </c>
      <c r="D110" s="697" t="s">
        <v>1183</v>
      </c>
      <c r="E110" s="697" t="s">
        <v>814</v>
      </c>
      <c r="F110" s="701"/>
      <c r="G110" s="701"/>
      <c r="H110" s="726">
        <v>0</v>
      </c>
      <c r="I110" s="701">
        <v>2</v>
      </c>
      <c r="J110" s="701">
        <v>990</v>
      </c>
      <c r="K110" s="726">
        <v>1</v>
      </c>
      <c r="L110" s="701">
        <v>2</v>
      </c>
      <c r="M110" s="702">
        <v>990</v>
      </c>
    </row>
    <row r="111" spans="1:13" ht="14.45" customHeight="1" x14ac:dyDescent="0.2">
      <c r="A111" s="696" t="s">
        <v>550</v>
      </c>
      <c r="B111" s="697" t="s">
        <v>1891</v>
      </c>
      <c r="C111" s="697" t="s">
        <v>1893</v>
      </c>
      <c r="D111" s="697" t="s">
        <v>813</v>
      </c>
      <c r="E111" s="697" t="s">
        <v>814</v>
      </c>
      <c r="F111" s="701">
        <v>1</v>
      </c>
      <c r="G111" s="701">
        <v>942.4</v>
      </c>
      <c r="H111" s="726">
        <v>1</v>
      </c>
      <c r="I111" s="701"/>
      <c r="J111" s="701"/>
      <c r="K111" s="726">
        <v>0</v>
      </c>
      <c r="L111" s="701">
        <v>1</v>
      </c>
      <c r="M111" s="702">
        <v>942.4</v>
      </c>
    </row>
    <row r="112" spans="1:13" ht="14.45" customHeight="1" x14ac:dyDescent="0.2">
      <c r="A112" s="696" t="s">
        <v>550</v>
      </c>
      <c r="B112" s="697" t="s">
        <v>1894</v>
      </c>
      <c r="C112" s="697" t="s">
        <v>1895</v>
      </c>
      <c r="D112" s="697" t="s">
        <v>1206</v>
      </c>
      <c r="E112" s="697" t="s">
        <v>1207</v>
      </c>
      <c r="F112" s="701">
        <v>80</v>
      </c>
      <c r="G112" s="701">
        <v>8529.2000000000007</v>
      </c>
      <c r="H112" s="726">
        <v>1</v>
      </c>
      <c r="I112" s="701"/>
      <c r="J112" s="701"/>
      <c r="K112" s="726">
        <v>0</v>
      </c>
      <c r="L112" s="701">
        <v>80</v>
      </c>
      <c r="M112" s="702">
        <v>8529.2000000000007</v>
      </c>
    </row>
    <row r="113" spans="1:13" ht="14.45" customHeight="1" x14ac:dyDescent="0.2">
      <c r="A113" s="696" t="s">
        <v>550</v>
      </c>
      <c r="B113" s="697" t="s">
        <v>1894</v>
      </c>
      <c r="C113" s="697" t="s">
        <v>1896</v>
      </c>
      <c r="D113" s="697" t="s">
        <v>1210</v>
      </c>
      <c r="E113" s="697" t="s">
        <v>1211</v>
      </c>
      <c r="F113" s="701">
        <v>20</v>
      </c>
      <c r="G113" s="701">
        <v>13694.6</v>
      </c>
      <c r="H113" s="726">
        <v>1</v>
      </c>
      <c r="I113" s="701"/>
      <c r="J113" s="701"/>
      <c r="K113" s="726">
        <v>0</v>
      </c>
      <c r="L113" s="701">
        <v>20</v>
      </c>
      <c r="M113" s="702">
        <v>13694.6</v>
      </c>
    </row>
    <row r="114" spans="1:13" ht="14.45" customHeight="1" x14ac:dyDescent="0.2">
      <c r="A114" s="696" t="s">
        <v>550</v>
      </c>
      <c r="B114" s="697" t="s">
        <v>1897</v>
      </c>
      <c r="C114" s="697" t="s">
        <v>1898</v>
      </c>
      <c r="D114" s="697" t="s">
        <v>1899</v>
      </c>
      <c r="E114" s="697" t="s">
        <v>1900</v>
      </c>
      <c r="F114" s="701"/>
      <c r="G114" s="701"/>
      <c r="H114" s="726">
        <v>0</v>
      </c>
      <c r="I114" s="701">
        <v>420</v>
      </c>
      <c r="J114" s="701">
        <v>27627.599999999999</v>
      </c>
      <c r="K114" s="726">
        <v>1</v>
      </c>
      <c r="L114" s="701">
        <v>420</v>
      </c>
      <c r="M114" s="702">
        <v>27627.599999999999</v>
      </c>
    </row>
    <row r="115" spans="1:13" ht="14.45" customHeight="1" x14ac:dyDescent="0.2">
      <c r="A115" s="696" t="s">
        <v>550</v>
      </c>
      <c r="B115" s="697" t="s">
        <v>1897</v>
      </c>
      <c r="C115" s="697" t="s">
        <v>1901</v>
      </c>
      <c r="D115" s="697" t="s">
        <v>1899</v>
      </c>
      <c r="E115" s="697" t="s">
        <v>1902</v>
      </c>
      <c r="F115" s="701"/>
      <c r="G115" s="701"/>
      <c r="H115" s="726">
        <v>0</v>
      </c>
      <c r="I115" s="701">
        <v>138</v>
      </c>
      <c r="J115" s="701">
        <v>53889</v>
      </c>
      <c r="K115" s="726">
        <v>1</v>
      </c>
      <c r="L115" s="701">
        <v>138</v>
      </c>
      <c r="M115" s="702">
        <v>53889</v>
      </c>
    </row>
    <row r="116" spans="1:13" ht="14.45" customHeight="1" x14ac:dyDescent="0.2">
      <c r="A116" s="696" t="s">
        <v>550</v>
      </c>
      <c r="B116" s="697" t="s">
        <v>1897</v>
      </c>
      <c r="C116" s="697" t="s">
        <v>1903</v>
      </c>
      <c r="D116" s="697" t="s">
        <v>1899</v>
      </c>
      <c r="E116" s="697" t="s">
        <v>1904</v>
      </c>
      <c r="F116" s="701"/>
      <c r="G116" s="701"/>
      <c r="H116" s="726">
        <v>0</v>
      </c>
      <c r="I116" s="701">
        <v>68</v>
      </c>
      <c r="J116" s="701">
        <v>42636</v>
      </c>
      <c r="K116" s="726">
        <v>1</v>
      </c>
      <c r="L116" s="701">
        <v>68</v>
      </c>
      <c r="M116" s="702">
        <v>42636</v>
      </c>
    </row>
    <row r="117" spans="1:13" ht="14.45" customHeight="1" x14ac:dyDescent="0.2">
      <c r="A117" s="696" t="s">
        <v>550</v>
      </c>
      <c r="B117" s="697" t="s">
        <v>1905</v>
      </c>
      <c r="C117" s="697" t="s">
        <v>1906</v>
      </c>
      <c r="D117" s="697" t="s">
        <v>1106</v>
      </c>
      <c r="E117" s="697" t="s">
        <v>1053</v>
      </c>
      <c r="F117" s="701"/>
      <c r="G117" s="701"/>
      <c r="H117" s="726">
        <v>0</v>
      </c>
      <c r="I117" s="701">
        <v>537</v>
      </c>
      <c r="J117" s="701">
        <v>22173.13</v>
      </c>
      <c r="K117" s="726">
        <v>1</v>
      </c>
      <c r="L117" s="701">
        <v>537</v>
      </c>
      <c r="M117" s="702">
        <v>22173.13</v>
      </c>
    </row>
    <row r="118" spans="1:13" ht="14.45" customHeight="1" x14ac:dyDescent="0.2">
      <c r="A118" s="696" t="s">
        <v>550</v>
      </c>
      <c r="B118" s="697" t="s">
        <v>1907</v>
      </c>
      <c r="C118" s="697" t="s">
        <v>1908</v>
      </c>
      <c r="D118" s="697" t="s">
        <v>1909</v>
      </c>
      <c r="E118" s="697" t="s">
        <v>1910</v>
      </c>
      <c r="F118" s="701"/>
      <c r="G118" s="701"/>
      <c r="H118" s="726">
        <v>0</v>
      </c>
      <c r="I118" s="701">
        <v>62</v>
      </c>
      <c r="J118" s="701">
        <v>14742.91</v>
      </c>
      <c r="K118" s="726">
        <v>1</v>
      </c>
      <c r="L118" s="701">
        <v>62</v>
      </c>
      <c r="M118" s="702">
        <v>14742.91</v>
      </c>
    </row>
    <row r="119" spans="1:13" ht="14.45" customHeight="1" x14ac:dyDescent="0.2">
      <c r="A119" s="696" t="s">
        <v>550</v>
      </c>
      <c r="B119" s="697" t="s">
        <v>1907</v>
      </c>
      <c r="C119" s="697" t="s">
        <v>1911</v>
      </c>
      <c r="D119" s="697" t="s">
        <v>1912</v>
      </c>
      <c r="E119" s="697" t="s">
        <v>1913</v>
      </c>
      <c r="F119" s="701"/>
      <c r="G119" s="701"/>
      <c r="H119" s="726">
        <v>0</v>
      </c>
      <c r="I119" s="701">
        <v>1</v>
      </c>
      <c r="J119" s="701">
        <v>238.13999999999993</v>
      </c>
      <c r="K119" s="726">
        <v>1</v>
      </c>
      <c r="L119" s="701">
        <v>1</v>
      </c>
      <c r="M119" s="702">
        <v>238.13999999999993</v>
      </c>
    </row>
    <row r="120" spans="1:13" ht="14.45" customHeight="1" x14ac:dyDescent="0.2">
      <c r="A120" s="696" t="s">
        <v>550</v>
      </c>
      <c r="B120" s="697" t="s">
        <v>1914</v>
      </c>
      <c r="C120" s="697" t="s">
        <v>1915</v>
      </c>
      <c r="D120" s="697" t="s">
        <v>1916</v>
      </c>
      <c r="E120" s="697" t="s">
        <v>1917</v>
      </c>
      <c r="F120" s="701"/>
      <c r="G120" s="701"/>
      <c r="H120" s="726">
        <v>0</v>
      </c>
      <c r="I120" s="701">
        <v>2</v>
      </c>
      <c r="J120" s="701">
        <v>252.47999999999996</v>
      </c>
      <c r="K120" s="726">
        <v>1</v>
      </c>
      <c r="L120" s="701">
        <v>2</v>
      </c>
      <c r="M120" s="702">
        <v>252.47999999999996</v>
      </c>
    </row>
    <row r="121" spans="1:13" ht="14.45" customHeight="1" x14ac:dyDescent="0.2">
      <c r="A121" s="696" t="s">
        <v>550</v>
      </c>
      <c r="B121" s="697" t="s">
        <v>1914</v>
      </c>
      <c r="C121" s="697" t="s">
        <v>1918</v>
      </c>
      <c r="D121" s="697" t="s">
        <v>1916</v>
      </c>
      <c r="E121" s="697" t="s">
        <v>1919</v>
      </c>
      <c r="F121" s="701"/>
      <c r="G121" s="701"/>
      <c r="H121" s="726">
        <v>0</v>
      </c>
      <c r="I121" s="701">
        <v>1</v>
      </c>
      <c r="J121" s="701">
        <v>254.94999999999993</v>
      </c>
      <c r="K121" s="726">
        <v>1</v>
      </c>
      <c r="L121" s="701">
        <v>1</v>
      </c>
      <c r="M121" s="702">
        <v>254.94999999999993</v>
      </c>
    </row>
    <row r="122" spans="1:13" ht="14.45" customHeight="1" x14ac:dyDescent="0.2">
      <c r="A122" s="696" t="s">
        <v>550</v>
      </c>
      <c r="B122" s="697" t="s">
        <v>1920</v>
      </c>
      <c r="C122" s="697" t="s">
        <v>1921</v>
      </c>
      <c r="D122" s="697" t="s">
        <v>1077</v>
      </c>
      <c r="E122" s="697" t="s">
        <v>1922</v>
      </c>
      <c r="F122" s="701"/>
      <c r="G122" s="701"/>
      <c r="H122" s="726">
        <v>0</v>
      </c>
      <c r="I122" s="701">
        <v>1</v>
      </c>
      <c r="J122" s="701">
        <v>431.64000000000004</v>
      </c>
      <c r="K122" s="726">
        <v>1</v>
      </c>
      <c r="L122" s="701">
        <v>1</v>
      </c>
      <c r="M122" s="702">
        <v>431.64000000000004</v>
      </c>
    </row>
    <row r="123" spans="1:13" ht="14.45" customHeight="1" x14ac:dyDescent="0.2">
      <c r="A123" s="696" t="s">
        <v>550</v>
      </c>
      <c r="B123" s="697" t="s">
        <v>1923</v>
      </c>
      <c r="C123" s="697" t="s">
        <v>1924</v>
      </c>
      <c r="D123" s="697" t="s">
        <v>1925</v>
      </c>
      <c r="E123" s="697" t="s">
        <v>1926</v>
      </c>
      <c r="F123" s="701"/>
      <c r="G123" s="701"/>
      <c r="H123" s="726">
        <v>0</v>
      </c>
      <c r="I123" s="701">
        <v>1</v>
      </c>
      <c r="J123" s="701">
        <v>251.53000000000006</v>
      </c>
      <c r="K123" s="726">
        <v>1</v>
      </c>
      <c r="L123" s="701">
        <v>1</v>
      </c>
      <c r="M123" s="702">
        <v>251.53000000000006</v>
      </c>
    </row>
    <row r="124" spans="1:13" ht="14.45" customHeight="1" x14ac:dyDescent="0.2">
      <c r="A124" s="696" t="s">
        <v>550</v>
      </c>
      <c r="B124" s="697" t="s">
        <v>1927</v>
      </c>
      <c r="C124" s="697" t="s">
        <v>1928</v>
      </c>
      <c r="D124" s="697" t="s">
        <v>1929</v>
      </c>
      <c r="E124" s="697" t="s">
        <v>1930</v>
      </c>
      <c r="F124" s="701"/>
      <c r="G124" s="701"/>
      <c r="H124" s="726">
        <v>0</v>
      </c>
      <c r="I124" s="701">
        <v>3</v>
      </c>
      <c r="J124" s="701">
        <v>58.84</v>
      </c>
      <c r="K124" s="726">
        <v>1</v>
      </c>
      <c r="L124" s="701">
        <v>3</v>
      </c>
      <c r="M124" s="702">
        <v>58.84</v>
      </c>
    </row>
    <row r="125" spans="1:13" ht="14.45" customHeight="1" x14ac:dyDescent="0.2">
      <c r="A125" s="696" t="s">
        <v>550</v>
      </c>
      <c r="B125" s="697" t="s">
        <v>1927</v>
      </c>
      <c r="C125" s="697" t="s">
        <v>1931</v>
      </c>
      <c r="D125" s="697" t="s">
        <v>1929</v>
      </c>
      <c r="E125" s="697" t="s">
        <v>1932</v>
      </c>
      <c r="F125" s="701"/>
      <c r="G125" s="701"/>
      <c r="H125" s="726">
        <v>0</v>
      </c>
      <c r="I125" s="701">
        <v>3</v>
      </c>
      <c r="J125" s="701">
        <v>27.449999999999996</v>
      </c>
      <c r="K125" s="726">
        <v>1</v>
      </c>
      <c r="L125" s="701">
        <v>3</v>
      </c>
      <c r="M125" s="702">
        <v>27.449999999999996</v>
      </c>
    </row>
    <row r="126" spans="1:13" ht="14.45" customHeight="1" x14ac:dyDescent="0.2">
      <c r="A126" s="696" t="s">
        <v>550</v>
      </c>
      <c r="B126" s="697" t="s">
        <v>1933</v>
      </c>
      <c r="C126" s="697" t="s">
        <v>1934</v>
      </c>
      <c r="D126" s="697" t="s">
        <v>1935</v>
      </c>
      <c r="E126" s="697" t="s">
        <v>1936</v>
      </c>
      <c r="F126" s="701"/>
      <c r="G126" s="701"/>
      <c r="H126" s="726">
        <v>0</v>
      </c>
      <c r="I126" s="701">
        <v>50</v>
      </c>
      <c r="J126" s="701">
        <v>6725.5</v>
      </c>
      <c r="K126" s="726">
        <v>1</v>
      </c>
      <c r="L126" s="701">
        <v>50</v>
      </c>
      <c r="M126" s="702">
        <v>6725.5</v>
      </c>
    </row>
    <row r="127" spans="1:13" ht="14.45" customHeight="1" x14ac:dyDescent="0.2">
      <c r="A127" s="696" t="s">
        <v>550</v>
      </c>
      <c r="B127" s="697" t="s">
        <v>1933</v>
      </c>
      <c r="C127" s="697" t="s">
        <v>1937</v>
      </c>
      <c r="D127" s="697" t="s">
        <v>1935</v>
      </c>
      <c r="E127" s="697" t="s">
        <v>1938</v>
      </c>
      <c r="F127" s="701"/>
      <c r="G127" s="701"/>
      <c r="H127" s="726">
        <v>0</v>
      </c>
      <c r="I127" s="701">
        <v>107</v>
      </c>
      <c r="J127" s="701">
        <v>30021.860000000004</v>
      </c>
      <c r="K127" s="726">
        <v>1</v>
      </c>
      <c r="L127" s="701">
        <v>107</v>
      </c>
      <c r="M127" s="702">
        <v>30021.860000000004</v>
      </c>
    </row>
    <row r="128" spans="1:13" ht="14.45" customHeight="1" x14ac:dyDescent="0.2">
      <c r="A128" s="696" t="s">
        <v>550</v>
      </c>
      <c r="B128" s="697" t="s">
        <v>1939</v>
      </c>
      <c r="C128" s="697" t="s">
        <v>1940</v>
      </c>
      <c r="D128" s="697" t="s">
        <v>1333</v>
      </c>
      <c r="E128" s="697" t="s">
        <v>1941</v>
      </c>
      <c r="F128" s="701"/>
      <c r="G128" s="701"/>
      <c r="H128" s="726">
        <v>0</v>
      </c>
      <c r="I128" s="701">
        <v>1</v>
      </c>
      <c r="J128" s="701">
        <v>21.959999999999997</v>
      </c>
      <c r="K128" s="726">
        <v>1</v>
      </c>
      <c r="L128" s="701">
        <v>1</v>
      </c>
      <c r="M128" s="702">
        <v>21.959999999999997</v>
      </c>
    </row>
    <row r="129" spans="1:13" ht="14.45" customHeight="1" x14ac:dyDescent="0.2">
      <c r="A129" s="696" t="s">
        <v>550</v>
      </c>
      <c r="B129" s="697" t="s">
        <v>1939</v>
      </c>
      <c r="C129" s="697" t="s">
        <v>1942</v>
      </c>
      <c r="D129" s="697" t="s">
        <v>1333</v>
      </c>
      <c r="E129" s="697" t="s">
        <v>1943</v>
      </c>
      <c r="F129" s="701"/>
      <c r="G129" s="701"/>
      <c r="H129" s="726">
        <v>0</v>
      </c>
      <c r="I129" s="701">
        <v>5</v>
      </c>
      <c r="J129" s="701">
        <v>233.51000000000005</v>
      </c>
      <c r="K129" s="726">
        <v>1</v>
      </c>
      <c r="L129" s="701">
        <v>5</v>
      </c>
      <c r="M129" s="702">
        <v>233.51000000000005</v>
      </c>
    </row>
    <row r="130" spans="1:13" ht="14.45" customHeight="1" x14ac:dyDescent="0.2">
      <c r="A130" s="696" t="s">
        <v>550</v>
      </c>
      <c r="B130" s="697" t="s">
        <v>1944</v>
      </c>
      <c r="C130" s="697" t="s">
        <v>1945</v>
      </c>
      <c r="D130" s="697" t="s">
        <v>746</v>
      </c>
      <c r="E130" s="697" t="s">
        <v>748</v>
      </c>
      <c r="F130" s="701"/>
      <c r="G130" s="701"/>
      <c r="H130" s="726">
        <v>0</v>
      </c>
      <c r="I130" s="701">
        <v>4</v>
      </c>
      <c r="J130" s="701">
        <v>3442.76</v>
      </c>
      <c r="K130" s="726">
        <v>1</v>
      </c>
      <c r="L130" s="701">
        <v>4</v>
      </c>
      <c r="M130" s="702">
        <v>3442.76</v>
      </c>
    </row>
    <row r="131" spans="1:13" ht="14.45" customHeight="1" x14ac:dyDescent="0.2">
      <c r="A131" s="696" t="s">
        <v>550</v>
      </c>
      <c r="B131" s="697" t="s">
        <v>1944</v>
      </c>
      <c r="C131" s="697" t="s">
        <v>1946</v>
      </c>
      <c r="D131" s="697" t="s">
        <v>746</v>
      </c>
      <c r="E131" s="697" t="s">
        <v>747</v>
      </c>
      <c r="F131" s="701"/>
      <c r="G131" s="701"/>
      <c r="H131" s="726">
        <v>0</v>
      </c>
      <c r="I131" s="701">
        <v>25</v>
      </c>
      <c r="J131" s="701">
        <v>97135.26999999999</v>
      </c>
      <c r="K131" s="726">
        <v>1</v>
      </c>
      <c r="L131" s="701">
        <v>25</v>
      </c>
      <c r="M131" s="702">
        <v>97135.26999999999</v>
      </c>
    </row>
    <row r="132" spans="1:13" ht="14.45" customHeight="1" x14ac:dyDescent="0.2">
      <c r="A132" s="696" t="s">
        <v>550</v>
      </c>
      <c r="B132" s="697" t="s">
        <v>1947</v>
      </c>
      <c r="C132" s="697" t="s">
        <v>1948</v>
      </c>
      <c r="D132" s="697" t="s">
        <v>1949</v>
      </c>
      <c r="E132" s="697" t="s">
        <v>655</v>
      </c>
      <c r="F132" s="701"/>
      <c r="G132" s="701"/>
      <c r="H132" s="726">
        <v>0</v>
      </c>
      <c r="I132" s="701">
        <v>1</v>
      </c>
      <c r="J132" s="701">
        <v>19.73</v>
      </c>
      <c r="K132" s="726">
        <v>1</v>
      </c>
      <c r="L132" s="701">
        <v>1</v>
      </c>
      <c r="M132" s="702">
        <v>19.73</v>
      </c>
    </row>
    <row r="133" spans="1:13" ht="14.45" customHeight="1" x14ac:dyDescent="0.2">
      <c r="A133" s="696" t="s">
        <v>550</v>
      </c>
      <c r="B133" s="697" t="s">
        <v>1947</v>
      </c>
      <c r="C133" s="697" t="s">
        <v>1950</v>
      </c>
      <c r="D133" s="697" t="s">
        <v>1949</v>
      </c>
      <c r="E133" s="697" t="s">
        <v>704</v>
      </c>
      <c r="F133" s="701"/>
      <c r="G133" s="701"/>
      <c r="H133" s="726">
        <v>0</v>
      </c>
      <c r="I133" s="701">
        <v>5</v>
      </c>
      <c r="J133" s="701">
        <v>135.31</v>
      </c>
      <c r="K133" s="726">
        <v>1</v>
      </c>
      <c r="L133" s="701">
        <v>5</v>
      </c>
      <c r="M133" s="702">
        <v>135.31</v>
      </c>
    </row>
    <row r="134" spans="1:13" ht="14.45" customHeight="1" x14ac:dyDescent="0.2">
      <c r="A134" s="696" t="s">
        <v>550</v>
      </c>
      <c r="B134" s="697" t="s">
        <v>1947</v>
      </c>
      <c r="C134" s="697" t="s">
        <v>1951</v>
      </c>
      <c r="D134" s="697" t="s">
        <v>1194</v>
      </c>
      <c r="E134" s="697" t="s">
        <v>1952</v>
      </c>
      <c r="F134" s="701">
        <v>85</v>
      </c>
      <c r="G134" s="701">
        <v>40283.61</v>
      </c>
      <c r="H134" s="726">
        <v>1</v>
      </c>
      <c r="I134" s="701"/>
      <c r="J134" s="701"/>
      <c r="K134" s="726">
        <v>0</v>
      </c>
      <c r="L134" s="701">
        <v>85</v>
      </c>
      <c r="M134" s="702">
        <v>40283.61</v>
      </c>
    </row>
    <row r="135" spans="1:13" ht="14.45" customHeight="1" x14ac:dyDescent="0.2">
      <c r="A135" s="696" t="s">
        <v>550</v>
      </c>
      <c r="B135" s="697" t="s">
        <v>1953</v>
      </c>
      <c r="C135" s="697" t="s">
        <v>1954</v>
      </c>
      <c r="D135" s="697" t="s">
        <v>1196</v>
      </c>
      <c r="E135" s="697" t="s">
        <v>1197</v>
      </c>
      <c r="F135" s="701">
        <v>1</v>
      </c>
      <c r="G135" s="701">
        <v>99.14</v>
      </c>
      <c r="H135" s="726">
        <v>1</v>
      </c>
      <c r="I135" s="701"/>
      <c r="J135" s="701"/>
      <c r="K135" s="726">
        <v>0</v>
      </c>
      <c r="L135" s="701">
        <v>1</v>
      </c>
      <c r="M135" s="702">
        <v>99.14</v>
      </c>
    </row>
    <row r="136" spans="1:13" ht="14.45" customHeight="1" x14ac:dyDescent="0.2">
      <c r="A136" s="696" t="s">
        <v>550</v>
      </c>
      <c r="B136" s="697" t="s">
        <v>1953</v>
      </c>
      <c r="C136" s="697" t="s">
        <v>1955</v>
      </c>
      <c r="D136" s="697" t="s">
        <v>1956</v>
      </c>
      <c r="E136" s="697" t="s">
        <v>1957</v>
      </c>
      <c r="F136" s="701"/>
      <c r="G136" s="701"/>
      <c r="H136" s="726">
        <v>0</v>
      </c>
      <c r="I136" s="701">
        <v>7</v>
      </c>
      <c r="J136" s="701">
        <v>640.03</v>
      </c>
      <c r="K136" s="726">
        <v>1</v>
      </c>
      <c r="L136" s="701">
        <v>7</v>
      </c>
      <c r="M136" s="702">
        <v>640.03</v>
      </c>
    </row>
    <row r="137" spans="1:13" ht="14.45" customHeight="1" x14ac:dyDescent="0.2">
      <c r="A137" s="696" t="s">
        <v>550</v>
      </c>
      <c r="B137" s="697" t="s">
        <v>1953</v>
      </c>
      <c r="C137" s="697" t="s">
        <v>1958</v>
      </c>
      <c r="D137" s="697" t="s">
        <v>1956</v>
      </c>
      <c r="E137" s="697" t="s">
        <v>1959</v>
      </c>
      <c r="F137" s="701"/>
      <c r="G137" s="701"/>
      <c r="H137" s="726">
        <v>0</v>
      </c>
      <c r="I137" s="701">
        <v>1</v>
      </c>
      <c r="J137" s="701">
        <v>183.28999999999996</v>
      </c>
      <c r="K137" s="726">
        <v>1</v>
      </c>
      <c r="L137" s="701">
        <v>1</v>
      </c>
      <c r="M137" s="702">
        <v>183.28999999999996</v>
      </c>
    </row>
    <row r="138" spans="1:13" ht="14.45" customHeight="1" x14ac:dyDescent="0.2">
      <c r="A138" s="696" t="s">
        <v>550</v>
      </c>
      <c r="B138" s="697" t="s">
        <v>1960</v>
      </c>
      <c r="C138" s="697" t="s">
        <v>1961</v>
      </c>
      <c r="D138" s="697" t="s">
        <v>792</v>
      </c>
      <c r="E138" s="697" t="s">
        <v>655</v>
      </c>
      <c r="F138" s="701">
        <v>1</v>
      </c>
      <c r="G138" s="701">
        <v>54.360000000000014</v>
      </c>
      <c r="H138" s="726">
        <v>1</v>
      </c>
      <c r="I138" s="701"/>
      <c r="J138" s="701"/>
      <c r="K138" s="726">
        <v>0</v>
      </c>
      <c r="L138" s="701">
        <v>1</v>
      </c>
      <c r="M138" s="702">
        <v>54.360000000000014</v>
      </c>
    </row>
    <row r="139" spans="1:13" ht="14.45" customHeight="1" x14ac:dyDescent="0.2">
      <c r="A139" s="696" t="s">
        <v>550</v>
      </c>
      <c r="B139" s="697" t="s">
        <v>1960</v>
      </c>
      <c r="C139" s="697" t="s">
        <v>1962</v>
      </c>
      <c r="D139" s="697" t="s">
        <v>792</v>
      </c>
      <c r="E139" s="697" t="s">
        <v>704</v>
      </c>
      <c r="F139" s="701">
        <v>1</v>
      </c>
      <c r="G139" s="701">
        <v>108.74</v>
      </c>
      <c r="H139" s="726">
        <v>1</v>
      </c>
      <c r="I139" s="701"/>
      <c r="J139" s="701"/>
      <c r="K139" s="726">
        <v>0</v>
      </c>
      <c r="L139" s="701">
        <v>1</v>
      </c>
      <c r="M139" s="702">
        <v>108.74</v>
      </c>
    </row>
    <row r="140" spans="1:13" ht="14.45" customHeight="1" x14ac:dyDescent="0.2">
      <c r="A140" s="696" t="s">
        <v>550</v>
      </c>
      <c r="B140" s="697" t="s">
        <v>1963</v>
      </c>
      <c r="C140" s="697" t="s">
        <v>1964</v>
      </c>
      <c r="D140" s="697" t="s">
        <v>1965</v>
      </c>
      <c r="E140" s="697" t="s">
        <v>1966</v>
      </c>
      <c r="F140" s="701">
        <v>1</v>
      </c>
      <c r="G140" s="701">
        <v>119.78999999999999</v>
      </c>
      <c r="H140" s="726">
        <v>1</v>
      </c>
      <c r="I140" s="701"/>
      <c r="J140" s="701"/>
      <c r="K140" s="726">
        <v>0</v>
      </c>
      <c r="L140" s="701">
        <v>1</v>
      </c>
      <c r="M140" s="702">
        <v>119.78999999999999</v>
      </c>
    </row>
    <row r="141" spans="1:13" ht="14.45" customHeight="1" x14ac:dyDescent="0.2">
      <c r="A141" s="696" t="s">
        <v>550</v>
      </c>
      <c r="B141" s="697" t="s">
        <v>1967</v>
      </c>
      <c r="C141" s="697" t="s">
        <v>1968</v>
      </c>
      <c r="D141" s="697" t="s">
        <v>1969</v>
      </c>
      <c r="E141" s="697" t="s">
        <v>1970</v>
      </c>
      <c r="F141" s="701">
        <v>1</v>
      </c>
      <c r="G141" s="701">
        <v>174.35</v>
      </c>
      <c r="H141" s="726">
        <v>1</v>
      </c>
      <c r="I141" s="701"/>
      <c r="J141" s="701"/>
      <c r="K141" s="726">
        <v>0</v>
      </c>
      <c r="L141" s="701">
        <v>1</v>
      </c>
      <c r="M141" s="702">
        <v>174.35</v>
      </c>
    </row>
    <row r="142" spans="1:13" ht="14.45" customHeight="1" x14ac:dyDescent="0.2">
      <c r="A142" s="696" t="s">
        <v>550</v>
      </c>
      <c r="B142" s="697" t="s">
        <v>1971</v>
      </c>
      <c r="C142" s="697" t="s">
        <v>1972</v>
      </c>
      <c r="D142" s="697" t="s">
        <v>1046</v>
      </c>
      <c r="E142" s="697" t="s">
        <v>1047</v>
      </c>
      <c r="F142" s="701">
        <v>1</v>
      </c>
      <c r="G142" s="701">
        <v>534.17999999999995</v>
      </c>
      <c r="H142" s="726">
        <v>1</v>
      </c>
      <c r="I142" s="701"/>
      <c r="J142" s="701"/>
      <c r="K142" s="726">
        <v>0</v>
      </c>
      <c r="L142" s="701">
        <v>1</v>
      </c>
      <c r="M142" s="702">
        <v>534.17999999999995</v>
      </c>
    </row>
    <row r="143" spans="1:13" ht="14.45" customHeight="1" x14ac:dyDescent="0.2">
      <c r="A143" s="696" t="s">
        <v>550</v>
      </c>
      <c r="B143" s="697" t="s">
        <v>1973</v>
      </c>
      <c r="C143" s="697" t="s">
        <v>1974</v>
      </c>
      <c r="D143" s="697" t="s">
        <v>1288</v>
      </c>
      <c r="E143" s="697" t="s">
        <v>1289</v>
      </c>
      <c r="F143" s="701"/>
      <c r="G143" s="701"/>
      <c r="H143" s="726">
        <v>0</v>
      </c>
      <c r="I143" s="701">
        <v>6</v>
      </c>
      <c r="J143" s="701">
        <v>272.83000000000004</v>
      </c>
      <c r="K143" s="726">
        <v>1</v>
      </c>
      <c r="L143" s="701">
        <v>6</v>
      </c>
      <c r="M143" s="702">
        <v>272.83000000000004</v>
      </c>
    </row>
    <row r="144" spans="1:13" ht="14.45" customHeight="1" x14ac:dyDescent="0.2">
      <c r="A144" s="696" t="s">
        <v>550</v>
      </c>
      <c r="B144" s="697" t="s">
        <v>1973</v>
      </c>
      <c r="C144" s="697" t="s">
        <v>1975</v>
      </c>
      <c r="D144" s="697" t="s">
        <v>1286</v>
      </c>
      <c r="E144" s="697" t="s">
        <v>1287</v>
      </c>
      <c r="F144" s="701"/>
      <c r="G144" s="701"/>
      <c r="H144" s="726">
        <v>0</v>
      </c>
      <c r="I144" s="701">
        <v>110</v>
      </c>
      <c r="J144" s="701">
        <v>8922.0799999999981</v>
      </c>
      <c r="K144" s="726">
        <v>1</v>
      </c>
      <c r="L144" s="701">
        <v>110</v>
      </c>
      <c r="M144" s="702">
        <v>8922.0799999999981</v>
      </c>
    </row>
    <row r="145" spans="1:13" ht="14.45" customHeight="1" x14ac:dyDescent="0.2">
      <c r="A145" s="696" t="s">
        <v>550</v>
      </c>
      <c r="B145" s="697" t="s">
        <v>1976</v>
      </c>
      <c r="C145" s="697" t="s">
        <v>1977</v>
      </c>
      <c r="D145" s="697" t="s">
        <v>823</v>
      </c>
      <c r="E145" s="697" t="s">
        <v>824</v>
      </c>
      <c r="F145" s="701">
        <v>1</v>
      </c>
      <c r="G145" s="701">
        <v>64.72</v>
      </c>
      <c r="H145" s="726">
        <v>1</v>
      </c>
      <c r="I145" s="701"/>
      <c r="J145" s="701"/>
      <c r="K145" s="726">
        <v>0</v>
      </c>
      <c r="L145" s="701">
        <v>1</v>
      </c>
      <c r="M145" s="702">
        <v>64.72</v>
      </c>
    </row>
    <row r="146" spans="1:13" ht="14.45" customHeight="1" x14ac:dyDescent="0.2">
      <c r="A146" s="696" t="s">
        <v>550</v>
      </c>
      <c r="B146" s="697" t="s">
        <v>1978</v>
      </c>
      <c r="C146" s="697" t="s">
        <v>1979</v>
      </c>
      <c r="D146" s="697" t="s">
        <v>707</v>
      </c>
      <c r="E146" s="697" t="s">
        <v>708</v>
      </c>
      <c r="F146" s="701">
        <v>1</v>
      </c>
      <c r="G146" s="701">
        <v>286.32999999999993</v>
      </c>
      <c r="H146" s="726">
        <v>1</v>
      </c>
      <c r="I146" s="701"/>
      <c r="J146" s="701"/>
      <c r="K146" s="726">
        <v>0</v>
      </c>
      <c r="L146" s="701">
        <v>1</v>
      </c>
      <c r="M146" s="702">
        <v>286.32999999999993</v>
      </c>
    </row>
    <row r="147" spans="1:13" ht="14.45" customHeight="1" x14ac:dyDescent="0.2">
      <c r="A147" s="696" t="s">
        <v>550</v>
      </c>
      <c r="B147" s="697" t="s">
        <v>1980</v>
      </c>
      <c r="C147" s="697" t="s">
        <v>1981</v>
      </c>
      <c r="D147" s="697" t="s">
        <v>1982</v>
      </c>
      <c r="E147" s="697" t="s">
        <v>1983</v>
      </c>
      <c r="F147" s="701"/>
      <c r="G147" s="701"/>
      <c r="H147" s="726">
        <v>0</v>
      </c>
      <c r="I147" s="701">
        <v>1</v>
      </c>
      <c r="J147" s="701">
        <v>43.70000000000001</v>
      </c>
      <c r="K147" s="726">
        <v>1</v>
      </c>
      <c r="L147" s="701">
        <v>1</v>
      </c>
      <c r="M147" s="702">
        <v>43.70000000000001</v>
      </c>
    </row>
    <row r="148" spans="1:13" ht="14.45" customHeight="1" x14ac:dyDescent="0.2">
      <c r="A148" s="696" t="s">
        <v>550</v>
      </c>
      <c r="B148" s="697" t="s">
        <v>1980</v>
      </c>
      <c r="C148" s="697" t="s">
        <v>1984</v>
      </c>
      <c r="D148" s="697" t="s">
        <v>1982</v>
      </c>
      <c r="E148" s="697" t="s">
        <v>1985</v>
      </c>
      <c r="F148" s="701"/>
      <c r="G148" s="701"/>
      <c r="H148" s="726">
        <v>0</v>
      </c>
      <c r="I148" s="701">
        <v>1</v>
      </c>
      <c r="J148" s="701">
        <v>84.59</v>
      </c>
      <c r="K148" s="726">
        <v>1</v>
      </c>
      <c r="L148" s="701">
        <v>1</v>
      </c>
      <c r="M148" s="702">
        <v>84.59</v>
      </c>
    </row>
    <row r="149" spans="1:13" ht="14.45" customHeight="1" x14ac:dyDescent="0.2">
      <c r="A149" s="696" t="s">
        <v>550</v>
      </c>
      <c r="B149" s="697" t="s">
        <v>1986</v>
      </c>
      <c r="C149" s="697" t="s">
        <v>1987</v>
      </c>
      <c r="D149" s="697" t="s">
        <v>1374</v>
      </c>
      <c r="E149" s="697" t="s">
        <v>1375</v>
      </c>
      <c r="F149" s="701"/>
      <c r="G149" s="701"/>
      <c r="H149" s="726">
        <v>0</v>
      </c>
      <c r="I149" s="701">
        <v>4</v>
      </c>
      <c r="J149" s="701">
        <v>513.91999999999985</v>
      </c>
      <c r="K149" s="726">
        <v>1</v>
      </c>
      <c r="L149" s="701">
        <v>4</v>
      </c>
      <c r="M149" s="702">
        <v>513.91999999999985</v>
      </c>
    </row>
    <row r="150" spans="1:13" ht="14.45" customHeight="1" x14ac:dyDescent="0.2">
      <c r="A150" s="696" t="s">
        <v>550</v>
      </c>
      <c r="B150" s="697" t="s">
        <v>1986</v>
      </c>
      <c r="C150" s="697" t="s">
        <v>1988</v>
      </c>
      <c r="D150" s="697" t="s">
        <v>1401</v>
      </c>
      <c r="E150" s="697" t="s">
        <v>1375</v>
      </c>
      <c r="F150" s="701"/>
      <c r="G150" s="701"/>
      <c r="H150" s="726">
        <v>0</v>
      </c>
      <c r="I150" s="701">
        <v>22</v>
      </c>
      <c r="J150" s="701">
        <v>3095.010001722896</v>
      </c>
      <c r="K150" s="726">
        <v>1</v>
      </c>
      <c r="L150" s="701">
        <v>22</v>
      </c>
      <c r="M150" s="702">
        <v>3095.010001722896</v>
      </c>
    </row>
    <row r="151" spans="1:13" ht="14.45" customHeight="1" x14ac:dyDescent="0.2">
      <c r="A151" s="696" t="s">
        <v>550</v>
      </c>
      <c r="B151" s="697" t="s">
        <v>1986</v>
      </c>
      <c r="C151" s="697" t="s">
        <v>1989</v>
      </c>
      <c r="D151" s="697" t="s">
        <v>1402</v>
      </c>
      <c r="E151" s="697" t="s">
        <v>1375</v>
      </c>
      <c r="F151" s="701"/>
      <c r="G151" s="701"/>
      <c r="H151" s="726">
        <v>0</v>
      </c>
      <c r="I151" s="701">
        <v>16</v>
      </c>
      <c r="J151" s="701">
        <v>2137.5</v>
      </c>
      <c r="K151" s="726">
        <v>1</v>
      </c>
      <c r="L151" s="701">
        <v>16</v>
      </c>
      <c r="M151" s="702">
        <v>2137.5</v>
      </c>
    </row>
    <row r="152" spans="1:13" ht="14.45" customHeight="1" x14ac:dyDescent="0.2">
      <c r="A152" s="696" t="s">
        <v>550</v>
      </c>
      <c r="B152" s="697" t="s">
        <v>1986</v>
      </c>
      <c r="C152" s="697" t="s">
        <v>1990</v>
      </c>
      <c r="D152" s="697" t="s">
        <v>1400</v>
      </c>
      <c r="E152" s="697" t="s">
        <v>1375</v>
      </c>
      <c r="F152" s="701"/>
      <c r="G152" s="701"/>
      <c r="H152" s="726">
        <v>0</v>
      </c>
      <c r="I152" s="701">
        <v>4</v>
      </c>
      <c r="J152" s="701">
        <v>522.83999999999992</v>
      </c>
      <c r="K152" s="726">
        <v>1</v>
      </c>
      <c r="L152" s="701">
        <v>4</v>
      </c>
      <c r="M152" s="702">
        <v>522.83999999999992</v>
      </c>
    </row>
    <row r="153" spans="1:13" ht="14.45" customHeight="1" x14ac:dyDescent="0.2">
      <c r="A153" s="696" t="s">
        <v>550</v>
      </c>
      <c r="B153" s="697" t="s">
        <v>1986</v>
      </c>
      <c r="C153" s="697" t="s">
        <v>1991</v>
      </c>
      <c r="D153" s="697" t="s">
        <v>1403</v>
      </c>
      <c r="E153" s="697" t="s">
        <v>1375</v>
      </c>
      <c r="F153" s="701"/>
      <c r="G153" s="701"/>
      <c r="H153" s="726">
        <v>0</v>
      </c>
      <c r="I153" s="701">
        <v>9</v>
      </c>
      <c r="J153" s="701">
        <v>1199.46</v>
      </c>
      <c r="K153" s="726">
        <v>1</v>
      </c>
      <c r="L153" s="701">
        <v>9</v>
      </c>
      <c r="M153" s="702">
        <v>1199.46</v>
      </c>
    </row>
    <row r="154" spans="1:13" ht="14.45" customHeight="1" x14ac:dyDescent="0.2">
      <c r="A154" s="696" t="s">
        <v>550</v>
      </c>
      <c r="B154" s="697" t="s">
        <v>1986</v>
      </c>
      <c r="C154" s="697" t="s">
        <v>1992</v>
      </c>
      <c r="D154" s="697" t="s">
        <v>1421</v>
      </c>
      <c r="E154" s="697" t="s">
        <v>1993</v>
      </c>
      <c r="F154" s="701"/>
      <c r="G154" s="701"/>
      <c r="H154" s="726">
        <v>0</v>
      </c>
      <c r="I154" s="701">
        <v>2</v>
      </c>
      <c r="J154" s="701">
        <v>389.72</v>
      </c>
      <c r="K154" s="726">
        <v>1</v>
      </c>
      <c r="L154" s="701">
        <v>2</v>
      </c>
      <c r="M154" s="702">
        <v>389.72</v>
      </c>
    </row>
    <row r="155" spans="1:13" ht="14.45" customHeight="1" x14ac:dyDescent="0.2">
      <c r="A155" s="696" t="s">
        <v>550</v>
      </c>
      <c r="B155" s="697" t="s">
        <v>1986</v>
      </c>
      <c r="C155" s="697" t="s">
        <v>1994</v>
      </c>
      <c r="D155" s="697" t="s">
        <v>1395</v>
      </c>
      <c r="E155" s="697" t="s">
        <v>1388</v>
      </c>
      <c r="F155" s="701"/>
      <c r="G155" s="701"/>
      <c r="H155" s="726">
        <v>0</v>
      </c>
      <c r="I155" s="701">
        <v>10</v>
      </c>
      <c r="J155" s="701">
        <v>1385.3999999999999</v>
      </c>
      <c r="K155" s="726">
        <v>1</v>
      </c>
      <c r="L155" s="701">
        <v>10</v>
      </c>
      <c r="M155" s="702">
        <v>1385.3999999999999</v>
      </c>
    </row>
    <row r="156" spans="1:13" ht="14.45" customHeight="1" x14ac:dyDescent="0.2">
      <c r="A156" s="696" t="s">
        <v>550</v>
      </c>
      <c r="B156" s="697" t="s">
        <v>1986</v>
      </c>
      <c r="C156" s="697" t="s">
        <v>1995</v>
      </c>
      <c r="D156" s="697" t="s">
        <v>1394</v>
      </c>
      <c r="E156" s="697" t="s">
        <v>1388</v>
      </c>
      <c r="F156" s="701"/>
      <c r="G156" s="701"/>
      <c r="H156" s="726">
        <v>0</v>
      </c>
      <c r="I156" s="701">
        <v>10</v>
      </c>
      <c r="J156" s="701">
        <v>1385.4</v>
      </c>
      <c r="K156" s="726">
        <v>1</v>
      </c>
      <c r="L156" s="701">
        <v>10</v>
      </c>
      <c r="M156" s="702">
        <v>1385.4</v>
      </c>
    </row>
    <row r="157" spans="1:13" ht="14.45" customHeight="1" x14ac:dyDescent="0.2">
      <c r="A157" s="696" t="s">
        <v>550</v>
      </c>
      <c r="B157" s="697" t="s">
        <v>1986</v>
      </c>
      <c r="C157" s="697" t="s">
        <v>1996</v>
      </c>
      <c r="D157" s="697" t="s">
        <v>1409</v>
      </c>
      <c r="E157" s="697" t="s">
        <v>1380</v>
      </c>
      <c r="F157" s="701"/>
      <c r="G157" s="701"/>
      <c r="H157" s="726">
        <v>0</v>
      </c>
      <c r="I157" s="701">
        <v>68</v>
      </c>
      <c r="J157" s="701">
        <v>3778.76</v>
      </c>
      <c r="K157" s="726">
        <v>1</v>
      </c>
      <c r="L157" s="701">
        <v>68</v>
      </c>
      <c r="M157" s="702">
        <v>3778.76</v>
      </c>
    </row>
    <row r="158" spans="1:13" ht="14.45" customHeight="1" x14ac:dyDescent="0.2">
      <c r="A158" s="696" t="s">
        <v>550</v>
      </c>
      <c r="B158" s="697" t="s">
        <v>1986</v>
      </c>
      <c r="C158" s="697" t="s">
        <v>1997</v>
      </c>
      <c r="D158" s="697" t="s">
        <v>1396</v>
      </c>
      <c r="E158" s="697" t="s">
        <v>1383</v>
      </c>
      <c r="F158" s="701"/>
      <c r="G158" s="701"/>
      <c r="H158" s="726">
        <v>0</v>
      </c>
      <c r="I158" s="701">
        <v>4</v>
      </c>
      <c r="J158" s="701">
        <v>386.2</v>
      </c>
      <c r="K158" s="726">
        <v>1</v>
      </c>
      <c r="L158" s="701">
        <v>4</v>
      </c>
      <c r="M158" s="702">
        <v>386.2</v>
      </c>
    </row>
    <row r="159" spans="1:13" ht="14.45" customHeight="1" x14ac:dyDescent="0.2">
      <c r="A159" s="696" t="s">
        <v>550</v>
      </c>
      <c r="B159" s="697" t="s">
        <v>1986</v>
      </c>
      <c r="C159" s="697" t="s">
        <v>1998</v>
      </c>
      <c r="D159" s="697" t="s">
        <v>1999</v>
      </c>
      <c r="E159" s="697" t="s">
        <v>1383</v>
      </c>
      <c r="F159" s="701"/>
      <c r="G159" s="701"/>
      <c r="H159" s="726">
        <v>0</v>
      </c>
      <c r="I159" s="701">
        <v>4</v>
      </c>
      <c r="J159" s="701">
        <v>386.2</v>
      </c>
      <c r="K159" s="726">
        <v>1</v>
      </c>
      <c r="L159" s="701">
        <v>4</v>
      </c>
      <c r="M159" s="702">
        <v>386.2</v>
      </c>
    </row>
    <row r="160" spans="1:13" ht="14.45" customHeight="1" x14ac:dyDescent="0.2">
      <c r="A160" s="696" t="s">
        <v>550</v>
      </c>
      <c r="B160" s="697" t="s">
        <v>1986</v>
      </c>
      <c r="C160" s="697" t="s">
        <v>2000</v>
      </c>
      <c r="D160" s="697" t="s">
        <v>1376</v>
      </c>
      <c r="E160" s="697" t="s">
        <v>1375</v>
      </c>
      <c r="F160" s="701"/>
      <c r="G160" s="701"/>
      <c r="H160" s="726">
        <v>0</v>
      </c>
      <c r="I160" s="701">
        <v>8</v>
      </c>
      <c r="J160" s="701">
        <v>1310.48</v>
      </c>
      <c r="K160" s="726">
        <v>1</v>
      </c>
      <c r="L160" s="701">
        <v>8</v>
      </c>
      <c r="M160" s="702">
        <v>1310.48</v>
      </c>
    </row>
    <row r="161" spans="1:13" ht="14.45" customHeight="1" x14ac:dyDescent="0.2">
      <c r="A161" s="696" t="s">
        <v>550</v>
      </c>
      <c r="B161" s="697" t="s">
        <v>1986</v>
      </c>
      <c r="C161" s="697" t="s">
        <v>2001</v>
      </c>
      <c r="D161" s="697" t="s">
        <v>1408</v>
      </c>
      <c r="E161" s="697" t="s">
        <v>1375</v>
      </c>
      <c r="F161" s="701"/>
      <c r="G161" s="701"/>
      <c r="H161" s="726">
        <v>0</v>
      </c>
      <c r="I161" s="701">
        <v>9</v>
      </c>
      <c r="J161" s="701">
        <v>1128.24</v>
      </c>
      <c r="K161" s="726">
        <v>1</v>
      </c>
      <c r="L161" s="701">
        <v>9</v>
      </c>
      <c r="M161" s="702">
        <v>1128.24</v>
      </c>
    </row>
    <row r="162" spans="1:13" ht="14.45" customHeight="1" x14ac:dyDescent="0.2">
      <c r="A162" s="696" t="s">
        <v>550</v>
      </c>
      <c r="B162" s="697" t="s">
        <v>1986</v>
      </c>
      <c r="C162" s="697" t="s">
        <v>2002</v>
      </c>
      <c r="D162" s="697" t="s">
        <v>1406</v>
      </c>
      <c r="E162" s="697" t="s">
        <v>1375</v>
      </c>
      <c r="F162" s="701"/>
      <c r="G162" s="701"/>
      <c r="H162" s="726">
        <v>0</v>
      </c>
      <c r="I162" s="701">
        <v>15</v>
      </c>
      <c r="J162" s="701">
        <v>1873.75</v>
      </c>
      <c r="K162" s="726">
        <v>1</v>
      </c>
      <c r="L162" s="701">
        <v>15</v>
      </c>
      <c r="M162" s="702">
        <v>1873.75</v>
      </c>
    </row>
    <row r="163" spans="1:13" ht="14.45" customHeight="1" x14ac:dyDescent="0.2">
      <c r="A163" s="696" t="s">
        <v>550</v>
      </c>
      <c r="B163" s="697" t="s">
        <v>1986</v>
      </c>
      <c r="C163" s="697" t="s">
        <v>2003</v>
      </c>
      <c r="D163" s="697" t="s">
        <v>1401</v>
      </c>
      <c r="E163" s="697" t="s">
        <v>1375</v>
      </c>
      <c r="F163" s="701">
        <v>8</v>
      </c>
      <c r="G163" s="701">
        <v>1131.3599999999999</v>
      </c>
      <c r="H163" s="726">
        <v>1</v>
      </c>
      <c r="I163" s="701"/>
      <c r="J163" s="701"/>
      <c r="K163" s="726">
        <v>0</v>
      </c>
      <c r="L163" s="701">
        <v>8</v>
      </c>
      <c r="M163" s="702">
        <v>1131.3599999999999</v>
      </c>
    </row>
    <row r="164" spans="1:13" ht="14.45" customHeight="1" x14ac:dyDescent="0.2">
      <c r="A164" s="696" t="s">
        <v>550</v>
      </c>
      <c r="B164" s="697" t="s">
        <v>1986</v>
      </c>
      <c r="C164" s="697" t="s">
        <v>2004</v>
      </c>
      <c r="D164" s="697" t="s">
        <v>1407</v>
      </c>
      <c r="E164" s="697" t="s">
        <v>1405</v>
      </c>
      <c r="F164" s="701"/>
      <c r="G164" s="701"/>
      <c r="H164" s="726">
        <v>0</v>
      </c>
      <c r="I164" s="701">
        <v>6</v>
      </c>
      <c r="J164" s="701">
        <v>188.10000000000008</v>
      </c>
      <c r="K164" s="726">
        <v>1</v>
      </c>
      <c r="L164" s="701">
        <v>6</v>
      </c>
      <c r="M164" s="702">
        <v>188.10000000000008</v>
      </c>
    </row>
    <row r="165" spans="1:13" ht="14.45" customHeight="1" thickBot="1" x14ac:dyDescent="0.25">
      <c r="A165" s="703" t="s">
        <v>550</v>
      </c>
      <c r="B165" s="704" t="s">
        <v>1986</v>
      </c>
      <c r="C165" s="704" t="s">
        <v>2005</v>
      </c>
      <c r="D165" s="704" t="s">
        <v>1404</v>
      </c>
      <c r="E165" s="704" t="s">
        <v>1405</v>
      </c>
      <c r="F165" s="708"/>
      <c r="G165" s="708"/>
      <c r="H165" s="716">
        <v>0</v>
      </c>
      <c r="I165" s="708">
        <v>6</v>
      </c>
      <c r="J165" s="708">
        <v>188.10000000000002</v>
      </c>
      <c r="K165" s="716">
        <v>1</v>
      </c>
      <c r="L165" s="708">
        <v>6</v>
      </c>
      <c r="M165" s="709">
        <v>188.10000000000002</v>
      </c>
    </row>
  </sheetData>
  <autoFilter ref="A5:M374" xr:uid="{00000000-0009-0000-0000-00000D000000}"/>
  <mergeCells count="4">
    <mergeCell ref="F4:H4"/>
    <mergeCell ref="I4:K4"/>
    <mergeCell ref="L4:M4"/>
    <mergeCell ref="A1:M1"/>
  </mergeCells>
  <conditionalFormatting sqref="H3 H6:H1048576">
    <cfRule type="cellIs" dxfId="43" priority="4" operator="greaterThan">
      <formula>0.1</formula>
    </cfRule>
  </conditionalFormatting>
  <hyperlinks>
    <hyperlink ref="A2" location="Obsah!A1" display="Zpět na Obsah  KL 01  1.-4.měsíc" xr:uid="{3B655C02-5840-4E36-B9F0-A9483B20919A}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List55">
    <tabColor theme="0" tint="-0.249977111117893"/>
    <pageSetUpPr fitToPage="1"/>
  </sheetPr>
  <dimension ref="A1:Q7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ColWidth="8.85546875" defaultRowHeight="14.45" customHeight="1" x14ac:dyDescent="0.2"/>
  <cols>
    <col min="1" max="1" width="50" style="381" customWidth="1"/>
    <col min="2" max="2" width="5.42578125" style="312" bestFit="1" customWidth="1"/>
    <col min="3" max="3" width="6.140625" style="312" bestFit="1" customWidth="1"/>
    <col min="4" max="4" width="7.42578125" style="312" bestFit="1" customWidth="1"/>
    <col min="5" max="5" width="6.28515625" style="312" bestFit="1" customWidth="1"/>
    <col min="6" max="6" width="6.28515625" style="315" bestFit="1" customWidth="1"/>
    <col min="7" max="7" width="6.140625" style="315" bestFit="1" customWidth="1"/>
    <col min="8" max="8" width="7.42578125" style="315" bestFit="1" customWidth="1"/>
    <col min="9" max="9" width="6.28515625" style="315" bestFit="1" customWidth="1"/>
    <col min="10" max="10" width="5.42578125" style="312" bestFit="1" customWidth="1"/>
    <col min="11" max="11" width="6.140625" style="312" bestFit="1" customWidth="1"/>
    <col min="12" max="12" width="7.42578125" style="312" bestFit="1" customWidth="1"/>
    <col min="13" max="13" width="6.28515625" style="312" bestFit="1" customWidth="1"/>
    <col min="14" max="14" width="5.28515625" style="315" bestFit="1" customWidth="1"/>
    <col min="15" max="15" width="6.140625" style="315" bestFit="1" customWidth="1"/>
    <col min="16" max="16" width="7.42578125" style="315" bestFit="1" customWidth="1"/>
    <col min="17" max="17" width="6.28515625" style="315" bestFit="1" customWidth="1"/>
    <col min="18" max="16384" width="8.85546875" style="233"/>
  </cols>
  <sheetData>
    <row r="1" spans="1:17" ht="18.600000000000001" customHeight="1" thickBot="1" x14ac:dyDescent="0.35">
      <c r="A1" s="535" t="s">
        <v>218</v>
      </c>
      <c r="B1" s="535"/>
      <c r="C1" s="535"/>
      <c r="D1" s="535"/>
      <c r="E1" s="535"/>
      <c r="F1" s="497"/>
      <c r="G1" s="497"/>
      <c r="H1" s="497"/>
      <c r="I1" s="497"/>
      <c r="J1" s="528"/>
      <c r="K1" s="528"/>
      <c r="L1" s="528"/>
      <c r="M1" s="528"/>
      <c r="N1" s="528"/>
      <c r="O1" s="528"/>
      <c r="P1" s="528"/>
      <c r="Q1" s="528"/>
    </row>
    <row r="2" spans="1:17" ht="14.45" customHeight="1" thickBot="1" x14ac:dyDescent="0.25">
      <c r="A2" s="350" t="s">
        <v>305</v>
      </c>
      <c r="B2" s="319"/>
      <c r="C2" s="319"/>
      <c r="D2" s="319"/>
      <c r="E2" s="319"/>
    </row>
    <row r="3" spans="1:17" ht="14.45" customHeight="1" thickBot="1" x14ac:dyDescent="0.25">
      <c r="A3" s="370" t="s">
        <v>3</v>
      </c>
      <c r="B3" s="374">
        <f>SUM(B6:B1048576)</f>
        <v>2566</v>
      </c>
      <c r="C3" s="375">
        <f>SUM(C6:C1048576)</f>
        <v>1205</v>
      </c>
      <c r="D3" s="375">
        <f>SUM(D6:D1048576)</f>
        <v>1633</v>
      </c>
      <c r="E3" s="376">
        <f>SUM(E6:E1048576)</f>
        <v>0</v>
      </c>
      <c r="F3" s="373">
        <f>IF(SUM($B3:$E3)=0,"",B3/SUM($B3:$E3))</f>
        <v>0.47483345669874166</v>
      </c>
      <c r="G3" s="371">
        <f t="shared" ref="G3:I3" si="0">IF(SUM($B3:$E3)=0,"",C3/SUM($B3:$E3))</f>
        <v>0.22298297557364916</v>
      </c>
      <c r="H3" s="371">
        <f t="shared" si="0"/>
        <v>0.30218356772760918</v>
      </c>
      <c r="I3" s="372">
        <f t="shared" si="0"/>
        <v>0</v>
      </c>
      <c r="J3" s="375">
        <f>SUM(J6:J1048576)</f>
        <v>160</v>
      </c>
      <c r="K3" s="375">
        <f>SUM(K6:K1048576)</f>
        <v>404</v>
      </c>
      <c r="L3" s="375">
        <f>SUM(L6:L1048576)</f>
        <v>1633</v>
      </c>
      <c r="M3" s="376">
        <f>SUM(M6:M1048576)</f>
        <v>0</v>
      </c>
      <c r="N3" s="373">
        <f>IF(SUM($J3:$M3)=0,"",J3/SUM($J3:$M3))</f>
        <v>7.2826581702321341E-2</v>
      </c>
      <c r="O3" s="371">
        <f t="shared" ref="O3:Q3" si="1">IF(SUM($J3:$M3)=0,"",K3/SUM($J3:$M3))</f>
        <v>0.18388711879836139</v>
      </c>
      <c r="P3" s="371">
        <f t="shared" si="1"/>
        <v>0.74328629949931724</v>
      </c>
      <c r="Q3" s="372">
        <f t="shared" si="1"/>
        <v>0</v>
      </c>
    </row>
    <row r="4" spans="1:17" ht="14.45" customHeight="1" thickBot="1" x14ac:dyDescent="0.25">
      <c r="A4" s="369"/>
      <c r="B4" s="548" t="s">
        <v>220</v>
      </c>
      <c r="C4" s="549"/>
      <c r="D4" s="549"/>
      <c r="E4" s="550"/>
      <c r="F4" s="545" t="s">
        <v>225</v>
      </c>
      <c r="G4" s="546"/>
      <c r="H4" s="546"/>
      <c r="I4" s="547"/>
      <c r="J4" s="548" t="s">
        <v>226</v>
      </c>
      <c r="K4" s="549"/>
      <c r="L4" s="549"/>
      <c r="M4" s="550"/>
      <c r="N4" s="545" t="s">
        <v>227</v>
      </c>
      <c r="O4" s="546"/>
      <c r="P4" s="546"/>
      <c r="Q4" s="547"/>
    </row>
    <row r="5" spans="1:17" ht="14.45" customHeight="1" thickBot="1" x14ac:dyDescent="0.25">
      <c r="A5" s="736" t="s">
        <v>219</v>
      </c>
      <c r="B5" s="737" t="s">
        <v>221</v>
      </c>
      <c r="C5" s="737" t="s">
        <v>222</v>
      </c>
      <c r="D5" s="737" t="s">
        <v>223</v>
      </c>
      <c r="E5" s="738" t="s">
        <v>224</v>
      </c>
      <c r="F5" s="739" t="s">
        <v>221</v>
      </c>
      <c r="G5" s="740" t="s">
        <v>222</v>
      </c>
      <c r="H5" s="740" t="s">
        <v>223</v>
      </c>
      <c r="I5" s="741" t="s">
        <v>224</v>
      </c>
      <c r="J5" s="737" t="s">
        <v>221</v>
      </c>
      <c r="K5" s="737" t="s">
        <v>222</v>
      </c>
      <c r="L5" s="737" t="s">
        <v>223</v>
      </c>
      <c r="M5" s="738" t="s">
        <v>224</v>
      </c>
      <c r="N5" s="739" t="s">
        <v>221</v>
      </c>
      <c r="O5" s="740" t="s">
        <v>222</v>
      </c>
      <c r="P5" s="740" t="s">
        <v>223</v>
      </c>
      <c r="Q5" s="741" t="s">
        <v>224</v>
      </c>
    </row>
    <row r="6" spans="1:17" ht="14.45" customHeight="1" x14ac:dyDescent="0.2">
      <c r="A6" s="744" t="s">
        <v>2007</v>
      </c>
      <c r="B6" s="748"/>
      <c r="C6" s="694"/>
      <c r="D6" s="694"/>
      <c r="E6" s="695"/>
      <c r="F6" s="746"/>
      <c r="G6" s="715"/>
      <c r="H6" s="715"/>
      <c r="I6" s="750"/>
      <c r="J6" s="748"/>
      <c r="K6" s="694"/>
      <c r="L6" s="694"/>
      <c r="M6" s="695"/>
      <c r="N6" s="746"/>
      <c r="O6" s="715"/>
      <c r="P6" s="715"/>
      <c r="Q6" s="742"/>
    </row>
    <row r="7" spans="1:17" ht="14.45" customHeight="1" thickBot="1" x14ac:dyDescent="0.25">
      <c r="A7" s="745" t="s">
        <v>1546</v>
      </c>
      <c r="B7" s="749">
        <v>2566</v>
      </c>
      <c r="C7" s="708">
        <v>1205</v>
      </c>
      <c r="D7" s="708">
        <v>1633</v>
      </c>
      <c r="E7" s="709"/>
      <c r="F7" s="747">
        <v>0.47483345669874166</v>
      </c>
      <c r="G7" s="716">
        <v>0.22298297557364916</v>
      </c>
      <c r="H7" s="716">
        <v>0.30218356772760918</v>
      </c>
      <c r="I7" s="751">
        <v>0</v>
      </c>
      <c r="J7" s="749">
        <v>160</v>
      </c>
      <c r="K7" s="708">
        <v>404</v>
      </c>
      <c r="L7" s="708">
        <v>1633</v>
      </c>
      <c r="M7" s="709"/>
      <c r="N7" s="747">
        <v>7.2826581702321341E-2</v>
      </c>
      <c r="O7" s="716">
        <v>0.18388711879836139</v>
      </c>
      <c r="P7" s="716">
        <v>0.74328629949931724</v>
      </c>
      <c r="Q7" s="743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42" priority="1" operator="greaterThan">
      <formula>0.3</formula>
    </cfRule>
  </conditionalFormatting>
  <hyperlinks>
    <hyperlink ref="A2" location="Obsah!A1" display="Zpět na Obsah  KL 01  1.-4.měsíc" xr:uid="{0B561398-C117-48C2-B14A-15611A3D4540}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List51">
    <tabColor theme="3" tint="0.39997558519241921"/>
    <pageSetUpPr fitToPage="1"/>
  </sheetPr>
  <dimension ref="A1:J42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313" customWidth="1"/>
    <col min="2" max="2" width="61.140625" style="313" customWidth="1"/>
    <col min="3" max="3" width="9.5703125" style="233" hidden="1" customWidth="1" outlineLevel="1"/>
    <col min="4" max="4" width="9.5703125" style="314" customWidth="1" collapsed="1"/>
    <col min="5" max="5" width="2.28515625" style="314" customWidth="1"/>
    <col min="6" max="6" width="9.5703125" style="315" customWidth="1"/>
    <col min="7" max="7" width="9.5703125" style="312" customWidth="1"/>
    <col min="8" max="9" width="9.5703125" style="233" customWidth="1"/>
    <col min="10" max="10" width="0" style="233" hidden="1" customWidth="1"/>
    <col min="11" max="16384" width="8.85546875" style="233"/>
  </cols>
  <sheetData>
    <row r="1" spans="1:10" ht="18.600000000000001" customHeight="1" thickBot="1" x14ac:dyDescent="0.35">
      <c r="A1" s="526" t="s">
        <v>161</v>
      </c>
      <c r="B1" s="527"/>
      <c r="C1" s="527"/>
      <c r="D1" s="527"/>
      <c r="E1" s="527"/>
      <c r="F1" s="527"/>
      <c r="G1" s="497"/>
      <c r="H1" s="528"/>
      <c r="I1" s="528"/>
    </row>
    <row r="2" spans="1:10" ht="14.45" customHeight="1" thickBot="1" x14ac:dyDescent="0.25">
      <c r="A2" s="350" t="s">
        <v>305</v>
      </c>
      <c r="B2" s="311"/>
      <c r="C2" s="311"/>
      <c r="D2" s="311"/>
      <c r="E2" s="311"/>
      <c r="F2" s="311"/>
    </row>
    <row r="3" spans="1:10" ht="14.45" customHeight="1" thickBot="1" x14ac:dyDescent="0.25">
      <c r="A3" s="350"/>
      <c r="B3" s="416"/>
      <c r="C3" s="356">
        <v>2019</v>
      </c>
      <c r="D3" s="357">
        <v>2020</v>
      </c>
      <c r="E3" s="11"/>
      <c r="F3" s="505">
        <v>2021</v>
      </c>
      <c r="G3" s="523"/>
      <c r="H3" s="523"/>
      <c r="I3" s="506"/>
    </row>
    <row r="4" spans="1:10" ht="14.45" customHeight="1" thickBot="1" x14ac:dyDescent="0.25">
      <c r="A4" s="361" t="s">
        <v>0</v>
      </c>
      <c r="B4" s="362" t="s">
        <v>216</v>
      </c>
      <c r="C4" s="524" t="s">
        <v>80</v>
      </c>
      <c r="D4" s="525"/>
      <c r="E4" s="363"/>
      <c r="F4" s="358" t="s">
        <v>80</v>
      </c>
      <c r="G4" s="359" t="s">
        <v>81</v>
      </c>
      <c r="H4" s="359" t="s">
        <v>55</v>
      </c>
      <c r="I4" s="360" t="s">
        <v>82</v>
      </c>
    </row>
    <row r="5" spans="1:10" ht="14.45" customHeight="1" x14ac:dyDescent="0.2">
      <c r="A5" s="676" t="s">
        <v>537</v>
      </c>
      <c r="B5" s="677" t="s">
        <v>538</v>
      </c>
      <c r="C5" s="678" t="s">
        <v>306</v>
      </c>
      <c r="D5" s="678" t="s">
        <v>306</v>
      </c>
      <c r="E5" s="678"/>
      <c r="F5" s="678" t="s">
        <v>306</v>
      </c>
      <c r="G5" s="678" t="s">
        <v>306</v>
      </c>
      <c r="H5" s="678" t="s">
        <v>306</v>
      </c>
      <c r="I5" s="679" t="s">
        <v>306</v>
      </c>
      <c r="J5" s="680" t="s">
        <v>60</v>
      </c>
    </row>
    <row r="6" spans="1:10" ht="14.45" customHeight="1" x14ac:dyDescent="0.2">
      <c r="A6" s="676" t="s">
        <v>537</v>
      </c>
      <c r="B6" s="677" t="s">
        <v>2008</v>
      </c>
      <c r="C6" s="678">
        <v>438.29447999999991</v>
      </c>
      <c r="D6" s="678">
        <v>461.82980000000003</v>
      </c>
      <c r="E6" s="678"/>
      <c r="F6" s="678">
        <v>494.57727000000006</v>
      </c>
      <c r="G6" s="678">
        <v>0</v>
      </c>
      <c r="H6" s="678">
        <v>494.57727000000006</v>
      </c>
      <c r="I6" s="679" t="s">
        <v>306</v>
      </c>
      <c r="J6" s="680" t="s">
        <v>1</v>
      </c>
    </row>
    <row r="7" spans="1:10" ht="14.45" customHeight="1" x14ac:dyDescent="0.2">
      <c r="A7" s="676" t="s">
        <v>537</v>
      </c>
      <c r="B7" s="677" t="s">
        <v>2009</v>
      </c>
      <c r="C7" s="678">
        <v>0</v>
      </c>
      <c r="D7" s="678">
        <v>0</v>
      </c>
      <c r="E7" s="678"/>
      <c r="F7" s="678">
        <v>21.3</v>
      </c>
      <c r="G7" s="678">
        <v>0</v>
      </c>
      <c r="H7" s="678">
        <v>21.3</v>
      </c>
      <c r="I7" s="679" t="s">
        <v>306</v>
      </c>
      <c r="J7" s="680" t="s">
        <v>1</v>
      </c>
    </row>
    <row r="8" spans="1:10" ht="14.45" customHeight="1" x14ac:dyDescent="0.2">
      <c r="A8" s="676" t="s">
        <v>537</v>
      </c>
      <c r="B8" s="677" t="s">
        <v>2010</v>
      </c>
      <c r="C8" s="678">
        <v>0</v>
      </c>
      <c r="D8" s="678">
        <v>3.6108000000000002</v>
      </c>
      <c r="E8" s="678"/>
      <c r="F8" s="678">
        <v>0</v>
      </c>
      <c r="G8" s="678">
        <v>0</v>
      </c>
      <c r="H8" s="678">
        <v>0</v>
      </c>
      <c r="I8" s="679" t="s">
        <v>306</v>
      </c>
      <c r="J8" s="680" t="s">
        <v>1</v>
      </c>
    </row>
    <row r="9" spans="1:10" ht="14.45" customHeight="1" x14ac:dyDescent="0.2">
      <c r="A9" s="676" t="s">
        <v>537</v>
      </c>
      <c r="B9" s="677" t="s">
        <v>2011</v>
      </c>
      <c r="C9" s="678">
        <v>0.46629000000000004</v>
      </c>
      <c r="D9" s="678">
        <v>0.45850000000000002</v>
      </c>
      <c r="E9" s="678"/>
      <c r="F9" s="678">
        <v>0.53237999999999996</v>
      </c>
      <c r="G9" s="678">
        <v>0</v>
      </c>
      <c r="H9" s="678">
        <v>0.53237999999999996</v>
      </c>
      <c r="I9" s="679" t="s">
        <v>306</v>
      </c>
      <c r="J9" s="680" t="s">
        <v>1</v>
      </c>
    </row>
    <row r="10" spans="1:10" ht="14.45" customHeight="1" x14ac:dyDescent="0.2">
      <c r="A10" s="676" t="s">
        <v>537</v>
      </c>
      <c r="B10" s="677" t="s">
        <v>2012</v>
      </c>
      <c r="C10" s="678">
        <v>438.14953000000014</v>
      </c>
      <c r="D10" s="678">
        <v>448.98808999999977</v>
      </c>
      <c r="E10" s="678"/>
      <c r="F10" s="678">
        <v>510.42034000000001</v>
      </c>
      <c r="G10" s="678">
        <v>0</v>
      </c>
      <c r="H10" s="678">
        <v>510.42034000000001</v>
      </c>
      <c r="I10" s="679" t="s">
        <v>306</v>
      </c>
      <c r="J10" s="680" t="s">
        <v>1</v>
      </c>
    </row>
    <row r="11" spans="1:10" ht="14.45" customHeight="1" x14ac:dyDescent="0.2">
      <c r="A11" s="676" t="s">
        <v>537</v>
      </c>
      <c r="B11" s="677" t="s">
        <v>2013</v>
      </c>
      <c r="C11" s="678">
        <v>2539.2655299999997</v>
      </c>
      <c r="D11" s="678">
        <v>2944.753439999999</v>
      </c>
      <c r="E11" s="678"/>
      <c r="F11" s="678">
        <v>3497.4887099999992</v>
      </c>
      <c r="G11" s="678">
        <v>0</v>
      </c>
      <c r="H11" s="678">
        <v>3497.4887099999992</v>
      </c>
      <c r="I11" s="679" t="s">
        <v>306</v>
      </c>
      <c r="J11" s="680" t="s">
        <v>1</v>
      </c>
    </row>
    <row r="12" spans="1:10" ht="14.45" customHeight="1" x14ac:dyDescent="0.2">
      <c r="A12" s="676" t="s">
        <v>537</v>
      </c>
      <c r="B12" s="677" t="s">
        <v>2014</v>
      </c>
      <c r="C12" s="678">
        <v>0</v>
      </c>
      <c r="D12" s="678">
        <v>0.73809999999999998</v>
      </c>
      <c r="E12" s="678"/>
      <c r="F12" s="678">
        <v>3.6906000000000003</v>
      </c>
      <c r="G12" s="678">
        <v>0</v>
      </c>
      <c r="H12" s="678">
        <v>3.6906000000000003</v>
      </c>
      <c r="I12" s="679" t="s">
        <v>306</v>
      </c>
      <c r="J12" s="680" t="s">
        <v>1</v>
      </c>
    </row>
    <row r="13" spans="1:10" ht="14.45" customHeight="1" x14ac:dyDescent="0.2">
      <c r="A13" s="676" t="s">
        <v>537</v>
      </c>
      <c r="B13" s="677" t="s">
        <v>2015</v>
      </c>
      <c r="C13" s="678">
        <v>315.27470999999997</v>
      </c>
      <c r="D13" s="678">
        <v>169.29608999999999</v>
      </c>
      <c r="E13" s="678"/>
      <c r="F13" s="678">
        <v>159.40114</v>
      </c>
      <c r="G13" s="678">
        <v>0</v>
      </c>
      <c r="H13" s="678">
        <v>159.40114</v>
      </c>
      <c r="I13" s="679" t="s">
        <v>306</v>
      </c>
      <c r="J13" s="680" t="s">
        <v>1</v>
      </c>
    </row>
    <row r="14" spans="1:10" ht="14.45" customHeight="1" x14ac:dyDescent="0.2">
      <c r="A14" s="676" t="s">
        <v>537</v>
      </c>
      <c r="B14" s="677" t="s">
        <v>2016</v>
      </c>
      <c r="C14" s="678">
        <v>27.160439999999994</v>
      </c>
      <c r="D14" s="678">
        <v>16.294809999999998</v>
      </c>
      <c r="E14" s="678"/>
      <c r="F14" s="678">
        <v>23.112069999999999</v>
      </c>
      <c r="G14" s="678">
        <v>0</v>
      </c>
      <c r="H14" s="678">
        <v>23.112069999999999</v>
      </c>
      <c r="I14" s="679" t="s">
        <v>306</v>
      </c>
      <c r="J14" s="680" t="s">
        <v>1</v>
      </c>
    </row>
    <row r="15" spans="1:10" ht="14.45" customHeight="1" x14ac:dyDescent="0.2">
      <c r="A15" s="676" t="s">
        <v>537</v>
      </c>
      <c r="B15" s="677" t="s">
        <v>2017</v>
      </c>
      <c r="C15" s="678">
        <v>25.732779999999998</v>
      </c>
      <c r="D15" s="678">
        <v>29.591840000000001</v>
      </c>
      <c r="E15" s="678"/>
      <c r="F15" s="678">
        <v>26.293299999999999</v>
      </c>
      <c r="G15" s="678">
        <v>0</v>
      </c>
      <c r="H15" s="678">
        <v>26.293299999999999</v>
      </c>
      <c r="I15" s="679" t="s">
        <v>306</v>
      </c>
      <c r="J15" s="680" t="s">
        <v>1</v>
      </c>
    </row>
    <row r="16" spans="1:10" ht="14.45" customHeight="1" x14ac:dyDescent="0.2">
      <c r="A16" s="676" t="s">
        <v>537</v>
      </c>
      <c r="B16" s="677" t="s">
        <v>2018</v>
      </c>
      <c r="C16" s="678">
        <v>197.76174</v>
      </c>
      <c r="D16" s="678">
        <v>248.8278</v>
      </c>
      <c r="E16" s="678"/>
      <c r="F16" s="678">
        <v>845.86365999999998</v>
      </c>
      <c r="G16" s="678">
        <v>0</v>
      </c>
      <c r="H16" s="678">
        <v>845.86365999999998</v>
      </c>
      <c r="I16" s="679" t="s">
        <v>306</v>
      </c>
      <c r="J16" s="680" t="s">
        <v>1</v>
      </c>
    </row>
    <row r="17" spans="1:10" ht="14.45" customHeight="1" x14ac:dyDescent="0.2">
      <c r="A17" s="676" t="s">
        <v>537</v>
      </c>
      <c r="B17" s="677" t="s">
        <v>2019</v>
      </c>
      <c r="C17" s="678">
        <v>147.37467000000001</v>
      </c>
      <c r="D17" s="678">
        <v>167.64607000000004</v>
      </c>
      <c r="E17" s="678"/>
      <c r="F17" s="678">
        <v>233.82275000000004</v>
      </c>
      <c r="G17" s="678">
        <v>0</v>
      </c>
      <c r="H17" s="678">
        <v>233.82275000000004</v>
      </c>
      <c r="I17" s="679" t="s">
        <v>306</v>
      </c>
      <c r="J17" s="680" t="s">
        <v>1</v>
      </c>
    </row>
    <row r="18" spans="1:10" ht="14.45" customHeight="1" x14ac:dyDescent="0.2">
      <c r="A18" s="676" t="s">
        <v>537</v>
      </c>
      <c r="B18" s="677" t="s">
        <v>2020</v>
      </c>
      <c r="C18" s="678">
        <v>242.33885000000001</v>
      </c>
      <c r="D18" s="678">
        <v>412.09086000000002</v>
      </c>
      <c r="E18" s="678"/>
      <c r="F18" s="678">
        <v>768.3641600000002</v>
      </c>
      <c r="G18" s="678">
        <v>0</v>
      </c>
      <c r="H18" s="678">
        <v>768.3641600000002</v>
      </c>
      <c r="I18" s="679" t="s">
        <v>306</v>
      </c>
      <c r="J18" s="680" t="s">
        <v>1</v>
      </c>
    </row>
    <row r="19" spans="1:10" ht="14.45" customHeight="1" x14ac:dyDescent="0.2">
      <c r="A19" s="676" t="s">
        <v>537</v>
      </c>
      <c r="B19" s="677" t="s">
        <v>2021</v>
      </c>
      <c r="C19" s="678">
        <v>0</v>
      </c>
      <c r="D19" s="678">
        <v>3.3562799999999999</v>
      </c>
      <c r="E19" s="678"/>
      <c r="F19" s="678">
        <v>7.0176600000000002</v>
      </c>
      <c r="G19" s="678">
        <v>0</v>
      </c>
      <c r="H19" s="678">
        <v>7.0176600000000002</v>
      </c>
      <c r="I19" s="679" t="s">
        <v>306</v>
      </c>
      <c r="J19" s="680" t="s">
        <v>1</v>
      </c>
    </row>
    <row r="20" spans="1:10" ht="14.45" customHeight="1" x14ac:dyDescent="0.2">
      <c r="A20" s="676" t="s">
        <v>537</v>
      </c>
      <c r="B20" s="677" t="s">
        <v>2022</v>
      </c>
      <c r="C20" s="678">
        <v>0</v>
      </c>
      <c r="D20" s="678">
        <v>0</v>
      </c>
      <c r="E20" s="678"/>
      <c r="F20" s="678">
        <v>2.17</v>
      </c>
      <c r="G20" s="678">
        <v>0</v>
      </c>
      <c r="H20" s="678">
        <v>2.17</v>
      </c>
      <c r="I20" s="679" t="s">
        <v>306</v>
      </c>
      <c r="J20" s="680" t="s">
        <v>1</v>
      </c>
    </row>
    <row r="21" spans="1:10" ht="14.45" customHeight="1" x14ac:dyDescent="0.2">
      <c r="A21" s="676" t="s">
        <v>537</v>
      </c>
      <c r="B21" s="677" t="s">
        <v>548</v>
      </c>
      <c r="C21" s="678">
        <v>4371.8190199999999</v>
      </c>
      <c r="D21" s="678">
        <v>4907.4824799999988</v>
      </c>
      <c r="E21" s="678"/>
      <c r="F21" s="678">
        <v>6594.0540400000009</v>
      </c>
      <c r="G21" s="678">
        <v>0</v>
      </c>
      <c r="H21" s="678">
        <v>6594.0540400000009</v>
      </c>
      <c r="I21" s="679" t="s">
        <v>306</v>
      </c>
      <c r="J21" s="680" t="s">
        <v>549</v>
      </c>
    </row>
    <row r="23" spans="1:10" ht="14.45" customHeight="1" x14ac:dyDescent="0.2">
      <c r="A23" s="676" t="s">
        <v>537</v>
      </c>
      <c r="B23" s="677" t="s">
        <v>538</v>
      </c>
      <c r="C23" s="678" t="s">
        <v>306</v>
      </c>
      <c r="D23" s="678" t="s">
        <v>306</v>
      </c>
      <c r="E23" s="678"/>
      <c r="F23" s="678" t="s">
        <v>306</v>
      </c>
      <c r="G23" s="678" t="s">
        <v>306</v>
      </c>
      <c r="H23" s="678" t="s">
        <v>306</v>
      </c>
      <c r="I23" s="679" t="s">
        <v>306</v>
      </c>
      <c r="J23" s="680" t="s">
        <v>60</v>
      </c>
    </row>
    <row r="24" spans="1:10" ht="14.45" customHeight="1" x14ac:dyDescent="0.2">
      <c r="A24" s="676" t="s">
        <v>550</v>
      </c>
      <c r="B24" s="677" t="s">
        <v>551</v>
      </c>
      <c r="C24" s="678" t="s">
        <v>306</v>
      </c>
      <c r="D24" s="678" t="s">
        <v>306</v>
      </c>
      <c r="E24" s="678"/>
      <c r="F24" s="678" t="s">
        <v>306</v>
      </c>
      <c r="G24" s="678" t="s">
        <v>306</v>
      </c>
      <c r="H24" s="678" t="s">
        <v>306</v>
      </c>
      <c r="I24" s="679" t="s">
        <v>306</v>
      </c>
      <c r="J24" s="680" t="s">
        <v>0</v>
      </c>
    </row>
    <row r="25" spans="1:10" ht="14.45" customHeight="1" x14ac:dyDescent="0.2">
      <c r="A25" s="676" t="s">
        <v>550</v>
      </c>
      <c r="B25" s="677" t="s">
        <v>2008</v>
      </c>
      <c r="C25" s="678">
        <v>438.29447999999991</v>
      </c>
      <c r="D25" s="678">
        <v>461.82980000000003</v>
      </c>
      <c r="E25" s="678"/>
      <c r="F25" s="678">
        <v>494.57727000000006</v>
      </c>
      <c r="G25" s="678">
        <v>0</v>
      </c>
      <c r="H25" s="678">
        <v>494.57727000000006</v>
      </c>
      <c r="I25" s="679" t="s">
        <v>306</v>
      </c>
      <c r="J25" s="680" t="s">
        <v>1</v>
      </c>
    </row>
    <row r="26" spans="1:10" ht="14.45" customHeight="1" x14ac:dyDescent="0.2">
      <c r="A26" s="676" t="s">
        <v>550</v>
      </c>
      <c r="B26" s="677" t="s">
        <v>2009</v>
      </c>
      <c r="C26" s="678">
        <v>0</v>
      </c>
      <c r="D26" s="678">
        <v>0</v>
      </c>
      <c r="E26" s="678"/>
      <c r="F26" s="678">
        <v>21.3</v>
      </c>
      <c r="G26" s="678">
        <v>0</v>
      </c>
      <c r="H26" s="678">
        <v>21.3</v>
      </c>
      <c r="I26" s="679" t="s">
        <v>306</v>
      </c>
      <c r="J26" s="680" t="s">
        <v>1</v>
      </c>
    </row>
    <row r="27" spans="1:10" ht="14.45" customHeight="1" x14ac:dyDescent="0.2">
      <c r="A27" s="676" t="s">
        <v>550</v>
      </c>
      <c r="B27" s="677" t="s">
        <v>2010</v>
      </c>
      <c r="C27" s="678">
        <v>0</v>
      </c>
      <c r="D27" s="678">
        <v>3.6108000000000002</v>
      </c>
      <c r="E27" s="678"/>
      <c r="F27" s="678">
        <v>0</v>
      </c>
      <c r="G27" s="678">
        <v>0</v>
      </c>
      <c r="H27" s="678">
        <v>0</v>
      </c>
      <c r="I27" s="679" t="s">
        <v>306</v>
      </c>
      <c r="J27" s="680" t="s">
        <v>1</v>
      </c>
    </row>
    <row r="28" spans="1:10" ht="14.45" customHeight="1" x14ac:dyDescent="0.2">
      <c r="A28" s="676" t="s">
        <v>550</v>
      </c>
      <c r="B28" s="677" t="s">
        <v>2011</v>
      </c>
      <c r="C28" s="678">
        <v>0.46629000000000004</v>
      </c>
      <c r="D28" s="678">
        <v>0.45850000000000002</v>
      </c>
      <c r="E28" s="678"/>
      <c r="F28" s="678">
        <v>0.53237999999999996</v>
      </c>
      <c r="G28" s="678">
        <v>0</v>
      </c>
      <c r="H28" s="678">
        <v>0.53237999999999996</v>
      </c>
      <c r="I28" s="679" t="s">
        <v>306</v>
      </c>
      <c r="J28" s="680" t="s">
        <v>1</v>
      </c>
    </row>
    <row r="29" spans="1:10" ht="14.45" customHeight="1" x14ac:dyDescent="0.2">
      <c r="A29" s="676" t="s">
        <v>550</v>
      </c>
      <c r="B29" s="677" t="s">
        <v>2012</v>
      </c>
      <c r="C29" s="678">
        <v>438.14953000000014</v>
      </c>
      <c r="D29" s="678">
        <v>448.98808999999977</v>
      </c>
      <c r="E29" s="678"/>
      <c r="F29" s="678">
        <v>510.42034000000001</v>
      </c>
      <c r="G29" s="678">
        <v>0</v>
      </c>
      <c r="H29" s="678">
        <v>510.42034000000001</v>
      </c>
      <c r="I29" s="679" t="s">
        <v>306</v>
      </c>
      <c r="J29" s="680" t="s">
        <v>1</v>
      </c>
    </row>
    <row r="30" spans="1:10" ht="14.45" customHeight="1" x14ac:dyDescent="0.2">
      <c r="A30" s="676" t="s">
        <v>550</v>
      </c>
      <c r="B30" s="677" t="s">
        <v>2013</v>
      </c>
      <c r="C30" s="678">
        <v>2539.2655299999997</v>
      </c>
      <c r="D30" s="678">
        <v>2944.753439999999</v>
      </c>
      <c r="E30" s="678"/>
      <c r="F30" s="678">
        <v>3497.4887099999992</v>
      </c>
      <c r="G30" s="678">
        <v>0</v>
      </c>
      <c r="H30" s="678">
        <v>3497.4887099999992</v>
      </c>
      <c r="I30" s="679" t="s">
        <v>306</v>
      </c>
      <c r="J30" s="680" t="s">
        <v>1</v>
      </c>
    </row>
    <row r="31" spans="1:10" ht="14.45" customHeight="1" x14ac:dyDescent="0.2">
      <c r="A31" s="676" t="s">
        <v>550</v>
      </c>
      <c r="B31" s="677" t="s">
        <v>2014</v>
      </c>
      <c r="C31" s="678">
        <v>0</v>
      </c>
      <c r="D31" s="678">
        <v>0.73809999999999998</v>
      </c>
      <c r="E31" s="678"/>
      <c r="F31" s="678">
        <v>3.6906000000000003</v>
      </c>
      <c r="G31" s="678">
        <v>0</v>
      </c>
      <c r="H31" s="678">
        <v>3.6906000000000003</v>
      </c>
      <c r="I31" s="679" t="s">
        <v>306</v>
      </c>
      <c r="J31" s="680" t="s">
        <v>1</v>
      </c>
    </row>
    <row r="32" spans="1:10" ht="14.45" customHeight="1" x14ac:dyDescent="0.2">
      <c r="A32" s="676" t="s">
        <v>550</v>
      </c>
      <c r="B32" s="677" t="s">
        <v>2015</v>
      </c>
      <c r="C32" s="678">
        <v>315.27470999999997</v>
      </c>
      <c r="D32" s="678">
        <v>169.29608999999999</v>
      </c>
      <c r="E32" s="678"/>
      <c r="F32" s="678">
        <v>159.40114</v>
      </c>
      <c r="G32" s="678">
        <v>0</v>
      </c>
      <c r="H32" s="678">
        <v>159.40114</v>
      </c>
      <c r="I32" s="679" t="s">
        <v>306</v>
      </c>
      <c r="J32" s="680" t="s">
        <v>1</v>
      </c>
    </row>
    <row r="33" spans="1:10" ht="14.45" customHeight="1" x14ac:dyDescent="0.2">
      <c r="A33" s="676" t="s">
        <v>550</v>
      </c>
      <c r="B33" s="677" t="s">
        <v>2016</v>
      </c>
      <c r="C33" s="678">
        <v>27.160439999999994</v>
      </c>
      <c r="D33" s="678">
        <v>16.294809999999998</v>
      </c>
      <c r="E33" s="678"/>
      <c r="F33" s="678">
        <v>23.112069999999999</v>
      </c>
      <c r="G33" s="678">
        <v>0</v>
      </c>
      <c r="H33" s="678">
        <v>23.112069999999999</v>
      </c>
      <c r="I33" s="679" t="s">
        <v>306</v>
      </c>
      <c r="J33" s="680" t="s">
        <v>1</v>
      </c>
    </row>
    <row r="34" spans="1:10" ht="14.45" customHeight="1" x14ac:dyDescent="0.2">
      <c r="A34" s="676" t="s">
        <v>550</v>
      </c>
      <c r="B34" s="677" t="s">
        <v>2017</v>
      </c>
      <c r="C34" s="678">
        <v>25.732779999999998</v>
      </c>
      <c r="D34" s="678">
        <v>29.591840000000001</v>
      </c>
      <c r="E34" s="678"/>
      <c r="F34" s="678">
        <v>26.293299999999999</v>
      </c>
      <c r="G34" s="678">
        <v>0</v>
      </c>
      <c r="H34" s="678">
        <v>26.293299999999999</v>
      </c>
      <c r="I34" s="679" t="s">
        <v>306</v>
      </c>
      <c r="J34" s="680" t="s">
        <v>1</v>
      </c>
    </row>
    <row r="35" spans="1:10" ht="14.45" customHeight="1" x14ac:dyDescent="0.2">
      <c r="A35" s="676" t="s">
        <v>550</v>
      </c>
      <c r="B35" s="677" t="s">
        <v>2018</v>
      </c>
      <c r="C35" s="678">
        <v>197.76174</v>
      </c>
      <c r="D35" s="678">
        <v>248.8278</v>
      </c>
      <c r="E35" s="678"/>
      <c r="F35" s="678">
        <v>845.86365999999998</v>
      </c>
      <c r="G35" s="678">
        <v>0</v>
      </c>
      <c r="H35" s="678">
        <v>845.86365999999998</v>
      </c>
      <c r="I35" s="679" t="s">
        <v>306</v>
      </c>
      <c r="J35" s="680" t="s">
        <v>1</v>
      </c>
    </row>
    <row r="36" spans="1:10" ht="14.45" customHeight="1" x14ac:dyDescent="0.2">
      <c r="A36" s="676" t="s">
        <v>550</v>
      </c>
      <c r="B36" s="677" t="s">
        <v>2019</v>
      </c>
      <c r="C36" s="678">
        <v>147.37467000000001</v>
      </c>
      <c r="D36" s="678">
        <v>167.64607000000004</v>
      </c>
      <c r="E36" s="678"/>
      <c r="F36" s="678">
        <v>233.82275000000004</v>
      </c>
      <c r="G36" s="678">
        <v>0</v>
      </c>
      <c r="H36" s="678">
        <v>233.82275000000004</v>
      </c>
      <c r="I36" s="679" t="s">
        <v>306</v>
      </c>
      <c r="J36" s="680" t="s">
        <v>1</v>
      </c>
    </row>
    <row r="37" spans="1:10" ht="14.45" customHeight="1" x14ac:dyDescent="0.2">
      <c r="A37" s="676" t="s">
        <v>550</v>
      </c>
      <c r="B37" s="677" t="s">
        <v>2020</v>
      </c>
      <c r="C37" s="678">
        <v>242.33885000000001</v>
      </c>
      <c r="D37" s="678">
        <v>412.09086000000002</v>
      </c>
      <c r="E37" s="678"/>
      <c r="F37" s="678">
        <v>768.3641600000002</v>
      </c>
      <c r="G37" s="678">
        <v>0</v>
      </c>
      <c r="H37" s="678">
        <v>768.3641600000002</v>
      </c>
      <c r="I37" s="679" t="s">
        <v>306</v>
      </c>
      <c r="J37" s="680" t="s">
        <v>1</v>
      </c>
    </row>
    <row r="38" spans="1:10" ht="14.45" customHeight="1" x14ac:dyDescent="0.2">
      <c r="A38" s="676" t="s">
        <v>550</v>
      </c>
      <c r="B38" s="677" t="s">
        <v>2021</v>
      </c>
      <c r="C38" s="678">
        <v>0</v>
      </c>
      <c r="D38" s="678">
        <v>3.3562799999999999</v>
      </c>
      <c r="E38" s="678"/>
      <c r="F38" s="678">
        <v>7.0176600000000002</v>
      </c>
      <c r="G38" s="678">
        <v>0</v>
      </c>
      <c r="H38" s="678">
        <v>7.0176600000000002</v>
      </c>
      <c r="I38" s="679" t="s">
        <v>306</v>
      </c>
      <c r="J38" s="680" t="s">
        <v>1</v>
      </c>
    </row>
    <row r="39" spans="1:10" ht="14.45" customHeight="1" x14ac:dyDescent="0.2">
      <c r="A39" s="676" t="s">
        <v>550</v>
      </c>
      <c r="B39" s="677" t="s">
        <v>2022</v>
      </c>
      <c r="C39" s="678">
        <v>0</v>
      </c>
      <c r="D39" s="678">
        <v>0</v>
      </c>
      <c r="E39" s="678"/>
      <c r="F39" s="678">
        <v>2.17</v>
      </c>
      <c r="G39" s="678">
        <v>0</v>
      </c>
      <c r="H39" s="678">
        <v>2.17</v>
      </c>
      <c r="I39" s="679" t="s">
        <v>306</v>
      </c>
      <c r="J39" s="680" t="s">
        <v>1</v>
      </c>
    </row>
    <row r="40" spans="1:10" ht="14.45" customHeight="1" x14ac:dyDescent="0.2">
      <c r="A40" s="676" t="s">
        <v>550</v>
      </c>
      <c r="B40" s="677" t="s">
        <v>552</v>
      </c>
      <c r="C40" s="678">
        <v>4371.8190199999999</v>
      </c>
      <c r="D40" s="678">
        <v>4907.4824799999988</v>
      </c>
      <c r="E40" s="678"/>
      <c r="F40" s="678">
        <v>6594.0540400000009</v>
      </c>
      <c r="G40" s="678">
        <v>0</v>
      </c>
      <c r="H40" s="678">
        <v>6594.0540400000009</v>
      </c>
      <c r="I40" s="679" t="s">
        <v>306</v>
      </c>
      <c r="J40" s="680" t="s">
        <v>553</v>
      </c>
    </row>
    <row r="41" spans="1:10" ht="14.45" customHeight="1" x14ac:dyDescent="0.2">
      <c r="A41" s="676" t="s">
        <v>306</v>
      </c>
      <c r="B41" s="677" t="s">
        <v>306</v>
      </c>
      <c r="C41" s="678" t="s">
        <v>306</v>
      </c>
      <c r="D41" s="678" t="s">
        <v>306</v>
      </c>
      <c r="E41" s="678"/>
      <c r="F41" s="678" t="s">
        <v>306</v>
      </c>
      <c r="G41" s="678" t="s">
        <v>306</v>
      </c>
      <c r="H41" s="678" t="s">
        <v>306</v>
      </c>
      <c r="I41" s="679" t="s">
        <v>306</v>
      </c>
      <c r="J41" s="680" t="s">
        <v>554</v>
      </c>
    </row>
    <row r="42" spans="1:10" ht="14.45" customHeight="1" x14ac:dyDescent="0.2">
      <c r="A42" s="676" t="s">
        <v>537</v>
      </c>
      <c r="B42" s="677" t="s">
        <v>548</v>
      </c>
      <c r="C42" s="678">
        <v>4371.8190199999999</v>
      </c>
      <c r="D42" s="678">
        <v>4907.4824799999988</v>
      </c>
      <c r="E42" s="678"/>
      <c r="F42" s="678">
        <v>6594.0540400000009</v>
      </c>
      <c r="G42" s="678">
        <v>0</v>
      </c>
      <c r="H42" s="678">
        <v>6594.0540400000009</v>
      </c>
      <c r="I42" s="679" t="s">
        <v>306</v>
      </c>
      <c r="J42" s="680" t="s">
        <v>549</v>
      </c>
    </row>
  </sheetData>
  <mergeCells count="3">
    <mergeCell ref="A1:I1"/>
    <mergeCell ref="F3:I3"/>
    <mergeCell ref="C4:D4"/>
  </mergeCells>
  <conditionalFormatting sqref="F22 F43:F65537">
    <cfRule type="cellIs" dxfId="41" priority="18" stopIfTrue="1" operator="greaterThan">
      <formula>1</formula>
    </cfRule>
  </conditionalFormatting>
  <conditionalFormatting sqref="H5:H21">
    <cfRule type="expression" dxfId="40" priority="14">
      <formula>$H5&gt;0</formula>
    </cfRule>
  </conditionalFormatting>
  <conditionalFormatting sqref="I5:I21">
    <cfRule type="expression" dxfId="39" priority="15">
      <formula>$I5&gt;1</formula>
    </cfRule>
  </conditionalFormatting>
  <conditionalFormatting sqref="B5:B21">
    <cfRule type="expression" dxfId="38" priority="11">
      <formula>OR($J5="NS",$J5="SumaNS",$J5="Účet")</formula>
    </cfRule>
  </conditionalFormatting>
  <conditionalFormatting sqref="F5:I21 B5:D21">
    <cfRule type="expression" dxfId="37" priority="17">
      <formula>AND($J5&lt;&gt;"",$J5&lt;&gt;"mezeraKL")</formula>
    </cfRule>
  </conditionalFormatting>
  <conditionalFormatting sqref="B5:D21 F5:I21">
    <cfRule type="expression" dxfId="36" priority="12">
      <formula>OR($J5="KL",$J5="SumaKL")</formula>
    </cfRule>
    <cfRule type="expression" priority="16" stopIfTrue="1">
      <formula>OR($J5="mezeraNS",$J5="mezeraKL")</formula>
    </cfRule>
  </conditionalFormatting>
  <conditionalFormatting sqref="B5:D21 F5:I21">
    <cfRule type="expression" dxfId="35" priority="13">
      <formula>OR($J5="SumaNS",$J5="NS")</formula>
    </cfRule>
  </conditionalFormatting>
  <conditionalFormatting sqref="A5:A21">
    <cfRule type="expression" dxfId="34" priority="9">
      <formula>AND($J5&lt;&gt;"mezeraKL",$J5&lt;&gt;"")</formula>
    </cfRule>
  </conditionalFormatting>
  <conditionalFormatting sqref="A5:A21">
    <cfRule type="expression" dxfId="33" priority="10">
      <formula>AND($J5&lt;&gt;"",$J5&lt;&gt;"mezeraKL")</formula>
    </cfRule>
  </conditionalFormatting>
  <conditionalFormatting sqref="H23:H42">
    <cfRule type="expression" dxfId="32" priority="6">
      <formula>$H23&gt;0</formula>
    </cfRule>
  </conditionalFormatting>
  <conditionalFormatting sqref="A23:A42">
    <cfRule type="expression" dxfId="31" priority="5">
      <formula>AND($J23&lt;&gt;"mezeraKL",$J23&lt;&gt;"")</formula>
    </cfRule>
  </conditionalFormatting>
  <conditionalFormatting sqref="I23:I42">
    <cfRule type="expression" dxfId="30" priority="7">
      <formula>$I23&gt;1</formula>
    </cfRule>
  </conditionalFormatting>
  <conditionalFormatting sqref="B23:B42">
    <cfRule type="expression" dxfId="29" priority="4">
      <formula>OR($J23="NS",$J23="SumaNS",$J23="Účet")</formula>
    </cfRule>
  </conditionalFormatting>
  <conditionalFormatting sqref="A23:D42 F23:I42">
    <cfRule type="expression" dxfId="28" priority="8">
      <formula>AND($J23&lt;&gt;"",$J23&lt;&gt;"mezeraKL")</formula>
    </cfRule>
  </conditionalFormatting>
  <conditionalFormatting sqref="B23:D42 F23:I42">
    <cfRule type="expression" dxfId="27" priority="1">
      <formula>OR($J23="KL",$J23="SumaKL")</formula>
    </cfRule>
    <cfRule type="expression" priority="3" stopIfTrue="1">
      <formula>OR($J23="mezeraNS",$J23="mezeraKL")</formula>
    </cfRule>
  </conditionalFormatting>
  <conditionalFormatting sqref="B23:D42 F23:I42">
    <cfRule type="expression" dxfId="26" priority="2">
      <formula>OR($J23="SumaNS",$J23="NS")</formula>
    </cfRule>
  </conditionalFormatting>
  <hyperlinks>
    <hyperlink ref="A2" location="Obsah!A1" display="Zpět na Obsah  KL 01  1.-4.měsíc" xr:uid="{8EE14A5F-62AB-4958-B70D-54D37F8DB41A}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List141">
    <tabColor theme="0" tint="-0.249977111117893"/>
    <pageSetUpPr fitToPage="1"/>
  </sheetPr>
  <dimension ref="A1:K419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ColWidth="8.85546875" defaultRowHeight="14.45" customHeight="1" outlineLevelCol="1" x14ac:dyDescent="0.2"/>
  <cols>
    <col min="1" max="1" width="6.7109375" style="233" hidden="1" customWidth="1" outlineLevel="1"/>
    <col min="2" max="2" width="28.28515625" style="233" hidden="1" customWidth="1" outlineLevel="1"/>
    <col min="3" max="3" width="5.28515625" style="314" bestFit="1" customWidth="1" collapsed="1"/>
    <col min="4" max="4" width="18.7109375" style="318" customWidth="1"/>
    <col min="5" max="5" width="9" style="314" bestFit="1" customWidth="1"/>
    <col min="6" max="6" width="18.7109375" style="318" customWidth="1"/>
    <col min="7" max="7" width="12.42578125" style="314" hidden="1" customWidth="1" outlineLevel="1"/>
    <col min="8" max="8" width="25.7109375" style="314" customWidth="1" collapsed="1"/>
    <col min="9" max="9" width="7.7109375" style="312" customWidth="1"/>
    <col min="10" max="10" width="10" style="312" customWidth="1"/>
    <col min="11" max="11" width="11.140625" style="312" customWidth="1"/>
    <col min="12" max="16384" width="8.85546875" style="233"/>
  </cols>
  <sheetData>
    <row r="1" spans="1:11" ht="18.600000000000001" customHeight="1" thickBot="1" x14ac:dyDescent="0.35">
      <c r="A1" s="533" t="s">
        <v>2856</v>
      </c>
      <c r="B1" s="497"/>
      <c r="C1" s="497"/>
      <c r="D1" s="497"/>
      <c r="E1" s="497"/>
      <c r="F1" s="497"/>
      <c r="G1" s="497"/>
      <c r="H1" s="497"/>
      <c r="I1" s="497"/>
      <c r="J1" s="497"/>
      <c r="K1" s="497"/>
    </row>
    <row r="2" spans="1:11" ht="14.45" customHeight="1" thickBot="1" x14ac:dyDescent="0.25">
      <c r="A2" s="350" t="s">
        <v>305</v>
      </c>
      <c r="B2" s="66"/>
      <c r="C2" s="316"/>
      <c r="D2" s="316"/>
      <c r="E2" s="316"/>
      <c r="F2" s="316"/>
      <c r="G2" s="316"/>
      <c r="H2" s="316"/>
      <c r="I2" s="317"/>
      <c r="J2" s="317"/>
      <c r="K2" s="317"/>
    </row>
    <row r="3" spans="1:11" ht="14.45" customHeight="1" thickBot="1" x14ac:dyDescent="0.25">
      <c r="A3" s="66"/>
      <c r="B3" s="66"/>
      <c r="C3" s="529"/>
      <c r="D3" s="530"/>
      <c r="E3" s="530"/>
      <c r="F3" s="530"/>
      <c r="G3" s="530"/>
      <c r="H3" s="246" t="s">
        <v>143</v>
      </c>
      <c r="I3" s="189">
        <f>IF(J3&lt;&gt;0,K3/J3,0)</f>
        <v>8.7247547629250803</v>
      </c>
      <c r="J3" s="189">
        <f>SUBTOTAL(9,J5:J1048576)</f>
        <v>755786.75</v>
      </c>
      <c r="K3" s="190">
        <f>SUBTOTAL(9,K5:K1048576)</f>
        <v>6594054.046818167</v>
      </c>
    </row>
    <row r="4" spans="1:11" s="313" customFormat="1" ht="14.45" customHeight="1" thickBot="1" x14ac:dyDescent="0.25">
      <c r="A4" s="681" t="s">
        <v>4</v>
      </c>
      <c r="B4" s="682" t="s">
        <v>5</v>
      </c>
      <c r="C4" s="682" t="s">
        <v>0</v>
      </c>
      <c r="D4" s="682" t="s">
        <v>6</v>
      </c>
      <c r="E4" s="682" t="s">
        <v>7</v>
      </c>
      <c r="F4" s="682" t="s">
        <v>1</v>
      </c>
      <c r="G4" s="682" t="s">
        <v>76</v>
      </c>
      <c r="H4" s="684" t="s">
        <v>11</v>
      </c>
      <c r="I4" s="685" t="s">
        <v>167</v>
      </c>
      <c r="J4" s="685" t="s">
        <v>13</v>
      </c>
      <c r="K4" s="686" t="s">
        <v>178</v>
      </c>
    </row>
    <row r="5" spans="1:11" ht="14.45" customHeight="1" x14ac:dyDescent="0.2">
      <c r="A5" s="689" t="s">
        <v>537</v>
      </c>
      <c r="B5" s="690" t="s">
        <v>538</v>
      </c>
      <c r="C5" s="691" t="s">
        <v>550</v>
      </c>
      <c r="D5" s="692" t="s">
        <v>551</v>
      </c>
      <c r="E5" s="691" t="s">
        <v>2023</v>
      </c>
      <c r="F5" s="692" t="s">
        <v>2024</v>
      </c>
      <c r="G5" s="691" t="s">
        <v>2025</v>
      </c>
      <c r="H5" s="691" t="s">
        <v>2026</v>
      </c>
      <c r="I5" s="694">
        <v>2210.719970703125</v>
      </c>
      <c r="J5" s="694">
        <v>1</v>
      </c>
      <c r="K5" s="695">
        <v>2210.719970703125</v>
      </c>
    </row>
    <row r="6" spans="1:11" ht="14.45" customHeight="1" x14ac:dyDescent="0.2">
      <c r="A6" s="696" t="s">
        <v>537</v>
      </c>
      <c r="B6" s="697" t="s">
        <v>538</v>
      </c>
      <c r="C6" s="698" t="s">
        <v>550</v>
      </c>
      <c r="D6" s="699" t="s">
        <v>551</v>
      </c>
      <c r="E6" s="698" t="s">
        <v>2023</v>
      </c>
      <c r="F6" s="699" t="s">
        <v>2024</v>
      </c>
      <c r="G6" s="698" t="s">
        <v>2027</v>
      </c>
      <c r="H6" s="698" t="s">
        <v>2028</v>
      </c>
      <c r="I6" s="701">
        <v>5445</v>
      </c>
      <c r="J6" s="701">
        <v>4</v>
      </c>
      <c r="K6" s="702">
        <v>21780</v>
      </c>
    </row>
    <row r="7" spans="1:11" ht="14.45" customHeight="1" x14ac:dyDescent="0.2">
      <c r="A7" s="696" t="s">
        <v>537</v>
      </c>
      <c r="B7" s="697" t="s">
        <v>538</v>
      </c>
      <c r="C7" s="698" t="s">
        <v>550</v>
      </c>
      <c r="D7" s="699" t="s">
        <v>551</v>
      </c>
      <c r="E7" s="698" t="s">
        <v>2023</v>
      </c>
      <c r="F7" s="699" t="s">
        <v>2024</v>
      </c>
      <c r="G7" s="698" t="s">
        <v>2029</v>
      </c>
      <c r="H7" s="698" t="s">
        <v>2030</v>
      </c>
      <c r="I7" s="701">
        <v>5445</v>
      </c>
      <c r="J7" s="701">
        <v>4</v>
      </c>
      <c r="K7" s="702">
        <v>21780</v>
      </c>
    </row>
    <row r="8" spans="1:11" ht="14.45" customHeight="1" x14ac:dyDescent="0.2">
      <c r="A8" s="696" t="s">
        <v>537</v>
      </c>
      <c r="B8" s="697" t="s">
        <v>538</v>
      </c>
      <c r="C8" s="698" t="s">
        <v>550</v>
      </c>
      <c r="D8" s="699" t="s">
        <v>551</v>
      </c>
      <c r="E8" s="698" t="s">
        <v>2023</v>
      </c>
      <c r="F8" s="699" t="s">
        <v>2024</v>
      </c>
      <c r="G8" s="698" t="s">
        <v>2031</v>
      </c>
      <c r="H8" s="698" t="s">
        <v>2032</v>
      </c>
      <c r="I8" s="701">
        <v>5445</v>
      </c>
      <c r="J8" s="701">
        <v>4</v>
      </c>
      <c r="K8" s="702">
        <v>21780</v>
      </c>
    </row>
    <row r="9" spans="1:11" ht="14.45" customHeight="1" x14ac:dyDescent="0.2">
      <c r="A9" s="696" t="s">
        <v>537</v>
      </c>
      <c r="B9" s="697" t="s">
        <v>538</v>
      </c>
      <c r="C9" s="698" t="s">
        <v>550</v>
      </c>
      <c r="D9" s="699" t="s">
        <v>551</v>
      </c>
      <c r="E9" s="698" t="s">
        <v>2023</v>
      </c>
      <c r="F9" s="699" t="s">
        <v>2024</v>
      </c>
      <c r="G9" s="698" t="s">
        <v>2033</v>
      </c>
      <c r="H9" s="698" t="s">
        <v>2034</v>
      </c>
      <c r="I9" s="701">
        <v>5445</v>
      </c>
      <c r="J9" s="701">
        <v>2</v>
      </c>
      <c r="K9" s="702">
        <v>10890</v>
      </c>
    </row>
    <row r="10" spans="1:11" ht="14.45" customHeight="1" x14ac:dyDescent="0.2">
      <c r="A10" s="696" t="s">
        <v>537</v>
      </c>
      <c r="B10" s="697" t="s">
        <v>538</v>
      </c>
      <c r="C10" s="698" t="s">
        <v>550</v>
      </c>
      <c r="D10" s="699" t="s">
        <v>551</v>
      </c>
      <c r="E10" s="698" t="s">
        <v>2023</v>
      </c>
      <c r="F10" s="699" t="s">
        <v>2024</v>
      </c>
      <c r="G10" s="698" t="s">
        <v>2035</v>
      </c>
      <c r="H10" s="698" t="s">
        <v>2036</v>
      </c>
      <c r="I10" s="701">
        <v>147.17999267578125</v>
      </c>
      <c r="J10" s="701">
        <v>191</v>
      </c>
      <c r="K10" s="702">
        <v>28111.779174804688</v>
      </c>
    </row>
    <row r="11" spans="1:11" ht="14.45" customHeight="1" x14ac:dyDescent="0.2">
      <c r="A11" s="696" t="s">
        <v>537</v>
      </c>
      <c r="B11" s="697" t="s">
        <v>538</v>
      </c>
      <c r="C11" s="698" t="s">
        <v>550</v>
      </c>
      <c r="D11" s="699" t="s">
        <v>551</v>
      </c>
      <c r="E11" s="698" t="s">
        <v>2023</v>
      </c>
      <c r="F11" s="699" t="s">
        <v>2024</v>
      </c>
      <c r="G11" s="698" t="s">
        <v>2037</v>
      </c>
      <c r="H11" s="698" t="s">
        <v>2038</v>
      </c>
      <c r="I11" s="701">
        <v>147.17999267578125</v>
      </c>
      <c r="J11" s="701">
        <v>191</v>
      </c>
      <c r="K11" s="702">
        <v>28111.779174804688</v>
      </c>
    </row>
    <row r="12" spans="1:11" ht="14.45" customHeight="1" x14ac:dyDescent="0.2">
      <c r="A12" s="696" t="s">
        <v>537</v>
      </c>
      <c r="B12" s="697" t="s">
        <v>538</v>
      </c>
      <c r="C12" s="698" t="s">
        <v>550</v>
      </c>
      <c r="D12" s="699" t="s">
        <v>551</v>
      </c>
      <c r="E12" s="698" t="s">
        <v>2023</v>
      </c>
      <c r="F12" s="699" t="s">
        <v>2024</v>
      </c>
      <c r="G12" s="698" t="s">
        <v>2039</v>
      </c>
      <c r="H12" s="698" t="s">
        <v>2040</v>
      </c>
      <c r="I12" s="701">
        <v>2050</v>
      </c>
      <c r="J12" s="701">
        <v>3</v>
      </c>
      <c r="K12" s="702">
        <v>6150</v>
      </c>
    </row>
    <row r="13" spans="1:11" ht="14.45" customHeight="1" x14ac:dyDescent="0.2">
      <c r="A13" s="696" t="s">
        <v>537</v>
      </c>
      <c r="B13" s="697" t="s">
        <v>538</v>
      </c>
      <c r="C13" s="698" t="s">
        <v>550</v>
      </c>
      <c r="D13" s="699" t="s">
        <v>551</v>
      </c>
      <c r="E13" s="698" t="s">
        <v>2023</v>
      </c>
      <c r="F13" s="699" t="s">
        <v>2024</v>
      </c>
      <c r="G13" s="698" t="s">
        <v>2041</v>
      </c>
      <c r="H13" s="698" t="s">
        <v>2042</v>
      </c>
      <c r="I13" s="701">
        <v>182.71000671386719</v>
      </c>
      <c r="J13" s="701">
        <v>55</v>
      </c>
      <c r="K13" s="702">
        <v>10049.050048828125</v>
      </c>
    </row>
    <row r="14" spans="1:11" ht="14.45" customHeight="1" x14ac:dyDescent="0.2">
      <c r="A14" s="696" t="s">
        <v>537</v>
      </c>
      <c r="B14" s="697" t="s">
        <v>538</v>
      </c>
      <c r="C14" s="698" t="s">
        <v>550</v>
      </c>
      <c r="D14" s="699" t="s">
        <v>551</v>
      </c>
      <c r="E14" s="698" t="s">
        <v>2023</v>
      </c>
      <c r="F14" s="699" t="s">
        <v>2024</v>
      </c>
      <c r="G14" s="698" t="s">
        <v>2043</v>
      </c>
      <c r="H14" s="698" t="s">
        <v>2044</v>
      </c>
      <c r="I14" s="701">
        <v>9228.16015625</v>
      </c>
      <c r="J14" s="701">
        <v>-0.25</v>
      </c>
      <c r="K14" s="702">
        <v>-2307.0400390625</v>
      </c>
    </row>
    <row r="15" spans="1:11" ht="14.45" customHeight="1" x14ac:dyDescent="0.2">
      <c r="A15" s="696" t="s">
        <v>537</v>
      </c>
      <c r="B15" s="697" t="s">
        <v>538</v>
      </c>
      <c r="C15" s="698" t="s">
        <v>550</v>
      </c>
      <c r="D15" s="699" t="s">
        <v>551</v>
      </c>
      <c r="E15" s="698" t="s">
        <v>2023</v>
      </c>
      <c r="F15" s="699" t="s">
        <v>2024</v>
      </c>
      <c r="G15" s="698" t="s">
        <v>2045</v>
      </c>
      <c r="H15" s="698" t="s">
        <v>2046</v>
      </c>
      <c r="I15" s="701">
        <v>3035.31005859375</v>
      </c>
      <c r="J15" s="701">
        <v>15</v>
      </c>
      <c r="K15" s="702">
        <v>45529.65087890625</v>
      </c>
    </row>
    <row r="16" spans="1:11" ht="14.45" customHeight="1" x14ac:dyDescent="0.2">
      <c r="A16" s="696" t="s">
        <v>537</v>
      </c>
      <c r="B16" s="697" t="s">
        <v>538</v>
      </c>
      <c r="C16" s="698" t="s">
        <v>550</v>
      </c>
      <c r="D16" s="699" t="s">
        <v>551</v>
      </c>
      <c r="E16" s="698" t="s">
        <v>2023</v>
      </c>
      <c r="F16" s="699" t="s">
        <v>2024</v>
      </c>
      <c r="G16" s="698" t="s">
        <v>2047</v>
      </c>
      <c r="H16" s="698" t="s">
        <v>2048</v>
      </c>
      <c r="I16" s="701">
        <v>3035.31005859375</v>
      </c>
      <c r="J16" s="701">
        <v>8</v>
      </c>
      <c r="K16" s="702">
        <v>24282.48046875</v>
      </c>
    </row>
    <row r="17" spans="1:11" ht="14.45" customHeight="1" x14ac:dyDescent="0.2">
      <c r="A17" s="696" t="s">
        <v>537</v>
      </c>
      <c r="B17" s="697" t="s">
        <v>538</v>
      </c>
      <c r="C17" s="698" t="s">
        <v>550</v>
      </c>
      <c r="D17" s="699" t="s">
        <v>551</v>
      </c>
      <c r="E17" s="698" t="s">
        <v>2023</v>
      </c>
      <c r="F17" s="699" t="s">
        <v>2024</v>
      </c>
      <c r="G17" s="698" t="s">
        <v>2049</v>
      </c>
      <c r="H17" s="698" t="s">
        <v>2050</v>
      </c>
      <c r="I17" s="701">
        <v>2277.8480957031252</v>
      </c>
      <c r="J17" s="701">
        <v>5</v>
      </c>
      <c r="K17" s="702">
        <v>11389.240478515625</v>
      </c>
    </row>
    <row r="18" spans="1:11" ht="14.45" customHeight="1" x14ac:dyDescent="0.2">
      <c r="A18" s="696" t="s">
        <v>537</v>
      </c>
      <c r="B18" s="697" t="s">
        <v>538</v>
      </c>
      <c r="C18" s="698" t="s">
        <v>550</v>
      </c>
      <c r="D18" s="699" t="s">
        <v>551</v>
      </c>
      <c r="E18" s="698" t="s">
        <v>2023</v>
      </c>
      <c r="F18" s="699" t="s">
        <v>2024</v>
      </c>
      <c r="G18" s="698" t="s">
        <v>2051</v>
      </c>
      <c r="H18" s="698" t="s">
        <v>2052</v>
      </c>
      <c r="I18" s="701">
        <v>2277.85009765625</v>
      </c>
      <c r="J18" s="701">
        <v>6</v>
      </c>
      <c r="K18" s="702">
        <v>13667.1005859375</v>
      </c>
    </row>
    <row r="19" spans="1:11" ht="14.45" customHeight="1" x14ac:dyDescent="0.2">
      <c r="A19" s="696" t="s">
        <v>537</v>
      </c>
      <c r="B19" s="697" t="s">
        <v>538</v>
      </c>
      <c r="C19" s="698" t="s">
        <v>550</v>
      </c>
      <c r="D19" s="699" t="s">
        <v>551</v>
      </c>
      <c r="E19" s="698" t="s">
        <v>2023</v>
      </c>
      <c r="F19" s="699" t="s">
        <v>2024</v>
      </c>
      <c r="G19" s="698" t="s">
        <v>2053</v>
      </c>
      <c r="H19" s="698" t="s">
        <v>2054</v>
      </c>
      <c r="I19" s="701">
        <v>9228.1941406250007</v>
      </c>
      <c r="J19" s="701">
        <v>2.75</v>
      </c>
      <c r="K19" s="702">
        <v>25377.5302734375</v>
      </c>
    </row>
    <row r="20" spans="1:11" ht="14.45" customHeight="1" x14ac:dyDescent="0.2">
      <c r="A20" s="696" t="s">
        <v>537</v>
      </c>
      <c r="B20" s="697" t="s">
        <v>538</v>
      </c>
      <c r="C20" s="698" t="s">
        <v>550</v>
      </c>
      <c r="D20" s="699" t="s">
        <v>551</v>
      </c>
      <c r="E20" s="698" t="s">
        <v>2023</v>
      </c>
      <c r="F20" s="699" t="s">
        <v>2024</v>
      </c>
      <c r="G20" s="698" t="s">
        <v>2055</v>
      </c>
      <c r="H20" s="698" t="s">
        <v>2056</v>
      </c>
      <c r="I20" s="701">
        <v>22994.599609375</v>
      </c>
      <c r="J20" s="701">
        <v>0.5</v>
      </c>
      <c r="K20" s="702">
        <v>11497.2998046875</v>
      </c>
    </row>
    <row r="21" spans="1:11" ht="14.45" customHeight="1" x14ac:dyDescent="0.2">
      <c r="A21" s="696" t="s">
        <v>537</v>
      </c>
      <c r="B21" s="697" t="s">
        <v>538</v>
      </c>
      <c r="C21" s="698" t="s">
        <v>550</v>
      </c>
      <c r="D21" s="699" t="s">
        <v>551</v>
      </c>
      <c r="E21" s="698" t="s">
        <v>2023</v>
      </c>
      <c r="F21" s="699" t="s">
        <v>2024</v>
      </c>
      <c r="G21" s="698" t="s">
        <v>2057</v>
      </c>
      <c r="H21" s="698" t="s">
        <v>2058</v>
      </c>
      <c r="I21" s="701">
        <v>22994.599609375</v>
      </c>
      <c r="J21" s="701">
        <v>0.5</v>
      </c>
      <c r="K21" s="702">
        <v>11497.2998046875</v>
      </c>
    </row>
    <row r="22" spans="1:11" ht="14.45" customHeight="1" x14ac:dyDescent="0.2">
      <c r="A22" s="696" t="s">
        <v>537</v>
      </c>
      <c r="B22" s="697" t="s">
        <v>538</v>
      </c>
      <c r="C22" s="698" t="s">
        <v>550</v>
      </c>
      <c r="D22" s="699" t="s">
        <v>551</v>
      </c>
      <c r="E22" s="698" t="s">
        <v>2023</v>
      </c>
      <c r="F22" s="699" t="s">
        <v>2024</v>
      </c>
      <c r="G22" s="698" t="s">
        <v>2059</v>
      </c>
      <c r="H22" s="698" t="s">
        <v>2060</v>
      </c>
      <c r="I22" s="701">
        <v>22994.599609375</v>
      </c>
      <c r="J22" s="701">
        <v>0.5</v>
      </c>
      <c r="K22" s="702">
        <v>11497.2998046875</v>
      </c>
    </row>
    <row r="23" spans="1:11" ht="14.45" customHeight="1" x14ac:dyDescent="0.2">
      <c r="A23" s="696" t="s">
        <v>537</v>
      </c>
      <c r="B23" s="697" t="s">
        <v>538</v>
      </c>
      <c r="C23" s="698" t="s">
        <v>550</v>
      </c>
      <c r="D23" s="699" t="s">
        <v>551</v>
      </c>
      <c r="E23" s="698" t="s">
        <v>2023</v>
      </c>
      <c r="F23" s="699" t="s">
        <v>2024</v>
      </c>
      <c r="G23" s="698" t="s">
        <v>2061</v>
      </c>
      <c r="H23" s="698" t="s">
        <v>2062</v>
      </c>
      <c r="I23" s="701">
        <v>16187.7197265625</v>
      </c>
      <c r="J23" s="701">
        <v>0.25</v>
      </c>
      <c r="K23" s="702">
        <v>4046.929931640625</v>
      </c>
    </row>
    <row r="24" spans="1:11" ht="14.45" customHeight="1" x14ac:dyDescent="0.2">
      <c r="A24" s="696" t="s">
        <v>537</v>
      </c>
      <c r="B24" s="697" t="s">
        <v>538</v>
      </c>
      <c r="C24" s="698" t="s">
        <v>550</v>
      </c>
      <c r="D24" s="699" t="s">
        <v>551</v>
      </c>
      <c r="E24" s="698" t="s">
        <v>2023</v>
      </c>
      <c r="F24" s="699" t="s">
        <v>2024</v>
      </c>
      <c r="G24" s="698" t="s">
        <v>2063</v>
      </c>
      <c r="H24" s="698" t="s">
        <v>2064</v>
      </c>
      <c r="I24" s="701">
        <v>16187.7197265625</v>
      </c>
      <c r="J24" s="701">
        <v>1</v>
      </c>
      <c r="K24" s="702">
        <v>16187.7197265625</v>
      </c>
    </row>
    <row r="25" spans="1:11" ht="14.45" customHeight="1" x14ac:dyDescent="0.2">
      <c r="A25" s="696" t="s">
        <v>537</v>
      </c>
      <c r="B25" s="697" t="s">
        <v>538</v>
      </c>
      <c r="C25" s="698" t="s">
        <v>550</v>
      </c>
      <c r="D25" s="699" t="s">
        <v>551</v>
      </c>
      <c r="E25" s="698" t="s">
        <v>2023</v>
      </c>
      <c r="F25" s="699" t="s">
        <v>2024</v>
      </c>
      <c r="G25" s="698" t="s">
        <v>2065</v>
      </c>
      <c r="H25" s="698" t="s">
        <v>2066</v>
      </c>
      <c r="I25" s="701">
        <v>3709.6665852864585</v>
      </c>
      <c r="J25" s="701">
        <v>1.5</v>
      </c>
      <c r="K25" s="702">
        <v>5564.4998779296875</v>
      </c>
    </row>
    <row r="26" spans="1:11" ht="14.45" customHeight="1" x14ac:dyDescent="0.2">
      <c r="A26" s="696" t="s">
        <v>537</v>
      </c>
      <c r="B26" s="697" t="s">
        <v>538</v>
      </c>
      <c r="C26" s="698" t="s">
        <v>550</v>
      </c>
      <c r="D26" s="699" t="s">
        <v>551</v>
      </c>
      <c r="E26" s="698" t="s">
        <v>2023</v>
      </c>
      <c r="F26" s="699" t="s">
        <v>2024</v>
      </c>
      <c r="G26" s="698" t="s">
        <v>2067</v>
      </c>
      <c r="H26" s="698" t="s">
        <v>2068</v>
      </c>
      <c r="I26" s="701">
        <v>3130.75</v>
      </c>
      <c r="J26" s="701">
        <v>6</v>
      </c>
      <c r="K26" s="702">
        <v>18784.5</v>
      </c>
    </row>
    <row r="27" spans="1:11" ht="14.45" customHeight="1" x14ac:dyDescent="0.2">
      <c r="A27" s="696" t="s">
        <v>537</v>
      </c>
      <c r="B27" s="697" t="s">
        <v>538</v>
      </c>
      <c r="C27" s="698" t="s">
        <v>550</v>
      </c>
      <c r="D27" s="699" t="s">
        <v>551</v>
      </c>
      <c r="E27" s="698" t="s">
        <v>2023</v>
      </c>
      <c r="F27" s="699" t="s">
        <v>2024</v>
      </c>
      <c r="G27" s="698" t="s">
        <v>2069</v>
      </c>
      <c r="H27" s="698" t="s">
        <v>2070</v>
      </c>
      <c r="I27" s="701">
        <v>213.35000610351563</v>
      </c>
      <c r="J27" s="701">
        <v>21</v>
      </c>
      <c r="K27" s="702">
        <v>4480.2798461914063</v>
      </c>
    </row>
    <row r="28" spans="1:11" ht="14.45" customHeight="1" x14ac:dyDescent="0.2">
      <c r="A28" s="696" t="s">
        <v>537</v>
      </c>
      <c r="B28" s="697" t="s">
        <v>538</v>
      </c>
      <c r="C28" s="698" t="s">
        <v>550</v>
      </c>
      <c r="D28" s="699" t="s">
        <v>551</v>
      </c>
      <c r="E28" s="698" t="s">
        <v>2023</v>
      </c>
      <c r="F28" s="699" t="s">
        <v>2024</v>
      </c>
      <c r="G28" s="698" t="s">
        <v>2071</v>
      </c>
      <c r="H28" s="698" t="s">
        <v>2072</v>
      </c>
      <c r="I28" s="701">
        <v>2722.500155362216</v>
      </c>
      <c r="J28" s="701">
        <v>51</v>
      </c>
      <c r="K28" s="702">
        <v>138847.509765625</v>
      </c>
    </row>
    <row r="29" spans="1:11" ht="14.45" customHeight="1" x14ac:dyDescent="0.2">
      <c r="A29" s="696" t="s">
        <v>537</v>
      </c>
      <c r="B29" s="697" t="s">
        <v>538</v>
      </c>
      <c r="C29" s="698" t="s">
        <v>550</v>
      </c>
      <c r="D29" s="699" t="s">
        <v>551</v>
      </c>
      <c r="E29" s="698" t="s">
        <v>2023</v>
      </c>
      <c r="F29" s="699" t="s">
        <v>2024</v>
      </c>
      <c r="G29" s="698" t="s">
        <v>2073</v>
      </c>
      <c r="H29" s="698" t="s">
        <v>2074</v>
      </c>
      <c r="I29" s="701">
        <v>105.80000305175781</v>
      </c>
      <c r="J29" s="701">
        <v>1</v>
      </c>
      <c r="K29" s="702">
        <v>105.80000305175781</v>
      </c>
    </row>
    <row r="30" spans="1:11" ht="14.45" customHeight="1" x14ac:dyDescent="0.2">
      <c r="A30" s="696" t="s">
        <v>537</v>
      </c>
      <c r="B30" s="697" t="s">
        <v>538</v>
      </c>
      <c r="C30" s="698" t="s">
        <v>550</v>
      </c>
      <c r="D30" s="699" t="s">
        <v>551</v>
      </c>
      <c r="E30" s="698" t="s">
        <v>2023</v>
      </c>
      <c r="F30" s="699" t="s">
        <v>2024</v>
      </c>
      <c r="G30" s="698" t="s">
        <v>2075</v>
      </c>
      <c r="H30" s="698" t="s">
        <v>2076</v>
      </c>
      <c r="I30" s="701">
        <v>127.85666402180989</v>
      </c>
      <c r="J30" s="701">
        <v>5</v>
      </c>
      <c r="K30" s="702">
        <v>641.29998779296875</v>
      </c>
    </row>
    <row r="31" spans="1:11" ht="14.45" customHeight="1" x14ac:dyDescent="0.2">
      <c r="A31" s="696" t="s">
        <v>537</v>
      </c>
      <c r="B31" s="697" t="s">
        <v>538</v>
      </c>
      <c r="C31" s="698" t="s">
        <v>550</v>
      </c>
      <c r="D31" s="699" t="s">
        <v>551</v>
      </c>
      <c r="E31" s="698" t="s">
        <v>2023</v>
      </c>
      <c r="F31" s="699" t="s">
        <v>2024</v>
      </c>
      <c r="G31" s="698" t="s">
        <v>2077</v>
      </c>
      <c r="H31" s="698" t="s">
        <v>2078</v>
      </c>
      <c r="I31" s="701">
        <v>2624.5400390625</v>
      </c>
      <c r="J31" s="701">
        <v>1</v>
      </c>
      <c r="K31" s="702">
        <v>2624.5400390625</v>
      </c>
    </row>
    <row r="32" spans="1:11" ht="14.45" customHeight="1" x14ac:dyDescent="0.2">
      <c r="A32" s="696" t="s">
        <v>537</v>
      </c>
      <c r="B32" s="697" t="s">
        <v>538</v>
      </c>
      <c r="C32" s="698" t="s">
        <v>550</v>
      </c>
      <c r="D32" s="699" t="s">
        <v>551</v>
      </c>
      <c r="E32" s="698" t="s">
        <v>2079</v>
      </c>
      <c r="F32" s="699" t="s">
        <v>2080</v>
      </c>
      <c r="G32" s="698" t="s">
        <v>2081</v>
      </c>
      <c r="H32" s="698" t="s">
        <v>2082</v>
      </c>
      <c r="I32" s="701">
        <v>1491.6666666666667</v>
      </c>
      <c r="J32" s="701">
        <v>14</v>
      </c>
      <c r="K32" s="702">
        <v>21300</v>
      </c>
    </row>
    <row r="33" spans="1:11" ht="14.45" customHeight="1" x14ac:dyDescent="0.2">
      <c r="A33" s="696" t="s">
        <v>537</v>
      </c>
      <c r="B33" s="697" t="s">
        <v>538</v>
      </c>
      <c r="C33" s="698" t="s">
        <v>550</v>
      </c>
      <c r="D33" s="699" t="s">
        <v>551</v>
      </c>
      <c r="E33" s="698" t="s">
        <v>2083</v>
      </c>
      <c r="F33" s="699" t="s">
        <v>2084</v>
      </c>
      <c r="G33" s="698" t="s">
        <v>2085</v>
      </c>
      <c r="H33" s="698" t="s">
        <v>2086</v>
      </c>
      <c r="I33" s="701">
        <v>177.46000671386719</v>
      </c>
      <c r="J33" s="701">
        <v>3</v>
      </c>
      <c r="K33" s="702">
        <v>532.3800048828125</v>
      </c>
    </row>
    <row r="34" spans="1:11" ht="14.45" customHeight="1" x14ac:dyDescent="0.2">
      <c r="A34" s="696" t="s">
        <v>537</v>
      </c>
      <c r="B34" s="697" t="s">
        <v>538</v>
      </c>
      <c r="C34" s="698" t="s">
        <v>550</v>
      </c>
      <c r="D34" s="699" t="s">
        <v>551</v>
      </c>
      <c r="E34" s="698" t="s">
        <v>2087</v>
      </c>
      <c r="F34" s="699" t="s">
        <v>2088</v>
      </c>
      <c r="G34" s="698" t="s">
        <v>2089</v>
      </c>
      <c r="H34" s="698" t="s">
        <v>2090</v>
      </c>
      <c r="I34" s="701">
        <v>53.240001678466797</v>
      </c>
      <c r="J34" s="701">
        <v>100</v>
      </c>
      <c r="K34" s="702">
        <v>5324</v>
      </c>
    </row>
    <row r="35" spans="1:11" ht="14.45" customHeight="1" x14ac:dyDescent="0.2">
      <c r="A35" s="696" t="s">
        <v>537</v>
      </c>
      <c r="B35" s="697" t="s">
        <v>538</v>
      </c>
      <c r="C35" s="698" t="s">
        <v>550</v>
      </c>
      <c r="D35" s="699" t="s">
        <v>551</v>
      </c>
      <c r="E35" s="698" t="s">
        <v>2087</v>
      </c>
      <c r="F35" s="699" t="s">
        <v>2088</v>
      </c>
      <c r="G35" s="698" t="s">
        <v>2091</v>
      </c>
      <c r="H35" s="698" t="s">
        <v>2092</v>
      </c>
      <c r="I35" s="701">
        <v>74.75</v>
      </c>
      <c r="J35" s="701">
        <v>90</v>
      </c>
      <c r="K35" s="702">
        <v>6727.5</v>
      </c>
    </row>
    <row r="36" spans="1:11" ht="14.45" customHeight="1" x14ac:dyDescent="0.2">
      <c r="A36" s="696" t="s">
        <v>537</v>
      </c>
      <c r="B36" s="697" t="s">
        <v>538</v>
      </c>
      <c r="C36" s="698" t="s">
        <v>550</v>
      </c>
      <c r="D36" s="699" t="s">
        <v>551</v>
      </c>
      <c r="E36" s="698" t="s">
        <v>2087</v>
      </c>
      <c r="F36" s="699" t="s">
        <v>2088</v>
      </c>
      <c r="G36" s="698" t="s">
        <v>2093</v>
      </c>
      <c r="H36" s="698" t="s">
        <v>2094</v>
      </c>
      <c r="I36" s="701">
        <v>6.440000057220459</v>
      </c>
      <c r="J36" s="701">
        <v>1200</v>
      </c>
      <c r="K36" s="702">
        <v>7728</v>
      </c>
    </row>
    <row r="37" spans="1:11" ht="14.45" customHeight="1" x14ac:dyDescent="0.2">
      <c r="A37" s="696" t="s">
        <v>537</v>
      </c>
      <c r="B37" s="697" t="s">
        <v>538</v>
      </c>
      <c r="C37" s="698" t="s">
        <v>550</v>
      </c>
      <c r="D37" s="699" t="s">
        <v>551</v>
      </c>
      <c r="E37" s="698" t="s">
        <v>2087</v>
      </c>
      <c r="F37" s="699" t="s">
        <v>2088</v>
      </c>
      <c r="G37" s="698" t="s">
        <v>2095</v>
      </c>
      <c r="H37" s="698" t="s">
        <v>2096</v>
      </c>
      <c r="I37" s="701">
        <v>4.2316666444142657</v>
      </c>
      <c r="J37" s="701">
        <v>740</v>
      </c>
      <c r="K37" s="702">
        <v>3131.2000122070313</v>
      </c>
    </row>
    <row r="38" spans="1:11" ht="14.45" customHeight="1" x14ac:dyDescent="0.2">
      <c r="A38" s="696" t="s">
        <v>537</v>
      </c>
      <c r="B38" s="697" t="s">
        <v>538</v>
      </c>
      <c r="C38" s="698" t="s">
        <v>550</v>
      </c>
      <c r="D38" s="699" t="s">
        <v>551</v>
      </c>
      <c r="E38" s="698" t="s">
        <v>2087</v>
      </c>
      <c r="F38" s="699" t="s">
        <v>2088</v>
      </c>
      <c r="G38" s="698" t="s">
        <v>2097</v>
      </c>
      <c r="H38" s="698" t="s">
        <v>2098</v>
      </c>
      <c r="I38" s="701">
        <v>6.4287498593330383</v>
      </c>
      <c r="J38" s="701">
        <v>1080</v>
      </c>
      <c r="K38" s="702">
        <v>6943</v>
      </c>
    </row>
    <row r="39" spans="1:11" ht="14.45" customHeight="1" x14ac:dyDescent="0.2">
      <c r="A39" s="696" t="s">
        <v>537</v>
      </c>
      <c r="B39" s="697" t="s">
        <v>538</v>
      </c>
      <c r="C39" s="698" t="s">
        <v>550</v>
      </c>
      <c r="D39" s="699" t="s">
        <v>551</v>
      </c>
      <c r="E39" s="698" t="s">
        <v>2087</v>
      </c>
      <c r="F39" s="699" t="s">
        <v>2088</v>
      </c>
      <c r="G39" s="698" t="s">
        <v>2099</v>
      </c>
      <c r="H39" s="698" t="s">
        <v>2100</v>
      </c>
      <c r="I39" s="701">
        <v>9.3450000286102295</v>
      </c>
      <c r="J39" s="701">
        <v>560</v>
      </c>
      <c r="K39" s="702">
        <v>5233.199951171875</v>
      </c>
    </row>
    <row r="40" spans="1:11" ht="14.45" customHeight="1" x14ac:dyDescent="0.2">
      <c r="A40" s="696" t="s">
        <v>537</v>
      </c>
      <c r="B40" s="697" t="s">
        <v>538</v>
      </c>
      <c r="C40" s="698" t="s">
        <v>550</v>
      </c>
      <c r="D40" s="699" t="s">
        <v>551</v>
      </c>
      <c r="E40" s="698" t="s">
        <v>2087</v>
      </c>
      <c r="F40" s="699" t="s">
        <v>2088</v>
      </c>
      <c r="G40" s="698" t="s">
        <v>2101</v>
      </c>
      <c r="H40" s="698" t="s">
        <v>2102</v>
      </c>
      <c r="I40" s="701">
        <v>8.834000205993652</v>
      </c>
      <c r="J40" s="701">
        <v>450</v>
      </c>
      <c r="K40" s="702">
        <v>3976.9900665283203</v>
      </c>
    </row>
    <row r="41" spans="1:11" ht="14.45" customHeight="1" x14ac:dyDescent="0.2">
      <c r="A41" s="696" t="s">
        <v>537</v>
      </c>
      <c r="B41" s="697" t="s">
        <v>538</v>
      </c>
      <c r="C41" s="698" t="s">
        <v>550</v>
      </c>
      <c r="D41" s="699" t="s">
        <v>551</v>
      </c>
      <c r="E41" s="698" t="s">
        <v>2087</v>
      </c>
      <c r="F41" s="699" t="s">
        <v>2088</v>
      </c>
      <c r="G41" s="698" t="s">
        <v>2103</v>
      </c>
      <c r="H41" s="698" t="s">
        <v>2104</v>
      </c>
      <c r="I41" s="701">
        <v>13.433000087738037</v>
      </c>
      <c r="J41" s="701">
        <v>1215</v>
      </c>
      <c r="K41" s="702">
        <v>16322.549743652344</v>
      </c>
    </row>
    <row r="42" spans="1:11" ht="14.45" customHeight="1" x14ac:dyDescent="0.2">
      <c r="A42" s="696" t="s">
        <v>537</v>
      </c>
      <c r="B42" s="697" t="s">
        <v>538</v>
      </c>
      <c r="C42" s="698" t="s">
        <v>550</v>
      </c>
      <c r="D42" s="699" t="s">
        <v>551</v>
      </c>
      <c r="E42" s="698" t="s">
        <v>2087</v>
      </c>
      <c r="F42" s="699" t="s">
        <v>2088</v>
      </c>
      <c r="G42" s="698" t="s">
        <v>2105</v>
      </c>
      <c r="H42" s="698" t="s">
        <v>2106</v>
      </c>
      <c r="I42" s="701">
        <v>0.5</v>
      </c>
      <c r="J42" s="701">
        <v>200</v>
      </c>
      <c r="K42" s="702">
        <v>100</v>
      </c>
    </row>
    <row r="43" spans="1:11" ht="14.45" customHeight="1" x14ac:dyDescent="0.2">
      <c r="A43" s="696" t="s">
        <v>537</v>
      </c>
      <c r="B43" s="697" t="s">
        <v>538</v>
      </c>
      <c r="C43" s="698" t="s">
        <v>550</v>
      </c>
      <c r="D43" s="699" t="s">
        <v>551</v>
      </c>
      <c r="E43" s="698" t="s">
        <v>2087</v>
      </c>
      <c r="F43" s="699" t="s">
        <v>2088</v>
      </c>
      <c r="G43" s="698" t="s">
        <v>2107</v>
      </c>
      <c r="H43" s="698" t="s">
        <v>2108</v>
      </c>
      <c r="I43" s="701">
        <v>0.66818179867484351</v>
      </c>
      <c r="J43" s="701">
        <v>39200</v>
      </c>
      <c r="K43" s="702">
        <v>26560</v>
      </c>
    </row>
    <row r="44" spans="1:11" ht="14.45" customHeight="1" x14ac:dyDescent="0.2">
      <c r="A44" s="696" t="s">
        <v>537</v>
      </c>
      <c r="B44" s="697" t="s">
        <v>538</v>
      </c>
      <c r="C44" s="698" t="s">
        <v>550</v>
      </c>
      <c r="D44" s="699" t="s">
        <v>551</v>
      </c>
      <c r="E44" s="698" t="s">
        <v>2087</v>
      </c>
      <c r="F44" s="699" t="s">
        <v>2088</v>
      </c>
      <c r="G44" s="698" t="s">
        <v>2109</v>
      </c>
      <c r="H44" s="698" t="s">
        <v>2110</v>
      </c>
      <c r="I44" s="701">
        <v>3.4650000333786011</v>
      </c>
      <c r="J44" s="701">
        <v>4000</v>
      </c>
      <c r="K44" s="702">
        <v>13874</v>
      </c>
    </row>
    <row r="45" spans="1:11" ht="14.45" customHeight="1" x14ac:dyDescent="0.2">
      <c r="A45" s="696" t="s">
        <v>537</v>
      </c>
      <c r="B45" s="697" t="s">
        <v>538</v>
      </c>
      <c r="C45" s="698" t="s">
        <v>550</v>
      </c>
      <c r="D45" s="699" t="s">
        <v>551</v>
      </c>
      <c r="E45" s="698" t="s">
        <v>2087</v>
      </c>
      <c r="F45" s="699" t="s">
        <v>2088</v>
      </c>
      <c r="G45" s="698" t="s">
        <v>2111</v>
      </c>
      <c r="H45" s="698" t="s">
        <v>2112</v>
      </c>
      <c r="I45" s="701">
        <v>1.4833333492279053</v>
      </c>
      <c r="J45" s="701">
        <v>31000</v>
      </c>
      <c r="K45" s="702">
        <v>45980.60009765625</v>
      </c>
    </row>
    <row r="46" spans="1:11" ht="14.45" customHeight="1" x14ac:dyDescent="0.2">
      <c r="A46" s="696" t="s">
        <v>537</v>
      </c>
      <c r="B46" s="697" t="s">
        <v>538</v>
      </c>
      <c r="C46" s="698" t="s">
        <v>550</v>
      </c>
      <c r="D46" s="699" t="s">
        <v>551</v>
      </c>
      <c r="E46" s="698" t="s">
        <v>2087</v>
      </c>
      <c r="F46" s="699" t="s">
        <v>2088</v>
      </c>
      <c r="G46" s="698" t="s">
        <v>2113</v>
      </c>
      <c r="H46" s="698" t="s">
        <v>2114</v>
      </c>
      <c r="I46" s="701">
        <v>0.54000002145767212</v>
      </c>
      <c r="J46" s="701">
        <v>0</v>
      </c>
      <c r="K46" s="702">
        <v>0</v>
      </c>
    </row>
    <row r="47" spans="1:11" ht="14.45" customHeight="1" x14ac:dyDescent="0.2">
      <c r="A47" s="696" t="s">
        <v>537</v>
      </c>
      <c r="B47" s="697" t="s">
        <v>538</v>
      </c>
      <c r="C47" s="698" t="s">
        <v>550</v>
      </c>
      <c r="D47" s="699" t="s">
        <v>551</v>
      </c>
      <c r="E47" s="698" t="s">
        <v>2087</v>
      </c>
      <c r="F47" s="699" t="s">
        <v>2088</v>
      </c>
      <c r="G47" s="698" t="s">
        <v>2115</v>
      </c>
      <c r="H47" s="698" t="s">
        <v>2116</v>
      </c>
      <c r="I47" s="701">
        <v>86.379997253417969</v>
      </c>
      <c r="J47" s="701">
        <v>20</v>
      </c>
      <c r="K47" s="702">
        <v>1727.5400390625</v>
      </c>
    </row>
    <row r="48" spans="1:11" ht="14.45" customHeight="1" x14ac:dyDescent="0.2">
      <c r="A48" s="696" t="s">
        <v>537</v>
      </c>
      <c r="B48" s="697" t="s">
        <v>538</v>
      </c>
      <c r="C48" s="698" t="s">
        <v>550</v>
      </c>
      <c r="D48" s="699" t="s">
        <v>551</v>
      </c>
      <c r="E48" s="698" t="s">
        <v>2087</v>
      </c>
      <c r="F48" s="699" t="s">
        <v>2088</v>
      </c>
      <c r="G48" s="698" t="s">
        <v>2117</v>
      </c>
      <c r="H48" s="698" t="s">
        <v>2118</v>
      </c>
      <c r="I48" s="701">
        <v>36.279998779296875</v>
      </c>
      <c r="J48" s="701">
        <v>525</v>
      </c>
      <c r="K48" s="702">
        <v>19045.219787597656</v>
      </c>
    </row>
    <row r="49" spans="1:11" ht="14.45" customHeight="1" x14ac:dyDescent="0.2">
      <c r="A49" s="696" t="s">
        <v>537</v>
      </c>
      <c r="B49" s="697" t="s">
        <v>538</v>
      </c>
      <c r="C49" s="698" t="s">
        <v>550</v>
      </c>
      <c r="D49" s="699" t="s">
        <v>551</v>
      </c>
      <c r="E49" s="698" t="s">
        <v>2087</v>
      </c>
      <c r="F49" s="699" t="s">
        <v>2088</v>
      </c>
      <c r="G49" s="698" t="s">
        <v>2119</v>
      </c>
      <c r="H49" s="698" t="s">
        <v>2120</v>
      </c>
      <c r="I49" s="701">
        <v>8.380000114440918</v>
      </c>
      <c r="J49" s="701">
        <v>1056</v>
      </c>
      <c r="K49" s="702">
        <v>8845.6900634765625</v>
      </c>
    </row>
    <row r="50" spans="1:11" ht="14.45" customHeight="1" x14ac:dyDescent="0.2">
      <c r="A50" s="696" t="s">
        <v>537</v>
      </c>
      <c r="B50" s="697" t="s">
        <v>538</v>
      </c>
      <c r="C50" s="698" t="s">
        <v>550</v>
      </c>
      <c r="D50" s="699" t="s">
        <v>551</v>
      </c>
      <c r="E50" s="698" t="s">
        <v>2087</v>
      </c>
      <c r="F50" s="699" t="s">
        <v>2088</v>
      </c>
      <c r="G50" s="698" t="s">
        <v>2121</v>
      </c>
      <c r="H50" s="698" t="s">
        <v>2122</v>
      </c>
      <c r="I50" s="701">
        <v>4.4874998331069946</v>
      </c>
      <c r="J50" s="701">
        <v>3000</v>
      </c>
      <c r="K50" s="702">
        <v>13442.5</v>
      </c>
    </row>
    <row r="51" spans="1:11" ht="14.45" customHeight="1" x14ac:dyDescent="0.2">
      <c r="A51" s="696" t="s">
        <v>537</v>
      </c>
      <c r="B51" s="697" t="s">
        <v>538</v>
      </c>
      <c r="C51" s="698" t="s">
        <v>550</v>
      </c>
      <c r="D51" s="699" t="s">
        <v>551</v>
      </c>
      <c r="E51" s="698" t="s">
        <v>2087</v>
      </c>
      <c r="F51" s="699" t="s">
        <v>2088</v>
      </c>
      <c r="G51" s="698" t="s">
        <v>2123</v>
      </c>
      <c r="H51" s="698" t="s">
        <v>2124</v>
      </c>
      <c r="I51" s="701">
        <v>136.55000305175781</v>
      </c>
      <c r="J51" s="701">
        <v>20</v>
      </c>
      <c r="K51" s="702">
        <v>2730.929931640625</v>
      </c>
    </row>
    <row r="52" spans="1:11" ht="14.45" customHeight="1" x14ac:dyDescent="0.2">
      <c r="A52" s="696" t="s">
        <v>537</v>
      </c>
      <c r="B52" s="697" t="s">
        <v>538</v>
      </c>
      <c r="C52" s="698" t="s">
        <v>550</v>
      </c>
      <c r="D52" s="699" t="s">
        <v>551</v>
      </c>
      <c r="E52" s="698" t="s">
        <v>2087</v>
      </c>
      <c r="F52" s="699" t="s">
        <v>2088</v>
      </c>
      <c r="G52" s="698" t="s">
        <v>2125</v>
      </c>
      <c r="H52" s="698" t="s">
        <v>2126</v>
      </c>
      <c r="I52" s="701">
        <v>2.5428571019853865</v>
      </c>
      <c r="J52" s="701">
        <v>1260</v>
      </c>
      <c r="K52" s="702">
        <v>3203.9000396728516</v>
      </c>
    </row>
    <row r="53" spans="1:11" ht="14.45" customHeight="1" x14ac:dyDescent="0.2">
      <c r="A53" s="696" t="s">
        <v>537</v>
      </c>
      <c r="B53" s="697" t="s">
        <v>538</v>
      </c>
      <c r="C53" s="698" t="s">
        <v>550</v>
      </c>
      <c r="D53" s="699" t="s">
        <v>551</v>
      </c>
      <c r="E53" s="698" t="s">
        <v>2087</v>
      </c>
      <c r="F53" s="699" t="s">
        <v>2088</v>
      </c>
      <c r="G53" s="698" t="s">
        <v>2127</v>
      </c>
      <c r="H53" s="698" t="s">
        <v>2128</v>
      </c>
      <c r="I53" s="701">
        <v>109.61000061035156</v>
      </c>
      <c r="J53" s="701">
        <v>8</v>
      </c>
      <c r="K53" s="702">
        <v>876.87998962402344</v>
      </c>
    </row>
    <row r="54" spans="1:11" ht="14.45" customHeight="1" x14ac:dyDescent="0.2">
      <c r="A54" s="696" t="s">
        <v>537</v>
      </c>
      <c r="B54" s="697" t="s">
        <v>538</v>
      </c>
      <c r="C54" s="698" t="s">
        <v>550</v>
      </c>
      <c r="D54" s="699" t="s">
        <v>551</v>
      </c>
      <c r="E54" s="698" t="s">
        <v>2087</v>
      </c>
      <c r="F54" s="699" t="s">
        <v>2088</v>
      </c>
      <c r="G54" s="698" t="s">
        <v>2129</v>
      </c>
      <c r="H54" s="698" t="s">
        <v>2130</v>
      </c>
      <c r="I54" s="701">
        <v>770.45</v>
      </c>
      <c r="J54" s="701">
        <v>7</v>
      </c>
      <c r="K54" s="702">
        <v>5392.989990234375</v>
      </c>
    </row>
    <row r="55" spans="1:11" ht="14.45" customHeight="1" x14ac:dyDescent="0.2">
      <c r="A55" s="696" t="s">
        <v>537</v>
      </c>
      <c r="B55" s="697" t="s">
        <v>538</v>
      </c>
      <c r="C55" s="698" t="s">
        <v>550</v>
      </c>
      <c r="D55" s="699" t="s">
        <v>551</v>
      </c>
      <c r="E55" s="698" t="s">
        <v>2087</v>
      </c>
      <c r="F55" s="699" t="s">
        <v>2088</v>
      </c>
      <c r="G55" s="698" t="s">
        <v>2131</v>
      </c>
      <c r="H55" s="698" t="s">
        <v>2132</v>
      </c>
      <c r="I55" s="701">
        <v>355.35000610351563</v>
      </c>
      <c r="J55" s="701">
        <v>13</v>
      </c>
      <c r="K55" s="702">
        <v>4619.550048828125</v>
      </c>
    </row>
    <row r="56" spans="1:11" ht="14.45" customHeight="1" x14ac:dyDescent="0.2">
      <c r="A56" s="696" t="s">
        <v>537</v>
      </c>
      <c r="B56" s="697" t="s">
        <v>538</v>
      </c>
      <c r="C56" s="698" t="s">
        <v>550</v>
      </c>
      <c r="D56" s="699" t="s">
        <v>551</v>
      </c>
      <c r="E56" s="698" t="s">
        <v>2087</v>
      </c>
      <c r="F56" s="699" t="s">
        <v>2088</v>
      </c>
      <c r="G56" s="698" t="s">
        <v>2133</v>
      </c>
      <c r="H56" s="698" t="s">
        <v>2134</v>
      </c>
      <c r="I56" s="701">
        <v>63.979999542236328</v>
      </c>
      <c r="J56" s="701">
        <v>30</v>
      </c>
      <c r="K56" s="702">
        <v>1918.0599365234375</v>
      </c>
    </row>
    <row r="57" spans="1:11" ht="14.45" customHeight="1" x14ac:dyDescent="0.2">
      <c r="A57" s="696" t="s">
        <v>537</v>
      </c>
      <c r="B57" s="697" t="s">
        <v>538</v>
      </c>
      <c r="C57" s="698" t="s">
        <v>550</v>
      </c>
      <c r="D57" s="699" t="s">
        <v>551</v>
      </c>
      <c r="E57" s="698" t="s">
        <v>2087</v>
      </c>
      <c r="F57" s="699" t="s">
        <v>2088</v>
      </c>
      <c r="G57" s="698" t="s">
        <v>2135</v>
      </c>
      <c r="H57" s="698" t="s">
        <v>2136</v>
      </c>
      <c r="I57" s="701">
        <v>67.629997253417969</v>
      </c>
      <c r="J57" s="701">
        <v>10</v>
      </c>
      <c r="K57" s="702">
        <v>676.27001953125</v>
      </c>
    </row>
    <row r="58" spans="1:11" ht="14.45" customHeight="1" x14ac:dyDescent="0.2">
      <c r="A58" s="696" t="s">
        <v>537</v>
      </c>
      <c r="B58" s="697" t="s">
        <v>538</v>
      </c>
      <c r="C58" s="698" t="s">
        <v>550</v>
      </c>
      <c r="D58" s="699" t="s">
        <v>551</v>
      </c>
      <c r="E58" s="698" t="s">
        <v>2087</v>
      </c>
      <c r="F58" s="699" t="s">
        <v>2088</v>
      </c>
      <c r="G58" s="698" t="s">
        <v>2137</v>
      </c>
      <c r="H58" s="698" t="s">
        <v>2138</v>
      </c>
      <c r="I58" s="701">
        <v>272.42999267578125</v>
      </c>
      <c r="J58" s="701">
        <v>18</v>
      </c>
      <c r="K58" s="702">
        <v>4903.7998046875</v>
      </c>
    </row>
    <row r="59" spans="1:11" ht="14.45" customHeight="1" x14ac:dyDescent="0.2">
      <c r="A59" s="696" t="s">
        <v>537</v>
      </c>
      <c r="B59" s="697" t="s">
        <v>538</v>
      </c>
      <c r="C59" s="698" t="s">
        <v>550</v>
      </c>
      <c r="D59" s="699" t="s">
        <v>551</v>
      </c>
      <c r="E59" s="698" t="s">
        <v>2087</v>
      </c>
      <c r="F59" s="699" t="s">
        <v>2088</v>
      </c>
      <c r="G59" s="698" t="s">
        <v>2139</v>
      </c>
      <c r="H59" s="698" t="s">
        <v>2140</v>
      </c>
      <c r="I59" s="701">
        <v>22.149999618530273</v>
      </c>
      <c r="J59" s="701">
        <v>950</v>
      </c>
      <c r="K59" s="702">
        <v>21042.410034179688</v>
      </c>
    </row>
    <row r="60" spans="1:11" ht="14.45" customHeight="1" x14ac:dyDescent="0.2">
      <c r="A60" s="696" t="s">
        <v>537</v>
      </c>
      <c r="B60" s="697" t="s">
        <v>538</v>
      </c>
      <c r="C60" s="698" t="s">
        <v>550</v>
      </c>
      <c r="D60" s="699" t="s">
        <v>551</v>
      </c>
      <c r="E60" s="698" t="s">
        <v>2087</v>
      </c>
      <c r="F60" s="699" t="s">
        <v>2088</v>
      </c>
      <c r="G60" s="698" t="s">
        <v>2141</v>
      </c>
      <c r="H60" s="698" t="s">
        <v>2142</v>
      </c>
      <c r="I60" s="701">
        <v>30.174545634876598</v>
      </c>
      <c r="J60" s="701">
        <v>750</v>
      </c>
      <c r="K60" s="702">
        <v>22631.27001953125</v>
      </c>
    </row>
    <row r="61" spans="1:11" ht="14.45" customHeight="1" x14ac:dyDescent="0.2">
      <c r="A61" s="696" t="s">
        <v>537</v>
      </c>
      <c r="B61" s="697" t="s">
        <v>538</v>
      </c>
      <c r="C61" s="698" t="s">
        <v>550</v>
      </c>
      <c r="D61" s="699" t="s">
        <v>551</v>
      </c>
      <c r="E61" s="698" t="s">
        <v>2087</v>
      </c>
      <c r="F61" s="699" t="s">
        <v>2088</v>
      </c>
      <c r="G61" s="698" t="s">
        <v>2143</v>
      </c>
      <c r="H61" s="698" t="s">
        <v>2144</v>
      </c>
      <c r="I61" s="701">
        <v>2.9650000333786011</v>
      </c>
      <c r="J61" s="701">
        <v>200</v>
      </c>
      <c r="K61" s="702">
        <v>593</v>
      </c>
    </row>
    <row r="62" spans="1:11" ht="14.45" customHeight="1" x14ac:dyDescent="0.2">
      <c r="A62" s="696" t="s">
        <v>537</v>
      </c>
      <c r="B62" s="697" t="s">
        <v>538</v>
      </c>
      <c r="C62" s="698" t="s">
        <v>550</v>
      </c>
      <c r="D62" s="699" t="s">
        <v>551</v>
      </c>
      <c r="E62" s="698" t="s">
        <v>2087</v>
      </c>
      <c r="F62" s="699" t="s">
        <v>2088</v>
      </c>
      <c r="G62" s="698" t="s">
        <v>2145</v>
      </c>
      <c r="H62" s="698" t="s">
        <v>2146</v>
      </c>
      <c r="I62" s="701">
        <v>5.2728571891784668</v>
      </c>
      <c r="J62" s="701">
        <v>490</v>
      </c>
      <c r="K62" s="702">
        <v>2583.6000213623047</v>
      </c>
    </row>
    <row r="63" spans="1:11" ht="14.45" customHeight="1" x14ac:dyDescent="0.2">
      <c r="A63" s="696" t="s">
        <v>537</v>
      </c>
      <c r="B63" s="697" t="s">
        <v>538</v>
      </c>
      <c r="C63" s="698" t="s">
        <v>550</v>
      </c>
      <c r="D63" s="699" t="s">
        <v>551</v>
      </c>
      <c r="E63" s="698" t="s">
        <v>2087</v>
      </c>
      <c r="F63" s="699" t="s">
        <v>2088</v>
      </c>
      <c r="G63" s="698" t="s">
        <v>2147</v>
      </c>
      <c r="H63" s="698" t="s">
        <v>2148</v>
      </c>
      <c r="I63" s="701">
        <v>9.7799997329711914</v>
      </c>
      <c r="J63" s="701">
        <v>450</v>
      </c>
      <c r="K63" s="702">
        <v>4399.75</v>
      </c>
    </row>
    <row r="64" spans="1:11" ht="14.45" customHeight="1" x14ac:dyDescent="0.2">
      <c r="A64" s="696" t="s">
        <v>537</v>
      </c>
      <c r="B64" s="697" t="s">
        <v>538</v>
      </c>
      <c r="C64" s="698" t="s">
        <v>550</v>
      </c>
      <c r="D64" s="699" t="s">
        <v>551</v>
      </c>
      <c r="E64" s="698" t="s">
        <v>2087</v>
      </c>
      <c r="F64" s="699" t="s">
        <v>2088</v>
      </c>
      <c r="G64" s="698" t="s">
        <v>2147</v>
      </c>
      <c r="H64" s="698" t="s">
        <v>2149</v>
      </c>
      <c r="I64" s="701">
        <v>9.7799997329711914</v>
      </c>
      <c r="J64" s="701">
        <v>20</v>
      </c>
      <c r="K64" s="702">
        <v>195.5</v>
      </c>
    </row>
    <row r="65" spans="1:11" ht="14.45" customHeight="1" x14ac:dyDescent="0.2">
      <c r="A65" s="696" t="s">
        <v>537</v>
      </c>
      <c r="B65" s="697" t="s">
        <v>538</v>
      </c>
      <c r="C65" s="698" t="s">
        <v>550</v>
      </c>
      <c r="D65" s="699" t="s">
        <v>551</v>
      </c>
      <c r="E65" s="698" t="s">
        <v>2087</v>
      </c>
      <c r="F65" s="699" t="s">
        <v>2088</v>
      </c>
      <c r="G65" s="698" t="s">
        <v>2150</v>
      </c>
      <c r="H65" s="698" t="s">
        <v>2151</v>
      </c>
      <c r="I65" s="701">
        <v>3.6219999313354494</v>
      </c>
      <c r="J65" s="701">
        <v>520</v>
      </c>
      <c r="K65" s="702">
        <v>1883.2899932861328</v>
      </c>
    </row>
    <row r="66" spans="1:11" ht="14.45" customHeight="1" x14ac:dyDescent="0.2">
      <c r="A66" s="696" t="s">
        <v>537</v>
      </c>
      <c r="B66" s="697" t="s">
        <v>538</v>
      </c>
      <c r="C66" s="698" t="s">
        <v>550</v>
      </c>
      <c r="D66" s="699" t="s">
        <v>551</v>
      </c>
      <c r="E66" s="698" t="s">
        <v>2087</v>
      </c>
      <c r="F66" s="699" t="s">
        <v>2088</v>
      </c>
      <c r="G66" s="698" t="s">
        <v>2152</v>
      </c>
      <c r="H66" s="698" t="s">
        <v>2153</v>
      </c>
      <c r="I66" s="701">
        <v>40.729999542236328</v>
      </c>
      <c r="J66" s="701">
        <v>60</v>
      </c>
      <c r="K66" s="702">
        <v>2444.0099487304688</v>
      </c>
    </row>
    <row r="67" spans="1:11" ht="14.45" customHeight="1" x14ac:dyDescent="0.2">
      <c r="A67" s="696" t="s">
        <v>537</v>
      </c>
      <c r="B67" s="697" t="s">
        <v>538</v>
      </c>
      <c r="C67" s="698" t="s">
        <v>550</v>
      </c>
      <c r="D67" s="699" t="s">
        <v>551</v>
      </c>
      <c r="E67" s="698" t="s">
        <v>2087</v>
      </c>
      <c r="F67" s="699" t="s">
        <v>2088</v>
      </c>
      <c r="G67" s="698" t="s">
        <v>2154</v>
      </c>
      <c r="H67" s="698" t="s">
        <v>2155</v>
      </c>
      <c r="I67" s="701">
        <v>123.18750190734863</v>
      </c>
      <c r="J67" s="701">
        <v>40</v>
      </c>
      <c r="K67" s="702">
        <v>4927.4400634765625</v>
      </c>
    </row>
    <row r="68" spans="1:11" ht="14.45" customHeight="1" x14ac:dyDescent="0.2">
      <c r="A68" s="696" t="s">
        <v>537</v>
      </c>
      <c r="B68" s="697" t="s">
        <v>538</v>
      </c>
      <c r="C68" s="698" t="s">
        <v>550</v>
      </c>
      <c r="D68" s="699" t="s">
        <v>551</v>
      </c>
      <c r="E68" s="698" t="s">
        <v>2087</v>
      </c>
      <c r="F68" s="699" t="s">
        <v>2088</v>
      </c>
      <c r="G68" s="698" t="s">
        <v>2156</v>
      </c>
      <c r="H68" s="698" t="s">
        <v>2157</v>
      </c>
      <c r="I68" s="701">
        <v>299</v>
      </c>
      <c r="J68" s="701">
        <v>40</v>
      </c>
      <c r="K68" s="702">
        <v>11960</v>
      </c>
    </row>
    <row r="69" spans="1:11" ht="14.45" customHeight="1" x14ac:dyDescent="0.2">
      <c r="A69" s="696" t="s">
        <v>537</v>
      </c>
      <c r="B69" s="697" t="s">
        <v>538</v>
      </c>
      <c r="C69" s="698" t="s">
        <v>550</v>
      </c>
      <c r="D69" s="699" t="s">
        <v>551</v>
      </c>
      <c r="E69" s="698" t="s">
        <v>2087</v>
      </c>
      <c r="F69" s="699" t="s">
        <v>2088</v>
      </c>
      <c r="G69" s="698" t="s">
        <v>2158</v>
      </c>
      <c r="H69" s="698" t="s">
        <v>2159</v>
      </c>
      <c r="I69" s="701">
        <v>35</v>
      </c>
      <c r="J69" s="701">
        <v>10</v>
      </c>
      <c r="K69" s="702">
        <v>350</v>
      </c>
    </row>
    <row r="70" spans="1:11" ht="14.45" customHeight="1" x14ac:dyDescent="0.2">
      <c r="A70" s="696" t="s">
        <v>537</v>
      </c>
      <c r="B70" s="697" t="s">
        <v>538</v>
      </c>
      <c r="C70" s="698" t="s">
        <v>550</v>
      </c>
      <c r="D70" s="699" t="s">
        <v>551</v>
      </c>
      <c r="E70" s="698" t="s">
        <v>2087</v>
      </c>
      <c r="F70" s="699" t="s">
        <v>2088</v>
      </c>
      <c r="G70" s="698" t="s">
        <v>2160</v>
      </c>
      <c r="H70" s="698" t="s">
        <v>2161</v>
      </c>
      <c r="I70" s="701">
        <v>573.8499755859375</v>
      </c>
      <c r="J70" s="701">
        <v>5</v>
      </c>
      <c r="K70" s="702">
        <v>2869.25</v>
      </c>
    </row>
    <row r="71" spans="1:11" ht="14.45" customHeight="1" x14ac:dyDescent="0.2">
      <c r="A71" s="696" t="s">
        <v>537</v>
      </c>
      <c r="B71" s="697" t="s">
        <v>538</v>
      </c>
      <c r="C71" s="698" t="s">
        <v>550</v>
      </c>
      <c r="D71" s="699" t="s">
        <v>551</v>
      </c>
      <c r="E71" s="698" t="s">
        <v>2087</v>
      </c>
      <c r="F71" s="699" t="s">
        <v>2088</v>
      </c>
      <c r="G71" s="698" t="s">
        <v>2162</v>
      </c>
      <c r="H71" s="698" t="s">
        <v>2163</v>
      </c>
      <c r="I71" s="701">
        <v>599.1500244140625</v>
      </c>
      <c r="J71" s="701">
        <v>58</v>
      </c>
      <c r="K71" s="702">
        <v>34750.699340820313</v>
      </c>
    </row>
    <row r="72" spans="1:11" ht="14.45" customHeight="1" x14ac:dyDescent="0.2">
      <c r="A72" s="696" t="s">
        <v>537</v>
      </c>
      <c r="B72" s="697" t="s">
        <v>538</v>
      </c>
      <c r="C72" s="698" t="s">
        <v>550</v>
      </c>
      <c r="D72" s="699" t="s">
        <v>551</v>
      </c>
      <c r="E72" s="698" t="s">
        <v>2087</v>
      </c>
      <c r="F72" s="699" t="s">
        <v>2088</v>
      </c>
      <c r="G72" s="698" t="s">
        <v>2164</v>
      </c>
      <c r="H72" s="698" t="s">
        <v>2165</v>
      </c>
      <c r="I72" s="701">
        <v>107.59999847412109</v>
      </c>
      <c r="J72" s="701">
        <v>20</v>
      </c>
      <c r="K72" s="702">
        <v>2152</v>
      </c>
    </row>
    <row r="73" spans="1:11" ht="14.45" customHeight="1" x14ac:dyDescent="0.2">
      <c r="A73" s="696" t="s">
        <v>537</v>
      </c>
      <c r="B73" s="697" t="s">
        <v>538</v>
      </c>
      <c r="C73" s="698" t="s">
        <v>550</v>
      </c>
      <c r="D73" s="699" t="s">
        <v>551</v>
      </c>
      <c r="E73" s="698" t="s">
        <v>2087</v>
      </c>
      <c r="F73" s="699" t="s">
        <v>2088</v>
      </c>
      <c r="G73" s="698" t="s">
        <v>2166</v>
      </c>
      <c r="H73" s="698" t="s">
        <v>2167</v>
      </c>
      <c r="I73" s="701">
        <v>59.799999237060547</v>
      </c>
      <c r="J73" s="701">
        <v>30</v>
      </c>
      <c r="K73" s="702">
        <v>1794</v>
      </c>
    </row>
    <row r="74" spans="1:11" ht="14.45" customHeight="1" x14ac:dyDescent="0.2">
      <c r="A74" s="696" t="s">
        <v>537</v>
      </c>
      <c r="B74" s="697" t="s">
        <v>538</v>
      </c>
      <c r="C74" s="698" t="s">
        <v>550</v>
      </c>
      <c r="D74" s="699" t="s">
        <v>551</v>
      </c>
      <c r="E74" s="698" t="s">
        <v>2087</v>
      </c>
      <c r="F74" s="699" t="s">
        <v>2088</v>
      </c>
      <c r="G74" s="698" t="s">
        <v>2168</v>
      </c>
      <c r="H74" s="698" t="s">
        <v>2169</v>
      </c>
      <c r="I74" s="701">
        <v>5.8437500596046448</v>
      </c>
      <c r="J74" s="701">
        <v>1000</v>
      </c>
      <c r="K74" s="702">
        <v>5844.1799926757813</v>
      </c>
    </row>
    <row r="75" spans="1:11" ht="14.45" customHeight="1" x14ac:dyDescent="0.2">
      <c r="A75" s="696" t="s">
        <v>537</v>
      </c>
      <c r="B75" s="697" t="s">
        <v>538</v>
      </c>
      <c r="C75" s="698" t="s">
        <v>550</v>
      </c>
      <c r="D75" s="699" t="s">
        <v>551</v>
      </c>
      <c r="E75" s="698" t="s">
        <v>2087</v>
      </c>
      <c r="F75" s="699" t="s">
        <v>2088</v>
      </c>
      <c r="G75" s="698" t="s">
        <v>2170</v>
      </c>
      <c r="H75" s="698" t="s">
        <v>2171</v>
      </c>
      <c r="I75" s="701">
        <v>14.121666590372721</v>
      </c>
      <c r="J75" s="701">
        <v>600</v>
      </c>
      <c r="K75" s="702">
        <v>8473</v>
      </c>
    </row>
    <row r="76" spans="1:11" ht="14.45" customHeight="1" x14ac:dyDescent="0.2">
      <c r="A76" s="696" t="s">
        <v>537</v>
      </c>
      <c r="B76" s="697" t="s">
        <v>538</v>
      </c>
      <c r="C76" s="698" t="s">
        <v>550</v>
      </c>
      <c r="D76" s="699" t="s">
        <v>551</v>
      </c>
      <c r="E76" s="698" t="s">
        <v>2087</v>
      </c>
      <c r="F76" s="699" t="s">
        <v>2088</v>
      </c>
      <c r="G76" s="698" t="s">
        <v>2172</v>
      </c>
      <c r="H76" s="698" t="s">
        <v>2173</v>
      </c>
      <c r="I76" s="701">
        <v>14.609999656677246</v>
      </c>
      <c r="J76" s="701">
        <v>250</v>
      </c>
      <c r="K76" s="702">
        <v>3652.39990234375</v>
      </c>
    </row>
    <row r="77" spans="1:11" ht="14.45" customHeight="1" x14ac:dyDescent="0.2">
      <c r="A77" s="696" t="s">
        <v>537</v>
      </c>
      <c r="B77" s="697" t="s">
        <v>538</v>
      </c>
      <c r="C77" s="698" t="s">
        <v>550</v>
      </c>
      <c r="D77" s="699" t="s">
        <v>551</v>
      </c>
      <c r="E77" s="698" t="s">
        <v>2087</v>
      </c>
      <c r="F77" s="699" t="s">
        <v>2088</v>
      </c>
      <c r="G77" s="698" t="s">
        <v>2174</v>
      </c>
      <c r="H77" s="698" t="s">
        <v>2175</v>
      </c>
      <c r="I77" s="701">
        <v>241.86000061035156</v>
      </c>
      <c r="J77" s="701">
        <v>25</v>
      </c>
      <c r="K77" s="702">
        <v>6046.47021484375</v>
      </c>
    </row>
    <row r="78" spans="1:11" ht="14.45" customHeight="1" x14ac:dyDescent="0.2">
      <c r="A78" s="696" t="s">
        <v>537</v>
      </c>
      <c r="B78" s="697" t="s">
        <v>538</v>
      </c>
      <c r="C78" s="698" t="s">
        <v>550</v>
      </c>
      <c r="D78" s="699" t="s">
        <v>551</v>
      </c>
      <c r="E78" s="698" t="s">
        <v>2087</v>
      </c>
      <c r="F78" s="699" t="s">
        <v>2088</v>
      </c>
      <c r="G78" s="698" t="s">
        <v>2176</v>
      </c>
      <c r="H78" s="698" t="s">
        <v>2177</v>
      </c>
      <c r="I78" s="701">
        <v>99.709999084472656</v>
      </c>
      <c r="J78" s="701">
        <v>10</v>
      </c>
      <c r="K78" s="702">
        <v>997.04998779296875</v>
      </c>
    </row>
    <row r="79" spans="1:11" ht="14.45" customHeight="1" x14ac:dyDescent="0.2">
      <c r="A79" s="696" t="s">
        <v>537</v>
      </c>
      <c r="B79" s="697" t="s">
        <v>538</v>
      </c>
      <c r="C79" s="698" t="s">
        <v>550</v>
      </c>
      <c r="D79" s="699" t="s">
        <v>551</v>
      </c>
      <c r="E79" s="698" t="s">
        <v>2087</v>
      </c>
      <c r="F79" s="699" t="s">
        <v>2088</v>
      </c>
      <c r="G79" s="698" t="s">
        <v>2176</v>
      </c>
      <c r="H79" s="698" t="s">
        <v>2178</v>
      </c>
      <c r="I79" s="701">
        <v>99.709999084472656</v>
      </c>
      <c r="J79" s="701">
        <v>10</v>
      </c>
      <c r="K79" s="702">
        <v>997.04998779296875</v>
      </c>
    </row>
    <row r="80" spans="1:11" ht="14.45" customHeight="1" x14ac:dyDescent="0.2">
      <c r="A80" s="696" t="s">
        <v>537</v>
      </c>
      <c r="B80" s="697" t="s">
        <v>538</v>
      </c>
      <c r="C80" s="698" t="s">
        <v>550</v>
      </c>
      <c r="D80" s="699" t="s">
        <v>551</v>
      </c>
      <c r="E80" s="698" t="s">
        <v>2087</v>
      </c>
      <c r="F80" s="699" t="s">
        <v>2088</v>
      </c>
      <c r="G80" s="698" t="s">
        <v>2179</v>
      </c>
      <c r="H80" s="698" t="s">
        <v>2180</v>
      </c>
      <c r="I80" s="701">
        <v>124.55000305175781</v>
      </c>
      <c r="J80" s="701">
        <v>10</v>
      </c>
      <c r="K80" s="702">
        <v>1245.449951171875</v>
      </c>
    </row>
    <row r="81" spans="1:11" ht="14.45" customHeight="1" x14ac:dyDescent="0.2">
      <c r="A81" s="696" t="s">
        <v>537</v>
      </c>
      <c r="B81" s="697" t="s">
        <v>538</v>
      </c>
      <c r="C81" s="698" t="s">
        <v>550</v>
      </c>
      <c r="D81" s="699" t="s">
        <v>551</v>
      </c>
      <c r="E81" s="698" t="s">
        <v>2087</v>
      </c>
      <c r="F81" s="699" t="s">
        <v>2088</v>
      </c>
      <c r="G81" s="698" t="s">
        <v>2181</v>
      </c>
      <c r="H81" s="698" t="s">
        <v>2182</v>
      </c>
      <c r="I81" s="701">
        <v>286.35000610351563</v>
      </c>
      <c r="J81" s="701">
        <v>5</v>
      </c>
      <c r="K81" s="702">
        <v>1431.75</v>
      </c>
    </row>
    <row r="82" spans="1:11" ht="14.45" customHeight="1" x14ac:dyDescent="0.2">
      <c r="A82" s="696" t="s">
        <v>537</v>
      </c>
      <c r="B82" s="697" t="s">
        <v>538</v>
      </c>
      <c r="C82" s="698" t="s">
        <v>550</v>
      </c>
      <c r="D82" s="699" t="s">
        <v>551</v>
      </c>
      <c r="E82" s="698" t="s">
        <v>2087</v>
      </c>
      <c r="F82" s="699" t="s">
        <v>2088</v>
      </c>
      <c r="G82" s="698" t="s">
        <v>2183</v>
      </c>
      <c r="H82" s="698" t="s">
        <v>2184</v>
      </c>
      <c r="I82" s="701">
        <v>1.3799999952316284</v>
      </c>
      <c r="J82" s="701">
        <v>600</v>
      </c>
      <c r="K82" s="702">
        <v>828</v>
      </c>
    </row>
    <row r="83" spans="1:11" ht="14.45" customHeight="1" x14ac:dyDescent="0.2">
      <c r="A83" s="696" t="s">
        <v>537</v>
      </c>
      <c r="B83" s="697" t="s">
        <v>538</v>
      </c>
      <c r="C83" s="698" t="s">
        <v>550</v>
      </c>
      <c r="D83" s="699" t="s">
        <v>551</v>
      </c>
      <c r="E83" s="698" t="s">
        <v>2087</v>
      </c>
      <c r="F83" s="699" t="s">
        <v>2088</v>
      </c>
      <c r="G83" s="698" t="s">
        <v>2185</v>
      </c>
      <c r="H83" s="698" t="s">
        <v>2186</v>
      </c>
      <c r="I83" s="701">
        <v>0.85272729396820068</v>
      </c>
      <c r="J83" s="701">
        <v>3400</v>
      </c>
      <c r="K83" s="702">
        <v>2898.4700012207031</v>
      </c>
    </row>
    <row r="84" spans="1:11" ht="14.45" customHeight="1" x14ac:dyDescent="0.2">
      <c r="A84" s="696" t="s">
        <v>537</v>
      </c>
      <c r="B84" s="697" t="s">
        <v>538</v>
      </c>
      <c r="C84" s="698" t="s">
        <v>550</v>
      </c>
      <c r="D84" s="699" t="s">
        <v>551</v>
      </c>
      <c r="E84" s="698" t="s">
        <v>2087</v>
      </c>
      <c r="F84" s="699" t="s">
        <v>2088</v>
      </c>
      <c r="G84" s="698" t="s">
        <v>2187</v>
      </c>
      <c r="H84" s="698" t="s">
        <v>2188</v>
      </c>
      <c r="I84" s="701">
        <v>1.5149999856948853</v>
      </c>
      <c r="J84" s="701">
        <v>2550</v>
      </c>
      <c r="K84" s="702">
        <v>3860.25</v>
      </c>
    </row>
    <row r="85" spans="1:11" ht="14.45" customHeight="1" x14ac:dyDescent="0.2">
      <c r="A85" s="696" t="s">
        <v>537</v>
      </c>
      <c r="B85" s="697" t="s">
        <v>538</v>
      </c>
      <c r="C85" s="698" t="s">
        <v>550</v>
      </c>
      <c r="D85" s="699" t="s">
        <v>551</v>
      </c>
      <c r="E85" s="698" t="s">
        <v>2087</v>
      </c>
      <c r="F85" s="699" t="s">
        <v>2088</v>
      </c>
      <c r="G85" s="698" t="s">
        <v>2189</v>
      </c>
      <c r="H85" s="698" t="s">
        <v>2190</v>
      </c>
      <c r="I85" s="701">
        <v>2.06333327293396</v>
      </c>
      <c r="J85" s="701">
        <v>1100</v>
      </c>
      <c r="K85" s="702">
        <v>2271.2399978637695</v>
      </c>
    </row>
    <row r="86" spans="1:11" ht="14.45" customHeight="1" x14ac:dyDescent="0.2">
      <c r="A86" s="696" t="s">
        <v>537</v>
      </c>
      <c r="B86" s="697" t="s">
        <v>538</v>
      </c>
      <c r="C86" s="698" t="s">
        <v>550</v>
      </c>
      <c r="D86" s="699" t="s">
        <v>551</v>
      </c>
      <c r="E86" s="698" t="s">
        <v>2087</v>
      </c>
      <c r="F86" s="699" t="s">
        <v>2088</v>
      </c>
      <c r="G86" s="698" t="s">
        <v>2191</v>
      </c>
      <c r="H86" s="698" t="s">
        <v>2192</v>
      </c>
      <c r="I86" s="701">
        <v>3.3649998903274536</v>
      </c>
      <c r="J86" s="701">
        <v>355</v>
      </c>
      <c r="K86" s="702">
        <v>1193.8500061035156</v>
      </c>
    </row>
    <row r="87" spans="1:11" ht="14.45" customHeight="1" x14ac:dyDescent="0.2">
      <c r="A87" s="696" t="s">
        <v>537</v>
      </c>
      <c r="B87" s="697" t="s">
        <v>538</v>
      </c>
      <c r="C87" s="698" t="s">
        <v>550</v>
      </c>
      <c r="D87" s="699" t="s">
        <v>551</v>
      </c>
      <c r="E87" s="698" t="s">
        <v>2087</v>
      </c>
      <c r="F87" s="699" t="s">
        <v>2088</v>
      </c>
      <c r="G87" s="698" t="s">
        <v>2193</v>
      </c>
      <c r="H87" s="698" t="s">
        <v>2194</v>
      </c>
      <c r="I87" s="701">
        <v>5.875</v>
      </c>
      <c r="J87" s="701">
        <v>100</v>
      </c>
      <c r="K87" s="702">
        <v>587.5</v>
      </c>
    </row>
    <row r="88" spans="1:11" ht="14.45" customHeight="1" x14ac:dyDescent="0.2">
      <c r="A88" s="696" t="s">
        <v>537</v>
      </c>
      <c r="B88" s="697" t="s">
        <v>538</v>
      </c>
      <c r="C88" s="698" t="s">
        <v>550</v>
      </c>
      <c r="D88" s="699" t="s">
        <v>551</v>
      </c>
      <c r="E88" s="698" t="s">
        <v>2087</v>
      </c>
      <c r="F88" s="699" t="s">
        <v>2088</v>
      </c>
      <c r="G88" s="698" t="s">
        <v>2195</v>
      </c>
      <c r="H88" s="698" t="s">
        <v>2196</v>
      </c>
      <c r="I88" s="701">
        <v>9.2984616939838123</v>
      </c>
      <c r="J88" s="701">
        <v>800</v>
      </c>
      <c r="K88" s="702">
        <v>7439</v>
      </c>
    </row>
    <row r="89" spans="1:11" ht="14.45" customHeight="1" x14ac:dyDescent="0.2">
      <c r="A89" s="696" t="s">
        <v>537</v>
      </c>
      <c r="B89" s="697" t="s">
        <v>538</v>
      </c>
      <c r="C89" s="698" t="s">
        <v>550</v>
      </c>
      <c r="D89" s="699" t="s">
        <v>551</v>
      </c>
      <c r="E89" s="698" t="s">
        <v>2087</v>
      </c>
      <c r="F89" s="699" t="s">
        <v>2088</v>
      </c>
      <c r="G89" s="698" t="s">
        <v>2197</v>
      </c>
      <c r="H89" s="698" t="s">
        <v>2198</v>
      </c>
      <c r="I89" s="701">
        <v>67.760002136230469</v>
      </c>
      <c r="J89" s="701">
        <v>25</v>
      </c>
      <c r="K89" s="702">
        <v>1693.9999694824219</v>
      </c>
    </row>
    <row r="90" spans="1:11" ht="14.45" customHeight="1" x14ac:dyDescent="0.2">
      <c r="A90" s="696" t="s">
        <v>537</v>
      </c>
      <c r="B90" s="697" t="s">
        <v>538</v>
      </c>
      <c r="C90" s="698" t="s">
        <v>550</v>
      </c>
      <c r="D90" s="699" t="s">
        <v>551</v>
      </c>
      <c r="E90" s="698" t="s">
        <v>2087</v>
      </c>
      <c r="F90" s="699" t="s">
        <v>2088</v>
      </c>
      <c r="G90" s="698" t="s">
        <v>2199</v>
      </c>
      <c r="H90" s="698" t="s">
        <v>2200</v>
      </c>
      <c r="I90" s="701">
        <v>46</v>
      </c>
      <c r="J90" s="701">
        <v>9</v>
      </c>
      <c r="K90" s="702">
        <v>414</v>
      </c>
    </row>
    <row r="91" spans="1:11" ht="14.45" customHeight="1" x14ac:dyDescent="0.2">
      <c r="A91" s="696" t="s">
        <v>537</v>
      </c>
      <c r="B91" s="697" t="s">
        <v>538</v>
      </c>
      <c r="C91" s="698" t="s">
        <v>550</v>
      </c>
      <c r="D91" s="699" t="s">
        <v>551</v>
      </c>
      <c r="E91" s="698" t="s">
        <v>2087</v>
      </c>
      <c r="F91" s="699" t="s">
        <v>2088</v>
      </c>
      <c r="G91" s="698" t="s">
        <v>2201</v>
      </c>
      <c r="H91" s="698" t="s">
        <v>2202</v>
      </c>
      <c r="I91" s="701">
        <v>26.168000030517579</v>
      </c>
      <c r="J91" s="701">
        <v>7</v>
      </c>
      <c r="K91" s="702">
        <v>183.18000030517578</v>
      </c>
    </row>
    <row r="92" spans="1:11" ht="14.45" customHeight="1" x14ac:dyDescent="0.2">
      <c r="A92" s="696" t="s">
        <v>537</v>
      </c>
      <c r="B92" s="697" t="s">
        <v>538</v>
      </c>
      <c r="C92" s="698" t="s">
        <v>550</v>
      </c>
      <c r="D92" s="699" t="s">
        <v>551</v>
      </c>
      <c r="E92" s="698" t="s">
        <v>2087</v>
      </c>
      <c r="F92" s="699" t="s">
        <v>2088</v>
      </c>
      <c r="G92" s="698" t="s">
        <v>2203</v>
      </c>
      <c r="H92" s="698" t="s">
        <v>2204</v>
      </c>
      <c r="I92" s="701">
        <v>98.370002746582031</v>
      </c>
      <c r="J92" s="701">
        <v>6</v>
      </c>
      <c r="K92" s="702">
        <v>590.219970703125</v>
      </c>
    </row>
    <row r="93" spans="1:11" ht="14.45" customHeight="1" x14ac:dyDescent="0.2">
      <c r="A93" s="696" t="s">
        <v>537</v>
      </c>
      <c r="B93" s="697" t="s">
        <v>538</v>
      </c>
      <c r="C93" s="698" t="s">
        <v>550</v>
      </c>
      <c r="D93" s="699" t="s">
        <v>551</v>
      </c>
      <c r="E93" s="698" t="s">
        <v>2087</v>
      </c>
      <c r="F93" s="699" t="s">
        <v>2088</v>
      </c>
      <c r="G93" s="698" t="s">
        <v>2205</v>
      </c>
      <c r="H93" s="698" t="s">
        <v>2206</v>
      </c>
      <c r="I93" s="701">
        <v>46.317500114440918</v>
      </c>
      <c r="J93" s="701">
        <v>26</v>
      </c>
      <c r="K93" s="702">
        <v>1204.260009765625</v>
      </c>
    </row>
    <row r="94" spans="1:11" ht="14.45" customHeight="1" x14ac:dyDescent="0.2">
      <c r="A94" s="696" t="s">
        <v>537</v>
      </c>
      <c r="B94" s="697" t="s">
        <v>538</v>
      </c>
      <c r="C94" s="698" t="s">
        <v>550</v>
      </c>
      <c r="D94" s="699" t="s">
        <v>551</v>
      </c>
      <c r="E94" s="698" t="s">
        <v>2087</v>
      </c>
      <c r="F94" s="699" t="s">
        <v>2088</v>
      </c>
      <c r="G94" s="698" t="s">
        <v>2207</v>
      </c>
      <c r="H94" s="698" t="s">
        <v>2208</v>
      </c>
      <c r="I94" s="701">
        <v>8.3900003433227539</v>
      </c>
      <c r="J94" s="701">
        <v>6</v>
      </c>
      <c r="K94" s="702">
        <v>50.340000152587891</v>
      </c>
    </row>
    <row r="95" spans="1:11" ht="14.45" customHeight="1" x14ac:dyDescent="0.2">
      <c r="A95" s="696" t="s">
        <v>537</v>
      </c>
      <c r="B95" s="697" t="s">
        <v>538</v>
      </c>
      <c r="C95" s="698" t="s">
        <v>550</v>
      </c>
      <c r="D95" s="699" t="s">
        <v>551</v>
      </c>
      <c r="E95" s="698" t="s">
        <v>2087</v>
      </c>
      <c r="F95" s="699" t="s">
        <v>2088</v>
      </c>
      <c r="G95" s="698" t="s">
        <v>2209</v>
      </c>
      <c r="H95" s="698" t="s">
        <v>2210</v>
      </c>
      <c r="I95" s="701">
        <v>8.005000114440918</v>
      </c>
      <c r="J95" s="701">
        <v>312</v>
      </c>
      <c r="K95" s="702">
        <v>2497.2000350952148</v>
      </c>
    </row>
    <row r="96" spans="1:11" ht="14.45" customHeight="1" x14ac:dyDescent="0.2">
      <c r="A96" s="696" t="s">
        <v>537</v>
      </c>
      <c r="B96" s="697" t="s">
        <v>538</v>
      </c>
      <c r="C96" s="698" t="s">
        <v>550</v>
      </c>
      <c r="D96" s="699" t="s">
        <v>551</v>
      </c>
      <c r="E96" s="698" t="s">
        <v>2087</v>
      </c>
      <c r="F96" s="699" t="s">
        <v>2088</v>
      </c>
      <c r="G96" s="698" t="s">
        <v>2211</v>
      </c>
      <c r="H96" s="698" t="s">
        <v>2212</v>
      </c>
      <c r="I96" s="701">
        <v>13.079999923706055</v>
      </c>
      <c r="J96" s="701">
        <v>363</v>
      </c>
      <c r="K96" s="702">
        <v>4748.0400161743164</v>
      </c>
    </row>
    <row r="97" spans="1:11" ht="14.45" customHeight="1" x14ac:dyDescent="0.2">
      <c r="A97" s="696" t="s">
        <v>537</v>
      </c>
      <c r="B97" s="697" t="s">
        <v>538</v>
      </c>
      <c r="C97" s="698" t="s">
        <v>550</v>
      </c>
      <c r="D97" s="699" t="s">
        <v>551</v>
      </c>
      <c r="E97" s="698" t="s">
        <v>2087</v>
      </c>
      <c r="F97" s="699" t="s">
        <v>2088</v>
      </c>
      <c r="G97" s="698" t="s">
        <v>2213</v>
      </c>
      <c r="H97" s="698" t="s">
        <v>2214</v>
      </c>
      <c r="I97" s="701">
        <v>20.286666446261936</v>
      </c>
      <c r="J97" s="701">
        <v>396</v>
      </c>
      <c r="K97" s="702">
        <v>8054.5699615478516</v>
      </c>
    </row>
    <row r="98" spans="1:11" ht="14.45" customHeight="1" x14ac:dyDescent="0.2">
      <c r="A98" s="696" t="s">
        <v>537</v>
      </c>
      <c r="B98" s="697" t="s">
        <v>538</v>
      </c>
      <c r="C98" s="698" t="s">
        <v>550</v>
      </c>
      <c r="D98" s="699" t="s">
        <v>551</v>
      </c>
      <c r="E98" s="698" t="s">
        <v>2087</v>
      </c>
      <c r="F98" s="699" t="s">
        <v>2088</v>
      </c>
      <c r="G98" s="698" t="s">
        <v>2215</v>
      </c>
      <c r="H98" s="698" t="s">
        <v>2216</v>
      </c>
      <c r="I98" s="701">
        <v>25.549999237060547</v>
      </c>
      <c r="J98" s="701">
        <v>24</v>
      </c>
      <c r="K98" s="702">
        <v>613.21002197265625</v>
      </c>
    </row>
    <row r="99" spans="1:11" ht="14.45" customHeight="1" x14ac:dyDescent="0.2">
      <c r="A99" s="696" t="s">
        <v>537</v>
      </c>
      <c r="B99" s="697" t="s">
        <v>538</v>
      </c>
      <c r="C99" s="698" t="s">
        <v>550</v>
      </c>
      <c r="D99" s="699" t="s">
        <v>551</v>
      </c>
      <c r="E99" s="698" t="s">
        <v>2087</v>
      </c>
      <c r="F99" s="699" t="s">
        <v>2088</v>
      </c>
      <c r="G99" s="698" t="s">
        <v>2217</v>
      </c>
      <c r="H99" s="698" t="s">
        <v>2218</v>
      </c>
      <c r="I99" s="701">
        <v>7.820000171661377</v>
      </c>
      <c r="J99" s="701">
        <v>30</v>
      </c>
      <c r="K99" s="702">
        <v>234.59999084472656</v>
      </c>
    </row>
    <row r="100" spans="1:11" ht="14.45" customHeight="1" x14ac:dyDescent="0.2">
      <c r="A100" s="696" t="s">
        <v>537</v>
      </c>
      <c r="B100" s="697" t="s">
        <v>538</v>
      </c>
      <c r="C100" s="698" t="s">
        <v>550</v>
      </c>
      <c r="D100" s="699" t="s">
        <v>551</v>
      </c>
      <c r="E100" s="698" t="s">
        <v>2087</v>
      </c>
      <c r="F100" s="699" t="s">
        <v>2088</v>
      </c>
      <c r="G100" s="698" t="s">
        <v>2219</v>
      </c>
      <c r="H100" s="698" t="s">
        <v>2220</v>
      </c>
      <c r="I100" s="701">
        <v>8.8900003433227539</v>
      </c>
      <c r="J100" s="701">
        <v>60</v>
      </c>
      <c r="K100" s="702">
        <v>533.40000915527344</v>
      </c>
    </row>
    <row r="101" spans="1:11" ht="14.45" customHeight="1" x14ac:dyDescent="0.2">
      <c r="A101" s="696" t="s">
        <v>537</v>
      </c>
      <c r="B101" s="697" t="s">
        <v>538</v>
      </c>
      <c r="C101" s="698" t="s">
        <v>550</v>
      </c>
      <c r="D101" s="699" t="s">
        <v>551</v>
      </c>
      <c r="E101" s="698" t="s">
        <v>2087</v>
      </c>
      <c r="F101" s="699" t="s">
        <v>2088</v>
      </c>
      <c r="G101" s="698" t="s">
        <v>2221</v>
      </c>
      <c r="H101" s="698" t="s">
        <v>2222</v>
      </c>
      <c r="I101" s="701">
        <v>10.836666742960611</v>
      </c>
      <c r="J101" s="701">
        <v>50</v>
      </c>
      <c r="K101" s="702">
        <v>541.90000915527344</v>
      </c>
    </row>
    <row r="102" spans="1:11" ht="14.45" customHeight="1" x14ac:dyDescent="0.2">
      <c r="A102" s="696" t="s">
        <v>537</v>
      </c>
      <c r="B102" s="697" t="s">
        <v>538</v>
      </c>
      <c r="C102" s="698" t="s">
        <v>550</v>
      </c>
      <c r="D102" s="699" t="s">
        <v>551</v>
      </c>
      <c r="E102" s="698" t="s">
        <v>2087</v>
      </c>
      <c r="F102" s="699" t="s">
        <v>2088</v>
      </c>
      <c r="G102" s="698" t="s">
        <v>2223</v>
      </c>
      <c r="H102" s="698" t="s">
        <v>2224</v>
      </c>
      <c r="I102" s="701">
        <v>13.630000114440918</v>
      </c>
      <c r="J102" s="701">
        <v>30</v>
      </c>
      <c r="K102" s="702">
        <v>408.90000915527344</v>
      </c>
    </row>
    <row r="103" spans="1:11" ht="14.45" customHeight="1" x14ac:dyDescent="0.2">
      <c r="A103" s="696" t="s">
        <v>537</v>
      </c>
      <c r="B103" s="697" t="s">
        <v>538</v>
      </c>
      <c r="C103" s="698" t="s">
        <v>550</v>
      </c>
      <c r="D103" s="699" t="s">
        <v>551</v>
      </c>
      <c r="E103" s="698" t="s">
        <v>2087</v>
      </c>
      <c r="F103" s="699" t="s">
        <v>2088</v>
      </c>
      <c r="G103" s="698" t="s">
        <v>2223</v>
      </c>
      <c r="H103" s="698" t="s">
        <v>2225</v>
      </c>
      <c r="I103" s="701">
        <v>13.619999885559082</v>
      </c>
      <c r="J103" s="701">
        <v>20</v>
      </c>
      <c r="K103" s="702">
        <v>272.39999389648438</v>
      </c>
    </row>
    <row r="104" spans="1:11" ht="14.45" customHeight="1" x14ac:dyDescent="0.2">
      <c r="A104" s="696" t="s">
        <v>537</v>
      </c>
      <c r="B104" s="697" t="s">
        <v>538</v>
      </c>
      <c r="C104" s="698" t="s">
        <v>550</v>
      </c>
      <c r="D104" s="699" t="s">
        <v>551</v>
      </c>
      <c r="E104" s="698" t="s">
        <v>2087</v>
      </c>
      <c r="F104" s="699" t="s">
        <v>2088</v>
      </c>
      <c r="G104" s="698" t="s">
        <v>2226</v>
      </c>
      <c r="H104" s="698" t="s">
        <v>2227</v>
      </c>
      <c r="I104" s="701">
        <v>8.0500001907348633</v>
      </c>
      <c r="J104" s="701">
        <v>20</v>
      </c>
      <c r="K104" s="702">
        <v>161</v>
      </c>
    </row>
    <row r="105" spans="1:11" ht="14.45" customHeight="1" x14ac:dyDescent="0.2">
      <c r="A105" s="696" t="s">
        <v>537</v>
      </c>
      <c r="B105" s="697" t="s">
        <v>538</v>
      </c>
      <c r="C105" s="698" t="s">
        <v>550</v>
      </c>
      <c r="D105" s="699" t="s">
        <v>551</v>
      </c>
      <c r="E105" s="698" t="s">
        <v>2087</v>
      </c>
      <c r="F105" s="699" t="s">
        <v>2088</v>
      </c>
      <c r="G105" s="698" t="s">
        <v>2228</v>
      </c>
      <c r="H105" s="698" t="s">
        <v>2229</v>
      </c>
      <c r="I105" s="701">
        <v>10.239999771118164</v>
      </c>
      <c r="J105" s="701">
        <v>20</v>
      </c>
      <c r="K105" s="702">
        <v>204.69999694824219</v>
      </c>
    </row>
    <row r="106" spans="1:11" ht="14.45" customHeight="1" x14ac:dyDescent="0.2">
      <c r="A106" s="696" t="s">
        <v>537</v>
      </c>
      <c r="B106" s="697" t="s">
        <v>538</v>
      </c>
      <c r="C106" s="698" t="s">
        <v>550</v>
      </c>
      <c r="D106" s="699" t="s">
        <v>551</v>
      </c>
      <c r="E106" s="698" t="s">
        <v>2087</v>
      </c>
      <c r="F106" s="699" t="s">
        <v>2088</v>
      </c>
      <c r="G106" s="698" t="s">
        <v>2230</v>
      </c>
      <c r="H106" s="698" t="s">
        <v>2231</v>
      </c>
      <c r="I106" s="701">
        <v>2.5899999141693115</v>
      </c>
      <c r="J106" s="701">
        <v>80</v>
      </c>
      <c r="K106" s="702">
        <v>207.19999694824219</v>
      </c>
    </row>
    <row r="107" spans="1:11" ht="14.45" customHeight="1" x14ac:dyDescent="0.2">
      <c r="A107" s="696" t="s">
        <v>537</v>
      </c>
      <c r="B107" s="697" t="s">
        <v>538</v>
      </c>
      <c r="C107" s="698" t="s">
        <v>550</v>
      </c>
      <c r="D107" s="699" t="s">
        <v>551</v>
      </c>
      <c r="E107" s="698" t="s">
        <v>2087</v>
      </c>
      <c r="F107" s="699" t="s">
        <v>2088</v>
      </c>
      <c r="G107" s="698" t="s">
        <v>2232</v>
      </c>
      <c r="H107" s="698" t="s">
        <v>2233</v>
      </c>
      <c r="I107" s="701">
        <v>3.3633332252502441</v>
      </c>
      <c r="J107" s="701">
        <v>100</v>
      </c>
      <c r="K107" s="702">
        <v>336.39999389648438</v>
      </c>
    </row>
    <row r="108" spans="1:11" ht="14.45" customHeight="1" x14ac:dyDescent="0.2">
      <c r="A108" s="696" t="s">
        <v>537</v>
      </c>
      <c r="B108" s="697" t="s">
        <v>538</v>
      </c>
      <c r="C108" s="698" t="s">
        <v>550</v>
      </c>
      <c r="D108" s="699" t="s">
        <v>551</v>
      </c>
      <c r="E108" s="698" t="s">
        <v>2087</v>
      </c>
      <c r="F108" s="699" t="s">
        <v>2088</v>
      </c>
      <c r="G108" s="698" t="s">
        <v>2234</v>
      </c>
      <c r="H108" s="698" t="s">
        <v>2235</v>
      </c>
      <c r="I108" s="701">
        <v>4.0900001525878906</v>
      </c>
      <c r="J108" s="701">
        <v>40</v>
      </c>
      <c r="K108" s="702">
        <v>163.60000610351563</v>
      </c>
    </row>
    <row r="109" spans="1:11" ht="14.45" customHeight="1" x14ac:dyDescent="0.2">
      <c r="A109" s="696" t="s">
        <v>537</v>
      </c>
      <c r="B109" s="697" t="s">
        <v>538</v>
      </c>
      <c r="C109" s="698" t="s">
        <v>550</v>
      </c>
      <c r="D109" s="699" t="s">
        <v>551</v>
      </c>
      <c r="E109" s="698" t="s">
        <v>2087</v>
      </c>
      <c r="F109" s="699" t="s">
        <v>2088</v>
      </c>
      <c r="G109" s="698" t="s">
        <v>2236</v>
      </c>
      <c r="H109" s="698" t="s">
        <v>2237</v>
      </c>
      <c r="I109" s="701">
        <v>4.9000000953674316</v>
      </c>
      <c r="J109" s="701">
        <v>300</v>
      </c>
      <c r="K109" s="702">
        <v>1464.4500122070313</v>
      </c>
    </row>
    <row r="110" spans="1:11" ht="14.45" customHeight="1" x14ac:dyDescent="0.2">
      <c r="A110" s="696" t="s">
        <v>537</v>
      </c>
      <c r="B110" s="697" t="s">
        <v>538</v>
      </c>
      <c r="C110" s="698" t="s">
        <v>550</v>
      </c>
      <c r="D110" s="699" t="s">
        <v>551</v>
      </c>
      <c r="E110" s="698" t="s">
        <v>2087</v>
      </c>
      <c r="F110" s="699" t="s">
        <v>2088</v>
      </c>
      <c r="G110" s="698" t="s">
        <v>2238</v>
      </c>
      <c r="H110" s="698" t="s">
        <v>2239</v>
      </c>
      <c r="I110" s="701">
        <v>72.220001220703125</v>
      </c>
      <c r="J110" s="701">
        <v>2</v>
      </c>
      <c r="K110" s="702">
        <v>144.44000244140625</v>
      </c>
    </row>
    <row r="111" spans="1:11" ht="14.45" customHeight="1" x14ac:dyDescent="0.2">
      <c r="A111" s="696" t="s">
        <v>537</v>
      </c>
      <c r="B111" s="697" t="s">
        <v>538</v>
      </c>
      <c r="C111" s="698" t="s">
        <v>550</v>
      </c>
      <c r="D111" s="699" t="s">
        <v>551</v>
      </c>
      <c r="E111" s="698" t="s">
        <v>2087</v>
      </c>
      <c r="F111" s="699" t="s">
        <v>2088</v>
      </c>
      <c r="G111" s="698" t="s">
        <v>2240</v>
      </c>
      <c r="H111" s="698" t="s">
        <v>2241</v>
      </c>
      <c r="I111" s="701">
        <v>105.44999694824219</v>
      </c>
      <c r="J111" s="701">
        <v>2</v>
      </c>
      <c r="K111" s="702">
        <v>210.89999389648438</v>
      </c>
    </row>
    <row r="112" spans="1:11" ht="14.45" customHeight="1" x14ac:dyDescent="0.2">
      <c r="A112" s="696" t="s">
        <v>537</v>
      </c>
      <c r="B112" s="697" t="s">
        <v>538</v>
      </c>
      <c r="C112" s="698" t="s">
        <v>550</v>
      </c>
      <c r="D112" s="699" t="s">
        <v>551</v>
      </c>
      <c r="E112" s="698" t="s">
        <v>2087</v>
      </c>
      <c r="F112" s="699" t="s">
        <v>2088</v>
      </c>
      <c r="G112" s="698" t="s">
        <v>2242</v>
      </c>
      <c r="H112" s="698" t="s">
        <v>2243</v>
      </c>
      <c r="I112" s="701">
        <v>138.46000671386719</v>
      </c>
      <c r="J112" s="701">
        <v>3</v>
      </c>
      <c r="K112" s="702">
        <v>415.38002014160156</v>
      </c>
    </row>
    <row r="113" spans="1:11" ht="14.45" customHeight="1" x14ac:dyDescent="0.2">
      <c r="A113" s="696" t="s">
        <v>537</v>
      </c>
      <c r="B113" s="697" t="s">
        <v>538</v>
      </c>
      <c r="C113" s="698" t="s">
        <v>550</v>
      </c>
      <c r="D113" s="699" t="s">
        <v>551</v>
      </c>
      <c r="E113" s="698" t="s">
        <v>2087</v>
      </c>
      <c r="F113" s="699" t="s">
        <v>2088</v>
      </c>
      <c r="G113" s="698" t="s">
        <v>2244</v>
      </c>
      <c r="H113" s="698" t="s">
        <v>2245</v>
      </c>
      <c r="I113" s="701">
        <v>430.55999755859375</v>
      </c>
      <c r="J113" s="701">
        <v>4</v>
      </c>
      <c r="K113" s="702">
        <v>1722.2400512695313</v>
      </c>
    </row>
    <row r="114" spans="1:11" ht="14.45" customHeight="1" x14ac:dyDescent="0.2">
      <c r="A114" s="696" t="s">
        <v>537</v>
      </c>
      <c r="B114" s="697" t="s">
        <v>538</v>
      </c>
      <c r="C114" s="698" t="s">
        <v>550</v>
      </c>
      <c r="D114" s="699" t="s">
        <v>551</v>
      </c>
      <c r="E114" s="698" t="s">
        <v>2087</v>
      </c>
      <c r="F114" s="699" t="s">
        <v>2088</v>
      </c>
      <c r="G114" s="698" t="s">
        <v>2246</v>
      </c>
      <c r="H114" s="698" t="s">
        <v>2247</v>
      </c>
      <c r="I114" s="701">
        <v>57.284284864153179</v>
      </c>
      <c r="J114" s="701">
        <v>210</v>
      </c>
      <c r="K114" s="702">
        <v>12029.14990234375</v>
      </c>
    </row>
    <row r="115" spans="1:11" ht="14.45" customHeight="1" x14ac:dyDescent="0.2">
      <c r="A115" s="696" t="s">
        <v>537</v>
      </c>
      <c r="B115" s="697" t="s">
        <v>538</v>
      </c>
      <c r="C115" s="698" t="s">
        <v>550</v>
      </c>
      <c r="D115" s="699" t="s">
        <v>551</v>
      </c>
      <c r="E115" s="698" t="s">
        <v>2087</v>
      </c>
      <c r="F115" s="699" t="s">
        <v>2088</v>
      </c>
      <c r="G115" s="698" t="s">
        <v>2248</v>
      </c>
      <c r="H115" s="698" t="s">
        <v>2249</v>
      </c>
      <c r="I115" s="701">
        <v>42.630001068115234</v>
      </c>
      <c r="J115" s="701">
        <v>10</v>
      </c>
      <c r="K115" s="702">
        <v>426.29998779296875</v>
      </c>
    </row>
    <row r="116" spans="1:11" ht="14.45" customHeight="1" x14ac:dyDescent="0.2">
      <c r="A116" s="696" t="s">
        <v>537</v>
      </c>
      <c r="B116" s="697" t="s">
        <v>538</v>
      </c>
      <c r="C116" s="698" t="s">
        <v>550</v>
      </c>
      <c r="D116" s="699" t="s">
        <v>551</v>
      </c>
      <c r="E116" s="698" t="s">
        <v>2087</v>
      </c>
      <c r="F116" s="699" t="s">
        <v>2088</v>
      </c>
      <c r="G116" s="698" t="s">
        <v>2250</v>
      </c>
      <c r="H116" s="698" t="s">
        <v>2251</v>
      </c>
      <c r="I116" s="701">
        <v>36.302999496459961</v>
      </c>
      <c r="J116" s="701">
        <v>120</v>
      </c>
      <c r="K116" s="702">
        <v>4427.9999694824219</v>
      </c>
    </row>
    <row r="117" spans="1:11" ht="14.45" customHeight="1" x14ac:dyDescent="0.2">
      <c r="A117" s="696" t="s">
        <v>537</v>
      </c>
      <c r="B117" s="697" t="s">
        <v>538</v>
      </c>
      <c r="C117" s="698" t="s">
        <v>550</v>
      </c>
      <c r="D117" s="699" t="s">
        <v>551</v>
      </c>
      <c r="E117" s="698" t="s">
        <v>2087</v>
      </c>
      <c r="F117" s="699" t="s">
        <v>2088</v>
      </c>
      <c r="G117" s="698" t="s">
        <v>2117</v>
      </c>
      <c r="H117" s="698" t="s">
        <v>2252</v>
      </c>
      <c r="I117" s="701">
        <v>35.714999198913574</v>
      </c>
      <c r="J117" s="701">
        <v>200</v>
      </c>
      <c r="K117" s="702">
        <v>7087.0099487304688</v>
      </c>
    </row>
    <row r="118" spans="1:11" ht="14.45" customHeight="1" x14ac:dyDescent="0.2">
      <c r="A118" s="696" t="s">
        <v>537</v>
      </c>
      <c r="B118" s="697" t="s">
        <v>538</v>
      </c>
      <c r="C118" s="698" t="s">
        <v>550</v>
      </c>
      <c r="D118" s="699" t="s">
        <v>551</v>
      </c>
      <c r="E118" s="698" t="s">
        <v>2087</v>
      </c>
      <c r="F118" s="699" t="s">
        <v>2088</v>
      </c>
      <c r="G118" s="698" t="s">
        <v>2253</v>
      </c>
      <c r="H118" s="698" t="s">
        <v>2254</v>
      </c>
      <c r="I118" s="701">
        <v>0.37416666746139526</v>
      </c>
      <c r="J118" s="701">
        <v>26500</v>
      </c>
      <c r="K118" s="702">
        <v>9968.4600219726563</v>
      </c>
    </row>
    <row r="119" spans="1:11" ht="14.45" customHeight="1" x14ac:dyDescent="0.2">
      <c r="A119" s="696" t="s">
        <v>537</v>
      </c>
      <c r="B119" s="697" t="s">
        <v>538</v>
      </c>
      <c r="C119" s="698" t="s">
        <v>550</v>
      </c>
      <c r="D119" s="699" t="s">
        <v>551</v>
      </c>
      <c r="E119" s="698" t="s">
        <v>2087</v>
      </c>
      <c r="F119" s="699" t="s">
        <v>2088</v>
      </c>
      <c r="G119" s="698" t="s">
        <v>2255</v>
      </c>
      <c r="H119" s="698" t="s">
        <v>2256</v>
      </c>
      <c r="I119" s="701">
        <v>2.4128572089331493</v>
      </c>
      <c r="J119" s="701">
        <v>720</v>
      </c>
      <c r="K119" s="702">
        <v>1741.5499954223633</v>
      </c>
    </row>
    <row r="120" spans="1:11" ht="14.45" customHeight="1" x14ac:dyDescent="0.2">
      <c r="A120" s="696" t="s">
        <v>537</v>
      </c>
      <c r="B120" s="697" t="s">
        <v>538</v>
      </c>
      <c r="C120" s="698" t="s">
        <v>550</v>
      </c>
      <c r="D120" s="699" t="s">
        <v>551</v>
      </c>
      <c r="E120" s="698" t="s">
        <v>2087</v>
      </c>
      <c r="F120" s="699" t="s">
        <v>2088</v>
      </c>
      <c r="G120" s="698" t="s">
        <v>2257</v>
      </c>
      <c r="H120" s="698" t="s">
        <v>2258</v>
      </c>
      <c r="I120" s="701">
        <v>0.78428571564810612</v>
      </c>
      <c r="J120" s="701">
        <v>17900</v>
      </c>
      <c r="K120" s="702">
        <v>13860</v>
      </c>
    </row>
    <row r="121" spans="1:11" ht="14.45" customHeight="1" x14ac:dyDescent="0.2">
      <c r="A121" s="696" t="s">
        <v>537</v>
      </c>
      <c r="B121" s="697" t="s">
        <v>538</v>
      </c>
      <c r="C121" s="698" t="s">
        <v>550</v>
      </c>
      <c r="D121" s="699" t="s">
        <v>551</v>
      </c>
      <c r="E121" s="698" t="s">
        <v>2087</v>
      </c>
      <c r="F121" s="699" t="s">
        <v>2088</v>
      </c>
      <c r="G121" s="698" t="s">
        <v>2259</v>
      </c>
      <c r="H121" s="698" t="s">
        <v>2260</v>
      </c>
      <c r="I121" s="701">
        <v>3.9453333854675292</v>
      </c>
      <c r="J121" s="701">
        <v>6000</v>
      </c>
      <c r="K121" s="702">
        <v>23680.850158691406</v>
      </c>
    </row>
    <row r="122" spans="1:11" ht="14.45" customHeight="1" x14ac:dyDescent="0.2">
      <c r="A122" s="696" t="s">
        <v>537</v>
      </c>
      <c r="B122" s="697" t="s">
        <v>538</v>
      </c>
      <c r="C122" s="698" t="s">
        <v>550</v>
      </c>
      <c r="D122" s="699" t="s">
        <v>551</v>
      </c>
      <c r="E122" s="698" t="s">
        <v>2087</v>
      </c>
      <c r="F122" s="699" t="s">
        <v>2088</v>
      </c>
      <c r="G122" s="698" t="s">
        <v>2261</v>
      </c>
      <c r="H122" s="698" t="s">
        <v>2262</v>
      </c>
      <c r="I122" s="701">
        <v>1.4199999570846558</v>
      </c>
      <c r="J122" s="701">
        <v>200</v>
      </c>
      <c r="K122" s="702">
        <v>284.6400146484375</v>
      </c>
    </row>
    <row r="123" spans="1:11" ht="14.45" customHeight="1" x14ac:dyDescent="0.2">
      <c r="A123" s="696" t="s">
        <v>537</v>
      </c>
      <c r="B123" s="697" t="s">
        <v>538</v>
      </c>
      <c r="C123" s="698" t="s">
        <v>550</v>
      </c>
      <c r="D123" s="699" t="s">
        <v>551</v>
      </c>
      <c r="E123" s="698" t="s">
        <v>2087</v>
      </c>
      <c r="F123" s="699" t="s">
        <v>2088</v>
      </c>
      <c r="G123" s="698" t="s">
        <v>2263</v>
      </c>
      <c r="H123" s="698" t="s">
        <v>2264</v>
      </c>
      <c r="I123" s="701">
        <v>1.2100000381469727</v>
      </c>
      <c r="J123" s="701">
        <v>2200</v>
      </c>
      <c r="K123" s="702">
        <v>2662</v>
      </c>
    </row>
    <row r="124" spans="1:11" ht="14.45" customHeight="1" x14ac:dyDescent="0.2">
      <c r="A124" s="696" t="s">
        <v>537</v>
      </c>
      <c r="B124" s="697" t="s">
        <v>538</v>
      </c>
      <c r="C124" s="698" t="s">
        <v>550</v>
      </c>
      <c r="D124" s="699" t="s">
        <v>551</v>
      </c>
      <c r="E124" s="698" t="s">
        <v>2087</v>
      </c>
      <c r="F124" s="699" t="s">
        <v>2088</v>
      </c>
      <c r="G124" s="698" t="s">
        <v>2119</v>
      </c>
      <c r="H124" s="698" t="s">
        <v>2265</v>
      </c>
      <c r="I124" s="701">
        <v>8.0966668128967285</v>
      </c>
      <c r="J124" s="701">
        <v>768</v>
      </c>
      <c r="K124" s="702">
        <v>6271.159912109375</v>
      </c>
    </row>
    <row r="125" spans="1:11" ht="14.45" customHeight="1" x14ac:dyDescent="0.2">
      <c r="A125" s="696" t="s">
        <v>537</v>
      </c>
      <c r="B125" s="697" t="s">
        <v>538</v>
      </c>
      <c r="C125" s="698" t="s">
        <v>550</v>
      </c>
      <c r="D125" s="699" t="s">
        <v>551</v>
      </c>
      <c r="E125" s="698" t="s">
        <v>2087</v>
      </c>
      <c r="F125" s="699" t="s">
        <v>2088</v>
      </c>
      <c r="G125" s="698" t="s">
        <v>2266</v>
      </c>
      <c r="H125" s="698" t="s">
        <v>2267</v>
      </c>
      <c r="I125" s="701">
        <v>31.722307938795822</v>
      </c>
      <c r="J125" s="701">
        <v>38</v>
      </c>
      <c r="K125" s="702">
        <v>1209.6300239562988</v>
      </c>
    </row>
    <row r="126" spans="1:11" ht="14.45" customHeight="1" x14ac:dyDescent="0.2">
      <c r="A126" s="696" t="s">
        <v>537</v>
      </c>
      <c r="B126" s="697" t="s">
        <v>538</v>
      </c>
      <c r="C126" s="698" t="s">
        <v>550</v>
      </c>
      <c r="D126" s="699" t="s">
        <v>551</v>
      </c>
      <c r="E126" s="698" t="s">
        <v>2087</v>
      </c>
      <c r="F126" s="699" t="s">
        <v>2088</v>
      </c>
      <c r="G126" s="698" t="s">
        <v>2268</v>
      </c>
      <c r="H126" s="698" t="s">
        <v>2269</v>
      </c>
      <c r="I126" s="701">
        <v>40.38600044250488</v>
      </c>
      <c r="J126" s="701">
        <v>360</v>
      </c>
      <c r="K126" s="702">
        <v>14539.0498046875</v>
      </c>
    </row>
    <row r="127" spans="1:11" ht="14.45" customHeight="1" x14ac:dyDescent="0.2">
      <c r="A127" s="696" t="s">
        <v>537</v>
      </c>
      <c r="B127" s="697" t="s">
        <v>538</v>
      </c>
      <c r="C127" s="698" t="s">
        <v>550</v>
      </c>
      <c r="D127" s="699" t="s">
        <v>551</v>
      </c>
      <c r="E127" s="698" t="s">
        <v>2087</v>
      </c>
      <c r="F127" s="699" t="s">
        <v>2088</v>
      </c>
      <c r="G127" s="698" t="s">
        <v>2268</v>
      </c>
      <c r="H127" s="698" t="s">
        <v>2270</v>
      </c>
      <c r="I127" s="701">
        <v>30.780000686645508</v>
      </c>
      <c r="J127" s="701">
        <v>432</v>
      </c>
      <c r="K127" s="702">
        <v>13296.95947265625</v>
      </c>
    </row>
    <row r="128" spans="1:11" ht="14.45" customHeight="1" x14ac:dyDescent="0.2">
      <c r="A128" s="696" t="s">
        <v>537</v>
      </c>
      <c r="B128" s="697" t="s">
        <v>538</v>
      </c>
      <c r="C128" s="698" t="s">
        <v>550</v>
      </c>
      <c r="D128" s="699" t="s">
        <v>551</v>
      </c>
      <c r="E128" s="698" t="s">
        <v>2087</v>
      </c>
      <c r="F128" s="699" t="s">
        <v>2088</v>
      </c>
      <c r="G128" s="698" t="s">
        <v>2271</v>
      </c>
      <c r="H128" s="698" t="s">
        <v>2272</v>
      </c>
      <c r="I128" s="701">
        <v>0.99500000476837158</v>
      </c>
      <c r="J128" s="701">
        <v>240</v>
      </c>
      <c r="K128" s="702">
        <v>238.80000305175781</v>
      </c>
    </row>
    <row r="129" spans="1:11" ht="14.45" customHeight="1" x14ac:dyDescent="0.2">
      <c r="A129" s="696" t="s">
        <v>537</v>
      </c>
      <c r="B129" s="697" t="s">
        <v>538</v>
      </c>
      <c r="C129" s="698" t="s">
        <v>550</v>
      </c>
      <c r="D129" s="699" t="s">
        <v>551</v>
      </c>
      <c r="E129" s="698" t="s">
        <v>2273</v>
      </c>
      <c r="F129" s="699" t="s">
        <v>2274</v>
      </c>
      <c r="G129" s="698" t="s">
        <v>2275</v>
      </c>
      <c r="H129" s="698" t="s">
        <v>2276</v>
      </c>
      <c r="I129" s="701">
        <v>33.536666870117188</v>
      </c>
      <c r="J129" s="701">
        <v>110</v>
      </c>
      <c r="K129" s="702">
        <v>3694.75</v>
      </c>
    </row>
    <row r="130" spans="1:11" ht="14.45" customHeight="1" x14ac:dyDescent="0.2">
      <c r="A130" s="696" t="s">
        <v>537</v>
      </c>
      <c r="B130" s="697" t="s">
        <v>538</v>
      </c>
      <c r="C130" s="698" t="s">
        <v>550</v>
      </c>
      <c r="D130" s="699" t="s">
        <v>551</v>
      </c>
      <c r="E130" s="698" t="s">
        <v>2273</v>
      </c>
      <c r="F130" s="699" t="s">
        <v>2274</v>
      </c>
      <c r="G130" s="698" t="s">
        <v>2277</v>
      </c>
      <c r="H130" s="698" t="s">
        <v>2278</v>
      </c>
      <c r="I130" s="701">
        <v>70.879997253417969</v>
      </c>
      <c r="J130" s="701">
        <v>40</v>
      </c>
      <c r="K130" s="702">
        <v>2835.280029296875</v>
      </c>
    </row>
    <row r="131" spans="1:11" ht="14.45" customHeight="1" x14ac:dyDescent="0.2">
      <c r="A131" s="696" t="s">
        <v>537</v>
      </c>
      <c r="B131" s="697" t="s">
        <v>538</v>
      </c>
      <c r="C131" s="698" t="s">
        <v>550</v>
      </c>
      <c r="D131" s="699" t="s">
        <v>551</v>
      </c>
      <c r="E131" s="698" t="s">
        <v>2273</v>
      </c>
      <c r="F131" s="699" t="s">
        <v>2274</v>
      </c>
      <c r="G131" s="698" t="s">
        <v>2279</v>
      </c>
      <c r="H131" s="698" t="s">
        <v>2280</v>
      </c>
      <c r="I131" s="701">
        <v>160.97000122070313</v>
      </c>
      <c r="J131" s="701">
        <v>100</v>
      </c>
      <c r="K131" s="702">
        <v>16096.6298828125</v>
      </c>
    </row>
    <row r="132" spans="1:11" ht="14.45" customHeight="1" x14ac:dyDescent="0.2">
      <c r="A132" s="696" t="s">
        <v>537</v>
      </c>
      <c r="B132" s="697" t="s">
        <v>538</v>
      </c>
      <c r="C132" s="698" t="s">
        <v>550</v>
      </c>
      <c r="D132" s="699" t="s">
        <v>551</v>
      </c>
      <c r="E132" s="698" t="s">
        <v>2273</v>
      </c>
      <c r="F132" s="699" t="s">
        <v>2274</v>
      </c>
      <c r="G132" s="698" t="s">
        <v>2281</v>
      </c>
      <c r="H132" s="698" t="s">
        <v>2282</v>
      </c>
      <c r="I132" s="701">
        <v>2.3299999237060547</v>
      </c>
      <c r="J132" s="701">
        <v>100</v>
      </c>
      <c r="K132" s="702">
        <v>233</v>
      </c>
    </row>
    <row r="133" spans="1:11" ht="14.45" customHeight="1" x14ac:dyDescent="0.2">
      <c r="A133" s="696" t="s">
        <v>537</v>
      </c>
      <c r="B133" s="697" t="s">
        <v>538</v>
      </c>
      <c r="C133" s="698" t="s">
        <v>550</v>
      </c>
      <c r="D133" s="699" t="s">
        <v>551</v>
      </c>
      <c r="E133" s="698" t="s">
        <v>2273</v>
      </c>
      <c r="F133" s="699" t="s">
        <v>2274</v>
      </c>
      <c r="G133" s="698" t="s">
        <v>2283</v>
      </c>
      <c r="H133" s="698" t="s">
        <v>2284</v>
      </c>
      <c r="I133" s="701">
        <v>175.00124931335449</v>
      </c>
      <c r="J133" s="701">
        <v>280</v>
      </c>
      <c r="K133" s="702">
        <v>49000.39990234375</v>
      </c>
    </row>
    <row r="134" spans="1:11" ht="14.45" customHeight="1" x14ac:dyDescent="0.2">
      <c r="A134" s="696" t="s">
        <v>537</v>
      </c>
      <c r="B134" s="697" t="s">
        <v>538</v>
      </c>
      <c r="C134" s="698" t="s">
        <v>550</v>
      </c>
      <c r="D134" s="699" t="s">
        <v>551</v>
      </c>
      <c r="E134" s="698" t="s">
        <v>2273</v>
      </c>
      <c r="F134" s="699" t="s">
        <v>2274</v>
      </c>
      <c r="G134" s="698" t="s">
        <v>2285</v>
      </c>
      <c r="H134" s="698" t="s">
        <v>2286</v>
      </c>
      <c r="I134" s="701">
        <v>47.189998626708984</v>
      </c>
      <c r="J134" s="701">
        <v>40</v>
      </c>
      <c r="K134" s="702">
        <v>1887.5999755859375</v>
      </c>
    </row>
    <row r="135" spans="1:11" ht="14.45" customHeight="1" x14ac:dyDescent="0.2">
      <c r="A135" s="696" t="s">
        <v>537</v>
      </c>
      <c r="B135" s="697" t="s">
        <v>538</v>
      </c>
      <c r="C135" s="698" t="s">
        <v>550</v>
      </c>
      <c r="D135" s="699" t="s">
        <v>551</v>
      </c>
      <c r="E135" s="698" t="s">
        <v>2273</v>
      </c>
      <c r="F135" s="699" t="s">
        <v>2274</v>
      </c>
      <c r="G135" s="698" t="s">
        <v>2287</v>
      </c>
      <c r="H135" s="698" t="s">
        <v>2288</v>
      </c>
      <c r="I135" s="701">
        <v>47.189998626708984</v>
      </c>
      <c r="J135" s="701">
        <v>20</v>
      </c>
      <c r="K135" s="702">
        <v>943.79998779296875</v>
      </c>
    </row>
    <row r="136" spans="1:11" ht="14.45" customHeight="1" x14ac:dyDescent="0.2">
      <c r="A136" s="696" t="s">
        <v>537</v>
      </c>
      <c r="B136" s="697" t="s">
        <v>538</v>
      </c>
      <c r="C136" s="698" t="s">
        <v>550</v>
      </c>
      <c r="D136" s="699" t="s">
        <v>551</v>
      </c>
      <c r="E136" s="698" t="s">
        <v>2273</v>
      </c>
      <c r="F136" s="699" t="s">
        <v>2274</v>
      </c>
      <c r="G136" s="698" t="s">
        <v>2287</v>
      </c>
      <c r="H136" s="698" t="s">
        <v>2289</v>
      </c>
      <c r="I136" s="701">
        <v>47.189998626708984</v>
      </c>
      <c r="J136" s="701">
        <v>20</v>
      </c>
      <c r="K136" s="702">
        <v>943.79998779296875</v>
      </c>
    </row>
    <row r="137" spans="1:11" ht="14.45" customHeight="1" x14ac:dyDescent="0.2">
      <c r="A137" s="696" t="s">
        <v>537</v>
      </c>
      <c r="B137" s="697" t="s">
        <v>538</v>
      </c>
      <c r="C137" s="698" t="s">
        <v>550</v>
      </c>
      <c r="D137" s="699" t="s">
        <v>551</v>
      </c>
      <c r="E137" s="698" t="s">
        <v>2273</v>
      </c>
      <c r="F137" s="699" t="s">
        <v>2274</v>
      </c>
      <c r="G137" s="698" t="s">
        <v>2290</v>
      </c>
      <c r="H137" s="698" t="s">
        <v>2291</v>
      </c>
      <c r="I137" s="701">
        <v>2.9000000953674316</v>
      </c>
      <c r="J137" s="701">
        <v>100</v>
      </c>
      <c r="K137" s="702">
        <v>290</v>
      </c>
    </row>
    <row r="138" spans="1:11" ht="14.45" customHeight="1" x14ac:dyDescent="0.2">
      <c r="A138" s="696" t="s">
        <v>537</v>
      </c>
      <c r="B138" s="697" t="s">
        <v>538</v>
      </c>
      <c r="C138" s="698" t="s">
        <v>550</v>
      </c>
      <c r="D138" s="699" t="s">
        <v>551</v>
      </c>
      <c r="E138" s="698" t="s">
        <v>2273</v>
      </c>
      <c r="F138" s="699" t="s">
        <v>2274</v>
      </c>
      <c r="G138" s="698" t="s">
        <v>2292</v>
      </c>
      <c r="H138" s="698" t="s">
        <v>2293</v>
      </c>
      <c r="I138" s="701">
        <v>2.9000000953674316</v>
      </c>
      <c r="J138" s="701">
        <v>120</v>
      </c>
      <c r="K138" s="702">
        <v>348</v>
      </c>
    </row>
    <row r="139" spans="1:11" ht="14.45" customHeight="1" x14ac:dyDescent="0.2">
      <c r="A139" s="696" t="s">
        <v>537</v>
      </c>
      <c r="B139" s="697" t="s">
        <v>538</v>
      </c>
      <c r="C139" s="698" t="s">
        <v>550</v>
      </c>
      <c r="D139" s="699" t="s">
        <v>551</v>
      </c>
      <c r="E139" s="698" t="s">
        <v>2273</v>
      </c>
      <c r="F139" s="699" t="s">
        <v>2274</v>
      </c>
      <c r="G139" s="698" t="s">
        <v>2294</v>
      </c>
      <c r="H139" s="698" t="s">
        <v>2295</v>
      </c>
      <c r="I139" s="701">
        <v>6.291666666666667</v>
      </c>
      <c r="J139" s="701">
        <v>701</v>
      </c>
      <c r="K139" s="702">
        <v>4411.2899780273438</v>
      </c>
    </row>
    <row r="140" spans="1:11" ht="14.45" customHeight="1" x14ac:dyDescent="0.2">
      <c r="A140" s="696" t="s">
        <v>537</v>
      </c>
      <c r="B140" s="697" t="s">
        <v>538</v>
      </c>
      <c r="C140" s="698" t="s">
        <v>550</v>
      </c>
      <c r="D140" s="699" t="s">
        <v>551</v>
      </c>
      <c r="E140" s="698" t="s">
        <v>2273</v>
      </c>
      <c r="F140" s="699" t="s">
        <v>2274</v>
      </c>
      <c r="G140" s="698" t="s">
        <v>2296</v>
      </c>
      <c r="H140" s="698" t="s">
        <v>2297</v>
      </c>
      <c r="I140" s="701">
        <v>2.3599998950958252</v>
      </c>
      <c r="J140" s="701">
        <v>100</v>
      </c>
      <c r="K140" s="702">
        <v>236</v>
      </c>
    </row>
    <row r="141" spans="1:11" ht="14.45" customHeight="1" x14ac:dyDescent="0.2">
      <c r="A141" s="696" t="s">
        <v>537</v>
      </c>
      <c r="B141" s="697" t="s">
        <v>538</v>
      </c>
      <c r="C141" s="698" t="s">
        <v>550</v>
      </c>
      <c r="D141" s="699" t="s">
        <v>551</v>
      </c>
      <c r="E141" s="698" t="s">
        <v>2273</v>
      </c>
      <c r="F141" s="699" t="s">
        <v>2274</v>
      </c>
      <c r="G141" s="698" t="s">
        <v>2298</v>
      </c>
      <c r="H141" s="698" t="s">
        <v>2299</v>
      </c>
      <c r="I141" s="701">
        <v>2.3637499213218689</v>
      </c>
      <c r="J141" s="701">
        <v>2219</v>
      </c>
      <c r="K141" s="702">
        <v>5237.3400001525879</v>
      </c>
    </row>
    <row r="142" spans="1:11" ht="14.45" customHeight="1" x14ac:dyDescent="0.2">
      <c r="A142" s="696" t="s">
        <v>537</v>
      </c>
      <c r="B142" s="697" t="s">
        <v>538</v>
      </c>
      <c r="C142" s="698" t="s">
        <v>550</v>
      </c>
      <c r="D142" s="699" t="s">
        <v>551</v>
      </c>
      <c r="E142" s="698" t="s">
        <v>2273</v>
      </c>
      <c r="F142" s="699" t="s">
        <v>2274</v>
      </c>
      <c r="G142" s="698" t="s">
        <v>2300</v>
      </c>
      <c r="H142" s="698" t="s">
        <v>2301</v>
      </c>
      <c r="I142" s="701">
        <v>2.3591665625572205</v>
      </c>
      <c r="J142" s="701">
        <v>4400</v>
      </c>
      <c r="K142" s="702">
        <v>10381</v>
      </c>
    </row>
    <row r="143" spans="1:11" ht="14.45" customHeight="1" x14ac:dyDescent="0.2">
      <c r="A143" s="696" t="s">
        <v>537</v>
      </c>
      <c r="B143" s="697" t="s">
        <v>538</v>
      </c>
      <c r="C143" s="698" t="s">
        <v>550</v>
      </c>
      <c r="D143" s="699" t="s">
        <v>551</v>
      </c>
      <c r="E143" s="698" t="s">
        <v>2273</v>
      </c>
      <c r="F143" s="699" t="s">
        <v>2274</v>
      </c>
      <c r="G143" s="698" t="s">
        <v>2302</v>
      </c>
      <c r="H143" s="698" t="s">
        <v>2303</v>
      </c>
      <c r="I143" s="701">
        <v>2.3599998950958252</v>
      </c>
      <c r="J143" s="701">
        <v>800</v>
      </c>
      <c r="K143" s="702">
        <v>1888</v>
      </c>
    </row>
    <row r="144" spans="1:11" ht="14.45" customHeight="1" x14ac:dyDescent="0.2">
      <c r="A144" s="696" t="s">
        <v>537</v>
      </c>
      <c r="B144" s="697" t="s">
        <v>538</v>
      </c>
      <c r="C144" s="698" t="s">
        <v>550</v>
      </c>
      <c r="D144" s="699" t="s">
        <v>551</v>
      </c>
      <c r="E144" s="698" t="s">
        <v>2273</v>
      </c>
      <c r="F144" s="699" t="s">
        <v>2274</v>
      </c>
      <c r="G144" s="698" t="s">
        <v>2304</v>
      </c>
      <c r="H144" s="698" t="s">
        <v>2305</v>
      </c>
      <c r="I144" s="701">
        <v>2.3599998950958252</v>
      </c>
      <c r="J144" s="701">
        <v>750</v>
      </c>
      <c r="K144" s="702">
        <v>1770</v>
      </c>
    </row>
    <row r="145" spans="1:11" ht="14.45" customHeight="1" x14ac:dyDescent="0.2">
      <c r="A145" s="696" t="s">
        <v>537</v>
      </c>
      <c r="B145" s="697" t="s">
        <v>538</v>
      </c>
      <c r="C145" s="698" t="s">
        <v>550</v>
      </c>
      <c r="D145" s="699" t="s">
        <v>551</v>
      </c>
      <c r="E145" s="698" t="s">
        <v>2273</v>
      </c>
      <c r="F145" s="699" t="s">
        <v>2274</v>
      </c>
      <c r="G145" s="698" t="s">
        <v>2306</v>
      </c>
      <c r="H145" s="698" t="s">
        <v>2307</v>
      </c>
      <c r="I145" s="701">
        <v>5.6105555693308515</v>
      </c>
      <c r="J145" s="701">
        <v>6805</v>
      </c>
      <c r="K145" s="702">
        <v>38534.829895019531</v>
      </c>
    </row>
    <row r="146" spans="1:11" ht="14.45" customHeight="1" x14ac:dyDescent="0.2">
      <c r="A146" s="696" t="s">
        <v>537</v>
      </c>
      <c r="B146" s="697" t="s">
        <v>538</v>
      </c>
      <c r="C146" s="698" t="s">
        <v>550</v>
      </c>
      <c r="D146" s="699" t="s">
        <v>551</v>
      </c>
      <c r="E146" s="698" t="s">
        <v>2273</v>
      </c>
      <c r="F146" s="699" t="s">
        <v>2274</v>
      </c>
      <c r="G146" s="698" t="s">
        <v>2308</v>
      </c>
      <c r="H146" s="698" t="s">
        <v>2309</v>
      </c>
      <c r="I146" s="701">
        <v>1.333333303531011E-2</v>
      </c>
      <c r="J146" s="701">
        <v>140</v>
      </c>
      <c r="K146" s="702">
        <v>1.9000000059604645</v>
      </c>
    </row>
    <row r="147" spans="1:11" ht="14.45" customHeight="1" x14ac:dyDescent="0.2">
      <c r="A147" s="696" t="s">
        <v>537</v>
      </c>
      <c r="B147" s="697" t="s">
        <v>538</v>
      </c>
      <c r="C147" s="698" t="s">
        <v>550</v>
      </c>
      <c r="D147" s="699" t="s">
        <v>551</v>
      </c>
      <c r="E147" s="698" t="s">
        <v>2273</v>
      </c>
      <c r="F147" s="699" t="s">
        <v>2274</v>
      </c>
      <c r="G147" s="698" t="s">
        <v>2310</v>
      </c>
      <c r="H147" s="698" t="s">
        <v>2311</v>
      </c>
      <c r="I147" s="701">
        <v>1.7774999737739563</v>
      </c>
      <c r="J147" s="701">
        <v>3650</v>
      </c>
      <c r="K147" s="702">
        <v>6489.25</v>
      </c>
    </row>
    <row r="148" spans="1:11" ht="14.45" customHeight="1" x14ac:dyDescent="0.2">
      <c r="A148" s="696" t="s">
        <v>537</v>
      </c>
      <c r="B148" s="697" t="s">
        <v>538</v>
      </c>
      <c r="C148" s="698" t="s">
        <v>550</v>
      </c>
      <c r="D148" s="699" t="s">
        <v>551</v>
      </c>
      <c r="E148" s="698" t="s">
        <v>2273</v>
      </c>
      <c r="F148" s="699" t="s">
        <v>2274</v>
      </c>
      <c r="G148" s="698" t="s">
        <v>2312</v>
      </c>
      <c r="H148" s="698" t="s">
        <v>2313</v>
      </c>
      <c r="I148" s="701">
        <v>15.924166838328043</v>
      </c>
      <c r="J148" s="701">
        <v>3900</v>
      </c>
      <c r="K148" s="702">
        <v>62103</v>
      </c>
    </row>
    <row r="149" spans="1:11" ht="14.45" customHeight="1" x14ac:dyDescent="0.2">
      <c r="A149" s="696" t="s">
        <v>537</v>
      </c>
      <c r="B149" s="697" t="s">
        <v>538</v>
      </c>
      <c r="C149" s="698" t="s">
        <v>550</v>
      </c>
      <c r="D149" s="699" t="s">
        <v>551</v>
      </c>
      <c r="E149" s="698" t="s">
        <v>2273</v>
      </c>
      <c r="F149" s="699" t="s">
        <v>2274</v>
      </c>
      <c r="G149" s="698" t="s">
        <v>2314</v>
      </c>
      <c r="H149" s="698" t="s">
        <v>2315</v>
      </c>
      <c r="I149" s="701">
        <v>11.140000343322754</v>
      </c>
      <c r="J149" s="701">
        <v>300</v>
      </c>
      <c r="K149" s="702">
        <v>3342</v>
      </c>
    </row>
    <row r="150" spans="1:11" ht="14.45" customHeight="1" x14ac:dyDescent="0.2">
      <c r="A150" s="696" t="s">
        <v>537</v>
      </c>
      <c r="B150" s="697" t="s">
        <v>538</v>
      </c>
      <c r="C150" s="698" t="s">
        <v>550</v>
      </c>
      <c r="D150" s="699" t="s">
        <v>551</v>
      </c>
      <c r="E150" s="698" t="s">
        <v>2273</v>
      </c>
      <c r="F150" s="699" t="s">
        <v>2274</v>
      </c>
      <c r="G150" s="698" t="s">
        <v>2316</v>
      </c>
      <c r="H150" s="698" t="s">
        <v>2317</v>
      </c>
      <c r="I150" s="701">
        <v>64.629997253417969</v>
      </c>
      <c r="J150" s="701">
        <v>3</v>
      </c>
      <c r="K150" s="702">
        <v>193.88999938964844</v>
      </c>
    </row>
    <row r="151" spans="1:11" ht="14.45" customHeight="1" x14ac:dyDescent="0.2">
      <c r="A151" s="696" t="s">
        <v>537</v>
      </c>
      <c r="B151" s="697" t="s">
        <v>538</v>
      </c>
      <c r="C151" s="698" t="s">
        <v>550</v>
      </c>
      <c r="D151" s="699" t="s">
        <v>551</v>
      </c>
      <c r="E151" s="698" t="s">
        <v>2273</v>
      </c>
      <c r="F151" s="699" t="s">
        <v>2274</v>
      </c>
      <c r="G151" s="698" t="s">
        <v>2318</v>
      </c>
      <c r="H151" s="698" t="s">
        <v>2319</v>
      </c>
      <c r="I151" s="701">
        <v>5.2842858518872946</v>
      </c>
      <c r="J151" s="701">
        <v>7900</v>
      </c>
      <c r="K151" s="702">
        <v>41775.2001953125</v>
      </c>
    </row>
    <row r="152" spans="1:11" ht="14.45" customHeight="1" x14ac:dyDescent="0.2">
      <c r="A152" s="696" t="s">
        <v>537</v>
      </c>
      <c r="B152" s="697" t="s">
        <v>538</v>
      </c>
      <c r="C152" s="698" t="s">
        <v>550</v>
      </c>
      <c r="D152" s="699" t="s">
        <v>551</v>
      </c>
      <c r="E152" s="698" t="s">
        <v>2273</v>
      </c>
      <c r="F152" s="699" t="s">
        <v>2274</v>
      </c>
      <c r="G152" s="698" t="s">
        <v>2320</v>
      </c>
      <c r="H152" s="698" t="s">
        <v>2321</v>
      </c>
      <c r="I152" s="701">
        <v>3.611764711492202</v>
      </c>
      <c r="J152" s="701">
        <v>11500</v>
      </c>
      <c r="K152" s="702">
        <v>41921.7998046875</v>
      </c>
    </row>
    <row r="153" spans="1:11" ht="14.45" customHeight="1" x14ac:dyDescent="0.2">
      <c r="A153" s="696" t="s">
        <v>537</v>
      </c>
      <c r="B153" s="697" t="s">
        <v>538</v>
      </c>
      <c r="C153" s="698" t="s">
        <v>550</v>
      </c>
      <c r="D153" s="699" t="s">
        <v>551</v>
      </c>
      <c r="E153" s="698" t="s">
        <v>2273</v>
      </c>
      <c r="F153" s="699" t="s">
        <v>2274</v>
      </c>
      <c r="G153" s="698" t="s">
        <v>2322</v>
      </c>
      <c r="H153" s="698" t="s">
        <v>2323</v>
      </c>
      <c r="I153" s="701">
        <v>18.025833606719971</v>
      </c>
      <c r="J153" s="701">
        <v>1050</v>
      </c>
      <c r="K153" s="702">
        <v>18981.27001953125</v>
      </c>
    </row>
    <row r="154" spans="1:11" ht="14.45" customHeight="1" x14ac:dyDescent="0.2">
      <c r="A154" s="696" t="s">
        <v>537</v>
      </c>
      <c r="B154" s="697" t="s">
        <v>538</v>
      </c>
      <c r="C154" s="698" t="s">
        <v>550</v>
      </c>
      <c r="D154" s="699" t="s">
        <v>551</v>
      </c>
      <c r="E154" s="698" t="s">
        <v>2273</v>
      </c>
      <c r="F154" s="699" t="s">
        <v>2274</v>
      </c>
      <c r="G154" s="698" t="s">
        <v>2324</v>
      </c>
      <c r="H154" s="698" t="s">
        <v>2325</v>
      </c>
      <c r="I154" s="701">
        <v>713.9000244140625</v>
      </c>
      <c r="J154" s="701">
        <v>10</v>
      </c>
      <c r="K154" s="702">
        <v>7139</v>
      </c>
    </row>
    <row r="155" spans="1:11" ht="14.45" customHeight="1" x14ac:dyDescent="0.2">
      <c r="A155" s="696" t="s">
        <v>537</v>
      </c>
      <c r="B155" s="697" t="s">
        <v>538</v>
      </c>
      <c r="C155" s="698" t="s">
        <v>550</v>
      </c>
      <c r="D155" s="699" t="s">
        <v>551</v>
      </c>
      <c r="E155" s="698" t="s">
        <v>2273</v>
      </c>
      <c r="F155" s="699" t="s">
        <v>2274</v>
      </c>
      <c r="G155" s="698" t="s">
        <v>2326</v>
      </c>
      <c r="H155" s="698" t="s">
        <v>2327</v>
      </c>
      <c r="I155" s="701">
        <v>17.909999847412109</v>
      </c>
      <c r="J155" s="701">
        <v>20</v>
      </c>
      <c r="K155" s="702">
        <v>358.20001220703125</v>
      </c>
    </row>
    <row r="156" spans="1:11" ht="14.45" customHeight="1" x14ac:dyDescent="0.2">
      <c r="A156" s="696" t="s">
        <v>537</v>
      </c>
      <c r="B156" s="697" t="s">
        <v>538</v>
      </c>
      <c r="C156" s="698" t="s">
        <v>550</v>
      </c>
      <c r="D156" s="699" t="s">
        <v>551</v>
      </c>
      <c r="E156" s="698" t="s">
        <v>2273</v>
      </c>
      <c r="F156" s="699" t="s">
        <v>2274</v>
      </c>
      <c r="G156" s="698" t="s">
        <v>2328</v>
      </c>
      <c r="H156" s="698" t="s">
        <v>2329</v>
      </c>
      <c r="I156" s="701">
        <v>17.909999847412109</v>
      </c>
      <c r="J156" s="701">
        <v>20</v>
      </c>
      <c r="K156" s="702">
        <v>358.20001220703125</v>
      </c>
    </row>
    <row r="157" spans="1:11" ht="14.45" customHeight="1" x14ac:dyDescent="0.2">
      <c r="A157" s="696" t="s">
        <v>537</v>
      </c>
      <c r="B157" s="697" t="s">
        <v>538</v>
      </c>
      <c r="C157" s="698" t="s">
        <v>550</v>
      </c>
      <c r="D157" s="699" t="s">
        <v>551</v>
      </c>
      <c r="E157" s="698" t="s">
        <v>2273</v>
      </c>
      <c r="F157" s="699" t="s">
        <v>2274</v>
      </c>
      <c r="G157" s="698" t="s">
        <v>2330</v>
      </c>
      <c r="H157" s="698" t="s">
        <v>2331</v>
      </c>
      <c r="I157" s="701">
        <v>17.909999847412109</v>
      </c>
      <c r="J157" s="701">
        <v>20</v>
      </c>
      <c r="K157" s="702">
        <v>358.20001220703125</v>
      </c>
    </row>
    <row r="158" spans="1:11" ht="14.45" customHeight="1" x14ac:dyDescent="0.2">
      <c r="A158" s="696" t="s">
        <v>537</v>
      </c>
      <c r="B158" s="697" t="s">
        <v>538</v>
      </c>
      <c r="C158" s="698" t="s">
        <v>550</v>
      </c>
      <c r="D158" s="699" t="s">
        <v>551</v>
      </c>
      <c r="E158" s="698" t="s">
        <v>2273</v>
      </c>
      <c r="F158" s="699" t="s">
        <v>2274</v>
      </c>
      <c r="G158" s="698" t="s">
        <v>2332</v>
      </c>
      <c r="H158" s="698" t="s">
        <v>2333</v>
      </c>
      <c r="I158" s="701">
        <v>17.909999847412109</v>
      </c>
      <c r="J158" s="701">
        <v>20</v>
      </c>
      <c r="K158" s="702">
        <v>358.20001220703125</v>
      </c>
    </row>
    <row r="159" spans="1:11" ht="14.45" customHeight="1" x14ac:dyDescent="0.2">
      <c r="A159" s="696" t="s">
        <v>537</v>
      </c>
      <c r="B159" s="697" t="s">
        <v>538</v>
      </c>
      <c r="C159" s="698" t="s">
        <v>550</v>
      </c>
      <c r="D159" s="699" t="s">
        <v>551</v>
      </c>
      <c r="E159" s="698" t="s">
        <v>2273</v>
      </c>
      <c r="F159" s="699" t="s">
        <v>2274</v>
      </c>
      <c r="G159" s="698" t="s">
        <v>2334</v>
      </c>
      <c r="H159" s="698" t="s">
        <v>2335</v>
      </c>
      <c r="I159" s="701">
        <v>750.20001220703125</v>
      </c>
      <c r="J159" s="701">
        <v>14</v>
      </c>
      <c r="K159" s="702">
        <v>10502.800048828125</v>
      </c>
    </row>
    <row r="160" spans="1:11" ht="14.45" customHeight="1" x14ac:dyDescent="0.2">
      <c r="A160" s="696" t="s">
        <v>537</v>
      </c>
      <c r="B160" s="697" t="s">
        <v>538</v>
      </c>
      <c r="C160" s="698" t="s">
        <v>550</v>
      </c>
      <c r="D160" s="699" t="s">
        <v>551</v>
      </c>
      <c r="E160" s="698" t="s">
        <v>2273</v>
      </c>
      <c r="F160" s="699" t="s">
        <v>2274</v>
      </c>
      <c r="G160" s="698" t="s">
        <v>2336</v>
      </c>
      <c r="H160" s="698" t="s">
        <v>2337</v>
      </c>
      <c r="I160" s="701">
        <v>17.979999542236328</v>
      </c>
      <c r="J160" s="701">
        <v>50</v>
      </c>
      <c r="K160" s="702">
        <v>899</v>
      </c>
    </row>
    <row r="161" spans="1:11" ht="14.45" customHeight="1" x14ac:dyDescent="0.2">
      <c r="A161" s="696" t="s">
        <v>537</v>
      </c>
      <c r="B161" s="697" t="s">
        <v>538</v>
      </c>
      <c r="C161" s="698" t="s">
        <v>550</v>
      </c>
      <c r="D161" s="699" t="s">
        <v>551</v>
      </c>
      <c r="E161" s="698" t="s">
        <v>2273</v>
      </c>
      <c r="F161" s="699" t="s">
        <v>2274</v>
      </c>
      <c r="G161" s="698" t="s">
        <v>2338</v>
      </c>
      <c r="H161" s="698" t="s">
        <v>2339</v>
      </c>
      <c r="I161" s="701">
        <v>17.979999542236328</v>
      </c>
      <c r="J161" s="701">
        <v>300</v>
      </c>
      <c r="K161" s="702">
        <v>5394.1599731445313</v>
      </c>
    </row>
    <row r="162" spans="1:11" ht="14.45" customHeight="1" x14ac:dyDescent="0.2">
      <c r="A162" s="696" t="s">
        <v>537</v>
      </c>
      <c r="B162" s="697" t="s">
        <v>538</v>
      </c>
      <c r="C162" s="698" t="s">
        <v>550</v>
      </c>
      <c r="D162" s="699" t="s">
        <v>551</v>
      </c>
      <c r="E162" s="698" t="s">
        <v>2273</v>
      </c>
      <c r="F162" s="699" t="s">
        <v>2274</v>
      </c>
      <c r="G162" s="698" t="s">
        <v>2340</v>
      </c>
      <c r="H162" s="698" t="s">
        <v>2341</v>
      </c>
      <c r="I162" s="701">
        <v>17.979999542236328</v>
      </c>
      <c r="J162" s="701">
        <v>250</v>
      </c>
      <c r="K162" s="702">
        <v>4495.06005859375</v>
      </c>
    </row>
    <row r="163" spans="1:11" ht="14.45" customHeight="1" x14ac:dyDescent="0.2">
      <c r="A163" s="696" t="s">
        <v>537</v>
      </c>
      <c r="B163" s="697" t="s">
        <v>538</v>
      </c>
      <c r="C163" s="698" t="s">
        <v>550</v>
      </c>
      <c r="D163" s="699" t="s">
        <v>551</v>
      </c>
      <c r="E163" s="698" t="s">
        <v>2273</v>
      </c>
      <c r="F163" s="699" t="s">
        <v>2274</v>
      </c>
      <c r="G163" s="698" t="s">
        <v>2342</v>
      </c>
      <c r="H163" s="698" t="s">
        <v>2343</v>
      </c>
      <c r="I163" s="701">
        <v>484.03333536783856</v>
      </c>
      <c r="J163" s="701">
        <v>30</v>
      </c>
      <c r="K163" s="702">
        <v>14520.99951171875</v>
      </c>
    </row>
    <row r="164" spans="1:11" ht="14.45" customHeight="1" x14ac:dyDescent="0.2">
      <c r="A164" s="696" t="s">
        <v>537</v>
      </c>
      <c r="B164" s="697" t="s">
        <v>538</v>
      </c>
      <c r="C164" s="698" t="s">
        <v>550</v>
      </c>
      <c r="D164" s="699" t="s">
        <v>551</v>
      </c>
      <c r="E164" s="698" t="s">
        <v>2273</v>
      </c>
      <c r="F164" s="699" t="s">
        <v>2274</v>
      </c>
      <c r="G164" s="698" t="s">
        <v>2344</v>
      </c>
      <c r="H164" s="698" t="s">
        <v>2345</v>
      </c>
      <c r="I164" s="701">
        <v>646.760009765625</v>
      </c>
      <c r="J164" s="701">
        <v>10</v>
      </c>
      <c r="K164" s="702">
        <v>6467.60009765625</v>
      </c>
    </row>
    <row r="165" spans="1:11" ht="14.45" customHeight="1" x14ac:dyDescent="0.2">
      <c r="A165" s="696" t="s">
        <v>537</v>
      </c>
      <c r="B165" s="697" t="s">
        <v>538</v>
      </c>
      <c r="C165" s="698" t="s">
        <v>550</v>
      </c>
      <c r="D165" s="699" t="s">
        <v>551</v>
      </c>
      <c r="E165" s="698" t="s">
        <v>2273</v>
      </c>
      <c r="F165" s="699" t="s">
        <v>2274</v>
      </c>
      <c r="G165" s="698" t="s">
        <v>2346</v>
      </c>
      <c r="H165" s="698" t="s">
        <v>2347</v>
      </c>
      <c r="I165" s="701">
        <v>484.0360046386719</v>
      </c>
      <c r="J165" s="701">
        <v>50</v>
      </c>
      <c r="K165" s="702">
        <v>24201.79931640625</v>
      </c>
    </row>
    <row r="166" spans="1:11" ht="14.45" customHeight="1" x14ac:dyDescent="0.2">
      <c r="A166" s="696" t="s">
        <v>537</v>
      </c>
      <c r="B166" s="697" t="s">
        <v>538</v>
      </c>
      <c r="C166" s="698" t="s">
        <v>550</v>
      </c>
      <c r="D166" s="699" t="s">
        <v>551</v>
      </c>
      <c r="E166" s="698" t="s">
        <v>2273</v>
      </c>
      <c r="F166" s="699" t="s">
        <v>2274</v>
      </c>
      <c r="G166" s="698" t="s">
        <v>2348</v>
      </c>
      <c r="H166" s="698" t="s">
        <v>2349</v>
      </c>
      <c r="I166" s="701">
        <v>484.04000854492188</v>
      </c>
      <c r="J166" s="701">
        <v>30</v>
      </c>
      <c r="K166" s="702">
        <v>14521.19970703125</v>
      </c>
    </row>
    <row r="167" spans="1:11" ht="14.45" customHeight="1" x14ac:dyDescent="0.2">
      <c r="A167" s="696" t="s">
        <v>537</v>
      </c>
      <c r="B167" s="697" t="s">
        <v>538</v>
      </c>
      <c r="C167" s="698" t="s">
        <v>550</v>
      </c>
      <c r="D167" s="699" t="s">
        <v>551</v>
      </c>
      <c r="E167" s="698" t="s">
        <v>2273</v>
      </c>
      <c r="F167" s="699" t="s">
        <v>2274</v>
      </c>
      <c r="G167" s="698" t="s">
        <v>2350</v>
      </c>
      <c r="H167" s="698" t="s">
        <v>2351</v>
      </c>
      <c r="I167" s="701">
        <v>646.760009765625</v>
      </c>
      <c r="J167" s="701">
        <v>10</v>
      </c>
      <c r="K167" s="702">
        <v>6467.60009765625</v>
      </c>
    </row>
    <row r="168" spans="1:11" ht="14.45" customHeight="1" x14ac:dyDescent="0.2">
      <c r="A168" s="696" t="s">
        <v>537</v>
      </c>
      <c r="B168" s="697" t="s">
        <v>538</v>
      </c>
      <c r="C168" s="698" t="s">
        <v>550</v>
      </c>
      <c r="D168" s="699" t="s">
        <v>551</v>
      </c>
      <c r="E168" s="698" t="s">
        <v>2273</v>
      </c>
      <c r="F168" s="699" t="s">
        <v>2274</v>
      </c>
      <c r="G168" s="698" t="s">
        <v>2352</v>
      </c>
      <c r="H168" s="698" t="s">
        <v>2353</v>
      </c>
      <c r="I168" s="701">
        <v>527.96201171874998</v>
      </c>
      <c r="J168" s="701">
        <v>50</v>
      </c>
      <c r="K168" s="702">
        <v>26398.1005859375</v>
      </c>
    </row>
    <row r="169" spans="1:11" ht="14.45" customHeight="1" x14ac:dyDescent="0.2">
      <c r="A169" s="696" t="s">
        <v>537</v>
      </c>
      <c r="B169" s="697" t="s">
        <v>538</v>
      </c>
      <c r="C169" s="698" t="s">
        <v>550</v>
      </c>
      <c r="D169" s="699" t="s">
        <v>551</v>
      </c>
      <c r="E169" s="698" t="s">
        <v>2273</v>
      </c>
      <c r="F169" s="699" t="s">
        <v>2274</v>
      </c>
      <c r="G169" s="698" t="s">
        <v>2354</v>
      </c>
      <c r="H169" s="698" t="s">
        <v>2355</v>
      </c>
      <c r="I169" s="701">
        <v>484.02999877929688</v>
      </c>
      <c r="J169" s="701">
        <v>20</v>
      </c>
      <c r="K169" s="702">
        <v>9680.599609375</v>
      </c>
    </row>
    <row r="170" spans="1:11" ht="14.45" customHeight="1" x14ac:dyDescent="0.2">
      <c r="A170" s="696" t="s">
        <v>537</v>
      </c>
      <c r="B170" s="697" t="s">
        <v>538</v>
      </c>
      <c r="C170" s="698" t="s">
        <v>550</v>
      </c>
      <c r="D170" s="699" t="s">
        <v>551</v>
      </c>
      <c r="E170" s="698" t="s">
        <v>2273</v>
      </c>
      <c r="F170" s="699" t="s">
        <v>2274</v>
      </c>
      <c r="G170" s="698" t="s">
        <v>2356</v>
      </c>
      <c r="H170" s="698" t="s">
        <v>2357</v>
      </c>
      <c r="I170" s="701">
        <v>646.760009765625</v>
      </c>
      <c r="J170" s="701">
        <v>4</v>
      </c>
      <c r="K170" s="702">
        <v>2587.0400390625</v>
      </c>
    </row>
    <row r="171" spans="1:11" ht="14.45" customHeight="1" x14ac:dyDescent="0.2">
      <c r="A171" s="696" t="s">
        <v>537</v>
      </c>
      <c r="B171" s="697" t="s">
        <v>538</v>
      </c>
      <c r="C171" s="698" t="s">
        <v>550</v>
      </c>
      <c r="D171" s="699" t="s">
        <v>551</v>
      </c>
      <c r="E171" s="698" t="s">
        <v>2273</v>
      </c>
      <c r="F171" s="699" t="s">
        <v>2274</v>
      </c>
      <c r="G171" s="698" t="s">
        <v>2358</v>
      </c>
      <c r="H171" s="698" t="s">
        <v>2359</v>
      </c>
      <c r="I171" s="701">
        <v>17.979999542236328</v>
      </c>
      <c r="J171" s="701">
        <v>50</v>
      </c>
      <c r="K171" s="702">
        <v>899.05999755859375</v>
      </c>
    </row>
    <row r="172" spans="1:11" ht="14.45" customHeight="1" x14ac:dyDescent="0.2">
      <c r="A172" s="696" t="s">
        <v>537</v>
      </c>
      <c r="B172" s="697" t="s">
        <v>538</v>
      </c>
      <c r="C172" s="698" t="s">
        <v>550</v>
      </c>
      <c r="D172" s="699" t="s">
        <v>551</v>
      </c>
      <c r="E172" s="698" t="s">
        <v>2273</v>
      </c>
      <c r="F172" s="699" t="s">
        <v>2274</v>
      </c>
      <c r="G172" s="698" t="s">
        <v>2338</v>
      </c>
      <c r="H172" s="698" t="s">
        <v>2360</v>
      </c>
      <c r="I172" s="701">
        <v>17.979999542236328</v>
      </c>
      <c r="J172" s="701">
        <v>150</v>
      </c>
      <c r="K172" s="702">
        <v>2697</v>
      </c>
    </row>
    <row r="173" spans="1:11" ht="14.45" customHeight="1" x14ac:dyDescent="0.2">
      <c r="A173" s="696" t="s">
        <v>537</v>
      </c>
      <c r="B173" s="697" t="s">
        <v>538</v>
      </c>
      <c r="C173" s="698" t="s">
        <v>550</v>
      </c>
      <c r="D173" s="699" t="s">
        <v>551</v>
      </c>
      <c r="E173" s="698" t="s">
        <v>2273</v>
      </c>
      <c r="F173" s="699" t="s">
        <v>2274</v>
      </c>
      <c r="G173" s="698" t="s">
        <v>2340</v>
      </c>
      <c r="H173" s="698" t="s">
        <v>2361</v>
      </c>
      <c r="I173" s="701">
        <v>17.979999542236328</v>
      </c>
      <c r="J173" s="701">
        <v>50</v>
      </c>
      <c r="K173" s="702">
        <v>899</v>
      </c>
    </row>
    <row r="174" spans="1:11" ht="14.45" customHeight="1" x14ac:dyDescent="0.2">
      <c r="A174" s="696" t="s">
        <v>537</v>
      </c>
      <c r="B174" s="697" t="s">
        <v>538</v>
      </c>
      <c r="C174" s="698" t="s">
        <v>550</v>
      </c>
      <c r="D174" s="699" t="s">
        <v>551</v>
      </c>
      <c r="E174" s="698" t="s">
        <v>2273</v>
      </c>
      <c r="F174" s="699" t="s">
        <v>2274</v>
      </c>
      <c r="G174" s="698" t="s">
        <v>2362</v>
      </c>
      <c r="H174" s="698" t="s">
        <v>2363</v>
      </c>
      <c r="I174" s="701">
        <v>2.4000000953674316</v>
      </c>
      <c r="J174" s="701">
        <v>50</v>
      </c>
      <c r="K174" s="702">
        <v>120</v>
      </c>
    </row>
    <row r="175" spans="1:11" ht="14.45" customHeight="1" x14ac:dyDescent="0.2">
      <c r="A175" s="696" t="s">
        <v>537</v>
      </c>
      <c r="B175" s="697" t="s">
        <v>538</v>
      </c>
      <c r="C175" s="698" t="s">
        <v>550</v>
      </c>
      <c r="D175" s="699" t="s">
        <v>551</v>
      </c>
      <c r="E175" s="698" t="s">
        <v>2273</v>
      </c>
      <c r="F175" s="699" t="s">
        <v>2274</v>
      </c>
      <c r="G175" s="698" t="s">
        <v>2364</v>
      </c>
      <c r="H175" s="698" t="s">
        <v>2365</v>
      </c>
      <c r="I175" s="701">
        <v>12.100000381469727</v>
      </c>
      <c r="J175" s="701">
        <v>900</v>
      </c>
      <c r="K175" s="702">
        <v>10890</v>
      </c>
    </row>
    <row r="176" spans="1:11" ht="14.45" customHeight="1" x14ac:dyDescent="0.2">
      <c r="A176" s="696" t="s">
        <v>537</v>
      </c>
      <c r="B176" s="697" t="s">
        <v>538</v>
      </c>
      <c r="C176" s="698" t="s">
        <v>550</v>
      </c>
      <c r="D176" s="699" t="s">
        <v>551</v>
      </c>
      <c r="E176" s="698" t="s">
        <v>2273</v>
      </c>
      <c r="F176" s="699" t="s">
        <v>2274</v>
      </c>
      <c r="G176" s="698" t="s">
        <v>2366</v>
      </c>
      <c r="H176" s="698" t="s">
        <v>2367</v>
      </c>
      <c r="I176" s="701">
        <v>16.340000152587891</v>
      </c>
      <c r="J176" s="701">
        <v>60</v>
      </c>
      <c r="K176" s="702">
        <v>980.16001892089844</v>
      </c>
    </row>
    <row r="177" spans="1:11" ht="14.45" customHeight="1" x14ac:dyDescent="0.2">
      <c r="A177" s="696" t="s">
        <v>537</v>
      </c>
      <c r="B177" s="697" t="s">
        <v>538</v>
      </c>
      <c r="C177" s="698" t="s">
        <v>550</v>
      </c>
      <c r="D177" s="699" t="s">
        <v>551</v>
      </c>
      <c r="E177" s="698" t="s">
        <v>2273</v>
      </c>
      <c r="F177" s="699" t="s">
        <v>2274</v>
      </c>
      <c r="G177" s="698" t="s">
        <v>2368</v>
      </c>
      <c r="H177" s="698" t="s">
        <v>2369</v>
      </c>
      <c r="I177" s="701">
        <v>22.989999771118164</v>
      </c>
      <c r="J177" s="701">
        <v>30</v>
      </c>
      <c r="K177" s="702">
        <v>689.69998168945313</v>
      </c>
    </row>
    <row r="178" spans="1:11" ht="14.45" customHeight="1" x14ac:dyDescent="0.2">
      <c r="A178" s="696" t="s">
        <v>537</v>
      </c>
      <c r="B178" s="697" t="s">
        <v>538</v>
      </c>
      <c r="C178" s="698" t="s">
        <v>550</v>
      </c>
      <c r="D178" s="699" t="s">
        <v>551</v>
      </c>
      <c r="E178" s="698" t="s">
        <v>2273</v>
      </c>
      <c r="F178" s="699" t="s">
        <v>2274</v>
      </c>
      <c r="G178" s="698" t="s">
        <v>2370</v>
      </c>
      <c r="H178" s="698" t="s">
        <v>2371</v>
      </c>
      <c r="I178" s="701">
        <v>22.989999771118164</v>
      </c>
      <c r="J178" s="701">
        <v>10</v>
      </c>
      <c r="K178" s="702">
        <v>229.89999389648438</v>
      </c>
    </row>
    <row r="179" spans="1:11" ht="14.45" customHeight="1" x14ac:dyDescent="0.2">
      <c r="A179" s="696" t="s">
        <v>537</v>
      </c>
      <c r="B179" s="697" t="s">
        <v>538</v>
      </c>
      <c r="C179" s="698" t="s">
        <v>550</v>
      </c>
      <c r="D179" s="699" t="s">
        <v>551</v>
      </c>
      <c r="E179" s="698" t="s">
        <v>2273</v>
      </c>
      <c r="F179" s="699" t="s">
        <v>2274</v>
      </c>
      <c r="G179" s="698" t="s">
        <v>2372</v>
      </c>
      <c r="H179" s="698" t="s">
        <v>2373</v>
      </c>
      <c r="I179" s="701">
        <v>22.989999771118164</v>
      </c>
      <c r="J179" s="701">
        <v>30</v>
      </c>
      <c r="K179" s="702">
        <v>689.69998168945313</v>
      </c>
    </row>
    <row r="180" spans="1:11" ht="14.45" customHeight="1" x14ac:dyDescent="0.2">
      <c r="A180" s="696" t="s">
        <v>537</v>
      </c>
      <c r="B180" s="697" t="s">
        <v>538</v>
      </c>
      <c r="C180" s="698" t="s">
        <v>550</v>
      </c>
      <c r="D180" s="699" t="s">
        <v>551</v>
      </c>
      <c r="E180" s="698" t="s">
        <v>2273</v>
      </c>
      <c r="F180" s="699" t="s">
        <v>2274</v>
      </c>
      <c r="G180" s="698" t="s">
        <v>2374</v>
      </c>
      <c r="H180" s="698" t="s">
        <v>2375</v>
      </c>
      <c r="I180" s="701">
        <v>22.989999771118164</v>
      </c>
      <c r="J180" s="701">
        <v>10</v>
      </c>
      <c r="K180" s="702">
        <v>229.89999389648438</v>
      </c>
    </row>
    <row r="181" spans="1:11" ht="14.45" customHeight="1" x14ac:dyDescent="0.2">
      <c r="A181" s="696" t="s">
        <v>537</v>
      </c>
      <c r="B181" s="697" t="s">
        <v>538</v>
      </c>
      <c r="C181" s="698" t="s">
        <v>550</v>
      </c>
      <c r="D181" s="699" t="s">
        <v>551</v>
      </c>
      <c r="E181" s="698" t="s">
        <v>2273</v>
      </c>
      <c r="F181" s="699" t="s">
        <v>2274</v>
      </c>
      <c r="G181" s="698" t="s">
        <v>2376</v>
      </c>
      <c r="H181" s="698" t="s">
        <v>2377</v>
      </c>
      <c r="I181" s="701">
        <v>4.0300002098083496</v>
      </c>
      <c r="J181" s="701">
        <v>5200</v>
      </c>
      <c r="K181" s="702">
        <v>20955.5</v>
      </c>
    </row>
    <row r="182" spans="1:11" ht="14.45" customHeight="1" x14ac:dyDescent="0.2">
      <c r="A182" s="696" t="s">
        <v>537</v>
      </c>
      <c r="B182" s="697" t="s">
        <v>538</v>
      </c>
      <c r="C182" s="698" t="s">
        <v>550</v>
      </c>
      <c r="D182" s="699" t="s">
        <v>551</v>
      </c>
      <c r="E182" s="698" t="s">
        <v>2273</v>
      </c>
      <c r="F182" s="699" t="s">
        <v>2274</v>
      </c>
      <c r="G182" s="698" t="s">
        <v>2378</v>
      </c>
      <c r="H182" s="698" t="s">
        <v>2379</v>
      </c>
      <c r="I182" s="701">
        <v>103.15100173950195</v>
      </c>
      <c r="J182" s="701">
        <v>450</v>
      </c>
      <c r="K182" s="702">
        <v>46418.81005859375</v>
      </c>
    </row>
    <row r="183" spans="1:11" ht="14.45" customHeight="1" x14ac:dyDescent="0.2">
      <c r="A183" s="696" t="s">
        <v>537</v>
      </c>
      <c r="B183" s="697" t="s">
        <v>538</v>
      </c>
      <c r="C183" s="698" t="s">
        <v>550</v>
      </c>
      <c r="D183" s="699" t="s">
        <v>551</v>
      </c>
      <c r="E183" s="698" t="s">
        <v>2273</v>
      </c>
      <c r="F183" s="699" t="s">
        <v>2274</v>
      </c>
      <c r="G183" s="698" t="s">
        <v>2380</v>
      </c>
      <c r="H183" s="698" t="s">
        <v>2381</v>
      </c>
      <c r="I183" s="701">
        <v>12.704999923706055</v>
      </c>
      <c r="J183" s="701">
        <v>2000</v>
      </c>
      <c r="K183" s="702">
        <v>25411.9599609375</v>
      </c>
    </row>
    <row r="184" spans="1:11" ht="14.45" customHeight="1" x14ac:dyDescent="0.2">
      <c r="A184" s="696" t="s">
        <v>537</v>
      </c>
      <c r="B184" s="697" t="s">
        <v>538</v>
      </c>
      <c r="C184" s="698" t="s">
        <v>550</v>
      </c>
      <c r="D184" s="699" t="s">
        <v>551</v>
      </c>
      <c r="E184" s="698" t="s">
        <v>2273</v>
      </c>
      <c r="F184" s="699" t="s">
        <v>2274</v>
      </c>
      <c r="G184" s="698" t="s">
        <v>2380</v>
      </c>
      <c r="H184" s="698" t="s">
        <v>2382</v>
      </c>
      <c r="I184" s="701">
        <v>12.100000381469727</v>
      </c>
      <c r="J184" s="701">
        <v>550</v>
      </c>
      <c r="K184" s="702">
        <v>6655</v>
      </c>
    </row>
    <row r="185" spans="1:11" ht="14.45" customHeight="1" x14ac:dyDescent="0.2">
      <c r="A185" s="696" t="s">
        <v>537</v>
      </c>
      <c r="B185" s="697" t="s">
        <v>538</v>
      </c>
      <c r="C185" s="698" t="s">
        <v>550</v>
      </c>
      <c r="D185" s="699" t="s">
        <v>551</v>
      </c>
      <c r="E185" s="698" t="s">
        <v>2273</v>
      </c>
      <c r="F185" s="699" t="s">
        <v>2274</v>
      </c>
      <c r="G185" s="698" t="s">
        <v>2383</v>
      </c>
      <c r="H185" s="698" t="s">
        <v>2384</v>
      </c>
      <c r="I185" s="701">
        <v>7.8655555513170032</v>
      </c>
      <c r="J185" s="701">
        <v>2800</v>
      </c>
      <c r="K185" s="702">
        <v>22025</v>
      </c>
    </row>
    <row r="186" spans="1:11" ht="14.45" customHeight="1" x14ac:dyDescent="0.2">
      <c r="A186" s="696" t="s">
        <v>537</v>
      </c>
      <c r="B186" s="697" t="s">
        <v>538</v>
      </c>
      <c r="C186" s="698" t="s">
        <v>550</v>
      </c>
      <c r="D186" s="699" t="s">
        <v>551</v>
      </c>
      <c r="E186" s="698" t="s">
        <v>2273</v>
      </c>
      <c r="F186" s="699" t="s">
        <v>2274</v>
      </c>
      <c r="G186" s="698" t="s">
        <v>2383</v>
      </c>
      <c r="H186" s="698" t="s">
        <v>2385</v>
      </c>
      <c r="I186" s="701">
        <v>7.8600001335144043</v>
      </c>
      <c r="J186" s="701">
        <v>300</v>
      </c>
      <c r="K186" s="702">
        <v>2358</v>
      </c>
    </row>
    <row r="187" spans="1:11" ht="14.45" customHeight="1" x14ac:dyDescent="0.2">
      <c r="A187" s="696" t="s">
        <v>537</v>
      </c>
      <c r="B187" s="697" t="s">
        <v>538</v>
      </c>
      <c r="C187" s="698" t="s">
        <v>550</v>
      </c>
      <c r="D187" s="699" t="s">
        <v>551</v>
      </c>
      <c r="E187" s="698" t="s">
        <v>2273</v>
      </c>
      <c r="F187" s="699" t="s">
        <v>2274</v>
      </c>
      <c r="G187" s="698" t="s">
        <v>2386</v>
      </c>
      <c r="H187" s="698" t="s">
        <v>2387</v>
      </c>
      <c r="I187" s="701">
        <v>10.079999923706055</v>
      </c>
      <c r="J187" s="701">
        <v>30</v>
      </c>
      <c r="K187" s="702">
        <v>302.260009765625</v>
      </c>
    </row>
    <row r="188" spans="1:11" ht="14.45" customHeight="1" x14ac:dyDescent="0.2">
      <c r="A188" s="696" t="s">
        <v>537</v>
      </c>
      <c r="B188" s="697" t="s">
        <v>538</v>
      </c>
      <c r="C188" s="698" t="s">
        <v>550</v>
      </c>
      <c r="D188" s="699" t="s">
        <v>551</v>
      </c>
      <c r="E188" s="698" t="s">
        <v>2273</v>
      </c>
      <c r="F188" s="699" t="s">
        <v>2274</v>
      </c>
      <c r="G188" s="698" t="s">
        <v>2388</v>
      </c>
      <c r="H188" s="698" t="s">
        <v>2389</v>
      </c>
      <c r="I188" s="701">
        <v>171.69000244140625</v>
      </c>
      <c r="J188" s="701">
        <v>30</v>
      </c>
      <c r="K188" s="702">
        <v>5150.60986328125</v>
      </c>
    </row>
    <row r="189" spans="1:11" ht="14.45" customHeight="1" x14ac:dyDescent="0.2">
      <c r="A189" s="696" t="s">
        <v>537</v>
      </c>
      <c r="B189" s="697" t="s">
        <v>538</v>
      </c>
      <c r="C189" s="698" t="s">
        <v>550</v>
      </c>
      <c r="D189" s="699" t="s">
        <v>551</v>
      </c>
      <c r="E189" s="698" t="s">
        <v>2273</v>
      </c>
      <c r="F189" s="699" t="s">
        <v>2274</v>
      </c>
      <c r="G189" s="698" t="s">
        <v>2390</v>
      </c>
      <c r="H189" s="698" t="s">
        <v>2391</v>
      </c>
      <c r="I189" s="701">
        <v>10.130000305175781</v>
      </c>
      <c r="J189" s="701">
        <v>330</v>
      </c>
      <c r="K189" s="702">
        <v>3340.2000732421875</v>
      </c>
    </row>
    <row r="190" spans="1:11" ht="14.45" customHeight="1" x14ac:dyDescent="0.2">
      <c r="A190" s="696" t="s">
        <v>537</v>
      </c>
      <c r="B190" s="697" t="s">
        <v>538</v>
      </c>
      <c r="C190" s="698" t="s">
        <v>550</v>
      </c>
      <c r="D190" s="699" t="s">
        <v>551</v>
      </c>
      <c r="E190" s="698" t="s">
        <v>2273</v>
      </c>
      <c r="F190" s="699" t="s">
        <v>2274</v>
      </c>
      <c r="G190" s="698" t="s">
        <v>2392</v>
      </c>
      <c r="H190" s="698" t="s">
        <v>2393</v>
      </c>
      <c r="I190" s="701">
        <v>3.869999885559082</v>
      </c>
      <c r="J190" s="701">
        <v>3000</v>
      </c>
      <c r="K190" s="702">
        <v>11615.800109863281</v>
      </c>
    </row>
    <row r="191" spans="1:11" ht="14.45" customHeight="1" x14ac:dyDescent="0.2">
      <c r="A191" s="696" t="s">
        <v>537</v>
      </c>
      <c r="B191" s="697" t="s">
        <v>538</v>
      </c>
      <c r="C191" s="698" t="s">
        <v>550</v>
      </c>
      <c r="D191" s="699" t="s">
        <v>551</v>
      </c>
      <c r="E191" s="698" t="s">
        <v>2273</v>
      </c>
      <c r="F191" s="699" t="s">
        <v>2274</v>
      </c>
      <c r="G191" s="698" t="s">
        <v>2394</v>
      </c>
      <c r="H191" s="698" t="s">
        <v>2395</v>
      </c>
      <c r="I191" s="701">
        <v>3.1450001001358032</v>
      </c>
      <c r="J191" s="701">
        <v>340</v>
      </c>
      <c r="K191" s="702">
        <v>1068.6499977111816</v>
      </c>
    </row>
    <row r="192" spans="1:11" ht="14.45" customHeight="1" x14ac:dyDescent="0.2">
      <c r="A192" s="696" t="s">
        <v>537</v>
      </c>
      <c r="B192" s="697" t="s">
        <v>538</v>
      </c>
      <c r="C192" s="698" t="s">
        <v>550</v>
      </c>
      <c r="D192" s="699" t="s">
        <v>551</v>
      </c>
      <c r="E192" s="698" t="s">
        <v>2273</v>
      </c>
      <c r="F192" s="699" t="s">
        <v>2274</v>
      </c>
      <c r="G192" s="698" t="s">
        <v>2396</v>
      </c>
      <c r="H192" s="698" t="s">
        <v>2397</v>
      </c>
      <c r="I192" s="701">
        <v>198.69000244140625</v>
      </c>
      <c r="J192" s="701">
        <v>72</v>
      </c>
      <c r="K192" s="702">
        <v>14305.670166015625</v>
      </c>
    </row>
    <row r="193" spans="1:11" ht="14.45" customHeight="1" x14ac:dyDescent="0.2">
      <c r="A193" s="696" t="s">
        <v>537</v>
      </c>
      <c r="B193" s="697" t="s">
        <v>538</v>
      </c>
      <c r="C193" s="698" t="s">
        <v>550</v>
      </c>
      <c r="D193" s="699" t="s">
        <v>551</v>
      </c>
      <c r="E193" s="698" t="s">
        <v>2273</v>
      </c>
      <c r="F193" s="699" t="s">
        <v>2274</v>
      </c>
      <c r="G193" s="698" t="s">
        <v>2398</v>
      </c>
      <c r="H193" s="698" t="s">
        <v>2399</v>
      </c>
      <c r="I193" s="701">
        <v>1118.0400390625</v>
      </c>
      <c r="J193" s="701">
        <v>2</v>
      </c>
      <c r="K193" s="702">
        <v>2236.080078125</v>
      </c>
    </row>
    <row r="194" spans="1:11" ht="14.45" customHeight="1" x14ac:dyDescent="0.2">
      <c r="A194" s="696" t="s">
        <v>537</v>
      </c>
      <c r="B194" s="697" t="s">
        <v>538</v>
      </c>
      <c r="C194" s="698" t="s">
        <v>550</v>
      </c>
      <c r="D194" s="699" t="s">
        <v>551</v>
      </c>
      <c r="E194" s="698" t="s">
        <v>2273</v>
      </c>
      <c r="F194" s="699" t="s">
        <v>2274</v>
      </c>
      <c r="G194" s="698" t="s">
        <v>2400</v>
      </c>
      <c r="H194" s="698" t="s">
        <v>2401</v>
      </c>
      <c r="I194" s="701">
        <v>579.59002685546875</v>
      </c>
      <c r="J194" s="701">
        <v>4</v>
      </c>
      <c r="K194" s="702">
        <v>2318.360107421875</v>
      </c>
    </row>
    <row r="195" spans="1:11" ht="14.45" customHeight="1" x14ac:dyDescent="0.2">
      <c r="A195" s="696" t="s">
        <v>537</v>
      </c>
      <c r="B195" s="697" t="s">
        <v>538</v>
      </c>
      <c r="C195" s="698" t="s">
        <v>550</v>
      </c>
      <c r="D195" s="699" t="s">
        <v>551</v>
      </c>
      <c r="E195" s="698" t="s">
        <v>2273</v>
      </c>
      <c r="F195" s="699" t="s">
        <v>2274</v>
      </c>
      <c r="G195" s="698" t="s">
        <v>2402</v>
      </c>
      <c r="H195" s="698" t="s">
        <v>2403</v>
      </c>
      <c r="I195" s="701">
        <v>756.42428152901789</v>
      </c>
      <c r="J195" s="701">
        <v>150</v>
      </c>
      <c r="K195" s="702">
        <v>113464.29931640625</v>
      </c>
    </row>
    <row r="196" spans="1:11" ht="14.45" customHeight="1" x14ac:dyDescent="0.2">
      <c r="A196" s="696" t="s">
        <v>537</v>
      </c>
      <c r="B196" s="697" t="s">
        <v>538</v>
      </c>
      <c r="C196" s="698" t="s">
        <v>550</v>
      </c>
      <c r="D196" s="699" t="s">
        <v>551</v>
      </c>
      <c r="E196" s="698" t="s">
        <v>2273</v>
      </c>
      <c r="F196" s="699" t="s">
        <v>2274</v>
      </c>
      <c r="G196" s="698" t="s">
        <v>2404</v>
      </c>
      <c r="H196" s="698" t="s">
        <v>2405</v>
      </c>
      <c r="I196" s="701">
        <v>37.900001525878906</v>
      </c>
      <c r="J196" s="701">
        <v>13</v>
      </c>
      <c r="K196" s="702">
        <v>492.69999694824219</v>
      </c>
    </row>
    <row r="197" spans="1:11" ht="14.45" customHeight="1" x14ac:dyDescent="0.2">
      <c r="A197" s="696" t="s">
        <v>537</v>
      </c>
      <c r="B197" s="697" t="s">
        <v>538</v>
      </c>
      <c r="C197" s="698" t="s">
        <v>550</v>
      </c>
      <c r="D197" s="699" t="s">
        <v>551</v>
      </c>
      <c r="E197" s="698" t="s">
        <v>2273</v>
      </c>
      <c r="F197" s="699" t="s">
        <v>2274</v>
      </c>
      <c r="G197" s="698" t="s">
        <v>2406</v>
      </c>
      <c r="H197" s="698" t="s">
        <v>2407</v>
      </c>
      <c r="I197" s="701">
        <v>1149.5</v>
      </c>
      <c r="J197" s="701">
        <v>3</v>
      </c>
      <c r="K197" s="702">
        <v>3448.5</v>
      </c>
    </row>
    <row r="198" spans="1:11" ht="14.45" customHeight="1" x14ac:dyDescent="0.2">
      <c r="A198" s="696" t="s">
        <v>537</v>
      </c>
      <c r="B198" s="697" t="s">
        <v>538</v>
      </c>
      <c r="C198" s="698" t="s">
        <v>550</v>
      </c>
      <c r="D198" s="699" t="s">
        <v>551</v>
      </c>
      <c r="E198" s="698" t="s">
        <v>2273</v>
      </c>
      <c r="F198" s="699" t="s">
        <v>2274</v>
      </c>
      <c r="G198" s="698" t="s">
        <v>2408</v>
      </c>
      <c r="H198" s="698" t="s">
        <v>2409</v>
      </c>
      <c r="I198" s="701">
        <v>81.739997863769531</v>
      </c>
      <c r="J198" s="701">
        <v>145</v>
      </c>
      <c r="K198" s="702">
        <v>11852.300170898438</v>
      </c>
    </row>
    <row r="199" spans="1:11" ht="14.45" customHeight="1" x14ac:dyDescent="0.2">
      <c r="A199" s="696" t="s">
        <v>537</v>
      </c>
      <c r="B199" s="697" t="s">
        <v>538</v>
      </c>
      <c r="C199" s="698" t="s">
        <v>550</v>
      </c>
      <c r="D199" s="699" t="s">
        <v>551</v>
      </c>
      <c r="E199" s="698" t="s">
        <v>2273</v>
      </c>
      <c r="F199" s="699" t="s">
        <v>2274</v>
      </c>
      <c r="G199" s="698" t="s">
        <v>2410</v>
      </c>
      <c r="H199" s="698" t="s">
        <v>2411</v>
      </c>
      <c r="I199" s="701">
        <v>80.576000976562497</v>
      </c>
      <c r="J199" s="701">
        <v>1160</v>
      </c>
      <c r="K199" s="702">
        <v>93467.399658203125</v>
      </c>
    </row>
    <row r="200" spans="1:11" ht="14.45" customHeight="1" x14ac:dyDescent="0.2">
      <c r="A200" s="696" t="s">
        <v>537</v>
      </c>
      <c r="B200" s="697" t="s">
        <v>538</v>
      </c>
      <c r="C200" s="698" t="s">
        <v>550</v>
      </c>
      <c r="D200" s="699" t="s">
        <v>551</v>
      </c>
      <c r="E200" s="698" t="s">
        <v>2273</v>
      </c>
      <c r="F200" s="699" t="s">
        <v>2274</v>
      </c>
      <c r="G200" s="698" t="s">
        <v>2412</v>
      </c>
      <c r="H200" s="698" t="s">
        <v>2413</v>
      </c>
      <c r="I200" s="701">
        <v>42.229999542236328</v>
      </c>
      <c r="J200" s="701">
        <v>80</v>
      </c>
      <c r="K200" s="702">
        <v>3378.320068359375</v>
      </c>
    </row>
    <row r="201" spans="1:11" ht="14.45" customHeight="1" x14ac:dyDescent="0.2">
      <c r="A201" s="696" t="s">
        <v>537</v>
      </c>
      <c r="B201" s="697" t="s">
        <v>538</v>
      </c>
      <c r="C201" s="698" t="s">
        <v>550</v>
      </c>
      <c r="D201" s="699" t="s">
        <v>551</v>
      </c>
      <c r="E201" s="698" t="s">
        <v>2273</v>
      </c>
      <c r="F201" s="699" t="s">
        <v>2274</v>
      </c>
      <c r="G201" s="698" t="s">
        <v>2414</v>
      </c>
      <c r="H201" s="698" t="s">
        <v>2415</v>
      </c>
      <c r="I201" s="701">
        <v>154</v>
      </c>
      <c r="J201" s="701">
        <v>10</v>
      </c>
      <c r="K201" s="702">
        <v>1539.969970703125</v>
      </c>
    </row>
    <row r="202" spans="1:11" ht="14.45" customHeight="1" x14ac:dyDescent="0.2">
      <c r="A202" s="696" t="s">
        <v>537</v>
      </c>
      <c r="B202" s="697" t="s">
        <v>538</v>
      </c>
      <c r="C202" s="698" t="s">
        <v>550</v>
      </c>
      <c r="D202" s="699" t="s">
        <v>551</v>
      </c>
      <c r="E202" s="698" t="s">
        <v>2273</v>
      </c>
      <c r="F202" s="699" t="s">
        <v>2274</v>
      </c>
      <c r="G202" s="698" t="s">
        <v>2416</v>
      </c>
      <c r="H202" s="698" t="s">
        <v>2417</v>
      </c>
      <c r="I202" s="701">
        <v>0.27333332598209381</v>
      </c>
      <c r="J202" s="701">
        <v>600</v>
      </c>
      <c r="K202" s="702">
        <v>163.51000022888184</v>
      </c>
    </row>
    <row r="203" spans="1:11" ht="14.45" customHeight="1" x14ac:dyDescent="0.2">
      <c r="A203" s="696" t="s">
        <v>537</v>
      </c>
      <c r="B203" s="697" t="s">
        <v>538</v>
      </c>
      <c r="C203" s="698" t="s">
        <v>550</v>
      </c>
      <c r="D203" s="699" t="s">
        <v>551</v>
      </c>
      <c r="E203" s="698" t="s">
        <v>2273</v>
      </c>
      <c r="F203" s="699" t="s">
        <v>2274</v>
      </c>
      <c r="G203" s="698" t="s">
        <v>2418</v>
      </c>
      <c r="H203" s="698" t="s">
        <v>2419</v>
      </c>
      <c r="I203" s="701">
        <v>46.064286095755442</v>
      </c>
      <c r="J203" s="701">
        <v>1560</v>
      </c>
      <c r="K203" s="702">
        <v>72550.399536132813</v>
      </c>
    </row>
    <row r="204" spans="1:11" ht="14.45" customHeight="1" x14ac:dyDescent="0.2">
      <c r="A204" s="696" t="s">
        <v>537</v>
      </c>
      <c r="B204" s="697" t="s">
        <v>538</v>
      </c>
      <c r="C204" s="698" t="s">
        <v>550</v>
      </c>
      <c r="D204" s="699" t="s">
        <v>551</v>
      </c>
      <c r="E204" s="698" t="s">
        <v>2273</v>
      </c>
      <c r="F204" s="699" t="s">
        <v>2274</v>
      </c>
      <c r="G204" s="698" t="s">
        <v>2420</v>
      </c>
      <c r="H204" s="698" t="s">
        <v>2421</v>
      </c>
      <c r="I204" s="701">
        <v>27.100000381469727</v>
      </c>
      <c r="J204" s="701">
        <v>220</v>
      </c>
      <c r="K204" s="702">
        <v>5962.5599975585938</v>
      </c>
    </row>
    <row r="205" spans="1:11" ht="14.45" customHeight="1" x14ac:dyDescent="0.2">
      <c r="A205" s="696" t="s">
        <v>537</v>
      </c>
      <c r="B205" s="697" t="s">
        <v>538</v>
      </c>
      <c r="C205" s="698" t="s">
        <v>550</v>
      </c>
      <c r="D205" s="699" t="s">
        <v>551</v>
      </c>
      <c r="E205" s="698" t="s">
        <v>2273</v>
      </c>
      <c r="F205" s="699" t="s">
        <v>2274</v>
      </c>
      <c r="G205" s="698" t="s">
        <v>2422</v>
      </c>
      <c r="H205" s="698" t="s">
        <v>2423</v>
      </c>
      <c r="I205" s="701">
        <v>393.25</v>
      </c>
      <c r="J205" s="701">
        <v>5</v>
      </c>
      <c r="K205" s="702">
        <v>1966.25</v>
      </c>
    </row>
    <row r="206" spans="1:11" ht="14.45" customHeight="1" x14ac:dyDescent="0.2">
      <c r="A206" s="696" t="s">
        <v>537</v>
      </c>
      <c r="B206" s="697" t="s">
        <v>538</v>
      </c>
      <c r="C206" s="698" t="s">
        <v>550</v>
      </c>
      <c r="D206" s="699" t="s">
        <v>551</v>
      </c>
      <c r="E206" s="698" t="s">
        <v>2273</v>
      </c>
      <c r="F206" s="699" t="s">
        <v>2274</v>
      </c>
      <c r="G206" s="698" t="s">
        <v>2424</v>
      </c>
      <c r="H206" s="698" t="s">
        <v>2425</v>
      </c>
      <c r="I206" s="701">
        <v>302.5</v>
      </c>
      <c r="J206" s="701">
        <v>5</v>
      </c>
      <c r="K206" s="702">
        <v>1512.5</v>
      </c>
    </row>
    <row r="207" spans="1:11" ht="14.45" customHeight="1" x14ac:dyDescent="0.2">
      <c r="A207" s="696" t="s">
        <v>537</v>
      </c>
      <c r="B207" s="697" t="s">
        <v>538</v>
      </c>
      <c r="C207" s="698" t="s">
        <v>550</v>
      </c>
      <c r="D207" s="699" t="s">
        <v>551</v>
      </c>
      <c r="E207" s="698" t="s">
        <v>2273</v>
      </c>
      <c r="F207" s="699" t="s">
        <v>2274</v>
      </c>
      <c r="G207" s="698" t="s">
        <v>2426</v>
      </c>
      <c r="H207" s="698" t="s">
        <v>2427</v>
      </c>
      <c r="I207" s="701">
        <v>302.5</v>
      </c>
      <c r="J207" s="701">
        <v>10</v>
      </c>
      <c r="K207" s="702">
        <v>3025</v>
      </c>
    </row>
    <row r="208" spans="1:11" ht="14.45" customHeight="1" x14ac:dyDescent="0.2">
      <c r="A208" s="696" t="s">
        <v>537</v>
      </c>
      <c r="B208" s="697" t="s">
        <v>538</v>
      </c>
      <c r="C208" s="698" t="s">
        <v>550</v>
      </c>
      <c r="D208" s="699" t="s">
        <v>551</v>
      </c>
      <c r="E208" s="698" t="s">
        <v>2273</v>
      </c>
      <c r="F208" s="699" t="s">
        <v>2274</v>
      </c>
      <c r="G208" s="698" t="s">
        <v>2428</v>
      </c>
      <c r="H208" s="698" t="s">
        <v>2429</v>
      </c>
      <c r="I208" s="701">
        <v>375.10000610351563</v>
      </c>
      <c r="J208" s="701">
        <v>5</v>
      </c>
      <c r="K208" s="702">
        <v>1875.5</v>
      </c>
    </row>
    <row r="209" spans="1:11" ht="14.45" customHeight="1" x14ac:dyDescent="0.2">
      <c r="A209" s="696" t="s">
        <v>537</v>
      </c>
      <c r="B209" s="697" t="s">
        <v>538</v>
      </c>
      <c r="C209" s="698" t="s">
        <v>550</v>
      </c>
      <c r="D209" s="699" t="s">
        <v>551</v>
      </c>
      <c r="E209" s="698" t="s">
        <v>2273</v>
      </c>
      <c r="F209" s="699" t="s">
        <v>2274</v>
      </c>
      <c r="G209" s="698" t="s">
        <v>2430</v>
      </c>
      <c r="H209" s="698" t="s">
        <v>2431</v>
      </c>
      <c r="I209" s="701">
        <v>58.915713174002512</v>
      </c>
      <c r="J209" s="701">
        <v>350</v>
      </c>
      <c r="K209" s="702">
        <v>20620.75</v>
      </c>
    </row>
    <row r="210" spans="1:11" ht="14.45" customHeight="1" x14ac:dyDescent="0.2">
      <c r="A210" s="696" t="s">
        <v>537</v>
      </c>
      <c r="B210" s="697" t="s">
        <v>538</v>
      </c>
      <c r="C210" s="698" t="s">
        <v>550</v>
      </c>
      <c r="D210" s="699" t="s">
        <v>551</v>
      </c>
      <c r="E210" s="698" t="s">
        <v>2273</v>
      </c>
      <c r="F210" s="699" t="s">
        <v>2274</v>
      </c>
      <c r="G210" s="698" t="s">
        <v>2432</v>
      </c>
      <c r="H210" s="698" t="s">
        <v>2433</v>
      </c>
      <c r="I210" s="701">
        <v>4.9718180136247119</v>
      </c>
      <c r="J210" s="701">
        <v>270</v>
      </c>
      <c r="K210" s="702">
        <v>1342.3000106811523</v>
      </c>
    </row>
    <row r="211" spans="1:11" ht="14.45" customHeight="1" x14ac:dyDescent="0.2">
      <c r="A211" s="696" t="s">
        <v>537</v>
      </c>
      <c r="B211" s="697" t="s">
        <v>538</v>
      </c>
      <c r="C211" s="698" t="s">
        <v>550</v>
      </c>
      <c r="D211" s="699" t="s">
        <v>551</v>
      </c>
      <c r="E211" s="698" t="s">
        <v>2273</v>
      </c>
      <c r="F211" s="699" t="s">
        <v>2274</v>
      </c>
      <c r="G211" s="698" t="s">
        <v>2434</v>
      </c>
      <c r="H211" s="698" t="s">
        <v>2435</v>
      </c>
      <c r="I211" s="701">
        <v>25.532500743865967</v>
      </c>
      <c r="J211" s="701">
        <v>680</v>
      </c>
      <c r="K211" s="702">
        <v>17362.100158691406</v>
      </c>
    </row>
    <row r="212" spans="1:11" ht="14.45" customHeight="1" x14ac:dyDescent="0.2">
      <c r="A212" s="696" t="s">
        <v>537</v>
      </c>
      <c r="B212" s="697" t="s">
        <v>538</v>
      </c>
      <c r="C212" s="698" t="s">
        <v>550</v>
      </c>
      <c r="D212" s="699" t="s">
        <v>551</v>
      </c>
      <c r="E212" s="698" t="s">
        <v>2273</v>
      </c>
      <c r="F212" s="699" t="s">
        <v>2274</v>
      </c>
      <c r="G212" s="698" t="s">
        <v>2434</v>
      </c>
      <c r="H212" s="698" t="s">
        <v>2436</v>
      </c>
      <c r="I212" s="701">
        <v>25.533334096272785</v>
      </c>
      <c r="J212" s="701">
        <v>120</v>
      </c>
      <c r="K212" s="702">
        <v>3064.0700073242188</v>
      </c>
    </row>
    <row r="213" spans="1:11" ht="14.45" customHeight="1" x14ac:dyDescent="0.2">
      <c r="A213" s="696" t="s">
        <v>537</v>
      </c>
      <c r="B213" s="697" t="s">
        <v>538</v>
      </c>
      <c r="C213" s="698" t="s">
        <v>550</v>
      </c>
      <c r="D213" s="699" t="s">
        <v>551</v>
      </c>
      <c r="E213" s="698" t="s">
        <v>2273</v>
      </c>
      <c r="F213" s="699" t="s">
        <v>2274</v>
      </c>
      <c r="G213" s="698" t="s">
        <v>2437</v>
      </c>
      <c r="H213" s="698" t="s">
        <v>2438</v>
      </c>
      <c r="I213" s="701">
        <v>321.75</v>
      </c>
      <c r="J213" s="701">
        <v>8</v>
      </c>
      <c r="K213" s="702">
        <v>2574</v>
      </c>
    </row>
    <row r="214" spans="1:11" ht="14.45" customHeight="1" x14ac:dyDescent="0.2">
      <c r="A214" s="696" t="s">
        <v>537</v>
      </c>
      <c r="B214" s="697" t="s">
        <v>538</v>
      </c>
      <c r="C214" s="698" t="s">
        <v>550</v>
      </c>
      <c r="D214" s="699" t="s">
        <v>551</v>
      </c>
      <c r="E214" s="698" t="s">
        <v>2273</v>
      </c>
      <c r="F214" s="699" t="s">
        <v>2274</v>
      </c>
      <c r="G214" s="698" t="s">
        <v>2439</v>
      </c>
      <c r="H214" s="698" t="s">
        <v>2440</v>
      </c>
      <c r="I214" s="701">
        <v>184.57667032877603</v>
      </c>
      <c r="J214" s="701">
        <v>20</v>
      </c>
      <c r="K214" s="702">
        <v>3691.5601196289063</v>
      </c>
    </row>
    <row r="215" spans="1:11" ht="14.45" customHeight="1" x14ac:dyDescent="0.2">
      <c r="A215" s="696" t="s">
        <v>537</v>
      </c>
      <c r="B215" s="697" t="s">
        <v>538</v>
      </c>
      <c r="C215" s="698" t="s">
        <v>550</v>
      </c>
      <c r="D215" s="699" t="s">
        <v>551</v>
      </c>
      <c r="E215" s="698" t="s">
        <v>2273</v>
      </c>
      <c r="F215" s="699" t="s">
        <v>2274</v>
      </c>
      <c r="G215" s="698" t="s">
        <v>2441</v>
      </c>
      <c r="H215" s="698" t="s">
        <v>2442</v>
      </c>
      <c r="I215" s="701">
        <v>239.58000183105469</v>
      </c>
      <c r="J215" s="701">
        <v>30</v>
      </c>
      <c r="K215" s="702">
        <v>7187.39990234375</v>
      </c>
    </row>
    <row r="216" spans="1:11" ht="14.45" customHeight="1" x14ac:dyDescent="0.2">
      <c r="A216" s="696" t="s">
        <v>537</v>
      </c>
      <c r="B216" s="697" t="s">
        <v>538</v>
      </c>
      <c r="C216" s="698" t="s">
        <v>550</v>
      </c>
      <c r="D216" s="699" t="s">
        <v>551</v>
      </c>
      <c r="E216" s="698" t="s">
        <v>2273</v>
      </c>
      <c r="F216" s="699" t="s">
        <v>2274</v>
      </c>
      <c r="G216" s="698" t="s">
        <v>2443</v>
      </c>
      <c r="H216" s="698" t="s">
        <v>2444</v>
      </c>
      <c r="I216" s="701">
        <v>297.66000366210938</v>
      </c>
      <c r="J216" s="701">
        <v>6</v>
      </c>
      <c r="K216" s="702">
        <v>1785.9599609375</v>
      </c>
    </row>
    <row r="217" spans="1:11" ht="14.45" customHeight="1" x14ac:dyDescent="0.2">
      <c r="A217" s="696" t="s">
        <v>537</v>
      </c>
      <c r="B217" s="697" t="s">
        <v>538</v>
      </c>
      <c r="C217" s="698" t="s">
        <v>550</v>
      </c>
      <c r="D217" s="699" t="s">
        <v>551</v>
      </c>
      <c r="E217" s="698" t="s">
        <v>2273</v>
      </c>
      <c r="F217" s="699" t="s">
        <v>2274</v>
      </c>
      <c r="G217" s="698" t="s">
        <v>2445</v>
      </c>
      <c r="H217" s="698" t="s">
        <v>2446</v>
      </c>
      <c r="I217" s="701">
        <v>30.25</v>
      </c>
      <c r="J217" s="701">
        <v>60</v>
      </c>
      <c r="K217" s="702">
        <v>1815</v>
      </c>
    </row>
    <row r="218" spans="1:11" ht="14.45" customHeight="1" x14ac:dyDescent="0.2">
      <c r="A218" s="696" t="s">
        <v>537</v>
      </c>
      <c r="B218" s="697" t="s">
        <v>538</v>
      </c>
      <c r="C218" s="698" t="s">
        <v>550</v>
      </c>
      <c r="D218" s="699" t="s">
        <v>551</v>
      </c>
      <c r="E218" s="698" t="s">
        <v>2273</v>
      </c>
      <c r="F218" s="699" t="s">
        <v>2274</v>
      </c>
      <c r="G218" s="698" t="s">
        <v>2447</v>
      </c>
      <c r="H218" s="698" t="s">
        <v>2448</v>
      </c>
      <c r="I218" s="701">
        <v>4.8000001907348633</v>
      </c>
      <c r="J218" s="701">
        <v>300</v>
      </c>
      <c r="K218" s="702">
        <v>1440</v>
      </c>
    </row>
    <row r="219" spans="1:11" ht="14.45" customHeight="1" x14ac:dyDescent="0.2">
      <c r="A219" s="696" t="s">
        <v>537</v>
      </c>
      <c r="B219" s="697" t="s">
        <v>538</v>
      </c>
      <c r="C219" s="698" t="s">
        <v>550</v>
      </c>
      <c r="D219" s="699" t="s">
        <v>551</v>
      </c>
      <c r="E219" s="698" t="s">
        <v>2273</v>
      </c>
      <c r="F219" s="699" t="s">
        <v>2274</v>
      </c>
      <c r="G219" s="698" t="s">
        <v>2449</v>
      </c>
      <c r="H219" s="698" t="s">
        <v>2450</v>
      </c>
      <c r="I219" s="701">
        <v>96.319999694824219</v>
      </c>
      <c r="J219" s="701">
        <v>288</v>
      </c>
      <c r="K219" s="702">
        <v>27739.3603515625</v>
      </c>
    </row>
    <row r="220" spans="1:11" ht="14.45" customHeight="1" x14ac:dyDescent="0.2">
      <c r="A220" s="696" t="s">
        <v>537</v>
      </c>
      <c r="B220" s="697" t="s">
        <v>538</v>
      </c>
      <c r="C220" s="698" t="s">
        <v>550</v>
      </c>
      <c r="D220" s="699" t="s">
        <v>551</v>
      </c>
      <c r="E220" s="698" t="s">
        <v>2273</v>
      </c>
      <c r="F220" s="699" t="s">
        <v>2274</v>
      </c>
      <c r="G220" s="698" t="s">
        <v>2451</v>
      </c>
      <c r="H220" s="698" t="s">
        <v>2452</v>
      </c>
      <c r="I220" s="701">
        <v>96.316000366210943</v>
      </c>
      <c r="J220" s="701">
        <v>390</v>
      </c>
      <c r="K220" s="702">
        <v>37562.639892578125</v>
      </c>
    </row>
    <row r="221" spans="1:11" ht="14.45" customHeight="1" x14ac:dyDescent="0.2">
      <c r="A221" s="696" t="s">
        <v>537</v>
      </c>
      <c r="B221" s="697" t="s">
        <v>538</v>
      </c>
      <c r="C221" s="698" t="s">
        <v>550</v>
      </c>
      <c r="D221" s="699" t="s">
        <v>551</v>
      </c>
      <c r="E221" s="698" t="s">
        <v>2273</v>
      </c>
      <c r="F221" s="699" t="s">
        <v>2274</v>
      </c>
      <c r="G221" s="698" t="s">
        <v>2453</v>
      </c>
      <c r="H221" s="698" t="s">
        <v>2454</v>
      </c>
      <c r="I221" s="701">
        <v>3533.3455033735795</v>
      </c>
      <c r="J221" s="701">
        <v>15</v>
      </c>
      <c r="K221" s="702">
        <v>53000.16064453125</v>
      </c>
    </row>
    <row r="222" spans="1:11" ht="14.45" customHeight="1" x14ac:dyDescent="0.2">
      <c r="A222" s="696" t="s">
        <v>537</v>
      </c>
      <c r="B222" s="697" t="s">
        <v>538</v>
      </c>
      <c r="C222" s="698" t="s">
        <v>550</v>
      </c>
      <c r="D222" s="699" t="s">
        <v>551</v>
      </c>
      <c r="E222" s="698" t="s">
        <v>2273</v>
      </c>
      <c r="F222" s="699" t="s">
        <v>2274</v>
      </c>
      <c r="G222" s="698" t="s">
        <v>2455</v>
      </c>
      <c r="H222" s="698" t="s">
        <v>2456</v>
      </c>
      <c r="I222" s="701">
        <v>148.22999572753906</v>
      </c>
      <c r="J222" s="701">
        <v>10</v>
      </c>
      <c r="K222" s="702">
        <v>1482.300048828125</v>
      </c>
    </row>
    <row r="223" spans="1:11" ht="14.45" customHeight="1" x14ac:dyDescent="0.2">
      <c r="A223" s="696" t="s">
        <v>537</v>
      </c>
      <c r="B223" s="697" t="s">
        <v>538</v>
      </c>
      <c r="C223" s="698" t="s">
        <v>550</v>
      </c>
      <c r="D223" s="699" t="s">
        <v>551</v>
      </c>
      <c r="E223" s="698" t="s">
        <v>2273</v>
      </c>
      <c r="F223" s="699" t="s">
        <v>2274</v>
      </c>
      <c r="G223" s="698" t="s">
        <v>2457</v>
      </c>
      <c r="H223" s="698" t="s">
        <v>2458</v>
      </c>
      <c r="I223" s="701">
        <v>145.19999694824219</v>
      </c>
      <c r="J223" s="701">
        <v>30</v>
      </c>
      <c r="K223" s="702">
        <v>4356</v>
      </c>
    </row>
    <row r="224" spans="1:11" ht="14.45" customHeight="1" x14ac:dyDescent="0.2">
      <c r="A224" s="696" t="s">
        <v>537</v>
      </c>
      <c r="B224" s="697" t="s">
        <v>538</v>
      </c>
      <c r="C224" s="698" t="s">
        <v>550</v>
      </c>
      <c r="D224" s="699" t="s">
        <v>551</v>
      </c>
      <c r="E224" s="698" t="s">
        <v>2273</v>
      </c>
      <c r="F224" s="699" t="s">
        <v>2274</v>
      </c>
      <c r="G224" s="698" t="s">
        <v>2459</v>
      </c>
      <c r="H224" s="698" t="s">
        <v>2460</v>
      </c>
      <c r="I224" s="701">
        <v>236.10000610351563</v>
      </c>
      <c r="J224" s="701">
        <v>6</v>
      </c>
      <c r="K224" s="702">
        <v>1416.5999755859375</v>
      </c>
    </row>
    <row r="225" spans="1:11" ht="14.45" customHeight="1" x14ac:dyDescent="0.2">
      <c r="A225" s="696" t="s">
        <v>537</v>
      </c>
      <c r="B225" s="697" t="s">
        <v>538</v>
      </c>
      <c r="C225" s="698" t="s">
        <v>550</v>
      </c>
      <c r="D225" s="699" t="s">
        <v>551</v>
      </c>
      <c r="E225" s="698" t="s">
        <v>2273</v>
      </c>
      <c r="F225" s="699" t="s">
        <v>2274</v>
      </c>
      <c r="G225" s="698" t="s">
        <v>2461</v>
      </c>
      <c r="H225" s="698" t="s">
        <v>2462</v>
      </c>
      <c r="I225" s="701">
        <v>185.1300048828125</v>
      </c>
      <c r="J225" s="701">
        <v>4</v>
      </c>
      <c r="K225" s="702">
        <v>740.52001953125</v>
      </c>
    </row>
    <row r="226" spans="1:11" ht="14.45" customHeight="1" x14ac:dyDescent="0.2">
      <c r="A226" s="696" t="s">
        <v>537</v>
      </c>
      <c r="B226" s="697" t="s">
        <v>538</v>
      </c>
      <c r="C226" s="698" t="s">
        <v>550</v>
      </c>
      <c r="D226" s="699" t="s">
        <v>551</v>
      </c>
      <c r="E226" s="698" t="s">
        <v>2273</v>
      </c>
      <c r="F226" s="699" t="s">
        <v>2274</v>
      </c>
      <c r="G226" s="698" t="s">
        <v>2463</v>
      </c>
      <c r="H226" s="698" t="s">
        <v>2464</v>
      </c>
      <c r="I226" s="701">
        <v>153.66999816894531</v>
      </c>
      <c r="J226" s="701">
        <v>30</v>
      </c>
      <c r="K226" s="702">
        <v>4610.10009765625</v>
      </c>
    </row>
    <row r="227" spans="1:11" ht="14.45" customHeight="1" x14ac:dyDescent="0.2">
      <c r="A227" s="696" t="s">
        <v>537</v>
      </c>
      <c r="B227" s="697" t="s">
        <v>538</v>
      </c>
      <c r="C227" s="698" t="s">
        <v>550</v>
      </c>
      <c r="D227" s="699" t="s">
        <v>551</v>
      </c>
      <c r="E227" s="698" t="s">
        <v>2273</v>
      </c>
      <c r="F227" s="699" t="s">
        <v>2274</v>
      </c>
      <c r="G227" s="698" t="s">
        <v>2465</v>
      </c>
      <c r="H227" s="698" t="s">
        <v>2466</v>
      </c>
      <c r="I227" s="701">
        <v>3685.659912109375</v>
      </c>
      <c r="J227" s="701">
        <v>2</v>
      </c>
      <c r="K227" s="702">
        <v>7371.31982421875</v>
      </c>
    </row>
    <row r="228" spans="1:11" ht="14.45" customHeight="1" x14ac:dyDescent="0.2">
      <c r="A228" s="696" t="s">
        <v>537</v>
      </c>
      <c r="B228" s="697" t="s">
        <v>538</v>
      </c>
      <c r="C228" s="698" t="s">
        <v>550</v>
      </c>
      <c r="D228" s="699" t="s">
        <v>551</v>
      </c>
      <c r="E228" s="698" t="s">
        <v>2273</v>
      </c>
      <c r="F228" s="699" t="s">
        <v>2274</v>
      </c>
      <c r="G228" s="698" t="s">
        <v>2467</v>
      </c>
      <c r="H228" s="698" t="s">
        <v>2468</v>
      </c>
      <c r="I228" s="701">
        <v>143.53999328613281</v>
      </c>
      <c r="J228" s="701">
        <v>45</v>
      </c>
      <c r="K228" s="702">
        <v>6459.3401489257813</v>
      </c>
    </row>
    <row r="229" spans="1:11" ht="14.45" customHeight="1" x14ac:dyDescent="0.2">
      <c r="A229" s="696" t="s">
        <v>537</v>
      </c>
      <c r="B229" s="697" t="s">
        <v>538</v>
      </c>
      <c r="C229" s="698" t="s">
        <v>550</v>
      </c>
      <c r="D229" s="699" t="s">
        <v>551</v>
      </c>
      <c r="E229" s="698" t="s">
        <v>2273</v>
      </c>
      <c r="F229" s="699" t="s">
        <v>2274</v>
      </c>
      <c r="G229" s="698" t="s">
        <v>2469</v>
      </c>
      <c r="H229" s="698" t="s">
        <v>2470</v>
      </c>
      <c r="I229" s="701">
        <v>157.71000671386719</v>
      </c>
      <c r="J229" s="701">
        <v>50</v>
      </c>
      <c r="K229" s="702">
        <v>7885.6500244140625</v>
      </c>
    </row>
    <row r="230" spans="1:11" ht="14.45" customHeight="1" x14ac:dyDescent="0.2">
      <c r="A230" s="696" t="s">
        <v>537</v>
      </c>
      <c r="B230" s="697" t="s">
        <v>538</v>
      </c>
      <c r="C230" s="698" t="s">
        <v>550</v>
      </c>
      <c r="D230" s="699" t="s">
        <v>551</v>
      </c>
      <c r="E230" s="698" t="s">
        <v>2273</v>
      </c>
      <c r="F230" s="699" t="s">
        <v>2274</v>
      </c>
      <c r="G230" s="698" t="s">
        <v>2471</v>
      </c>
      <c r="H230" s="698" t="s">
        <v>2472</v>
      </c>
      <c r="I230" s="701">
        <v>157.71000671386719</v>
      </c>
      <c r="J230" s="701">
        <v>45</v>
      </c>
      <c r="K230" s="702">
        <v>7097.0900268554688</v>
      </c>
    </row>
    <row r="231" spans="1:11" ht="14.45" customHeight="1" x14ac:dyDescent="0.2">
      <c r="A231" s="696" t="s">
        <v>537</v>
      </c>
      <c r="B231" s="697" t="s">
        <v>538</v>
      </c>
      <c r="C231" s="698" t="s">
        <v>550</v>
      </c>
      <c r="D231" s="699" t="s">
        <v>551</v>
      </c>
      <c r="E231" s="698" t="s">
        <v>2273</v>
      </c>
      <c r="F231" s="699" t="s">
        <v>2274</v>
      </c>
      <c r="G231" s="698" t="s">
        <v>2473</v>
      </c>
      <c r="H231" s="698" t="s">
        <v>2474</v>
      </c>
      <c r="I231" s="701">
        <v>110.48000335693359</v>
      </c>
      <c r="J231" s="701">
        <v>25</v>
      </c>
      <c r="K231" s="702">
        <v>2761.949951171875</v>
      </c>
    </row>
    <row r="232" spans="1:11" ht="14.45" customHeight="1" x14ac:dyDescent="0.2">
      <c r="A232" s="696" t="s">
        <v>537</v>
      </c>
      <c r="B232" s="697" t="s">
        <v>538</v>
      </c>
      <c r="C232" s="698" t="s">
        <v>550</v>
      </c>
      <c r="D232" s="699" t="s">
        <v>551</v>
      </c>
      <c r="E232" s="698" t="s">
        <v>2273</v>
      </c>
      <c r="F232" s="699" t="s">
        <v>2274</v>
      </c>
      <c r="G232" s="698" t="s">
        <v>2475</v>
      </c>
      <c r="H232" s="698" t="s">
        <v>2476</v>
      </c>
      <c r="I232" s="701">
        <v>19.360000610351563</v>
      </c>
      <c r="J232" s="701">
        <v>10</v>
      </c>
      <c r="K232" s="702">
        <v>193.60000610351563</v>
      </c>
    </row>
    <row r="233" spans="1:11" ht="14.45" customHeight="1" x14ac:dyDescent="0.2">
      <c r="A233" s="696" t="s">
        <v>537</v>
      </c>
      <c r="B233" s="697" t="s">
        <v>538</v>
      </c>
      <c r="C233" s="698" t="s">
        <v>550</v>
      </c>
      <c r="D233" s="699" t="s">
        <v>551</v>
      </c>
      <c r="E233" s="698" t="s">
        <v>2273</v>
      </c>
      <c r="F233" s="699" t="s">
        <v>2274</v>
      </c>
      <c r="G233" s="698" t="s">
        <v>2477</v>
      </c>
      <c r="H233" s="698" t="s">
        <v>2478</v>
      </c>
      <c r="I233" s="701">
        <v>28.430000305175781</v>
      </c>
      <c r="J233" s="701">
        <v>10</v>
      </c>
      <c r="K233" s="702">
        <v>284.29998779296875</v>
      </c>
    </row>
    <row r="234" spans="1:11" ht="14.45" customHeight="1" x14ac:dyDescent="0.2">
      <c r="A234" s="696" t="s">
        <v>537</v>
      </c>
      <c r="B234" s="697" t="s">
        <v>538</v>
      </c>
      <c r="C234" s="698" t="s">
        <v>550</v>
      </c>
      <c r="D234" s="699" t="s">
        <v>551</v>
      </c>
      <c r="E234" s="698" t="s">
        <v>2273</v>
      </c>
      <c r="F234" s="699" t="s">
        <v>2274</v>
      </c>
      <c r="G234" s="698" t="s">
        <v>2479</v>
      </c>
      <c r="H234" s="698" t="s">
        <v>2480</v>
      </c>
      <c r="I234" s="701">
        <v>9.1999998092651367</v>
      </c>
      <c r="J234" s="701">
        <v>6950</v>
      </c>
      <c r="K234" s="702">
        <v>63940</v>
      </c>
    </row>
    <row r="235" spans="1:11" ht="14.45" customHeight="1" x14ac:dyDescent="0.2">
      <c r="A235" s="696" t="s">
        <v>537</v>
      </c>
      <c r="B235" s="697" t="s">
        <v>538</v>
      </c>
      <c r="C235" s="698" t="s">
        <v>550</v>
      </c>
      <c r="D235" s="699" t="s">
        <v>551</v>
      </c>
      <c r="E235" s="698" t="s">
        <v>2273</v>
      </c>
      <c r="F235" s="699" t="s">
        <v>2274</v>
      </c>
      <c r="G235" s="698" t="s">
        <v>2481</v>
      </c>
      <c r="H235" s="698" t="s">
        <v>2482</v>
      </c>
      <c r="I235" s="701">
        <v>58.37111028035482</v>
      </c>
      <c r="J235" s="701">
        <v>1700</v>
      </c>
      <c r="K235" s="702">
        <v>99230.33984375</v>
      </c>
    </row>
    <row r="236" spans="1:11" ht="14.45" customHeight="1" x14ac:dyDescent="0.2">
      <c r="A236" s="696" t="s">
        <v>537</v>
      </c>
      <c r="B236" s="697" t="s">
        <v>538</v>
      </c>
      <c r="C236" s="698" t="s">
        <v>550</v>
      </c>
      <c r="D236" s="699" t="s">
        <v>551</v>
      </c>
      <c r="E236" s="698" t="s">
        <v>2273</v>
      </c>
      <c r="F236" s="699" t="s">
        <v>2274</v>
      </c>
      <c r="G236" s="698" t="s">
        <v>2483</v>
      </c>
      <c r="H236" s="698" t="s">
        <v>2484</v>
      </c>
      <c r="I236" s="701">
        <v>114.25</v>
      </c>
      <c r="J236" s="701">
        <v>2320</v>
      </c>
      <c r="K236" s="702">
        <v>265055.8369140625</v>
      </c>
    </row>
    <row r="237" spans="1:11" ht="14.45" customHeight="1" x14ac:dyDescent="0.2">
      <c r="A237" s="696" t="s">
        <v>537</v>
      </c>
      <c r="B237" s="697" t="s">
        <v>538</v>
      </c>
      <c r="C237" s="698" t="s">
        <v>550</v>
      </c>
      <c r="D237" s="699" t="s">
        <v>551</v>
      </c>
      <c r="E237" s="698" t="s">
        <v>2273</v>
      </c>
      <c r="F237" s="699" t="s">
        <v>2274</v>
      </c>
      <c r="G237" s="698" t="s">
        <v>2485</v>
      </c>
      <c r="H237" s="698" t="s">
        <v>2486</v>
      </c>
      <c r="I237" s="701">
        <v>35.090000152587891</v>
      </c>
      <c r="J237" s="701">
        <v>660</v>
      </c>
      <c r="K237" s="702">
        <v>23159.39990234375</v>
      </c>
    </row>
    <row r="238" spans="1:11" ht="14.45" customHeight="1" x14ac:dyDescent="0.2">
      <c r="A238" s="696" t="s">
        <v>537</v>
      </c>
      <c r="B238" s="697" t="s">
        <v>538</v>
      </c>
      <c r="C238" s="698" t="s">
        <v>550</v>
      </c>
      <c r="D238" s="699" t="s">
        <v>551</v>
      </c>
      <c r="E238" s="698" t="s">
        <v>2273</v>
      </c>
      <c r="F238" s="699" t="s">
        <v>2274</v>
      </c>
      <c r="G238" s="698" t="s">
        <v>2487</v>
      </c>
      <c r="H238" s="698" t="s">
        <v>2488</v>
      </c>
      <c r="I238" s="701">
        <v>7.5040000915527347</v>
      </c>
      <c r="J238" s="701">
        <v>30</v>
      </c>
      <c r="K238" s="702">
        <v>225.09999847412109</v>
      </c>
    </row>
    <row r="239" spans="1:11" ht="14.45" customHeight="1" x14ac:dyDescent="0.2">
      <c r="A239" s="696" t="s">
        <v>537</v>
      </c>
      <c r="B239" s="697" t="s">
        <v>538</v>
      </c>
      <c r="C239" s="698" t="s">
        <v>550</v>
      </c>
      <c r="D239" s="699" t="s">
        <v>551</v>
      </c>
      <c r="E239" s="698" t="s">
        <v>2273</v>
      </c>
      <c r="F239" s="699" t="s">
        <v>2274</v>
      </c>
      <c r="G239" s="698" t="s">
        <v>2489</v>
      </c>
      <c r="H239" s="698" t="s">
        <v>2490</v>
      </c>
      <c r="I239" s="701">
        <v>7.3580000877380369</v>
      </c>
      <c r="J239" s="701">
        <v>35</v>
      </c>
      <c r="K239" s="702">
        <v>256.59999084472656</v>
      </c>
    </row>
    <row r="240" spans="1:11" ht="14.45" customHeight="1" x14ac:dyDescent="0.2">
      <c r="A240" s="696" t="s">
        <v>537</v>
      </c>
      <c r="B240" s="697" t="s">
        <v>538</v>
      </c>
      <c r="C240" s="698" t="s">
        <v>550</v>
      </c>
      <c r="D240" s="699" t="s">
        <v>551</v>
      </c>
      <c r="E240" s="698" t="s">
        <v>2273</v>
      </c>
      <c r="F240" s="699" t="s">
        <v>2274</v>
      </c>
      <c r="G240" s="698" t="s">
        <v>2491</v>
      </c>
      <c r="H240" s="698" t="s">
        <v>2492</v>
      </c>
      <c r="I240" s="701">
        <v>7.5</v>
      </c>
      <c r="J240" s="701">
        <v>20</v>
      </c>
      <c r="K240" s="702">
        <v>150</v>
      </c>
    </row>
    <row r="241" spans="1:11" ht="14.45" customHeight="1" x14ac:dyDescent="0.2">
      <c r="A241" s="696" t="s">
        <v>537</v>
      </c>
      <c r="B241" s="697" t="s">
        <v>538</v>
      </c>
      <c r="C241" s="698" t="s">
        <v>550</v>
      </c>
      <c r="D241" s="699" t="s">
        <v>551</v>
      </c>
      <c r="E241" s="698" t="s">
        <v>2273</v>
      </c>
      <c r="F241" s="699" t="s">
        <v>2274</v>
      </c>
      <c r="G241" s="698" t="s">
        <v>2493</v>
      </c>
      <c r="H241" s="698" t="s">
        <v>2494</v>
      </c>
      <c r="I241" s="701">
        <v>172.5</v>
      </c>
      <c r="J241" s="701">
        <v>1</v>
      </c>
      <c r="K241" s="702">
        <v>172.5</v>
      </c>
    </row>
    <row r="242" spans="1:11" ht="14.45" customHeight="1" x14ac:dyDescent="0.2">
      <c r="A242" s="696" t="s">
        <v>537</v>
      </c>
      <c r="B242" s="697" t="s">
        <v>538</v>
      </c>
      <c r="C242" s="698" t="s">
        <v>550</v>
      </c>
      <c r="D242" s="699" t="s">
        <v>551</v>
      </c>
      <c r="E242" s="698" t="s">
        <v>2273</v>
      </c>
      <c r="F242" s="699" t="s">
        <v>2274</v>
      </c>
      <c r="G242" s="698" t="s">
        <v>2495</v>
      </c>
      <c r="H242" s="698" t="s">
        <v>2496</v>
      </c>
      <c r="I242" s="701">
        <v>284.35000610351563</v>
      </c>
      <c r="J242" s="701">
        <v>200</v>
      </c>
      <c r="K242" s="702">
        <v>56870</v>
      </c>
    </row>
    <row r="243" spans="1:11" ht="14.45" customHeight="1" x14ac:dyDescent="0.2">
      <c r="A243" s="696" t="s">
        <v>537</v>
      </c>
      <c r="B243" s="697" t="s">
        <v>538</v>
      </c>
      <c r="C243" s="698" t="s">
        <v>550</v>
      </c>
      <c r="D243" s="699" t="s">
        <v>551</v>
      </c>
      <c r="E243" s="698" t="s">
        <v>2273</v>
      </c>
      <c r="F243" s="699" t="s">
        <v>2274</v>
      </c>
      <c r="G243" s="698" t="s">
        <v>2495</v>
      </c>
      <c r="H243" s="698" t="s">
        <v>2497</v>
      </c>
      <c r="I243" s="701">
        <v>284.35000610351563</v>
      </c>
      <c r="J243" s="701">
        <v>100</v>
      </c>
      <c r="K243" s="702">
        <v>28435</v>
      </c>
    </row>
    <row r="244" spans="1:11" ht="14.45" customHeight="1" x14ac:dyDescent="0.2">
      <c r="A244" s="696" t="s">
        <v>537</v>
      </c>
      <c r="B244" s="697" t="s">
        <v>538</v>
      </c>
      <c r="C244" s="698" t="s">
        <v>550</v>
      </c>
      <c r="D244" s="699" t="s">
        <v>551</v>
      </c>
      <c r="E244" s="698" t="s">
        <v>2273</v>
      </c>
      <c r="F244" s="699" t="s">
        <v>2274</v>
      </c>
      <c r="G244" s="698" t="s">
        <v>2495</v>
      </c>
      <c r="H244" s="698" t="s">
        <v>2498</v>
      </c>
      <c r="I244" s="701">
        <v>284.35000610351563</v>
      </c>
      <c r="J244" s="701">
        <v>60</v>
      </c>
      <c r="K244" s="702">
        <v>17061</v>
      </c>
    </row>
    <row r="245" spans="1:11" ht="14.45" customHeight="1" x14ac:dyDescent="0.2">
      <c r="A245" s="696" t="s">
        <v>537</v>
      </c>
      <c r="B245" s="697" t="s">
        <v>538</v>
      </c>
      <c r="C245" s="698" t="s">
        <v>550</v>
      </c>
      <c r="D245" s="699" t="s">
        <v>551</v>
      </c>
      <c r="E245" s="698" t="s">
        <v>2273</v>
      </c>
      <c r="F245" s="699" t="s">
        <v>2274</v>
      </c>
      <c r="G245" s="698" t="s">
        <v>2499</v>
      </c>
      <c r="H245" s="698" t="s">
        <v>2500</v>
      </c>
      <c r="I245" s="701">
        <v>187.55000305175781</v>
      </c>
      <c r="J245" s="701">
        <v>282</v>
      </c>
      <c r="K245" s="702">
        <v>52889.09912109375</v>
      </c>
    </row>
    <row r="246" spans="1:11" ht="14.45" customHeight="1" x14ac:dyDescent="0.2">
      <c r="A246" s="696" t="s">
        <v>537</v>
      </c>
      <c r="B246" s="697" t="s">
        <v>538</v>
      </c>
      <c r="C246" s="698" t="s">
        <v>550</v>
      </c>
      <c r="D246" s="699" t="s">
        <v>551</v>
      </c>
      <c r="E246" s="698" t="s">
        <v>2273</v>
      </c>
      <c r="F246" s="699" t="s">
        <v>2274</v>
      </c>
      <c r="G246" s="698" t="s">
        <v>2499</v>
      </c>
      <c r="H246" s="698" t="s">
        <v>2501</v>
      </c>
      <c r="I246" s="701">
        <v>162.52142987932478</v>
      </c>
      <c r="J246" s="701">
        <v>494</v>
      </c>
      <c r="K246" s="702">
        <v>82137.69921875</v>
      </c>
    </row>
    <row r="247" spans="1:11" ht="14.45" customHeight="1" x14ac:dyDescent="0.2">
      <c r="A247" s="696" t="s">
        <v>537</v>
      </c>
      <c r="B247" s="697" t="s">
        <v>538</v>
      </c>
      <c r="C247" s="698" t="s">
        <v>550</v>
      </c>
      <c r="D247" s="699" t="s">
        <v>551</v>
      </c>
      <c r="E247" s="698" t="s">
        <v>2273</v>
      </c>
      <c r="F247" s="699" t="s">
        <v>2274</v>
      </c>
      <c r="G247" s="698" t="s">
        <v>2502</v>
      </c>
      <c r="H247" s="698" t="s">
        <v>2503</v>
      </c>
      <c r="I247" s="701">
        <v>149</v>
      </c>
      <c r="J247" s="701">
        <v>200</v>
      </c>
      <c r="K247" s="702">
        <v>29799.9404296875</v>
      </c>
    </row>
    <row r="248" spans="1:11" ht="14.45" customHeight="1" x14ac:dyDescent="0.2">
      <c r="A248" s="696" t="s">
        <v>537</v>
      </c>
      <c r="B248" s="697" t="s">
        <v>538</v>
      </c>
      <c r="C248" s="698" t="s">
        <v>550</v>
      </c>
      <c r="D248" s="699" t="s">
        <v>551</v>
      </c>
      <c r="E248" s="698" t="s">
        <v>2273</v>
      </c>
      <c r="F248" s="699" t="s">
        <v>2274</v>
      </c>
      <c r="G248" s="698" t="s">
        <v>2504</v>
      </c>
      <c r="H248" s="698" t="s">
        <v>2505</v>
      </c>
      <c r="I248" s="701">
        <v>6.7757143974304199</v>
      </c>
      <c r="J248" s="701">
        <v>4700</v>
      </c>
      <c r="K248" s="702">
        <v>31845</v>
      </c>
    </row>
    <row r="249" spans="1:11" ht="14.45" customHeight="1" x14ac:dyDescent="0.2">
      <c r="A249" s="696" t="s">
        <v>537</v>
      </c>
      <c r="B249" s="697" t="s">
        <v>538</v>
      </c>
      <c r="C249" s="698" t="s">
        <v>550</v>
      </c>
      <c r="D249" s="699" t="s">
        <v>551</v>
      </c>
      <c r="E249" s="698" t="s">
        <v>2273</v>
      </c>
      <c r="F249" s="699" t="s">
        <v>2274</v>
      </c>
      <c r="G249" s="698" t="s">
        <v>2506</v>
      </c>
      <c r="H249" s="698" t="s">
        <v>2507</v>
      </c>
      <c r="I249" s="701">
        <v>64.610000610351563</v>
      </c>
      <c r="J249" s="701">
        <v>40</v>
      </c>
      <c r="K249" s="702">
        <v>2584.469970703125</v>
      </c>
    </row>
    <row r="250" spans="1:11" ht="14.45" customHeight="1" x14ac:dyDescent="0.2">
      <c r="A250" s="696" t="s">
        <v>537</v>
      </c>
      <c r="B250" s="697" t="s">
        <v>538</v>
      </c>
      <c r="C250" s="698" t="s">
        <v>550</v>
      </c>
      <c r="D250" s="699" t="s">
        <v>551</v>
      </c>
      <c r="E250" s="698" t="s">
        <v>2273</v>
      </c>
      <c r="F250" s="699" t="s">
        <v>2274</v>
      </c>
      <c r="G250" s="698" t="s">
        <v>2508</v>
      </c>
      <c r="H250" s="698" t="s">
        <v>2509</v>
      </c>
      <c r="I250" s="701">
        <v>64.610000610351563</v>
      </c>
      <c r="J250" s="701">
        <v>50</v>
      </c>
      <c r="K250" s="702">
        <v>3230.5899658203125</v>
      </c>
    </row>
    <row r="251" spans="1:11" ht="14.45" customHeight="1" x14ac:dyDescent="0.2">
      <c r="A251" s="696" t="s">
        <v>537</v>
      </c>
      <c r="B251" s="697" t="s">
        <v>538</v>
      </c>
      <c r="C251" s="698" t="s">
        <v>550</v>
      </c>
      <c r="D251" s="699" t="s">
        <v>551</v>
      </c>
      <c r="E251" s="698" t="s">
        <v>2273</v>
      </c>
      <c r="F251" s="699" t="s">
        <v>2274</v>
      </c>
      <c r="G251" s="698" t="s">
        <v>2510</v>
      </c>
      <c r="H251" s="698" t="s">
        <v>2511</v>
      </c>
      <c r="I251" s="701">
        <v>87.204998016357422</v>
      </c>
      <c r="J251" s="701">
        <v>60</v>
      </c>
      <c r="K251" s="702">
        <v>5232.2799072265625</v>
      </c>
    </row>
    <row r="252" spans="1:11" ht="14.45" customHeight="1" x14ac:dyDescent="0.2">
      <c r="A252" s="696" t="s">
        <v>537</v>
      </c>
      <c r="B252" s="697" t="s">
        <v>538</v>
      </c>
      <c r="C252" s="698" t="s">
        <v>550</v>
      </c>
      <c r="D252" s="699" t="s">
        <v>551</v>
      </c>
      <c r="E252" s="698" t="s">
        <v>2273</v>
      </c>
      <c r="F252" s="699" t="s">
        <v>2274</v>
      </c>
      <c r="G252" s="698" t="s">
        <v>2512</v>
      </c>
      <c r="H252" s="698" t="s">
        <v>2513</v>
      </c>
      <c r="I252" s="701">
        <v>87.209999084472656</v>
      </c>
      <c r="J252" s="701">
        <v>10</v>
      </c>
      <c r="K252" s="702">
        <v>872.04998779296875</v>
      </c>
    </row>
    <row r="253" spans="1:11" ht="14.45" customHeight="1" x14ac:dyDescent="0.2">
      <c r="A253" s="696" t="s">
        <v>537</v>
      </c>
      <c r="B253" s="697" t="s">
        <v>538</v>
      </c>
      <c r="C253" s="698" t="s">
        <v>550</v>
      </c>
      <c r="D253" s="699" t="s">
        <v>551</v>
      </c>
      <c r="E253" s="698" t="s">
        <v>2273</v>
      </c>
      <c r="F253" s="699" t="s">
        <v>2274</v>
      </c>
      <c r="G253" s="698" t="s">
        <v>2514</v>
      </c>
      <c r="H253" s="698" t="s">
        <v>2515</v>
      </c>
      <c r="I253" s="701">
        <v>87.204998016357422</v>
      </c>
      <c r="J253" s="701">
        <v>60</v>
      </c>
      <c r="K253" s="702">
        <v>5232.2799072265625</v>
      </c>
    </row>
    <row r="254" spans="1:11" ht="14.45" customHeight="1" x14ac:dyDescent="0.2">
      <c r="A254" s="696" t="s">
        <v>537</v>
      </c>
      <c r="B254" s="697" t="s">
        <v>538</v>
      </c>
      <c r="C254" s="698" t="s">
        <v>550</v>
      </c>
      <c r="D254" s="699" t="s">
        <v>551</v>
      </c>
      <c r="E254" s="698" t="s">
        <v>2273</v>
      </c>
      <c r="F254" s="699" t="s">
        <v>2274</v>
      </c>
      <c r="G254" s="698" t="s">
        <v>2516</v>
      </c>
      <c r="H254" s="698" t="s">
        <v>2517</v>
      </c>
      <c r="I254" s="701">
        <v>5082</v>
      </c>
      <c r="J254" s="701">
        <v>58</v>
      </c>
      <c r="K254" s="702">
        <v>294756</v>
      </c>
    </row>
    <row r="255" spans="1:11" ht="14.45" customHeight="1" x14ac:dyDescent="0.2">
      <c r="A255" s="696" t="s">
        <v>537</v>
      </c>
      <c r="B255" s="697" t="s">
        <v>538</v>
      </c>
      <c r="C255" s="698" t="s">
        <v>550</v>
      </c>
      <c r="D255" s="699" t="s">
        <v>551</v>
      </c>
      <c r="E255" s="698" t="s">
        <v>2273</v>
      </c>
      <c r="F255" s="699" t="s">
        <v>2274</v>
      </c>
      <c r="G255" s="698" t="s">
        <v>2518</v>
      </c>
      <c r="H255" s="698" t="s">
        <v>2519</v>
      </c>
      <c r="I255" s="701">
        <v>4660.919921875</v>
      </c>
      <c r="J255" s="701">
        <v>5</v>
      </c>
      <c r="K255" s="702">
        <v>23304.599609375</v>
      </c>
    </row>
    <row r="256" spans="1:11" ht="14.45" customHeight="1" x14ac:dyDescent="0.2">
      <c r="A256" s="696" t="s">
        <v>537</v>
      </c>
      <c r="B256" s="697" t="s">
        <v>538</v>
      </c>
      <c r="C256" s="698" t="s">
        <v>550</v>
      </c>
      <c r="D256" s="699" t="s">
        <v>551</v>
      </c>
      <c r="E256" s="698" t="s">
        <v>2273</v>
      </c>
      <c r="F256" s="699" t="s">
        <v>2274</v>
      </c>
      <c r="G256" s="698" t="s">
        <v>2520</v>
      </c>
      <c r="H256" s="698" t="s">
        <v>2521</v>
      </c>
      <c r="I256" s="701">
        <v>4660.919921875</v>
      </c>
      <c r="J256" s="701">
        <v>13</v>
      </c>
      <c r="K256" s="702">
        <v>60591.958984375</v>
      </c>
    </row>
    <row r="257" spans="1:11" ht="14.45" customHeight="1" x14ac:dyDescent="0.2">
      <c r="A257" s="696" t="s">
        <v>537</v>
      </c>
      <c r="B257" s="697" t="s">
        <v>538</v>
      </c>
      <c r="C257" s="698" t="s">
        <v>550</v>
      </c>
      <c r="D257" s="699" t="s">
        <v>551</v>
      </c>
      <c r="E257" s="698" t="s">
        <v>2273</v>
      </c>
      <c r="F257" s="699" t="s">
        <v>2274</v>
      </c>
      <c r="G257" s="698" t="s">
        <v>2522</v>
      </c>
      <c r="H257" s="698" t="s">
        <v>2523</v>
      </c>
      <c r="I257" s="701">
        <v>4660.919921875</v>
      </c>
      <c r="J257" s="701">
        <v>22</v>
      </c>
      <c r="K257" s="702">
        <v>102540.23828125</v>
      </c>
    </row>
    <row r="258" spans="1:11" ht="14.45" customHeight="1" x14ac:dyDescent="0.2">
      <c r="A258" s="696" t="s">
        <v>537</v>
      </c>
      <c r="B258" s="697" t="s">
        <v>538</v>
      </c>
      <c r="C258" s="698" t="s">
        <v>550</v>
      </c>
      <c r="D258" s="699" t="s">
        <v>551</v>
      </c>
      <c r="E258" s="698" t="s">
        <v>2273</v>
      </c>
      <c r="F258" s="699" t="s">
        <v>2274</v>
      </c>
      <c r="G258" s="698" t="s">
        <v>2524</v>
      </c>
      <c r="H258" s="698" t="s">
        <v>2525</v>
      </c>
      <c r="I258" s="701">
        <v>204.87000020345053</v>
      </c>
      <c r="J258" s="701">
        <v>260</v>
      </c>
      <c r="K258" s="702">
        <v>53270.8994140625</v>
      </c>
    </row>
    <row r="259" spans="1:11" ht="14.45" customHeight="1" x14ac:dyDescent="0.2">
      <c r="A259" s="696" t="s">
        <v>537</v>
      </c>
      <c r="B259" s="697" t="s">
        <v>538</v>
      </c>
      <c r="C259" s="698" t="s">
        <v>550</v>
      </c>
      <c r="D259" s="699" t="s">
        <v>551</v>
      </c>
      <c r="E259" s="698" t="s">
        <v>2273</v>
      </c>
      <c r="F259" s="699" t="s">
        <v>2274</v>
      </c>
      <c r="G259" s="698" t="s">
        <v>2526</v>
      </c>
      <c r="H259" s="698" t="s">
        <v>2527</v>
      </c>
      <c r="I259" s="701">
        <v>86.970001220703125</v>
      </c>
      <c r="J259" s="701">
        <v>60</v>
      </c>
      <c r="K259" s="702">
        <v>5218.2001953125</v>
      </c>
    </row>
    <row r="260" spans="1:11" ht="14.45" customHeight="1" x14ac:dyDescent="0.2">
      <c r="A260" s="696" t="s">
        <v>537</v>
      </c>
      <c r="B260" s="697" t="s">
        <v>538</v>
      </c>
      <c r="C260" s="698" t="s">
        <v>550</v>
      </c>
      <c r="D260" s="699" t="s">
        <v>551</v>
      </c>
      <c r="E260" s="698" t="s">
        <v>2273</v>
      </c>
      <c r="F260" s="699" t="s">
        <v>2274</v>
      </c>
      <c r="G260" s="698" t="s">
        <v>2524</v>
      </c>
      <c r="H260" s="698" t="s">
        <v>2528</v>
      </c>
      <c r="I260" s="701">
        <v>204.60000610351563</v>
      </c>
      <c r="J260" s="701">
        <v>30</v>
      </c>
      <c r="K260" s="702">
        <v>6138</v>
      </c>
    </row>
    <row r="261" spans="1:11" ht="14.45" customHeight="1" x14ac:dyDescent="0.2">
      <c r="A261" s="696" t="s">
        <v>537</v>
      </c>
      <c r="B261" s="697" t="s">
        <v>538</v>
      </c>
      <c r="C261" s="698" t="s">
        <v>550</v>
      </c>
      <c r="D261" s="699" t="s">
        <v>551</v>
      </c>
      <c r="E261" s="698" t="s">
        <v>2273</v>
      </c>
      <c r="F261" s="699" t="s">
        <v>2274</v>
      </c>
      <c r="G261" s="698" t="s">
        <v>2529</v>
      </c>
      <c r="H261" s="698" t="s">
        <v>2530</v>
      </c>
      <c r="I261" s="701">
        <v>13.310000419616699</v>
      </c>
      <c r="J261" s="701">
        <v>60</v>
      </c>
      <c r="K261" s="702">
        <v>798.60003662109375</v>
      </c>
    </row>
    <row r="262" spans="1:11" ht="14.45" customHeight="1" x14ac:dyDescent="0.2">
      <c r="A262" s="696" t="s">
        <v>537</v>
      </c>
      <c r="B262" s="697" t="s">
        <v>538</v>
      </c>
      <c r="C262" s="698" t="s">
        <v>550</v>
      </c>
      <c r="D262" s="699" t="s">
        <v>551</v>
      </c>
      <c r="E262" s="698" t="s">
        <v>2273</v>
      </c>
      <c r="F262" s="699" t="s">
        <v>2274</v>
      </c>
      <c r="G262" s="698" t="s">
        <v>2531</v>
      </c>
      <c r="H262" s="698" t="s">
        <v>2532</v>
      </c>
      <c r="I262" s="701">
        <v>13.310000419616699</v>
      </c>
      <c r="J262" s="701">
        <v>110</v>
      </c>
      <c r="K262" s="702">
        <v>1464.1000671386719</v>
      </c>
    </row>
    <row r="263" spans="1:11" ht="14.45" customHeight="1" x14ac:dyDescent="0.2">
      <c r="A263" s="696" t="s">
        <v>537</v>
      </c>
      <c r="B263" s="697" t="s">
        <v>538</v>
      </c>
      <c r="C263" s="698" t="s">
        <v>550</v>
      </c>
      <c r="D263" s="699" t="s">
        <v>551</v>
      </c>
      <c r="E263" s="698" t="s">
        <v>2273</v>
      </c>
      <c r="F263" s="699" t="s">
        <v>2274</v>
      </c>
      <c r="G263" s="698" t="s">
        <v>2533</v>
      </c>
      <c r="H263" s="698" t="s">
        <v>2534</v>
      </c>
      <c r="I263" s="701">
        <v>13.310000419616699</v>
      </c>
      <c r="J263" s="701">
        <v>10</v>
      </c>
      <c r="K263" s="702">
        <v>133.10000610351563</v>
      </c>
    </row>
    <row r="264" spans="1:11" ht="14.45" customHeight="1" x14ac:dyDescent="0.2">
      <c r="A264" s="696" t="s">
        <v>537</v>
      </c>
      <c r="B264" s="697" t="s">
        <v>538</v>
      </c>
      <c r="C264" s="698" t="s">
        <v>550</v>
      </c>
      <c r="D264" s="699" t="s">
        <v>551</v>
      </c>
      <c r="E264" s="698" t="s">
        <v>2273</v>
      </c>
      <c r="F264" s="699" t="s">
        <v>2274</v>
      </c>
      <c r="G264" s="698" t="s">
        <v>2535</v>
      </c>
      <c r="H264" s="698" t="s">
        <v>2536</v>
      </c>
      <c r="I264" s="701">
        <v>3267</v>
      </c>
      <c r="J264" s="701">
        <v>1</v>
      </c>
      <c r="K264" s="702">
        <v>3267</v>
      </c>
    </row>
    <row r="265" spans="1:11" ht="14.45" customHeight="1" x14ac:dyDescent="0.2">
      <c r="A265" s="696" t="s">
        <v>537</v>
      </c>
      <c r="B265" s="697" t="s">
        <v>538</v>
      </c>
      <c r="C265" s="698" t="s">
        <v>550</v>
      </c>
      <c r="D265" s="699" t="s">
        <v>551</v>
      </c>
      <c r="E265" s="698" t="s">
        <v>2273</v>
      </c>
      <c r="F265" s="699" t="s">
        <v>2274</v>
      </c>
      <c r="G265" s="698" t="s">
        <v>2537</v>
      </c>
      <c r="H265" s="698" t="s">
        <v>2538</v>
      </c>
      <c r="I265" s="701">
        <v>123.18000030517578</v>
      </c>
      <c r="J265" s="701">
        <v>600</v>
      </c>
      <c r="K265" s="702">
        <v>73907.81982421875</v>
      </c>
    </row>
    <row r="266" spans="1:11" ht="14.45" customHeight="1" x14ac:dyDescent="0.2">
      <c r="A266" s="696" t="s">
        <v>537</v>
      </c>
      <c r="B266" s="697" t="s">
        <v>538</v>
      </c>
      <c r="C266" s="698" t="s">
        <v>550</v>
      </c>
      <c r="D266" s="699" t="s">
        <v>551</v>
      </c>
      <c r="E266" s="698" t="s">
        <v>2273</v>
      </c>
      <c r="F266" s="699" t="s">
        <v>2274</v>
      </c>
      <c r="G266" s="698" t="s">
        <v>2539</v>
      </c>
      <c r="H266" s="698" t="s">
        <v>2540</v>
      </c>
      <c r="I266" s="701">
        <v>16.459165891011555</v>
      </c>
      <c r="J266" s="701">
        <v>630</v>
      </c>
      <c r="K266" s="702">
        <v>10369.600036621094</v>
      </c>
    </row>
    <row r="267" spans="1:11" ht="14.45" customHeight="1" x14ac:dyDescent="0.2">
      <c r="A267" s="696" t="s">
        <v>537</v>
      </c>
      <c r="B267" s="697" t="s">
        <v>538</v>
      </c>
      <c r="C267" s="698" t="s">
        <v>550</v>
      </c>
      <c r="D267" s="699" t="s">
        <v>551</v>
      </c>
      <c r="E267" s="698" t="s">
        <v>2273</v>
      </c>
      <c r="F267" s="699" t="s">
        <v>2274</v>
      </c>
      <c r="G267" s="698" t="s">
        <v>2541</v>
      </c>
      <c r="H267" s="698" t="s">
        <v>2542</v>
      </c>
      <c r="I267" s="701">
        <v>2649.89990234375</v>
      </c>
      <c r="J267" s="701">
        <v>10</v>
      </c>
      <c r="K267" s="702">
        <v>26498.9990234375</v>
      </c>
    </row>
    <row r="268" spans="1:11" ht="14.45" customHeight="1" x14ac:dyDescent="0.2">
      <c r="A268" s="696" t="s">
        <v>537</v>
      </c>
      <c r="B268" s="697" t="s">
        <v>538</v>
      </c>
      <c r="C268" s="698" t="s">
        <v>550</v>
      </c>
      <c r="D268" s="699" t="s">
        <v>551</v>
      </c>
      <c r="E268" s="698" t="s">
        <v>2273</v>
      </c>
      <c r="F268" s="699" t="s">
        <v>2274</v>
      </c>
      <c r="G268" s="698" t="s">
        <v>2543</v>
      </c>
      <c r="H268" s="698" t="s">
        <v>2544</v>
      </c>
      <c r="I268" s="701">
        <v>2760</v>
      </c>
      <c r="J268" s="701">
        <v>2</v>
      </c>
      <c r="K268" s="702">
        <v>5520</v>
      </c>
    </row>
    <row r="269" spans="1:11" ht="14.45" customHeight="1" x14ac:dyDescent="0.2">
      <c r="A269" s="696" t="s">
        <v>537</v>
      </c>
      <c r="B269" s="697" t="s">
        <v>538</v>
      </c>
      <c r="C269" s="698" t="s">
        <v>550</v>
      </c>
      <c r="D269" s="699" t="s">
        <v>551</v>
      </c>
      <c r="E269" s="698" t="s">
        <v>2273</v>
      </c>
      <c r="F269" s="699" t="s">
        <v>2274</v>
      </c>
      <c r="G269" s="698" t="s">
        <v>2545</v>
      </c>
      <c r="H269" s="698" t="s">
        <v>2546</v>
      </c>
      <c r="I269" s="701">
        <v>23.355000495910645</v>
      </c>
      <c r="J269" s="701">
        <v>100</v>
      </c>
      <c r="K269" s="702">
        <v>2335.4400634765625</v>
      </c>
    </row>
    <row r="270" spans="1:11" ht="14.45" customHeight="1" x14ac:dyDescent="0.2">
      <c r="A270" s="696" t="s">
        <v>537</v>
      </c>
      <c r="B270" s="697" t="s">
        <v>538</v>
      </c>
      <c r="C270" s="698" t="s">
        <v>550</v>
      </c>
      <c r="D270" s="699" t="s">
        <v>551</v>
      </c>
      <c r="E270" s="698" t="s">
        <v>2273</v>
      </c>
      <c r="F270" s="699" t="s">
        <v>2274</v>
      </c>
      <c r="G270" s="698" t="s">
        <v>2547</v>
      </c>
      <c r="H270" s="698" t="s">
        <v>2548</v>
      </c>
      <c r="I270" s="701">
        <v>9.6800003051757813</v>
      </c>
      <c r="J270" s="701">
        <v>140</v>
      </c>
      <c r="K270" s="702">
        <v>1355.2000427246094</v>
      </c>
    </row>
    <row r="271" spans="1:11" ht="14.45" customHeight="1" x14ac:dyDescent="0.2">
      <c r="A271" s="696" t="s">
        <v>537</v>
      </c>
      <c r="B271" s="697" t="s">
        <v>538</v>
      </c>
      <c r="C271" s="698" t="s">
        <v>550</v>
      </c>
      <c r="D271" s="699" t="s">
        <v>551</v>
      </c>
      <c r="E271" s="698" t="s">
        <v>2273</v>
      </c>
      <c r="F271" s="699" t="s">
        <v>2274</v>
      </c>
      <c r="G271" s="698" t="s">
        <v>2549</v>
      </c>
      <c r="H271" s="698" t="s">
        <v>2550</v>
      </c>
      <c r="I271" s="701">
        <v>9.0799999237060547</v>
      </c>
      <c r="J271" s="701">
        <v>30</v>
      </c>
      <c r="K271" s="702">
        <v>272.25</v>
      </c>
    </row>
    <row r="272" spans="1:11" ht="14.45" customHeight="1" x14ac:dyDescent="0.2">
      <c r="A272" s="696" t="s">
        <v>537</v>
      </c>
      <c r="B272" s="697" t="s">
        <v>538</v>
      </c>
      <c r="C272" s="698" t="s">
        <v>550</v>
      </c>
      <c r="D272" s="699" t="s">
        <v>551</v>
      </c>
      <c r="E272" s="698" t="s">
        <v>2273</v>
      </c>
      <c r="F272" s="699" t="s">
        <v>2274</v>
      </c>
      <c r="G272" s="698" t="s">
        <v>2551</v>
      </c>
      <c r="H272" s="698" t="s">
        <v>2552</v>
      </c>
      <c r="I272" s="701">
        <v>12.100000381469727</v>
      </c>
      <c r="J272" s="701">
        <v>40</v>
      </c>
      <c r="K272" s="702">
        <v>484</v>
      </c>
    </row>
    <row r="273" spans="1:11" ht="14.45" customHeight="1" x14ac:dyDescent="0.2">
      <c r="A273" s="696" t="s">
        <v>537</v>
      </c>
      <c r="B273" s="697" t="s">
        <v>538</v>
      </c>
      <c r="C273" s="698" t="s">
        <v>550</v>
      </c>
      <c r="D273" s="699" t="s">
        <v>551</v>
      </c>
      <c r="E273" s="698" t="s">
        <v>2273</v>
      </c>
      <c r="F273" s="699" t="s">
        <v>2274</v>
      </c>
      <c r="G273" s="698" t="s">
        <v>2396</v>
      </c>
      <c r="H273" s="698" t="s">
        <v>2553</v>
      </c>
      <c r="I273" s="701">
        <v>198.6875</v>
      </c>
      <c r="J273" s="701">
        <v>42</v>
      </c>
      <c r="K273" s="702">
        <v>8344.8599853515625</v>
      </c>
    </row>
    <row r="274" spans="1:11" ht="14.45" customHeight="1" x14ac:dyDescent="0.2">
      <c r="A274" s="696" t="s">
        <v>537</v>
      </c>
      <c r="B274" s="697" t="s">
        <v>538</v>
      </c>
      <c r="C274" s="698" t="s">
        <v>550</v>
      </c>
      <c r="D274" s="699" t="s">
        <v>551</v>
      </c>
      <c r="E274" s="698" t="s">
        <v>2273</v>
      </c>
      <c r="F274" s="699" t="s">
        <v>2274</v>
      </c>
      <c r="G274" s="698" t="s">
        <v>2554</v>
      </c>
      <c r="H274" s="698" t="s">
        <v>2555</v>
      </c>
      <c r="I274" s="701">
        <v>0.79875001311302185</v>
      </c>
      <c r="J274" s="701">
        <v>9100</v>
      </c>
      <c r="K274" s="702">
        <v>7267.9599914550781</v>
      </c>
    </row>
    <row r="275" spans="1:11" ht="14.45" customHeight="1" x14ac:dyDescent="0.2">
      <c r="A275" s="696" t="s">
        <v>537</v>
      </c>
      <c r="B275" s="697" t="s">
        <v>538</v>
      </c>
      <c r="C275" s="698" t="s">
        <v>550</v>
      </c>
      <c r="D275" s="699" t="s">
        <v>551</v>
      </c>
      <c r="E275" s="698" t="s">
        <v>2273</v>
      </c>
      <c r="F275" s="699" t="s">
        <v>2274</v>
      </c>
      <c r="G275" s="698" t="s">
        <v>2556</v>
      </c>
      <c r="H275" s="698" t="s">
        <v>2557</v>
      </c>
      <c r="I275" s="701">
        <v>0.82416665554046631</v>
      </c>
      <c r="J275" s="701">
        <v>18800</v>
      </c>
      <c r="K275" s="702">
        <v>15505</v>
      </c>
    </row>
    <row r="276" spans="1:11" ht="14.45" customHeight="1" x14ac:dyDescent="0.2">
      <c r="A276" s="696" t="s">
        <v>537</v>
      </c>
      <c r="B276" s="697" t="s">
        <v>538</v>
      </c>
      <c r="C276" s="698" t="s">
        <v>550</v>
      </c>
      <c r="D276" s="699" t="s">
        <v>551</v>
      </c>
      <c r="E276" s="698" t="s">
        <v>2273</v>
      </c>
      <c r="F276" s="699" t="s">
        <v>2274</v>
      </c>
      <c r="G276" s="698" t="s">
        <v>2556</v>
      </c>
      <c r="H276" s="698" t="s">
        <v>2558</v>
      </c>
      <c r="I276" s="701">
        <v>0.82499998807907104</v>
      </c>
      <c r="J276" s="701">
        <v>4200</v>
      </c>
      <c r="K276" s="702">
        <v>3456</v>
      </c>
    </row>
    <row r="277" spans="1:11" ht="14.45" customHeight="1" x14ac:dyDescent="0.2">
      <c r="A277" s="696" t="s">
        <v>537</v>
      </c>
      <c r="B277" s="697" t="s">
        <v>538</v>
      </c>
      <c r="C277" s="698" t="s">
        <v>550</v>
      </c>
      <c r="D277" s="699" t="s">
        <v>551</v>
      </c>
      <c r="E277" s="698" t="s">
        <v>2273</v>
      </c>
      <c r="F277" s="699" t="s">
        <v>2274</v>
      </c>
      <c r="G277" s="698" t="s">
        <v>2559</v>
      </c>
      <c r="H277" s="698" t="s">
        <v>2560</v>
      </c>
      <c r="I277" s="701">
        <v>0.43666666746139526</v>
      </c>
      <c r="J277" s="701">
        <v>11000</v>
      </c>
      <c r="K277" s="702">
        <v>4800</v>
      </c>
    </row>
    <row r="278" spans="1:11" ht="14.45" customHeight="1" x14ac:dyDescent="0.2">
      <c r="A278" s="696" t="s">
        <v>537</v>
      </c>
      <c r="B278" s="697" t="s">
        <v>538</v>
      </c>
      <c r="C278" s="698" t="s">
        <v>550</v>
      </c>
      <c r="D278" s="699" t="s">
        <v>551</v>
      </c>
      <c r="E278" s="698" t="s">
        <v>2273</v>
      </c>
      <c r="F278" s="699" t="s">
        <v>2274</v>
      </c>
      <c r="G278" s="698" t="s">
        <v>2559</v>
      </c>
      <c r="H278" s="698" t="s">
        <v>2561</v>
      </c>
      <c r="I278" s="701">
        <v>0.43999999761581421</v>
      </c>
      <c r="J278" s="701">
        <v>3000</v>
      </c>
      <c r="K278" s="702">
        <v>1320</v>
      </c>
    </row>
    <row r="279" spans="1:11" ht="14.45" customHeight="1" x14ac:dyDescent="0.2">
      <c r="A279" s="696" t="s">
        <v>537</v>
      </c>
      <c r="B279" s="697" t="s">
        <v>538</v>
      </c>
      <c r="C279" s="698" t="s">
        <v>550</v>
      </c>
      <c r="D279" s="699" t="s">
        <v>551</v>
      </c>
      <c r="E279" s="698" t="s">
        <v>2273</v>
      </c>
      <c r="F279" s="699" t="s">
        <v>2274</v>
      </c>
      <c r="G279" s="698" t="s">
        <v>2562</v>
      </c>
      <c r="H279" s="698" t="s">
        <v>2563</v>
      </c>
      <c r="I279" s="701">
        <v>1.1499999761581421</v>
      </c>
      <c r="J279" s="701">
        <v>8000</v>
      </c>
      <c r="K279" s="702">
        <v>9194.679931640625</v>
      </c>
    </row>
    <row r="280" spans="1:11" ht="14.45" customHeight="1" x14ac:dyDescent="0.2">
      <c r="A280" s="696" t="s">
        <v>537</v>
      </c>
      <c r="B280" s="697" t="s">
        <v>538</v>
      </c>
      <c r="C280" s="698" t="s">
        <v>550</v>
      </c>
      <c r="D280" s="699" t="s">
        <v>551</v>
      </c>
      <c r="E280" s="698" t="s">
        <v>2273</v>
      </c>
      <c r="F280" s="699" t="s">
        <v>2274</v>
      </c>
      <c r="G280" s="698" t="s">
        <v>2564</v>
      </c>
      <c r="H280" s="698" t="s">
        <v>2565</v>
      </c>
      <c r="I280" s="701">
        <v>1.1362499892711639</v>
      </c>
      <c r="J280" s="701">
        <v>24460</v>
      </c>
      <c r="K280" s="702">
        <v>27809.799926757813</v>
      </c>
    </row>
    <row r="281" spans="1:11" ht="14.45" customHeight="1" x14ac:dyDescent="0.2">
      <c r="A281" s="696" t="s">
        <v>537</v>
      </c>
      <c r="B281" s="697" t="s">
        <v>538</v>
      </c>
      <c r="C281" s="698" t="s">
        <v>550</v>
      </c>
      <c r="D281" s="699" t="s">
        <v>551</v>
      </c>
      <c r="E281" s="698" t="s">
        <v>2273</v>
      </c>
      <c r="F281" s="699" t="s">
        <v>2274</v>
      </c>
      <c r="G281" s="698" t="s">
        <v>2566</v>
      </c>
      <c r="H281" s="698" t="s">
        <v>2567</v>
      </c>
      <c r="I281" s="701">
        <v>7.869999885559082</v>
      </c>
      <c r="J281" s="701">
        <v>500</v>
      </c>
      <c r="K281" s="702">
        <v>3934.489990234375</v>
      </c>
    </row>
    <row r="282" spans="1:11" ht="14.45" customHeight="1" x14ac:dyDescent="0.2">
      <c r="A282" s="696" t="s">
        <v>537</v>
      </c>
      <c r="B282" s="697" t="s">
        <v>538</v>
      </c>
      <c r="C282" s="698" t="s">
        <v>550</v>
      </c>
      <c r="D282" s="699" t="s">
        <v>551</v>
      </c>
      <c r="E282" s="698" t="s">
        <v>2273</v>
      </c>
      <c r="F282" s="699" t="s">
        <v>2274</v>
      </c>
      <c r="G282" s="698" t="s">
        <v>2568</v>
      </c>
      <c r="H282" s="698" t="s">
        <v>2569</v>
      </c>
      <c r="I282" s="701">
        <v>0.56749999523162842</v>
      </c>
      <c r="J282" s="701">
        <v>6500</v>
      </c>
      <c r="K282" s="702">
        <v>3685</v>
      </c>
    </row>
    <row r="283" spans="1:11" ht="14.45" customHeight="1" x14ac:dyDescent="0.2">
      <c r="A283" s="696" t="s">
        <v>537</v>
      </c>
      <c r="B283" s="697" t="s">
        <v>538</v>
      </c>
      <c r="C283" s="698" t="s">
        <v>550</v>
      </c>
      <c r="D283" s="699" t="s">
        <v>551</v>
      </c>
      <c r="E283" s="698" t="s">
        <v>2273</v>
      </c>
      <c r="F283" s="699" t="s">
        <v>2274</v>
      </c>
      <c r="G283" s="698" t="s">
        <v>2570</v>
      </c>
      <c r="H283" s="698" t="s">
        <v>2571</v>
      </c>
      <c r="I283" s="701">
        <v>0.58124998211860657</v>
      </c>
      <c r="J283" s="701">
        <v>9100</v>
      </c>
      <c r="K283" s="702">
        <v>5280</v>
      </c>
    </row>
    <row r="284" spans="1:11" ht="14.45" customHeight="1" x14ac:dyDescent="0.2">
      <c r="A284" s="696" t="s">
        <v>537</v>
      </c>
      <c r="B284" s="697" t="s">
        <v>538</v>
      </c>
      <c r="C284" s="698" t="s">
        <v>550</v>
      </c>
      <c r="D284" s="699" t="s">
        <v>551</v>
      </c>
      <c r="E284" s="698" t="s">
        <v>2273</v>
      </c>
      <c r="F284" s="699" t="s">
        <v>2274</v>
      </c>
      <c r="G284" s="698" t="s">
        <v>2572</v>
      </c>
      <c r="H284" s="698" t="s">
        <v>2573</v>
      </c>
      <c r="I284" s="701">
        <v>1.8550000786781311</v>
      </c>
      <c r="J284" s="701">
        <v>700</v>
      </c>
      <c r="K284" s="702">
        <v>1270</v>
      </c>
    </row>
    <row r="285" spans="1:11" ht="14.45" customHeight="1" x14ac:dyDescent="0.2">
      <c r="A285" s="696" t="s">
        <v>537</v>
      </c>
      <c r="B285" s="697" t="s">
        <v>538</v>
      </c>
      <c r="C285" s="698" t="s">
        <v>550</v>
      </c>
      <c r="D285" s="699" t="s">
        <v>551</v>
      </c>
      <c r="E285" s="698" t="s">
        <v>2273</v>
      </c>
      <c r="F285" s="699" t="s">
        <v>2274</v>
      </c>
      <c r="G285" s="698" t="s">
        <v>2574</v>
      </c>
      <c r="H285" s="698" t="s">
        <v>2575</v>
      </c>
      <c r="I285" s="701">
        <v>5.4200000762939453</v>
      </c>
      <c r="J285" s="701">
        <v>1000</v>
      </c>
      <c r="K285" s="702">
        <v>5418.6201171875</v>
      </c>
    </row>
    <row r="286" spans="1:11" ht="14.45" customHeight="1" x14ac:dyDescent="0.2">
      <c r="A286" s="696" t="s">
        <v>537</v>
      </c>
      <c r="B286" s="697" t="s">
        <v>538</v>
      </c>
      <c r="C286" s="698" t="s">
        <v>550</v>
      </c>
      <c r="D286" s="699" t="s">
        <v>551</v>
      </c>
      <c r="E286" s="698" t="s">
        <v>2273</v>
      </c>
      <c r="F286" s="699" t="s">
        <v>2274</v>
      </c>
      <c r="G286" s="698" t="s">
        <v>2576</v>
      </c>
      <c r="H286" s="698" t="s">
        <v>2577</v>
      </c>
      <c r="I286" s="701">
        <v>5.5668751001358032</v>
      </c>
      <c r="J286" s="701">
        <v>20145</v>
      </c>
      <c r="K286" s="702">
        <v>112153.01043701172</v>
      </c>
    </row>
    <row r="287" spans="1:11" ht="14.45" customHeight="1" x14ac:dyDescent="0.2">
      <c r="A287" s="696" t="s">
        <v>537</v>
      </c>
      <c r="B287" s="697" t="s">
        <v>538</v>
      </c>
      <c r="C287" s="698" t="s">
        <v>550</v>
      </c>
      <c r="D287" s="699" t="s">
        <v>551</v>
      </c>
      <c r="E287" s="698" t="s">
        <v>2273</v>
      </c>
      <c r="F287" s="699" t="s">
        <v>2274</v>
      </c>
      <c r="G287" s="698" t="s">
        <v>2578</v>
      </c>
      <c r="H287" s="698" t="s">
        <v>2579</v>
      </c>
      <c r="I287" s="701">
        <v>7.429999828338623</v>
      </c>
      <c r="J287" s="701">
        <v>1700</v>
      </c>
      <c r="K287" s="702">
        <v>12631</v>
      </c>
    </row>
    <row r="288" spans="1:11" ht="14.45" customHeight="1" x14ac:dyDescent="0.2">
      <c r="A288" s="696" t="s">
        <v>537</v>
      </c>
      <c r="B288" s="697" t="s">
        <v>538</v>
      </c>
      <c r="C288" s="698" t="s">
        <v>550</v>
      </c>
      <c r="D288" s="699" t="s">
        <v>551</v>
      </c>
      <c r="E288" s="698" t="s">
        <v>2273</v>
      </c>
      <c r="F288" s="699" t="s">
        <v>2274</v>
      </c>
      <c r="G288" s="698" t="s">
        <v>2580</v>
      </c>
      <c r="H288" s="698" t="s">
        <v>2581</v>
      </c>
      <c r="I288" s="701">
        <v>8.8334782641866934</v>
      </c>
      <c r="J288" s="701">
        <v>4900</v>
      </c>
      <c r="K288" s="702">
        <v>43282.819946289063</v>
      </c>
    </row>
    <row r="289" spans="1:11" ht="14.45" customHeight="1" x14ac:dyDescent="0.2">
      <c r="A289" s="696" t="s">
        <v>537</v>
      </c>
      <c r="B289" s="697" t="s">
        <v>538</v>
      </c>
      <c r="C289" s="698" t="s">
        <v>550</v>
      </c>
      <c r="D289" s="699" t="s">
        <v>551</v>
      </c>
      <c r="E289" s="698" t="s">
        <v>2273</v>
      </c>
      <c r="F289" s="699" t="s">
        <v>2274</v>
      </c>
      <c r="G289" s="698" t="s">
        <v>2582</v>
      </c>
      <c r="H289" s="698" t="s">
        <v>2583</v>
      </c>
      <c r="I289" s="701">
        <v>31.940000534057617</v>
      </c>
      <c r="J289" s="701">
        <v>600</v>
      </c>
      <c r="K289" s="702">
        <v>19166.3994140625</v>
      </c>
    </row>
    <row r="290" spans="1:11" ht="14.45" customHeight="1" x14ac:dyDescent="0.2">
      <c r="A290" s="696" t="s">
        <v>537</v>
      </c>
      <c r="B290" s="697" t="s">
        <v>538</v>
      </c>
      <c r="C290" s="698" t="s">
        <v>550</v>
      </c>
      <c r="D290" s="699" t="s">
        <v>551</v>
      </c>
      <c r="E290" s="698" t="s">
        <v>2273</v>
      </c>
      <c r="F290" s="699" t="s">
        <v>2274</v>
      </c>
      <c r="G290" s="698" t="s">
        <v>2584</v>
      </c>
      <c r="H290" s="698" t="s">
        <v>2585</v>
      </c>
      <c r="I290" s="701">
        <v>1.5519999504089355</v>
      </c>
      <c r="J290" s="701">
        <v>2000</v>
      </c>
      <c r="K290" s="702">
        <v>3104</v>
      </c>
    </row>
    <row r="291" spans="1:11" ht="14.45" customHeight="1" x14ac:dyDescent="0.2">
      <c r="A291" s="696" t="s">
        <v>537</v>
      </c>
      <c r="B291" s="697" t="s">
        <v>538</v>
      </c>
      <c r="C291" s="698" t="s">
        <v>550</v>
      </c>
      <c r="D291" s="699" t="s">
        <v>551</v>
      </c>
      <c r="E291" s="698" t="s">
        <v>2273</v>
      </c>
      <c r="F291" s="699" t="s">
        <v>2274</v>
      </c>
      <c r="G291" s="698" t="s">
        <v>2586</v>
      </c>
      <c r="H291" s="698" t="s">
        <v>2587</v>
      </c>
      <c r="I291" s="701">
        <v>3.440000057220459</v>
      </c>
      <c r="J291" s="701">
        <v>300</v>
      </c>
      <c r="K291" s="702">
        <v>1031.5500183105469</v>
      </c>
    </row>
    <row r="292" spans="1:11" ht="14.45" customHeight="1" x14ac:dyDescent="0.2">
      <c r="A292" s="696" t="s">
        <v>537</v>
      </c>
      <c r="B292" s="697" t="s">
        <v>538</v>
      </c>
      <c r="C292" s="698" t="s">
        <v>550</v>
      </c>
      <c r="D292" s="699" t="s">
        <v>551</v>
      </c>
      <c r="E292" s="698" t="s">
        <v>2273</v>
      </c>
      <c r="F292" s="699" t="s">
        <v>2274</v>
      </c>
      <c r="G292" s="698" t="s">
        <v>2588</v>
      </c>
      <c r="H292" s="698" t="s">
        <v>2589</v>
      </c>
      <c r="I292" s="701">
        <v>6.2314285550798685</v>
      </c>
      <c r="J292" s="701">
        <v>2375</v>
      </c>
      <c r="K292" s="702">
        <v>14800.010009765625</v>
      </c>
    </row>
    <row r="293" spans="1:11" ht="14.45" customHeight="1" x14ac:dyDescent="0.2">
      <c r="A293" s="696" t="s">
        <v>537</v>
      </c>
      <c r="B293" s="697" t="s">
        <v>538</v>
      </c>
      <c r="C293" s="698" t="s">
        <v>550</v>
      </c>
      <c r="D293" s="699" t="s">
        <v>551</v>
      </c>
      <c r="E293" s="698" t="s">
        <v>2273</v>
      </c>
      <c r="F293" s="699" t="s">
        <v>2274</v>
      </c>
      <c r="G293" s="698" t="s">
        <v>2590</v>
      </c>
      <c r="H293" s="698" t="s">
        <v>2591</v>
      </c>
      <c r="I293" s="701">
        <v>11.536666552225748</v>
      </c>
      <c r="J293" s="701">
        <v>900</v>
      </c>
      <c r="K293" s="702">
        <v>10384</v>
      </c>
    </row>
    <row r="294" spans="1:11" ht="14.45" customHeight="1" x14ac:dyDescent="0.2">
      <c r="A294" s="696" t="s">
        <v>537</v>
      </c>
      <c r="B294" s="697" t="s">
        <v>538</v>
      </c>
      <c r="C294" s="698" t="s">
        <v>550</v>
      </c>
      <c r="D294" s="699" t="s">
        <v>551</v>
      </c>
      <c r="E294" s="698" t="s">
        <v>2273</v>
      </c>
      <c r="F294" s="699" t="s">
        <v>2274</v>
      </c>
      <c r="G294" s="698" t="s">
        <v>2592</v>
      </c>
      <c r="H294" s="698" t="s">
        <v>2593</v>
      </c>
      <c r="I294" s="701">
        <v>325.489990234375</v>
      </c>
      <c r="J294" s="701">
        <v>30</v>
      </c>
      <c r="K294" s="702">
        <v>9764.7001953125</v>
      </c>
    </row>
    <row r="295" spans="1:11" ht="14.45" customHeight="1" x14ac:dyDescent="0.2">
      <c r="A295" s="696" t="s">
        <v>537</v>
      </c>
      <c r="B295" s="697" t="s">
        <v>538</v>
      </c>
      <c r="C295" s="698" t="s">
        <v>550</v>
      </c>
      <c r="D295" s="699" t="s">
        <v>551</v>
      </c>
      <c r="E295" s="698" t="s">
        <v>2273</v>
      </c>
      <c r="F295" s="699" t="s">
        <v>2274</v>
      </c>
      <c r="G295" s="698" t="s">
        <v>2594</v>
      </c>
      <c r="H295" s="698" t="s">
        <v>2595</v>
      </c>
      <c r="I295" s="701">
        <v>382.3599853515625</v>
      </c>
      <c r="J295" s="701">
        <v>6</v>
      </c>
      <c r="K295" s="702">
        <v>2294.159912109375</v>
      </c>
    </row>
    <row r="296" spans="1:11" ht="14.45" customHeight="1" x14ac:dyDescent="0.2">
      <c r="A296" s="696" t="s">
        <v>537</v>
      </c>
      <c r="B296" s="697" t="s">
        <v>538</v>
      </c>
      <c r="C296" s="698" t="s">
        <v>550</v>
      </c>
      <c r="D296" s="699" t="s">
        <v>551</v>
      </c>
      <c r="E296" s="698" t="s">
        <v>2273</v>
      </c>
      <c r="F296" s="699" t="s">
        <v>2274</v>
      </c>
      <c r="G296" s="698" t="s">
        <v>2596</v>
      </c>
      <c r="H296" s="698" t="s">
        <v>2597</v>
      </c>
      <c r="I296" s="701">
        <v>1403.5999755859375</v>
      </c>
      <c r="J296" s="701">
        <v>55</v>
      </c>
      <c r="K296" s="702">
        <v>77198</v>
      </c>
    </row>
    <row r="297" spans="1:11" ht="14.45" customHeight="1" x14ac:dyDescent="0.2">
      <c r="A297" s="696" t="s">
        <v>537</v>
      </c>
      <c r="B297" s="697" t="s">
        <v>538</v>
      </c>
      <c r="C297" s="698" t="s">
        <v>550</v>
      </c>
      <c r="D297" s="699" t="s">
        <v>551</v>
      </c>
      <c r="E297" s="698" t="s">
        <v>2273</v>
      </c>
      <c r="F297" s="699" t="s">
        <v>2274</v>
      </c>
      <c r="G297" s="698" t="s">
        <v>2598</v>
      </c>
      <c r="H297" s="698" t="s">
        <v>2599</v>
      </c>
      <c r="I297" s="701">
        <v>1645.5999755859375</v>
      </c>
      <c r="J297" s="701">
        <v>60</v>
      </c>
      <c r="K297" s="702">
        <v>98736</v>
      </c>
    </row>
    <row r="298" spans="1:11" ht="14.45" customHeight="1" x14ac:dyDescent="0.2">
      <c r="A298" s="696" t="s">
        <v>537</v>
      </c>
      <c r="B298" s="697" t="s">
        <v>538</v>
      </c>
      <c r="C298" s="698" t="s">
        <v>550</v>
      </c>
      <c r="D298" s="699" t="s">
        <v>551</v>
      </c>
      <c r="E298" s="698" t="s">
        <v>2273</v>
      </c>
      <c r="F298" s="699" t="s">
        <v>2274</v>
      </c>
      <c r="G298" s="698" t="s">
        <v>2600</v>
      </c>
      <c r="H298" s="698" t="s">
        <v>2601</v>
      </c>
      <c r="I298" s="701">
        <v>229.89999389648438</v>
      </c>
      <c r="J298" s="701">
        <v>360</v>
      </c>
      <c r="K298" s="702">
        <v>82764</v>
      </c>
    </row>
    <row r="299" spans="1:11" ht="14.45" customHeight="1" x14ac:dyDescent="0.2">
      <c r="A299" s="696" t="s">
        <v>537</v>
      </c>
      <c r="B299" s="697" t="s">
        <v>538</v>
      </c>
      <c r="C299" s="698" t="s">
        <v>550</v>
      </c>
      <c r="D299" s="699" t="s">
        <v>551</v>
      </c>
      <c r="E299" s="698" t="s">
        <v>2273</v>
      </c>
      <c r="F299" s="699" t="s">
        <v>2274</v>
      </c>
      <c r="G299" s="698" t="s">
        <v>2602</v>
      </c>
      <c r="H299" s="698" t="s">
        <v>2603</v>
      </c>
      <c r="I299" s="701">
        <v>205.69999694824219</v>
      </c>
      <c r="J299" s="701">
        <v>240</v>
      </c>
      <c r="K299" s="702">
        <v>49368</v>
      </c>
    </row>
    <row r="300" spans="1:11" ht="14.45" customHeight="1" x14ac:dyDescent="0.2">
      <c r="A300" s="696" t="s">
        <v>537</v>
      </c>
      <c r="B300" s="697" t="s">
        <v>538</v>
      </c>
      <c r="C300" s="698" t="s">
        <v>550</v>
      </c>
      <c r="D300" s="699" t="s">
        <v>551</v>
      </c>
      <c r="E300" s="698" t="s">
        <v>2273</v>
      </c>
      <c r="F300" s="699" t="s">
        <v>2274</v>
      </c>
      <c r="G300" s="698" t="s">
        <v>2604</v>
      </c>
      <c r="H300" s="698" t="s">
        <v>2605</v>
      </c>
      <c r="I300" s="701">
        <v>205.69999694824219</v>
      </c>
      <c r="J300" s="701">
        <v>146</v>
      </c>
      <c r="K300" s="702">
        <v>30032.199951171875</v>
      </c>
    </row>
    <row r="301" spans="1:11" ht="14.45" customHeight="1" x14ac:dyDescent="0.2">
      <c r="A301" s="696" t="s">
        <v>537</v>
      </c>
      <c r="B301" s="697" t="s">
        <v>538</v>
      </c>
      <c r="C301" s="698" t="s">
        <v>550</v>
      </c>
      <c r="D301" s="699" t="s">
        <v>551</v>
      </c>
      <c r="E301" s="698" t="s">
        <v>2273</v>
      </c>
      <c r="F301" s="699" t="s">
        <v>2274</v>
      </c>
      <c r="G301" s="698" t="s">
        <v>2606</v>
      </c>
      <c r="H301" s="698" t="s">
        <v>2607</v>
      </c>
      <c r="I301" s="701">
        <v>205.69999694824219</v>
      </c>
      <c r="J301" s="701">
        <v>120</v>
      </c>
      <c r="K301" s="702">
        <v>24684</v>
      </c>
    </row>
    <row r="302" spans="1:11" ht="14.45" customHeight="1" x14ac:dyDescent="0.2">
      <c r="A302" s="696" t="s">
        <v>537</v>
      </c>
      <c r="B302" s="697" t="s">
        <v>538</v>
      </c>
      <c r="C302" s="698" t="s">
        <v>550</v>
      </c>
      <c r="D302" s="699" t="s">
        <v>551</v>
      </c>
      <c r="E302" s="698" t="s">
        <v>2273</v>
      </c>
      <c r="F302" s="699" t="s">
        <v>2274</v>
      </c>
      <c r="G302" s="698" t="s">
        <v>2608</v>
      </c>
      <c r="H302" s="698" t="s">
        <v>2609</v>
      </c>
      <c r="I302" s="701">
        <v>205.69999694824219</v>
      </c>
      <c r="J302" s="701">
        <v>20</v>
      </c>
      <c r="K302" s="702">
        <v>4114</v>
      </c>
    </row>
    <row r="303" spans="1:11" ht="14.45" customHeight="1" x14ac:dyDescent="0.2">
      <c r="A303" s="696" t="s">
        <v>537</v>
      </c>
      <c r="B303" s="697" t="s">
        <v>538</v>
      </c>
      <c r="C303" s="698" t="s">
        <v>550</v>
      </c>
      <c r="D303" s="699" t="s">
        <v>551</v>
      </c>
      <c r="E303" s="698" t="s">
        <v>2273</v>
      </c>
      <c r="F303" s="699" t="s">
        <v>2274</v>
      </c>
      <c r="G303" s="698" t="s">
        <v>2610</v>
      </c>
      <c r="H303" s="698" t="s">
        <v>2611</v>
      </c>
      <c r="I303" s="701">
        <v>6.1749999523162842</v>
      </c>
      <c r="J303" s="701">
        <v>200</v>
      </c>
      <c r="K303" s="702">
        <v>1235</v>
      </c>
    </row>
    <row r="304" spans="1:11" ht="14.45" customHeight="1" x14ac:dyDescent="0.2">
      <c r="A304" s="696" t="s">
        <v>537</v>
      </c>
      <c r="B304" s="697" t="s">
        <v>538</v>
      </c>
      <c r="C304" s="698" t="s">
        <v>550</v>
      </c>
      <c r="D304" s="699" t="s">
        <v>551</v>
      </c>
      <c r="E304" s="698" t="s">
        <v>2273</v>
      </c>
      <c r="F304" s="699" t="s">
        <v>2274</v>
      </c>
      <c r="G304" s="698" t="s">
        <v>2312</v>
      </c>
      <c r="H304" s="698" t="s">
        <v>2612</v>
      </c>
      <c r="I304" s="701">
        <v>15.92444462246365</v>
      </c>
      <c r="J304" s="701">
        <v>2900</v>
      </c>
      <c r="K304" s="702">
        <v>46180.7998046875</v>
      </c>
    </row>
    <row r="305" spans="1:11" ht="14.45" customHeight="1" x14ac:dyDescent="0.2">
      <c r="A305" s="696" t="s">
        <v>537</v>
      </c>
      <c r="B305" s="697" t="s">
        <v>538</v>
      </c>
      <c r="C305" s="698" t="s">
        <v>550</v>
      </c>
      <c r="D305" s="699" t="s">
        <v>551</v>
      </c>
      <c r="E305" s="698" t="s">
        <v>2273</v>
      </c>
      <c r="F305" s="699" t="s">
        <v>2274</v>
      </c>
      <c r="G305" s="698" t="s">
        <v>2613</v>
      </c>
      <c r="H305" s="698" t="s">
        <v>2614</v>
      </c>
      <c r="I305" s="701">
        <v>168.19000244140625</v>
      </c>
      <c r="J305" s="701">
        <v>10</v>
      </c>
      <c r="K305" s="702">
        <v>1681.9000244140625</v>
      </c>
    </row>
    <row r="306" spans="1:11" ht="14.45" customHeight="1" x14ac:dyDescent="0.2">
      <c r="A306" s="696" t="s">
        <v>537</v>
      </c>
      <c r="B306" s="697" t="s">
        <v>538</v>
      </c>
      <c r="C306" s="698" t="s">
        <v>550</v>
      </c>
      <c r="D306" s="699" t="s">
        <v>551</v>
      </c>
      <c r="E306" s="698" t="s">
        <v>2273</v>
      </c>
      <c r="F306" s="699" t="s">
        <v>2274</v>
      </c>
      <c r="G306" s="698" t="s">
        <v>2615</v>
      </c>
      <c r="H306" s="698" t="s">
        <v>2616</v>
      </c>
      <c r="I306" s="701">
        <v>168.19000244140625</v>
      </c>
      <c r="J306" s="701">
        <v>10</v>
      </c>
      <c r="K306" s="702">
        <v>1681.9000244140625</v>
      </c>
    </row>
    <row r="307" spans="1:11" ht="14.45" customHeight="1" x14ac:dyDescent="0.2">
      <c r="A307" s="696" t="s">
        <v>537</v>
      </c>
      <c r="B307" s="697" t="s">
        <v>538</v>
      </c>
      <c r="C307" s="698" t="s">
        <v>550</v>
      </c>
      <c r="D307" s="699" t="s">
        <v>551</v>
      </c>
      <c r="E307" s="698" t="s">
        <v>2273</v>
      </c>
      <c r="F307" s="699" t="s">
        <v>2274</v>
      </c>
      <c r="G307" s="698" t="s">
        <v>2617</v>
      </c>
      <c r="H307" s="698" t="s">
        <v>2618</v>
      </c>
      <c r="I307" s="701">
        <v>168.19000244140625</v>
      </c>
      <c r="J307" s="701">
        <v>10</v>
      </c>
      <c r="K307" s="702">
        <v>1681.9000244140625</v>
      </c>
    </row>
    <row r="308" spans="1:11" ht="14.45" customHeight="1" x14ac:dyDescent="0.2">
      <c r="A308" s="696" t="s">
        <v>537</v>
      </c>
      <c r="B308" s="697" t="s">
        <v>538</v>
      </c>
      <c r="C308" s="698" t="s">
        <v>550</v>
      </c>
      <c r="D308" s="699" t="s">
        <v>551</v>
      </c>
      <c r="E308" s="698" t="s">
        <v>2273</v>
      </c>
      <c r="F308" s="699" t="s">
        <v>2274</v>
      </c>
      <c r="G308" s="698" t="s">
        <v>2619</v>
      </c>
      <c r="H308" s="698" t="s">
        <v>2620</v>
      </c>
      <c r="I308" s="701">
        <v>82.161003112792969</v>
      </c>
      <c r="J308" s="701">
        <v>584</v>
      </c>
      <c r="K308" s="702">
        <v>47981.10107421875</v>
      </c>
    </row>
    <row r="309" spans="1:11" ht="14.45" customHeight="1" x14ac:dyDescent="0.2">
      <c r="A309" s="696" t="s">
        <v>537</v>
      </c>
      <c r="B309" s="697" t="s">
        <v>538</v>
      </c>
      <c r="C309" s="698" t="s">
        <v>550</v>
      </c>
      <c r="D309" s="699" t="s">
        <v>551</v>
      </c>
      <c r="E309" s="698" t="s">
        <v>2273</v>
      </c>
      <c r="F309" s="699" t="s">
        <v>2274</v>
      </c>
      <c r="G309" s="698" t="s">
        <v>2621</v>
      </c>
      <c r="H309" s="698" t="s">
        <v>2622</v>
      </c>
      <c r="I309" s="701">
        <v>4.6639999866485597</v>
      </c>
      <c r="J309" s="701">
        <v>700</v>
      </c>
      <c r="K309" s="702">
        <v>2903.199951171875</v>
      </c>
    </row>
    <row r="310" spans="1:11" ht="14.45" customHeight="1" x14ac:dyDescent="0.2">
      <c r="A310" s="696" t="s">
        <v>537</v>
      </c>
      <c r="B310" s="697" t="s">
        <v>538</v>
      </c>
      <c r="C310" s="698" t="s">
        <v>550</v>
      </c>
      <c r="D310" s="699" t="s">
        <v>551</v>
      </c>
      <c r="E310" s="698" t="s">
        <v>2273</v>
      </c>
      <c r="F310" s="699" t="s">
        <v>2274</v>
      </c>
      <c r="G310" s="698" t="s">
        <v>2623</v>
      </c>
      <c r="H310" s="698" t="s">
        <v>2624</v>
      </c>
      <c r="I310" s="701">
        <v>1.2100000381469727</v>
      </c>
      <c r="J310" s="701">
        <v>2100</v>
      </c>
      <c r="K310" s="702">
        <v>2541</v>
      </c>
    </row>
    <row r="311" spans="1:11" ht="14.45" customHeight="1" x14ac:dyDescent="0.2">
      <c r="A311" s="696" t="s">
        <v>537</v>
      </c>
      <c r="B311" s="697" t="s">
        <v>538</v>
      </c>
      <c r="C311" s="698" t="s">
        <v>550</v>
      </c>
      <c r="D311" s="699" t="s">
        <v>551</v>
      </c>
      <c r="E311" s="698" t="s">
        <v>2273</v>
      </c>
      <c r="F311" s="699" t="s">
        <v>2274</v>
      </c>
      <c r="G311" s="698" t="s">
        <v>2625</v>
      </c>
      <c r="H311" s="698" t="s">
        <v>2626</v>
      </c>
      <c r="I311" s="701">
        <v>5.809999942779541</v>
      </c>
      <c r="J311" s="701">
        <v>250</v>
      </c>
      <c r="K311" s="702">
        <v>1452.5</v>
      </c>
    </row>
    <row r="312" spans="1:11" ht="14.45" customHeight="1" x14ac:dyDescent="0.2">
      <c r="A312" s="696" t="s">
        <v>537</v>
      </c>
      <c r="B312" s="697" t="s">
        <v>538</v>
      </c>
      <c r="C312" s="698" t="s">
        <v>550</v>
      </c>
      <c r="D312" s="699" t="s">
        <v>551</v>
      </c>
      <c r="E312" s="698" t="s">
        <v>2273</v>
      </c>
      <c r="F312" s="699" t="s">
        <v>2274</v>
      </c>
      <c r="G312" s="698" t="s">
        <v>2627</v>
      </c>
      <c r="H312" s="698" t="s">
        <v>2628</v>
      </c>
      <c r="I312" s="701">
        <v>3.1320001125335692</v>
      </c>
      <c r="J312" s="701">
        <v>1100</v>
      </c>
      <c r="K312" s="702">
        <v>3445</v>
      </c>
    </row>
    <row r="313" spans="1:11" ht="14.45" customHeight="1" x14ac:dyDescent="0.2">
      <c r="A313" s="696" t="s">
        <v>537</v>
      </c>
      <c r="B313" s="697" t="s">
        <v>538</v>
      </c>
      <c r="C313" s="698" t="s">
        <v>550</v>
      </c>
      <c r="D313" s="699" t="s">
        <v>551</v>
      </c>
      <c r="E313" s="698" t="s">
        <v>2273</v>
      </c>
      <c r="F313" s="699" t="s">
        <v>2274</v>
      </c>
      <c r="G313" s="698" t="s">
        <v>2629</v>
      </c>
      <c r="H313" s="698" t="s">
        <v>2630</v>
      </c>
      <c r="I313" s="701">
        <v>2.1800000667572021</v>
      </c>
      <c r="J313" s="701">
        <v>200</v>
      </c>
      <c r="K313" s="702">
        <v>436</v>
      </c>
    </row>
    <row r="314" spans="1:11" ht="14.45" customHeight="1" x14ac:dyDescent="0.2">
      <c r="A314" s="696" t="s">
        <v>537</v>
      </c>
      <c r="B314" s="697" t="s">
        <v>538</v>
      </c>
      <c r="C314" s="698" t="s">
        <v>550</v>
      </c>
      <c r="D314" s="699" t="s">
        <v>551</v>
      </c>
      <c r="E314" s="698" t="s">
        <v>2273</v>
      </c>
      <c r="F314" s="699" t="s">
        <v>2274</v>
      </c>
      <c r="G314" s="698" t="s">
        <v>2631</v>
      </c>
      <c r="H314" s="698" t="s">
        <v>2632</v>
      </c>
      <c r="I314" s="701">
        <v>263.77999877929688</v>
      </c>
      <c r="J314" s="701">
        <v>65</v>
      </c>
      <c r="K314" s="702">
        <v>17145.700317382813</v>
      </c>
    </row>
    <row r="315" spans="1:11" ht="14.45" customHeight="1" x14ac:dyDescent="0.2">
      <c r="A315" s="696" t="s">
        <v>537</v>
      </c>
      <c r="B315" s="697" t="s">
        <v>538</v>
      </c>
      <c r="C315" s="698" t="s">
        <v>550</v>
      </c>
      <c r="D315" s="699" t="s">
        <v>551</v>
      </c>
      <c r="E315" s="698" t="s">
        <v>2273</v>
      </c>
      <c r="F315" s="699" t="s">
        <v>2274</v>
      </c>
      <c r="G315" s="698" t="s">
        <v>2633</v>
      </c>
      <c r="H315" s="698" t="s">
        <v>2634</v>
      </c>
      <c r="I315" s="701">
        <v>0.47117646827417259</v>
      </c>
      <c r="J315" s="701">
        <v>8500</v>
      </c>
      <c r="K315" s="702">
        <v>4015.0999908447266</v>
      </c>
    </row>
    <row r="316" spans="1:11" ht="14.45" customHeight="1" x14ac:dyDescent="0.2">
      <c r="A316" s="696" t="s">
        <v>537</v>
      </c>
      <c r="B316" s="697" t="s">
        <v>538</v>
      </c>
      <c r="C316" s="698" t="s">
        <v>550</v>
      </c>
      <c r="D316" s="699" t="s">
        <v>551</v>
      </c>
      <c r="E316" s="698" t="s">
        <v>2273</v>
      </c>
      <c r="F316" s="699" t="s">
        <v>2274</v>
      </c>
      <c r="G316" s="698" t="s">
        <v>2635</v>
      </c>
      <c r="H316" s="698" t="s">
        <v>2636</v>
      </c>
      <c r="I316" s="701">
        <v>3.75</v>
      </c>
      <c r="J316" s="701">
        <v>60</v>
      </c>
      <c r="K316" s="702">
        <v>225</v>
      </c>
    </row>
    <row r="317" spans="1:11" ht="14.45" customHeight="1" x14ac:dyDescent="0.2">
      <c r="A317" s="696" t="s">
        <v>537</v>
      </c>
      <c r="B317" s="697" t="s">
        <v>538</v>
      </c>
      <c r="C317" s="698" t="s">
        <v>550</v>
      </c>
      <c r="D317" s="699" t="s">
        <v>551</v>
      </c>
      <c r="E317" s="698" t="s">
        <v>2273</v>
      </c>
      <c r="F317" s="699" t="s">
        <v>2274</v>
      </c>
      <c r="G317" s="698" t="s">
        <v>2637</v>
      </c>
      <c r="H317" s="698" t="s">
        <v>2638</v>
      </c>
      <c r="I317" s="701">
        <v>23.716665903727215</v>
      </c>
      <c r="J317" s="701">
        <v>350</v>
      </c>
      <c r="K317" s="702">
        <v>8301.5</v>
      </c>
    </row>
    <row r="318" spans="1:11" ht="14.45" customHeight="1" x14ac:dyDescent="0.2">
      <c r="A318" s="696" t="s">
        <v>537</v>
      </c>
      <c r="B318" s="697" t="s">
        <v>538</v>
      </c>
      <c r="C318" s="698" t="s">
        <v>550</v>
      </c>
      <c r="D318" s="699" t="s">
        <v>551</v>
      </c>
      <c r="E318" s="698" t="s">
        <v>2273</v>
      </c>
      <c r="F318" s="699" t="s">
        <v>2274</v>
      </c>
      <c r="G318" s="698" t="s">
        <v>2637</v>
      </c>
      <c r="H318" s="698" t="s">
        <v>2639</v>
      </c>
      <c r="I318" s="701">
        <v>23.714999198913574</v>
      </c>
      <c r="J318" s="701">
        <v>100</v>
      </c>
      <c r="K318" s="702">
        <v>2371.5</v>
      </c>
    </row>
    <row r="319" spans="1:11" ht="14.45" customHeight="1" x14ac:dyDescent="0.2">
      <c r="A319" s="696" t="s">
        <v>537</v>
      </c>
      <c r="B319" s="697" t="s">
        <v>538</v>
      </c>
      <c r="C319" s="698" t="s">
        <v>550</v>
      </c>
      <c r="D319" s="699" t="s">
        <v>551</v>
      </c>
      <c r="E319" s="698" t="s">
        <v>2273</v>
      </c>
      <c r="F319" s="699" t="s">
        <v>2274</v>
      </c>
      <c r="G319" s="698" t="s">
        <v>2640</v>
      </c>
      <c r="H319" s="698" t="s">
        <v>2641</v>
      </c>
      <c r="I319" s="701">
        <v>5.3739999771118168</v>
      </c>
      <c r="J319" s="701">
        <v>600</v>
      </c>
      <c r="K319" s="702">
        <v>3224</v>
      </c>
    </row>
    <row r="320" spans="1:11" ht="14.45" customHeight="1" x14ac:dyDescent="0.2">
      <c r="A320" s="696" t="s">
        <v>537</v>
      </c>
      <c r="B320" s="697" t="s">
        <v>538</v>
      </c>
      <c r="C320" s="698" t="s">
        <v>550</v>
      </c>
      <c r="D320" s="699" t="s">
        <v>551</v>
      </c>
      <c r="E320" s="698" t="s">
        <v>2273</v>
      </c>
      <c r="F320" s="699" t="s">
        <v>2274</v>
      </c>
      <c r="G320" s="698" t="s">
        <v>2642</v>
      </c>
      <c r="H320" s="698" t="s">
        <v>2643</v>
      </c>
      <c r="I320" s="701">
        <v>1.8899999856948853</v>
      </c>
      <c r="J320" s="701">
        <v>50</v>
      </c>
      <c r="K320" s="702">
        <v>94.5</v>
      </c>
    </row>
    <row r="321" spans="1:11" ht="14.45" customHeight="1" x14ac:dyDescent="0.2">
      <c r="A321" s="696" t="s">
        <v>537</v>
      </c>
      <c r="B321" s="697" t="s">
        <v>538</v>
      </c>
      <c r="C321" s="698" t="s">
        <v>550</v>
      </c>
      <c r="D321" s="699" t="s">
        <v>551</v>
      </c>
      <c r="E321" s="698" t="s">
        <v>2273</v>
      </c>
      <c r="F321" s="699" t="s">
        <v>2274</v>
      </c>
      <c r="G321" s="698" t="s">
        <v>2644</v>
      </c>
      <c r="H321" s="698" t="s">
        <v>2645</v>
      </c>
      <c r="I321" s="701">
        <v>2.7000000476837158</v>
      </c>
      <c r="J321" s="701">
        <v>1500</v>
      </c>
      <c r="K321" s="702">
        <v>4049</v>
      </c>
    </row>
    <row r="322" spans="1:11" ht="14.45" customHeight="1" x14ac:dyDescent="0.2">
      <c r="A322" s="696" t="s">
        <v>537</v>
      </c>
      <c r="B322" s="697" t="s">
        <v>538</v>
      </c>
      <c r="C322" s="698" t="s">
        <v>550</v>
      </c>
      <c r="D322" s="699" t="s">
        <v>551</v>
      </c>
      <c r="E322" s="698" t="s">
        <v>2273</v>
      </c>
      <c r="F322" s="699" t="s">
        <v>2274</v>
      </c>
      <c r="G322" s="698" t="s">
        <v>2646</v>
      </c>
      <c r="H322" s="698" t="s">
        <v>2647</v>
      </c>
      <c r="I322" s="701">
        <v>3.0774999260902405</v>
      </c>
      <c r="J322" s="701">
        <v>2200</v>
      </c>
      <c r="K322" s="702">
        <v>6770</v>
      </c>
    </row>
    <row r="323" spans="1:11" ht="14.45" customHeight="1" x14ac:dyDescent="0.2">
      <c r="A323" s="696" t="s">
        <v>537</v>
      </c>
      <c r="B323" s="697" t="s">
        <v>538</v>
      </c>
      <c r="C323" s="698" t="s">
        <v>550</v>
      </c>
      <c r="D323" s="699" t="s">
        <v>551</v>
      </c>
      <c r="E323" s="698" t="s">
        <v>2273</v>
      </c>
      <c r="F323" s="699" t="s">
        <v>2274</v>
      </c>
      <c r="G323" s="698" t="s">
        <v>2648</v>
      </c>
      <c r="H323" s="698" t="s">
        <v>2649</v>
      </c>
      <c r="I323" s="701">
        <v>1.9249999523162842</v>
      </c>
      <c r="J323" s="701">
        <v>750</v>
      </c>
      <c r="K323" s="702">
        <v>1444.5</v>
      </c>
    </row>
    <row r="324" spans="1:11" ht="14.45" customHeight="1" x14ac:dyDescent="0.2">
      <c r="A324" s="696" t="s">
        <v>537</v>
      </c>
      <c r="B324" s="697" t="s">
        <v>538</v>
      </c>
      <c r="C324" s="698" t="s">
        <v>550</v>
      </c>
      <c r="D324" s="699" t="s">
        <v>551</v>
      </c>
      <c r="E324" s="698" t="s">
        <v>2273</v>
      </c>
      <c r="F324" s="699" t="s">
        <v>2274</v>
      </c>
      <c r="G324" s="698" t="s">
        <v>2650</v>
      </c>
      <c r="H324" s="698" t="s">
        <v>2651</v>
      </c>
      <c r="I324" s="701">
        <v>3.2116666634877524</v>
      </c>
      <c r="J324" s="701">
        <v>2634</v>
      </c>
      <c r="K324" s="702">
        <v>8437.4599609375</v>
      </c>
    </row>
    <row r="325" spans="1:11" ht="14.45" customHeight="1" x14ac:dyDescent="0.2">
      <c r="A325" s="696" t="s">
        <v>537</v>
      </c>
      <c r="B325" s="697" t="s">
        <v>538</v>
      </c>
      <c r="C325" s="698" t="s">
        <v>550</v>
      </c>
      <c r="D325" s="699" t="s">
        <v>551</v>
      </c>
      <c r="E325" s="698" t="s">
        <v>2273</v>
      </c>
      <c r="F325" s="699" t="s">
        <v>2274</v>
      </c>
      <c r="G325" s="698" t="s">
        <v>2652</v>
      </c>
      <c r="H325" s="698" t="s">
        <v>2653</v>
      </c>
      <c r="I325" s="701">
        <v>2.1050000389417014</v>
      </c>
      <c r="J325" s="701">
        <v>5350</v>
      </c>
      <c r="K325" s="702">
        <v>11202.140014648438</v>
      </c>
    </row>
    <row r="326" spans="1:11" ht="14.45" customHeight="1" x14ac:dyDescent="0.2">
      <c r="A326" s="696" t="s">
        <v>537</v>
      </c>
      <c r="B326" s="697" t="s">
        <v>538</v>
      </c>
      <c r="C326" s="698" t="s">
        <v>550</v>
      </c>
      <c r="D326" s="699" t="s">
        <v>551</v>
      </c>
      <c r="E326" s="698" t="s">
        <v>2273</v>
      </c>
      <c r="F326" s="699" t="s">
        <v>2274</v>
      </c>
      <c r="G326" s="698" t="s">
        <v>2654</v>
      </c>
      <c r="H326" s="698" t="s">
        <v>2655</v>
      </c>
      <c r="I326" s="701">
        <v>2.0433332920074463</v>
      </c>
      <c r="J326" s="701">
        <v>1100</v>
      </c>
      <c r="K326" s="702">
        <v>2250</v>
      </c>
    </row>
    <row r="327" spans="1:11" ht="14.45" customHeight="1" x14ac:dyDescent="0.2">
      <c r="A327" s="696" t="s">
        <v>537</v>
      </c>
      <c r="B327" s="697" t="s">
        <v>538</v>
      </c>
      <c r="C327" s="698" t="s">
        <v>550</v>
      </c>
      <c r="D327" s="699" t="s">
        <v>551</v>
      </c>
      <c r="E327" s="698" t="s">
        <v>2273</v>
      </c>
      <c r="F327" s="699" t="s">
        <v>2274</v>
      </c>
      <c r="G327" s="698" t="s">
        <v>2656</v>
      </c>
      <c r="H327" s="698" t="s">
        <v>2657</v>
      </c>
      <c r="I327" s="701">
        <v>2.3825001120567322</v>
      </c>
      <c r="J327" s="701">
        <v>1000</v>
      </c>
      <c r="K327" s="702">
        <v>2381.0199890136719</v>
      </c>
    </row>
    <row r="328" spans="1:11" ht="14.45" customHeight="1" x14ac:dyDescent="0.2">
      <c r="A328" s="696" t="s">
        <v>537</v>
      </c>
      <c r="B328" s="697" t="s">
        <v>538</v>
      </c>
      <c r="C328" s="698" t="s">
        <v>550</v>
      </c>
      <c r="D328" s="699" t="s">
        <v>551</v>
      </c>
      <c r="E328" s="698" t="s">
        <v>2273</v>
      </c>
      <c r="F328" s="699" t="s">
        <v>2274</v>
      </c>
      <c r="G328" s="698" t="s">
        <v>2658</v>
      </c>
      <c r="H328" s="698" t="s">
        <v>2659</v>
      </c>
      <c r="I328" s="701">
        <v>2.4537501037120819</v>
      </c>
      <c r="J328" s="701">
        <v>1900</v>
      </c>
      <c r="K328" s="702">
        <v>4627</v>
      </c>
    </row>
    <row r="329" spans="1:11" ht="14.45" customHeight="1" x14ac:dyDescent="0.2">
      <c r="A329" s="696" t="s">
        <v>537</v>
      </c>
      <c r="B329" s="697" t="s">
        <v>538</v>
      </c>
      <c r="C329" s="698" t="s">
        <v>550</v>
      </c>
      <c r="D329" s="699" t="s">
        <v>551</v>
      </c>
      <c r="E329" s="698" t="s">
        <v>2273</v>
      </c>
      <c r="F329" s="699" t="s">
        <v>2274</v>
      </c>
      <c r="G329" s="698" t="s">
        <v>2660</v>
      </c>
      <c r="H329" s="698" t="s">
        <v>2661</v>
      </c>
      <c r="I329" s="701">
        <v>2.2700001001358032</v>
      </c>
      <c r="J329" s="701">
        <v>400</v>
      </c>
      <c r="K329" s="702">
        <v>919</v>
      </c>
    </row>
    <row r="330" spans="1:11" ht="14.45" customHeight="1" x14ac:dyDescent="0.2">
      <c r="A330" s="696" t="s">
        <v>537</v>
      </c>
      <c r="B330" s="697" t="s">
        <v>538</v>
      </c>
      <c r="C330" s="698" t="s">
        <v>550</v>
      </c>
      <c r="D330" s="699" t="s">
        <v>551</v>
      </c>
      <c r="E330" s="698" t="s">
        <v>2273</v>
      </c>
      <c r="F330" s="699" t="s">
        <v>2274</v>
      </c>
      <c r="G330" s="698" t="s">
        <v>2662</v>
      </c>
      <c r="H330" s="698" t="s">
        <v>2663</v>
      </c>
      <c r="I330" s="701">
        <v>1.9960000038146972</v>
      </c>
      <c r="J330" s="701">
        <v>300</v>
      </c>
      <c r="K330" s="702">
        <v>598.5</v>
      </c>
    </row>
    <row r="331" spans="1:11" ht="14.45" customHeight="1" x14ac:dyDescent="0.2">
      <c r="A331" s="696" t="s">
        <v>537</v>
      </c>
      <c r="B331" s="697" t="s">
        <v>538</v>
      </c>
      <c r="C331" s="698" t="s">
        <v>550</v>
      </c>
      <c r="D331" s="699" t="s">
        <v>551</v>
      </c>
      <c r="E331" s="698" t="s">
        <v>2273</v>
      </c>
      <c r="F331" s="699" t="s">
        <v>2274</v>
      </c>
      <c r="G331" s="698" t="s">
        <v>2664</v>
      </c>
      <c r="H331" s="698" t="s">
        <v>2665</v>
      </c>
      <c r="I331" s="701">
        <v>2.630000114440918</v>
      </c>
      <c r="J331" s="701">
        <v>100</v>
      </c>
      <c r="K331" s="702">
        <v>263</v>
      </c>
    </row>
    <row r="332" spans="1:11" ht="14.45" customHeight="1" x14ac:dyDescent="0.2">
      <c r="A332" s="696" t="s">
        <v>537</v>
      </c>
      <c r="B332" s="697" t="s">
        <v>538</v>
      </c>
      <c r="C332" s="698" t="s">
        <v>550</v>
      </c>
      <c r="D332" s="699" t="s">
        <v>551</v>
      </c>
      <c r="E332" s="698" t="s">
        <v>2273</v>
      </c>
      <c r="F332" s="699" t="s">
        <v>2274</v>
      </c>
      <c r="G332" s="698" t="s">
        <v>2666</v>
      </c>
      <c r="H332" s="698" t="s">
        <v>2667</v>
      </c>
      <c r="I332" s="701">
        <v>2.5299999713897705</v>
      </c>
      <c r="J332" s="701">
        <v>100</v>
      </c>
      <c r="K332" s="702">
        <v>253</v>
      </c>
    </row>
    <row r="333" spans="1:11" ht="14.45" customHeight="1" x14ac:dyDescent="0.2">
      <c r="A333" s="696" t="s">
        <v>537</v>
      </c>
      <c r="B333" s="697" t="s">
        <v>538</v>
      </c>
      <c r="C333" s="698" t="s">
        <v>550</v>
      </c>
      <c r="D333" s="699" t="s">
        <v>551</v>
      </c>
      <c r="E333" s="698" t="s">
        <v>2273</v>
      </c>
      <c r="F333" s="699" t="s">
        <v>2274</v>
      </c>
      <c r="G333" s="698" t="s">
        <v>2668</v>
      </c>
      <c r="H333" s="698" t="s">
        <v>2669</v>
      </c>
      <c r="I333" s="701">
        <v>2.690000057220459</v>
      </c>
      <c r="J333" s="701">
        <v>150</v>
      </c>
      <c r="K333" s="702">
        <v>403.5</v>
      </c>
    </row>
    <row r="334" spans="1:11" ht="14.45" customHeight="1" x14ac:dyDescent="0.2">
      <c r="A334" s="696" t="s">
        <v>537</v>
      </c>
      <c r="B334" s="697" t="s">
        <v>538</v>
      </c>
      <c r="C334" s="698" t="s">
        <v>550</v>
      </c>
      <c r="D334" s="699" t="s">
        <v>551</v>
      </c>
      <c r="E334" s="698" t="s">
        <v>2273</v>
      </c>
      <c r="F334" s="699" t="s">
        <v>2274</v>
      </c>
      <c r="G334" s="698" t="s">
        <v>2670</v>
      </c>
      <c r="H334" s="698" t="s">
        <v>2671</v>
      </c>
      <c r="I334" s="701">
        <v>23.629999160766602</v>
      </c>
      <c r="J334" s="701">
        <v>100</v>
      </c>
      <c r="K334" s="702">
        <v>2363</v>
      </c>
    </row>
    <row r="335" spans="1:11" ht="14.45" customHeight="1" x14ac:dyDescent="0.2">
      <c r="A335" s="696" t="s">
        <v>537</v>
      </c>
      <c r="B335" s="697" t="s">
        <v>538</v>
      </c>
      <c r="C335" s="698" t="s">
        <v>550</v>
      </c>
      <c r="D335" s="699" t="s">
        <v>551</v>
      </c>
      <c r="E335" s="698" t="s">
        <v>2273</v>
      </c>
      <c r="F335" s="699" t="s">
        <v>2274</v>
      </c>
      <c r="G335" s="698" t="s">
        <v>2672</v>
      </c>
      <c r="H335" s="698" t="s">
        <v>2673</v>
      </c>
      <c r="I335" s="701">
        <v>23.716665903727215</v>
      </c>
      <c r="J335" s="701">
        <v>95</v>
      </c>
      <c r="K335" s="702">
        <v>2253.1499938964844</v>
      </c>
    </row>
    <row r="336" spans="1:11" ht="14.45" customHeight="1" x14ac:dyDescent="0.2">
      <c r="A336" s="696" t="s">
        <v>537</v>
      </c>
      <c r="B336" s="697" t="s">
        <v>538</v>
      </c>
      <c r="C336" s="698" t="s">
        <v>550</v>
      </c>
      <c r="D336" s="699" t="s">
        <v>551</v>
      </c>
      <c r="E336" s="698" t="s">
        <v>2674</v>
      </c>
      <c r="F336" s="699" t="s">
        <v>2675</v>
      </c>
      <c r="G336" s="698" t="s">
        <v>2676</v>
      </c>
      <c r="H336" s="698" t="s">
        <v>2677</v>
      </c>
      <c r="I336" s="701">
        <v>36.909999847412109</v>
      </c>
      <c r="J336" s="701">
        <v>100</v>
      </c>
      <c r="K336" s="702">
        <v>3690.5999145507813</v>
      </c>
    </row>
    <row r="337" spans="1:11" ht="14.45" customHeight="1" x14ac:dyDescent="0.2">
      <c r="A337" s="696" t="s">
        <v>537</v>
      </c>
      <c r="B337" s="697" t="s">
        <v>538</v>
      </c>
      <c r="C337" s="698" t="s">
        <v>550</v>
      </c>
      <c r="D337" s="699" t="s">
        <v>551</v>
      </c>
      <c r="E337" s="698" t="s">
        <v>2678</v>
      </c>
      <c r="F337" s="699" t="s">
        <v>2679</v>
      </c>
      <c r="G337" s="698" t="s">
        <v>2680</v>
      </c>
      <c r="H337" s="698" t="s">
        <v>2681</v>
      </c>
      <c r="I337" s="701">
        <v>8.6644999980926514</v>
      </c>
      <c r="J337" s="701">
        <v>11600</v>
      </c>
      <c r="K337" s="702">
        <v>117929.46063232422</v>
      </c>
    </row>
    <row r="338" spans="1:11" ht="14.45" customHeight="1" x14ac:dyDescent="0.2">
      <c r="A338" s="696" t="s">
        <v>537</v>
      </c>
      <c r="B338" s="697" t="s">
        <v>538</v>
      </c>
      <c r="C338" s="698" t="s">
        <v>550</v>
      </c>
      <c r="D338" s="699" t="s">
        <v>551</v>
      </c>
      <c r="E338" s="698" t="s">
        <v>2678</v>
      </c>
      <c r="F338" s="699" t="s">
        <v>2679</v>
      </c>
      <c r="G338" s="698" t="s">
        <v>2682</v>
      </c>
      <c r="H338" s="698" t="s">
        <v>2683</v>
      </c>
      <c r="I338" s="701">
        <v>56.740001678466797</v>
      </c>
      <c r="J338" s="701">
        <v>80</v>
      </c>
      <c r="K338" s="702">
        <v>4538.9600830078125</v>
      </c>
    </row>
    <row r="339" spans="1:11" ht="14.45" customHeight="1" x14ac:dyDescent="0.2">
      <c r="A339" s="696" t="s">
        <v>537</v>
      </c>
      <c r="B339" s="697" t="s">
        <v>538</v>
      </c>
      <c r="C339" s="698" t="s">
        <v>550</v>
      </c>
      <c r="D339" s="699" t="s">
        <v>551</v>
      </c>
      <c r="E339" s="698" t="s">
        <v>2678</v>
      </c>
      <c r="F339" s="699" t="s">
        <v>2679</v>
      </c>
      <c r="G339" s="698" t="s">
        <v>2684</v>
      </c>
      <c r="H339" s="698" t="s">
        <v>2685</v>
      </c>
      <c r="I339" s="701">
        <v>162.62499618530273</v>
      </c>
      <c r="J339" s="701">
        <v>120</v>
      </c>
      <c r="K339" s="702">
        <v>19515.220703125</v>
      </c>
    </row>
    <row r="340" spans="1:11" ht="14.45" customHeight="1" x14ac:dyDescent="0.2">
      <c r="A340" s="696" t="s">
        <v>537</v>
      </c>
      <c r="B340" s="697" t="s">
        <v>538</v>
      </c>
      <c r="C340" s="698" t="s">
        <v>550</v>
      </c>
      <c r="D340" s="699" t="s">
        <v>551</v>
      </c>
      <c r="E340" s="698" t="s">
        <v>2678</v>
      </c>
      <c r="F340" s="699" t="s">
        <v>2679</v>
      </c>
      <c r="G340" s="698" t="s">
        <v>2686</v>
      </c>
      <c r="H340" s="698" t="s">
        <v>2687</v>
      </c>
      <c r="I340" s="701">
        <v>7.7412497997283936</v>
      </c>
      <c r="J340" s="701">
        <v>2250</v>
      </c>
      <c r="K340" s="702">
        <v>17417.5</v>
      </c>
    </row>
    <row r="341" spans="1:11" ht="14.45" customHeight="1" x14ac:dyDescent="0.2">
      <c r="A341" s="696" t="s">
        <v>537</v>
      </c>
      <c r="B341" s="697" t="s">
        <v>538</v>
      </c>
      <c r="C341" s="698" t="s">
        <v>550</v>
      </c>
      <c r="D341" s="699" t="s">
        <v>551</v>
      </c>
      <c r="E341" s="698" t="s">
        <v>2688</v>
      </c>
      <c r="F341" s="699" t="s">
        <v>2689</v>
      </c>
      <c r="G341" s="698" t="s">
        <v>2690</v>
      </c>
      <c r="H341" s="698" t="s">
        <v>2691</v>
      </c>
      <c r="I341" s="701">
        <v>35.310001373291016</v>
      </c>
      <c r="J341" s="701">
        <v>108</v>
      </c>
      <c r="K341" s="702">
        <v>3812.93994140625</v>
      </c>
    </row>
    <row r="342" spans="1:11" ht="14.45" customHeight="1" x14ac:dyDescent="0.2">
      <c r="A342" s="696" t="s">
        <v>537</v>
      </c>
      <c r="B342" s="697" t="s">
        <v>538</v>
      </c>
      <c r="C342" s="698" t="s">
        <v>550</v>
      </c>
      <c r="D342" s="699" t="s">
        <v>551</v>
      </c>
      <c r="E342" s="698" t="s">
        <v>2688</v>
      </c>
      <c r="F342" s="699" t="s">
        <v>2689</v>
      </c>
      <c r="G342" s="698" t="s">
        <v>2692</v>
      </c>
      <c r="H342" s="698" t="s">
        <v>2693</v>
      </c>
      <c r="I342" s="701">
        <v>20.579999923706055</v>
      </c>
      <c r="J342" s="701">
        <v>72</v>
      </c>
      <c r="K342" s="702">
        <v>1482.1099853515625</v>
      </c>
    </row>
    <row r="343" spans="1:11" ht="14.45" customHeight="1" x14ac:dyDescent="0.2">
      <c r="A343" s="696" t="s">
        <v>537</v>
      </c>
      <c r="B343" s="697" t="s">
        <v>538</v>
      </c>
      <c r="C343" s="698" t="s">
        <v>550</v>
      </c>
      <c r="D343" s="699" t="s">
        <v>551</v>
      </c>
      <c r="E343" s="698" t="s">
        <v>2688</v>
      </c>
      <c r="F343" s="699" t="s">
        <v>2689</v>
      </c>
      <c r="G343" s="698" t="s">
        <v>2694</v>
      </c>
      <c r="H343" s="698" t="s">
        <v>2695</v>
      </c>
      <c r="I343" s="701">
        <v>132.94000244140625</v>
      </c>
      <c r="J343" s="701">
        <v>20</v>
      </c>
      <c r="K343" s="702">
        <v>2658.800048828125</v>
      </c>
    </row>
    <row r="344" spans="1:11" ht="14.45" customHeight="1" x14ac:dyDescent="0.2">
      <c r="A344" s="696" t="s">
        <v>537</v>
      </c>
      <c r="B344" s="697" t="s">
        <v>538</v>
      </c>
      <c r="C344" s="698" t="s">
        <v>550</v>
      </c>
      <c r="D344" s="699" t="s">
        <v>551</v>
      </c>
      <c r="E344" s="698" t="s">
        <v>2688</v>
      </c>
      <c r="F344" s="699" t="s">
        <v>2689</v>
      </c>
      <c r="G344" s="698" t="s">
        <v>2696</v>
      </c>
      <c r="H344" s="698" t="s">
        <v>2697</v>
      </c>
      <c r="I344" s="701">
        <v>57.110000610351563</v>
      </c>
      <c r="J344" s="701">
        <v>72</v>
      </c>
      <c r="K344" s="702">
        <v>4111.68017578125</v>
      </c>
    </row>
    <row r="345" spans="1:11" ht="14.45" customHeight="1" x14ac:dyDescent="0.2">
      <c r="A345" s="696" t="s">
        <v>537</v>
      </c>
      <c r="B345" s="697" t="s">
        <v>538</v>
      </c>
      <c r="C345" s="698" t="s">
        <v>550</v>
      </c>
      <c r="D345" s="699" t="s">
        <v>551</v>
      </c>
      <c r="E345" s="698" t="s">
        <v>2688</v>
      </c>
      <c r="F345" s="699" t="s">
        <v>2689</v>
      </c>
      <c r="G345" s="698" t="s">
        <v>2698</v>
      </c>
      <c r="H345" s="698" t="s">
        <v>2699</v>
      </c>
      <c r="I345" s="701">
        <v>42.509998321533203</v>
      </c>
      <c r="J345" s="701">
        <v>36</v>
      </c>
      <c r="K345" s="702">
        <v>1530.31005859375</v>
      </c>
    </row>
    <row r="346" spans="1:11" ht="14.45" customHeight="1" x14ac:dyDescent="0.2">
      <c r="A346" s="696" t="s">
        <v>537</v>
      </c>
      <c r="B346" s="697" t="s">
        <v>538</v>
      </c>
      <c r="C346" s="698" t="s">
        <v>550</v>
      </c>
      <c r="D346" s="699" t="s">
        <v>551</v>
      </c>
      <c r="E346" s="698" t="s">
        <v>2688</v>
      </c>
      <c r="F346" s="699" t="s">
        <v>2689</v>
      </c>
      <c r="G346" s="698" t="s">
        <v>2700</v>
      </c>
      <c r="H346" s="698" t="s">
        <v>2701</v>
      </c>
      <c r="I346" s="701">
        <v>33.599998474121094</v>
      </c>
      <c r="J346" s="701">
        <v>108</v>
      </c>
      <c r="K346" s="702">
        <v>3629.06982421875</v>
      </c>
    </row>
    <row r="347" spans="1:11" ht="14.45" customHeight="1" x14ac:dyDescent="0.2">
      <c r="A347" s="696" t="s">
        <v>537</v>
      </c>
      <c r="B347" s="697" t="s">
        <v>538</v>
      </c>
      <c r="C347" s="698" t="s">
        <v>550</v>
      </c>
      <c r="D347" s="699" t="s">
        <v>551</v>
      </c>
      <c r="E347" s="698" t="s">
        <v>2688</v>
      </c>
      <c r="F347" s="699" t="s">
        <v>2689</v>
      </c>
      <c r="G347" s="698" t="s">
        <v>2702</v>
      </c>
      <c r="H347" s="698" t="s">
        <v>2703</v>
      </c>
      <c r="I347" s="701">
        <v>53.209999084472656</v>
      </c>
      <c r="J347" s="701">
        <v>72</v>
      </c>
      <c r="K347" s="702">
        <v>3831.300048828125</v>
      </c>
    </row>
    <row r="348" spans="1:11" ht="14.45" customHeight="1" x14ac:dyDescent="0.2">
      <c r="A348" s="696" t="s">
        <v>537</v>
      </c>
      <c r="B348" s="697" t="s">
        <v>538</v>
      </c>
      <c r="C348" s="698" t="s">
        <v>550</v>
      </c>
      <c r="D348" s="699" t="s">
        <v>551</v>
      </c>
      <c r="E348" s="698" t="s">
        <v>2688</v>
      </c>
      <c r="F348" s="699" t="s">
        <v>2689</v>
      </c>
      <c r="G348" s="698" t="s">
        <v>2704</v>
      </c>
      <c r="H348" s="698" t="s">
        <v>2705</v>
      </c>
      <c r="I348" s="701">
        <v>57.110000610351563</v>
      </c>
      <c r="J348" s="701">
        <v>36</v>
      </c>
      <c r="K348" s="702">
        <v>2055.860107421875</v>
      </c>
    </row>
    <row r="349" spans="1:11" ht="14.45" customHeight="1" x14ac:dyDescent="0.2">
      <c r="A349" s="696" t="s">
        <v>537</v>
      </c>
      <c r="B349" s="697" t="s">
        <v>538</v>
      </c>
      <c r="C349" s="698" t="s">
        <v>550</v>
      </c>
      <c r="D349" s="699" t="s">
        <v>551</v>
      </c>
      <c r="E349" s="698" t="s">
        <v>2706</v>
      </c>
      <c r="F349" s="699" t="s">
        <v>2707</v>
      </c>
      <c r="G349" s="698" t="s">
        <v>2708</v>
      </c>
      <c r="H349" s="698" t="s">
        <v>2709</v>
      </c>
      <c r="I349" s="701">
        <v>0.30400000810623168</v>
      </c>
      <c r="J349" s="701">
        <v>9600</v>
      </c>
      <c r="K349" s="702">
        <v>2913.2999877929688</v>
      </c>
    </row>
    <row r="350" spans="1:11" ht="14.45" customHeight="1" x14ac:dyDescent="0.2">
      <c r="A350" s="696" t="s">
        <v>537</v>
      </c>
      <c r="B350" s="697" t="s">
        <v>538</v>
      </c>
      <c r="C350" s="698" t="s">
        <v>550</v>
      </c>
      <c r="D350" s="699" t="s">
        <v>551</v>
      </c>
      <c r="E350" s="698" t="s">
        <v>2706</v>
      </c>
      <c r="F350" s="699" t="s">
        <v>2707</v>
      </c>
      <c r="G350" s="698" t="s">
        <v>2710</v>
      </c>
      <c r="H350" s="698" t="s">
        <v>2711</v>
      </c>
      <c r="I350" s="701">
        <v>0.3033333420753479</v>
      </c>
      <c r="J350" s="701">
        <v>1900</v>
      </c>
      <c r="K350" s="702">
        <v>573</v>
      </c>
    </row>
    <row r="351" spans="1:11" ht="14.45" customHeight="1" x14ac:dyDescent="0.2">
      <c r="A351" s="696" t="s">
        <v>537</v>
      </c>
      <c r="B351" s="697" t="s">
        <v>538</v>
      </c>
      <c r="C351" s="698" t="s">
        <v>550</v>
      </c>
      <c r="D351" s="699" t="s">
        <v>551</v>
      </c>
      <c r="E351" s="698" t="s">
        <v>2706</v>
      </c>
      <c r="F351" s="699" t="s">
        <v>2707</v>
      </c>
      <c r="G351" s="698" t="s">
        <v>2712</v>
      </c>
      <c r="H351" s="698" t="s">
        <v>2713</v>
      </c>
      <c r="I351" s="701">
        <v>0.36000001430511475</v>
      </c>
      <c r="J351" s="701">
        <v>1000</v>
      </c>
      <c r="K351" s="702">
        <v>360</v>
      </c>
    </row>
    <row r="352" spans="1:11" ht="14.45" customHeight="1" x14ac:dyDescent="0.2">
      <c r="A352" s="696" t="s">
        <v>537</v>
      </c>
      <c r="B352" s="697" t="s">
        <v>538</v>
      </c>
      <c r="C352" s="698" t="s">
        <v>550</v>
      </c>
      <c r="D352" s="699" t="s">
        <v>551</v>
      </c>
      <c r="E352" s="698" t="s">
        <v>2706</v>
      </c>
      <c r="F352" s="699" t="s">
        <v>2707</v>
      </c>
      <c r="G352" s="698" t="s">
        <v>2714</v>
      </c>
      <c r="H352" s="698" t="s">
        <v>2715</v>
      </c>
      <c r="I352" s="701">
        <v>0.68000000715255737</v>
      </c>
      <c r="J352" s="701">
        <v>100</v>
      </c>
      <c r="K352" s="702">
        <v>68</v>
      </c>
    </row>
    <row r="353" spans="1:11" ht="14.45" customHeight="1" x14ac:dyDescent="0.2">
      <c r="A353" s="696" t="s">
        <v>537</v>
      </c>
      <c r="B353" s="697" t="s">
        <v>538</v>
      </c>
      <c r="C353" s="698" t="s">
        <v>550</v>
      </c>
      <c r="D353" s="699" t="s">
        <v>551</v>
      </c>
      <c r="E353" s="698" t="s">
        <v>2706</v>
      </c>
      <c r="F353" s="699" t="s">
        <v>2707</v>
      </c>
      <c r="G353" s="698" t="s">
        <v>2716</v>
      </c>
      <c r="H353" s="698" t="s">
        <v>2717</v>
      </c>
      <c r="I353" s="701">
        <v>0.54380954163415096</v>
      </c>
      <c r="J353" s="701">
        <v>41100</v>
      </c>
      <c r="K353" s="702">
        <v>22379</v>
      </c>
    </row>
    <row r="354" spans="1:11" ht="14.45" customHeight="1" x14ac:dyDescent="0.2">
      <c r="A354" s="696" t="s">
        <v>537</v>
      </c>
      <c r="B354" s="697" t="s">
        <v>538</v>
      </c>
      <c r="C354" s="698" t="s">
        <v>550</v>
      </c>
      <c r="D354" s="699" t="s">
        <v>551</v>
      </c>
      <c r="E354" s="698" t="s">
        <v>2718</v>
      </c>
      <c r="F354" s="699" t="s">
        <v>2719</v>
      </c>
      <c r="G354" s="698" t="s">
        <v>2720</v>
      </c>
      <c r="H354" s="698" t="s">
        <v>2721</v>
      </c>
      <c r="I354" s="701">
        <v>26.620000839233398</v>
      </c>
      <c r="J354" s="701">
        <v>150</v>
      </c>
      <c r="K354" s="702">
        <v>3993</v>
      </c>
    </row>
    <row r="355" spans="1:11" ht="14.45" customHeight="1" x14ac:dyDescent="0.2">
      <c r="A355" s="696" t="s">
        <v>537</v>
      </c>
      <c r="B355" s="697" t="s">
        <v>538</v>
      </c>
      <c r="C355" s="698" t="s">
        <v>550</v>
      </c>
      <c r="D355" s="699" t="s">
        <v>551</v>
      </c>
      <c r="E355" s="698" t="s">
        <v>2718</v>
      </c>
      <c r="F355" s="699" t="s">
        <v>2719</v>
      </c>
      <c r="G355" s="698" t="s">
        <v>2722</v>
      </c>
      <c r="H355" s="698" t="s">
        <v>2723</v>
      </c>
      <c r="I355" s="701">
        <v>11.689999580383301</v>
      </c>
      <c r="J355" s="701">
        <v>50</v>
      </c>
      <c r="K355" s="702">
        <v>584.42999267578125</v>
      </c>
    </row>
    <row r="356" spans="1:11" ht="14.45" customHeight="1" x14ac:dyDescent="0.2">
      <c r="A356" s="696" t="s">
        <v>537</v>
      </c>
      <c r="B356" s="697" t="s">
        <v>538</v>
      </c>
      <c r="C356" s="698" t="s">
        <v>550</v>
      </c>
      <c r="D356" s="699" t="s">
        <v>551</v>
      </c>
      <c r="E356" s="698" t="s">
        <v>2718</v>
      </c>
      <c r="F356" s="699" t="s">
        <v>2719</v>
      </c>
      <c r="G356" s="698" t="s">
        <v>2724</v>
      </c>
      <c r="H356" s="698" t="s">
        <v>2725</v>
      </c>
      <c r="I356" s="701">
        <v>17.920000076293945</v>
      </c>
      <c r="J356" s="701">
        <v>100</v>
      </c>
      <c r="K356" s="702">
        <v>1792</v>
      </c>
    </row>
    <row r="357" spans="1:11" ht="14.45" customHeight="1" x14ac:dyDescent="0.2">
      <c r="A357" s="696" t="s">
        <v>537</v>
      </c>
      <c r="B357" s="697" t="s">
        <v>538</v>
      </c>
      <c r="C357" s="698" t="s">
        <v>550</v>
      </c>
      <c r="D357" s="699" t="s">
        <v>551</v>
      </c>
      <c r="E357" s="698" t="s">
        <v>2718</v>
      </c>
      <c r="F357" s="699" t="s">
        <v>2719</v>
      </c>
      <c r="G357" s="698" t="s">
        <v>2726</v>
      </c>
      <c r="H357" s="698" t="s">
        <v>2727</v>
      </c>
      <c r="I357" s="701">
        <v>17.552999305725098</v>
      </c>
      <c r="J357" s="701">
        <v>500</v>
      </c>
      <c r="K357" s="702">
        <v>8822.6500244140625</v>
      </c>
    </row>
    <row r="358" spans="1:11" ht="14.45" customHeight="1" x14ac:dyDescent="0.2">
      <c r="A358" s="696" t="s">
        <v>537</v>
      </c>
      <c r="B358" s="697" t="s">
        <v>538</v>
      </c>
      <c r="C358" s="698" t="s">
        <v>550</v>
      </c>
      <c r="D358" s="699" t="s">
        <v>551</v>
      </c>
      <c r="E358" s="698" t="s">
        <v>2718</v>
      </c>
      <c r="F358" s="699" t="s">
        <v>2719</v>
      </c>
      <c r="G358" s="698" t="s">
        <v>2728</v>
      </c>
      <c r="H358" s="698" t="s">
        <v>2729</v>
      </c>
      <c r="I358" s="701">
        <v>17.558888329399956</v>
      </c>
      <c r="J358" s="701">
        <v>450</v>
      </c>
      <c r="K358" s="702">
        <v>7901.6799926757813</v>
      </c>
    </row>
    <row r="359" spans="1:11" ht="14.45" customHeight="1" x14ac:dyDescent="0.2">
      <c r="A359" s="696" t="s">
        <v>537</v>
      </c>
      <c r="B359" s="697" t="s">
        <v>538</v>
      </c>
      <c r="C359" s="698" t="s">
        <v>550</v>
      </c>
      <c r="D359" s="699" t="s">
        <v>551</v>
      </c>
      <c r="E359" s="698" t="s">
        <v>2718</v>
      </c>
      <c r="F359" s="699" t="s">
        <v>2719</v>
      </c>
      <c r="G359" s="698" t="s">
        <v>2730</v>
      </c>
      <c r="H359" s="698" t="s">
        <v>2731</v>
      </c>
      <c r="I359" s="701">
        <v>18.059999465942383</v>
      </c>
      <c r="J359" s="701">
        <v>100</v>
      </c>
      <c r="K359" s="702">
        <v>1806</v>
      </c>
    </row>
    <row r="360" spans="1:11" ht="14.45" customHeight="1" x14ac:dyDescent="0.2">
      <c r="A360" s="696" t="s">
        <v>537</v>
      </c>
      <c r="B360" s="697" t="s">
        <v>538</v>
      </c>
      <c r="C360" s="698" t="s">
        <v>550</v>
      </c>
      <c r="D360" s="699" t="s">
        <v>551</v>
      </c>
      <c r="E360" s="698" t="s">
        <v>2718</v>
      </c>
      <c r="F360" s="699" t="s">
        <v>2719</v>
      </c>
      <c r="G360" s="698" t="s">
        <v>2732</v>
      </c>
      <c r="H360" s="698" t="s">
        <v>2733</v>
      </c>
      <c r="I360" s="701">
        <v>18.100000381469727</v>
      </c>
      <c r="J360" s="701">
        <v>50</v>
      </c>
      <c r="K360" s="702">
        <v>905</v>
      </c>
    </row>
    <row r="361" spans="1:11" ht="14.45" customHeight="1" x14ac:dyDescent="0.2">
      <c r="A361" s="696" t="s">
        <v>537</v>
      </c>
      <c r="B361" s="697" t="s">
        <v>538</v>
      </c>
      <c r="C361" s="698" t="s">
        <v>550</v>
      </c>
      <c r="D361" s="699" t="s">
        <v>551</v>
      </c>
      <c r="E361" s="698" t="s">
        <v>2718</v>
      </c>
      <c r="F361" s="699" t="s">
        <v>2719</v>
      </c>
      <c r="G361" s="698" t="s">
        <v>2734</v>
      </c>
      <c r="H361" s="698" t="s">
        <v>2735</v>
      </c>
      <c r="I361" s="701">
        <v>17.652000045776369</v>
      </c>
      <c r="J361" s="701">
        <v>250</v>
      </c>
      <c r="K361" s="702">
        <v>4413</v>
      </c>
    </row>
    <row r="362" spans="1:11" ht="14.45" customHeight="1" x14ac:dyDescent="0.2">
      <c r="A362" s="696" t="s">
        <v>537</v>
      </c>
      <c r="B362" s="697" t="s">
        <v>538</v>
      </c>
      <c r="C362" s="698" t="s">
        <v>550</v>
      </c>
      <c r="D362" s="699" t="s">
        <v>551</v>
      </c>
      <c r="E362" s="698" t="s">
        <v>2718</v>
      </c>
      <c r="F362" s="699" t="s">
        <v>2719</v>
      </c>
      <c r="G362" s="698" t="s">
        <v>2736</v>
      </c>
      <c r="H362" s="698" t="s">
        <v>2737</v>
      </c>
      <c r="I362" s="701">
        <v>7.0100002288818359</v>
      </c>
      <c r="J362" s="701">
        <v>50</v>
      </c>
      <c r="K362" s="702">
        <v>350.5</v>
      </c>
    </row>
    <row r="363" spans="1:11" ht="14.45" customHeight="1" x14ac:dyDescent="0.2">
      <c r="A363" s="696" t="s">
        <v>537</v>
      </c>
      <c r="B363" s="697" t="s">
        <v>538</v>
      </c>
      <c r="C363" s="698" t="s">
        <v>550</v>
      </c>
      <c r="D363" s="699" t="s">
        <v>551</v>
      </c>
      <c r="E363" s="698" t="s">
        <v>2718</v>
      </c>
      <c r="F363" s="699" t="s">
        <v>2719</v>
      </c>
      <c r="G363" s="698" t="s">
        <v>2738</v>
      </c>
      <c r="H363" s="698" t="s">
        <v>2739</v>
      </c>
      <c r="I363" s="701">
        <v>2.877500057220459</v>
      </c>
      <c r="J363" s="701">
        <v>64000</v>
      </c>
      <c r="K363" s="702">
        <v>184150</v>
      </c>
    </row>
    <row r="364" spans="1:11" ht="14.45" customHeight="1" x14ac:dyDescent="0.2">
      <c r="A364" s="696" t="s">
        <v>537</v>
      </c>
      <c r="B364" s="697" t="s">
        <v>538</v>
      </c>
      <c r="C364" s="698" t="s">
        <v>550</v>
      </c>
      <c r="D364" s="699" t="s">
        <v>551</v>
      </c>
      <c r="E364" s="698" t="s">
        <v>2718</v>
      </c>
      <c r="F364" s="699" t="s">
        <v>2719</v>
      </c>
      <c r="G364" s="698" t="s">
        <v>2740</v>
      </c>
      <c r="H364" s="698" t="s">
        <v>2741</v>
      </c>
      <c r="I364" s="701">
        <v>2.8840001106262205</v>
      </c>
      <c r="J364" s="701">
        <v>34000</v>
      </c>
      <c r="K364" s="702">
        <v>98080</v>
      </c>
    </row>
    <row r="365" spans="1:11" ht="14.45" customHeight="1" x14ac:dyDescent="0.2">
      <c r="A365" s="696" t="s">
        <v>537</v>
      </c>
      <c r="B365" s="697" t="s">
        <v>538</v>
      </c>
      <c r="C365" s="698" t="s">
        <v>550</v>
      </c>
      <c r="D365" s="699" t="s">
        <v>551</v>
      </c>
      <c r="E365" s="698" t="s">
        <v>2718</v>
      </c>
      <c r="F365" s="699" t="s">
        <v>2719</v>
      </c>
      <c r="G365" s="698" t="s">
        <v>2742</v>
      </c>
      <c r="H365" s="698" t="s">
        <v>2743</v>
      </c>
      <c r="I365" s="701">
        <v>2.8975000977516174</v>
      </c>
      <c r="J365" s="701">
        <v>18000</v>
      </c>
      <c r="K365" s="702">
        <v>52160</v>
      </c>
    </row>
    <row r="366" spans="1:11" ht="14.45" customHeight="1" x14ac:dyDescent="0.2">
      <c r="A366" s="696" t="s">
        <v>537</v>
      </c>
      <c r="B366" s="697" t="s">
        <v>538</v>
      </c>
      <c r="C366" s="698" t="s">
        <v>550</v>
      </c>
      <c r="D366" s="699" t="s">
        <v>551</v>
      </c>
      <c r="E366" s="698" t="s">
        <v>2718</v>
      </c>
      <c r="F366" s="699" t="s">
        <v>2719</v>
      </c>
      <c r="G366" s="698" t="s">
        <v>2744</v>
      </c>
      <c r="H366" s="698" t="s">
        <v>2745</v>
      </c>
      <c r="I366" s="701">
        <v>2.2999999523162842</v>
      </c>
      <c r="J366" s="701">
        <v>6000</v>
      </c>
      <c r="K366" s="702">
        <v>13800</v>
      </c>
    </row>
    <row r="367" spans="1:11" ht="14.45" customHeight="1" x14ac:dyDescent="0.2">
      <c r="A367" s="696" t="s">
        <v>537</v>
      </c>
      <c r="B367" s="697" t="s">
        <v>538</v>
      </c>
      <c r="C367" s="698" t="s">
        <v>550</v>
      </c>
      <c r="D367" s="699" t="s">
        <v>551</v>
      </c>
      <c r="E367" s="698" t="s">
        <v>2718</v>
      </c>
      <c r="F367" s="699" t="s">
        <v>2719</v>
      </c>
      <c r="G367" s="698" t="s">
        <v>2744</v>
      </c>
      <c r="H367" s="698" t="s">
        <v>2746</v>
      </c>
      <c r="I367" s="701">
        <v>2.2999999523162842</v>
      </c>
      <c r="J367" s="701">
        <v>5000</v>
      </c>
      <c r="K367" s="702">
        <v>11500</v>
      </c>
    </row>
    <row r="368" spans="1:11" ht="14.45" customHeight="1" x14ac:dyDescent="0.2">
      <c r="A368" s="696" t="s">
        <v>537</v>
      </c>
      <c r="B368" s="697" t="s">
        <v>538</v>
      </c>
      <c r="C368" s="698" t="s">
        <v>550</v>
      </c>
      <c r="D368" s="699" t="s">
        <v>551</v>
      </c>
      <c r="E368" s="698" t="s">
        <v>2718</v>
      </c>
      <c r="F368" s="699" t="s">
        <v>2719</v>
      </c>
      <c r="G368" s="698" t="s">
        <v>2747</v>
      </c>
      <c r="H368" s="698" t="s">
        <v>2748</v>
      </c>
      <c r="I368" s="701">
        <v>2.2999999523162842</v>
      </c>
      <c r="J368" s="701">
        <v>13000</v>
      </c>
      <c r="K368" s="702">
        <v>29900</v>
      </c>
    </row>
    <row r="369" spans="1:11" ht="14.45" customHeight="1" x14ac:dyDescent="0.2">
      <c r="A369" s="696" t="s">
        <v>537</v>
      </c>
      <c r="B369" s="697" t="s">
        <v>538</v>
      </c>
      <c r="C369" s="698" t="s">
        <v>550</v>
      </c>
      <c r="D369" s="699" t="s">
        <v>551</v>
      </c>
      <c r="E369" s="698" t="s">
        <v>2718</v>
      </c>
      <c r="F369" s="699" t="s">
        <v>2719</v>
      </c>
      <c r="G369" s="698" t="s">
        <v>2749</v>
      </c>
      <c r="H369" s="698" t="s">
        <v>2750</v>
      </c>
      <c r="I369" s="701">
        <v>2.2999999523162842</v>
      </c>
      <c r="J369" s="701">
        <v>2000</v>
      </c>
      <c r="K369" s="702">
        <v>4600</v>
      </c>
    </row>
    <row r="370" spans="1:11" ht="14.45" customHeight="1" x14ac:dyDescent="0.2">
      <c r="A370" s="696" t="s">
        <v>537</v>
      </c>
      <c r="B370" s="697" t="s">
        <v>538</v>
      </c>
      <c r="C370" s="698" t="s">
        <v>550</v>
      </c>
      <c r="D370" s="699" t="s">
        <v>551</v>
      </c>
      <c r="E370" s="698" t="s">
        <v>2718</v>
      </c>
      <c r="F370" s="699" t="s">
        <v>2719</v>
      </c>
      <c r="G370" s="698" t="s">
        <v>2751</v>
      </c>
      <c r="H370" s="698" t="s">
        <v>2752</v>
      </c>
      <c r="I370" s="701">
        <v>3.0299999713897705</v>
      </c>
      <c r="J370" s="701">
        <v>8000</v>
      </c>
      <c r="K370" s="702">
        <v>24240</v>
      </c>
    </row>
    <row r="371" spans="1:11" ht="14.45" customHeight="1" x14ac:dyDescent="0.2">
      <c r="A371" s="696" t="s">
        <v>537</v>
      </c>
      <c r="B371" s="697" t="s">
        <v>538</v>
      </c>
      <c r="C371" s="698" t="s">
        <v>550</v>
      </c>
      <c r="D371" s="699" t="s">
        <v>551</v>
      </c>
      <c r="E371" s="698" t="s">
        <v>2718</v>
      </c>
      <c r="F371" s="699" t="s">
        <v>2719</v>
      </c>
      <c r="G371" s="698" t="s">
        <v>2753</v>
      </c>
      <c r="H371" s="698" t="s">
        <v>2754</v>
      </c>
      <c r="I371" s="701">
        <v>4.8299999237060547</v>
      </c>
      <c r="J371" s="701">
        <v>8000</v>
      </c>
      <c r="K371" s="702">
        <v>38640</v>
      </c>
    </row>
    <row r="372" spans="1:11" ht="14.45" customHeight="1" x14ac:dyDescent="0.2">
      <c r="A372" s="696" t="s">
        <v>537</v>
      </c>
      <c r="B372" s="697" t="s">
        <v>538</v>
      </c>
      <c r="C372" s="698" t="s">
        <v>550</v>
      </c>
      <c r="D372" s="699" t="s">
        <v>551</v>
      </c>
      <c r="E372" s="698" t="s">
        <v>2718</v>
      </c>
      <c r="F372" s="699" t="s">
        <v>2719</v>
      </c>
      <c r="G372" s="698" t="s">
        <v>2755</v>
      </c>
      <c r="H372" s="698" t="s">
        <v>2756</v>
      </c>
      <c r="I372" s="701">
        <v>3.75</v>
      </c>
      <c r="J372" s="701">
        <v>16800</v>
      </c>
      <c r="K372" s="702">
        <v>60336</v>
      </c>
    </row>
    <row r="373" spans="1:11" ht="14.45" customHeight="1" x14ac:dyDescent="0.2">
      <c r="A373" s="696" t="s">
        <v>537</v>
      </c>
      <c r="B373" s="697" t="s">
        <v>538</v>
      </c>
      <c r="C373" s="698" t="s">
        <v>550</v>
      </c>
      <c r="D373" s="699" t="s">
        <v>551</v>
      </c>
      <c r="E373" s="698" t="s">
        <v>2718</v>
      </c>
      <c r="F373" s="699" t="s">
        <v>2719</v>
      </c>
      <c r="G373" s="698" t="s">
        <v>2757</v>
      </c>
      <c r="H373" s="698" t="s">
        <v>2758</v>
      </c>
      <c r="I373" s="701">
        <v>3.0199999809265137</v>
      </c>
      <c r="J373" s="701">
        <v>1000</v>
      </c>
      <c r="K373" s="702">
        <v>3024.800048828125</v>
      </c>
    </row>
    <row r="374" spans="1:11" ht="14.45" customHeight="1" x14ac:dyDescent="0.2">
      <c r="A374" s="696" t="s">
        <v>537</v>
      </c>
      <c r="B374" s="697" t="s">
        <v>538</v>
      </c>
      <c r="C374" s="698" t="s">
        <v>550</v>
      </c>
      <c r="D374" s="699" t="s">
        <v>551</v>
      </c>
      <c r="E374" s="698" t="s">
        <v>2718</v>
      </c>
      <c r="F374" s="699" t="s">
        <v>2719</v>
      </c>
      <c r="G374" s="698" t="s">
        <v>2759</v>
      </c>
      <c r="H374" s="698" t="s">
        <v>2760</v>
      </c>
      <c r="I374" s="701">
        <v>2.6600000858306885</v>
      </c>
      <c r="J374" s="701">
        <v>700</v>
      </c>
      <c r="K374" s="702">
        <v>1862</v>
      </c>
    </row>
    <row r="375" spans="1:11" ht="14.45" customHeight="1" x14ac:dyDescent="0.2">
      <c r="A375" s="696" t="s">
        <v>537</v>
      </c>
      <c r="B375" s="697" t="s">
        <v>538</v>
      </c>
      <c r="C375" s="698" t="s">
        <v>550</v>
      </c>
      <c r="D375" s="699" t="s">
        <v>551</v>
      </c>
      <c r="E375" s="698" t="s">
        <v>2718</v>
      </c>
      <c r="F375" s="699" t="s">
        <v>2719</v>
      </c>
      <c r="G375" s="698" t="s">
        <v>2761</v>
      </c>
      <c r="H375" s="698" t="s">
        <v>2762</v>
      </c>
      <c r="I375" s="701">
        <v>2.6600000858306885</v>
      </c>
      <c r="J375" s="701">
        <v>100</v>
      </c>
      <c r="K375" s="702">
        <v>266</v>
      </c>
    </row>
    <row r="376" spans="1:11" ht="14.45" customHeight="1" x14ac:dyDescent="0.2">
      <c r="A376" s="696" t="s">
        <v>537</v>
      </c>
      <c r="B376" s="697" t="s">
        <v>538</v>
      </c>
      <c r="C376" s="698" t="s">
        <v>550</v>
      </c>
      <c r="D376" s="699" t="s">
        <v>551</v>
      </c>
      <c r="E376" s="698" t="s">
        <v>2718</v>
      </c>
      <c r="F376" s="699" t="s">
        <v>2719</v>
      </c>
      <c r="G376" s="698" t="s">
        <v>2763</v>
      </c>
      <c r="H376" s="698" t="s">
        <v>2764</v>
      </c>
      <c r="I376" s="701">
        <v>3.7300000190734863</v>
      </c>
      <c r="J376" s="701">
        <v>10000</v>
      </c>
      <c r="K376" s="702">
        <v>37300</v>
      </c>
    </row>
    <row r="377" spans="1:11" ht="14.45" customHeight="1" x14ac:dyDescent="0.2">
      <c r="A377" s="696" t="s">
        <v>537</v>
      </c>
      <c r="B377" s="697" t="s">
        <v>538</v>
      </c>
      <c r="C377" s="698" t="s">
        <v>550</v>
      </c>
      <c r="D377" s="699" t="s">
        <v>551</v>
      </c>
      <c r="E377" s="698" t="s">
        <v>2718</v>
      </c>
      <c r="F377" s="699" t="s">
        <v>2719</v>
      </c>
      <c r="G377" s="698" t="s">
        <v>2765</v>
      </c>
      <c r="H377" s="698" t="s">
        <v>2766</v>
      </c>
      <c r="I377" s="701">
        <v>3.869999885559082</v>
      </c>
      <c r="J377" s="701">
        <v>8000</v>
      </c>
      <c r="K377" s="702">
        <v>30960</v>
      </c>
    </row>
    <row r="378" spans="1:11" ht="14.45" customHeight="1" x14ac:dyDescent="0.2">
      <c r="A378" s="696" t="s">
        <v>537</v>
      </c>
      <c r="B378" s="697" t="s">
        <v>538</v>
      </c>
      <c r="C378" s="698" t="s">
        <v>550</v>
      </c>
      <c r="D378" s="699" t="s">
        <v>551</v>
      </c>
      <c r="E378" s="698" t="s">
        <v>2718</v>
      </c>
      <c r="F378" s="699" t="s">
        <v>2719</v>
      </c>
      <c r="G378" s="698" t="s">
        <v>2765</v>
      </c>
      <c r="H378" s="698" t="s">
        <v>2767</v>
      </c>
      <c r="I378" s="701">
        <v>3.875</v>
      </c>
      <c r="J378" s="701">
        <v>11000</v>
      </c>
      <c r="K378" s="702">
        <v>42650</v>
      </c>
    </row>
    <row r="379" spans="1:11" ht="14.45" customHeight="1" x14ac:dyDescent="0.2">
      <c r="A379" s="696" t="s">
        <v>537</v>
      </c>
      <c r="B379" s="697" t="s">
        <v>538</v>
      </c>
      <c r="C379" s="698" t="s">
        <v>550</v>
      </c>
      <c r="D379" s="699" t="s">
        <v>551</v>
      </c>
      <c r="E379" s="698" t="s">
        <v>2718</v>
      </c>
      <c r="F379" s="699" t="s">
        <v>2719</v>
      </c>
      <c r="G379" s="698" t="s">
        <v>2768</v>
      </c>
      <c r="H379" s="698" t="s">
        <v>2769</v>
      </c>
      <c r="I379" s="701">
        <v>3.1466667652130127</v>
      </c>
      <c r="J379" s="701">
        <v>400</v>
      </c>
      <c r="K379" s="702">
        <v>1256</v>
      </c>
    </row>
    <row r="380" spans="1:11" ht="14.45" customHeight="1" x14ac:dyDescent="0.2">
      <c r="A380" s="696" t="s">
        <v>537</v>
      </c>
      <c r="B380" s="697" t="s">
        <v>538</v>
      </c>
      <c r="C380" s="698" t="s">
        <v>550</v>
      </c>
      <c r="D380" s="699" t="s">
        <v>551</v>
      </c>
      <c r="E380" s="698" t="s">
        <v>2718</v>
      </c>
      <c r="F380" s="699" t="s">
        <v>2719</v>
      </c>
      <c r="G380" s="698" t="s">
        <v>2770</v>
      </c>
      <c r="H380" s="698" t="s">
        <v>2771</v>
      </c>
      <c r="I380" s="701">
        <v>3.1500000953674316</v>
      </c>
      <c r="J380" s="701">
        <v>8000</v>
      </c>
      <c r="K380" s="702">
        <v>25200</v>
      </c>
    </row>
    <row r="381" spans="1:11" ht="14.45" customHeight="1" x14ac:dyDescent="0.2">
      <c r="A381" s="696" t="s">
        <v>537</v>
      </c>
      <c r="B381" s="697" t="s">
        <v>538</v>
      </c>
      <c r="C381" s="698" t="s">
        <v>550</v>
      </c>
      <c r="D381" s="699" t="s">
        <v>551</v>
      </c>
      <c r="E381" s="698" t="s">
        <v>2718</v>
      </c>
      <c r="F381" s="699" t="s">
        <v>2719</v>
      </c>
      <c r="G381" s="698" t="s">
        <v>2772</v>
      </c>
      <c r="H381" s="698" t="s">
        <v>2773</v>
      </c>
      <c r="I381" s="701">
        <v>3.0199999809265137</v>
      </c>
      <c r="J381" s="701">
        <v>8000</v>
      </c>
      <c r="K381" s="702">
        <v>24160</v>
      </c>
    </row>
    <row r="382" spans="1:11" ht="14.45" customHeight="1" x14ac:dyDescent="0.2">
      <c r="A382" s="696" t="s">
        <v>537</v>
      </c>
      <c r="B382" s="697" t="s">
        <v>538</v>
      </c>
      <c r="C382" s="698" t="s">
        <v>550</v>
      </c>
      <c r="D382" s="699" t="s">
        <v>551</v>
      </c>
      <c r="E382" s="698" t="s">
        <v>2718</v>
      </c>
      <c r="F382" s="699" t="s">
        <v>2719</v>
      </c>
      <c r="G382" s="698" t="s">
        <v>2774</v>
      </c>
      <c r="H382" s="698" t="s">
        <v>2775</v>
      </c>
      <c r="I382" s="701">
        <v>3.0199999809265137</v>
      </c>
      <c r="J382" s="701">
        <v>8000</v>
      </c>
      <c r="K382" s="702">
        <v>24160</v>
      </c>
    </row>
    <row r="383" spans="1:11" ht="14.45" customHeight="1" x14ac:dyDescent="0.2">
      <c r="A383" s="696" t="s">
        <v>537</v>
      </c>
      <c r="B383" s="697" t="s">
        <v>538</v>
      </c>
      <c r="C383" s="698" t="s">
        <v>550</v>
      </c>
      <c r="D383" s="699" t="s">
        <v>551</v>
      </c>
      <c r="E383" s="698" t="s">
        <v>2718</v>
      </c>
      <c r="F383" s="699" t="s">
        <v>2719</v>
      </c>
      <c r="G383" s="698" t="s">
        <v>2776</v>
      </c>
      <c r="H383" s="698" t="s">
        <v>2777</v>
      </c>
      <c r="I383" s="701">
        <v>3.0199999809265137</v>
      </c>
      <c r="J383" s="701">
        <v>0</v>
      </c>
      <c r="K383" s="702">
        <v>0</v>
      </c>
    </row>
    <row r="384" spans="1:11" ht="14.45" customHeight="1" x14ac:dyDescent="0.2">
      <c r="A384" s="696" t="s">
        <v>537</v>
      </c>
      <c r="B384" s="697" t="s">
        <v>538</v>
      </c>
      <c r="C384" s="698" t="s">
        <v>550</v>
      </c>
      <c r="D384" s="699" t="s">
        <v>551</v>
      </c>
      <c r="E384" s="698" t="s">
        <v>2718</v>
      </c>
      <c r="F384" s="699" t="s">
        <v>2719</v>
      </c>
      <c r="G384" s="698" t="s">
        <v>2778</v>
      </c>
      <c r="H384" s="698" t="s">
        <v>2779</v>
      </c>
      <c r="I384" s="701">
        <v>3.1500000953674316</v>
      </c>
      <c r="J384" s="701">
        <v>200</v>
      </c>
      <c r="K384" s="702">
        <v>629.20001220703125</v>
      </c>
    </row>
    <row r="385" spans="1:11" ht="14.45" customHeight="1" x14ac:dyDescent="0.2">
      <c r="A385" s="696" t="s">
        <v>537</v>
      </c>
      <c r="B385" s="697" t="s">
        <v>538</v>
      </c>
      <c r="C385" s="698" t="s">
        <v>550</v>
      </c>
      <c r="D385" s="699" t="s">
        <v>551</v>
      </c>
      <c r="E385" s="698" t="s">
        <v>2718</v>
      </c>
      <c r="F385" s="699" t="s">
        <v>2719</v>
      </c>
      <c r="G385" s="698" t="s">
        <v>2780</v>
      </c>
      <c r="H385" s="698" t="s">
        <v>2781</v>
      </c>
      <c r="I385" s="701">
        <v>3.0299999713897705</v>
      </c>
      <c r="J385" s="701">
        <v>180</v>
      </c>
      <c r="K385" s="702">
        <v>545.4000244140625</v>
      </c>
    </row>
    <row r="386" spans="1:11" ht="14.45" customHeight="1" x14ac:dyDescent="0.2">
      <c r="A386" s="696" t="s">
        <v>537</v>
      </c>
      <c r="B386" s="697" t="s">
        <v>538</v>
      </c>
      <c r="C386" s="698" t="s">
        <v>550</v>
      </c>
      <c r="D386" s="699" t="s">
        <v>551</v>
      </c>
      <c r="E386" s="698" t="s">
        <v>2718</v>
      </c>
      <c r="F386" s="699" t="s">
        <v>2719</v>
      </c>
      <c r="G386" s="698" t="s">
        <v>2782</v>
      </c>
      <c r="H386" s="698" t="s">
        <v>2783</v>
      </c>
      <c r="I386" s="701">
        <v>2.8149999380111694</v>
      </c>
      <c r="J386" s="701">
        <v>16000</v>
      </c>
      <c r="K386" s="702">
        <v>45040</v>
      </c>
    </row>
    <row r="387" spans="1:11" ht="14.45" customHeight="1" x14ac:dyDescent="0.2">
      <c r="A387" s="696" t="s">
        <v>537</v>
      </c>
      <c r="B387" s="697" t="s">
        <v>538</v>
      </c>
      <c r="C387" s="698" t="s">
        <v>550</v>
      </c>
      <c r="D387" s="699" t="s">
        <v>551</v>
      </c>
      <c r="E387" s="698" t="s">
        <v>2718</v>
      </c>
      <c r="F387" s="699" t="s">
        <v>2719</v>
      </c>
      <c r="G387" s="698" t="s">
        <v>2784</v>
      </c>
      <c r="H387" s="698" t="s">
        <v>2785</v>
      </c>
      <c r="I387" s="701">
        <v>2.9100000858306885</v>
      </c>
      <c r="J387" s="701">
        <v>8000</v>
      </c>
      <c r="K387" s="702">
        <v>23316</v>
      </c>
    </row>
    <row r="388" spans="1:11" ht="14.45" customHeight="1" x14ac:dyDescent="0.2">
      <c r="A388" s="696" t="s">
        <v>537</v>
      </c>
      <c r="B388" s="697" t="s">
        <v>538</v>
      </c>
      <c r="C388" s="698" t="s">
        <v>550</v>
      </c>
      <c r="D388" s="699" t="s">
        <v>551</v>
      </c>
      <c r="E388" s="698" t="s">
        <v>2718</v>
      </c>
      <c r="F388" s="699" t="s">
        <v>2719</v>
      </c>
      <c r="G388" s="698" t="s">
        <v>2786</v>
      </c>
      <c r="H388" s="698" t="s">
        <v>2787</v>
      </c>
      <c r="I388" s="701">
        <v>4.690000057220459</v>
      </c>
      <c r="J388" s="701">
        <v>8000</v>
      </c>
      <c r="K388" s="702">
        <v>37520</v>
      </c>
    </row>
    <row r="389" spans="1:11" ht="14.45" customHeight="1" x14ac:dyDescent="0.2">
      <c r="A389" s="696" t="s">
        <v>537</v>
      </c>
      <c r="B389" s="697" t="s">
        <v>538</v>
      </c>
      <c r="C389" s="698" t="s">
        <v>550</v>
      </c>
      <c r="D389" s="699" t="s">
        <v>551</v>
      </c>
      <c r="E389" s="698" t="s">
        <v>2788</v>
      </c>
      <c r="F389" s="699" t="s">
        <v>2789</v>
      </c>
      <c r="G389" s="698" t="s">
        <v>2790</v>
      </c>
      <c r="H389" s="698" t="s">
        <v>2791</v>
      </c>
      <c r="I389" s="701">
        <v>319.91167195638019</v>
      </c>
      <c r="J389" s="701">
        <v>280</v>
      </c>
      <c r="K389" s="702">
        <v>89575.3828125</v>
      </c>
    </row>
    <row r="390" spans="1:11" ht="14.45" customHeight="1" x14ac:dyDescent="0.2">
      <c r="A390" s="696" t="s">
        <v>537</v>
      </c>
      <c r="B390" s="697" t="s">
        <v>538</v>
      </c>
      <c r="C390" s="698" t="s">
        <v>550</v>
      </c>
      <c r="D390" s="699" t="s">
        <v>551</v>
      </c>
      <c r="E390" s="698" t="s">
        <v>2788</v>
      </c>
      <c r="F390" s="699" t="s">
        <v>2789</v>
      </c>
      <c r="G390" s="698" t="s">
        <v>2792</v>
      </c>
      <c r="H390" s="698" t="s">
        <v>2793</v>
      </c>
      <c r="I390" s="701">
        <v>375.10000610351563</v>
      </c>
      <c r="J390" s="701">
        <v>30</v>
      </c>
      <c r="K390" s="702">
        <v>11253</v>
      </c>
    </row>
    <row r="391" spans="1:11" ht="14.45" customHeight="1" x14ac:dyDescent="0.2">
      <c r="A391" s="696" t="s">
        <v>537</v>
      </c>
      <c r="B391" s="697" t="s">
        <v>538</v>
      </c>
      <c r="C391" s="698" t="s">
        <v>550</v>
      </c>
      <c r="D391" s="699" t="s">
        <v>551</v>
      </c>
      <c r="E391" s="698" t="s">
        <v>2788</v>
      </c>
      <c r="F391" s="699" t="s">
        <v>2789</v>
      </c>
      <c r="G391" s="698" t="s">
        <v>2794</v>
      </c>
      <c r="H391" s="698" t="s">
        <v>2795</v>
      </c>
      <c r="I391" s="701">
        <v>442.3900146484375</v>
      </c>
      <c r="J391" s="701">
        <v>60</v>
      </c>
      <c r="K391" s="702">
        <v>26543.279296875</v>
      </c>
    </row>
    <row r="392" spans="1:11" ht="14.45" customHeight="1" x14ac:dyDescent="0.2">
      <c r="A392" s="696" t="s">
        <v>537</v>
      </c>
      <c r="B392" s="697" t="s">
        <v>538</v>
      </c>
      <c r="C392" s="698" t="s">
        <v>550</v>
      </c>
      <c r="D392" s="699" t="s">
        <v>551</v>
      </c>
      <c r="E392" s="698" t="s">
        <v>2788</v>
      </c>
      <c r="F392" s="699" t="s">
        <v>2789</v>
      </c>
      <c r="G392" s="698" t="s">
        <v>2796</v>
      </c>
      <c r="H392" s="698" t="s">
        <v>2797</v>
      </c>
      <c r="I392" s="701">
        <v>568.78666178385413</v>
      </c>
      <c r="J392" s="701">
        <v>40</v>
      </c>
      <c r="K392" s="702">
        <v>22751.390625</v>
      </c>
    </row>
    <row r="393" spans="1:11" ht="14.45" customHeight="1" x14ac:dyDescent="0.2">
      <c r="A393" s="696" t="s">
        <v>537</v>
      </c>
      <c r="B393" s="697" t="s">
        <v>538</v>
      </c>
      <c r="C393" s="698" t="s">
        <v>550</v>
      </c>
      <c r="D393" s="699" t="s">
        <v>551</v>
      </c>
      <c r="E393" s="698" t="s">
        <v>2788</v>
      </c>
      <c r="F393" s="699" t="s">
        <v>2789</v>
      </c>
      <c r="G393" s="698" t="s">
        <v>2798</v>
      </c>
      <c r="H393" s="698" t="s">
        <v>2799</v>
      </c>
      <c r="I393" s="701">
        <v>928.21002197265625</v>
      </c>
      <c r="J393" s="701">
        <v>10</v>
      </c>
      <c r="K393" s="702">
        <v>9282.0595703125</v>
      </c>
    </row>
    <row r="394" spans="1:11" ht="14.45" customHeight="1" x14ac:dyDescent="0.2">
      <c r="A394" s="696" t="s">
        <v>537</v>
      </c>
      <c r="B394" s="697" t="s">
        <v>538</v>
      </c>
      <c r="C394" s="698" t="s">
        <v>550</v>
      </c>
      <c r="D394" s="699" t="s">
        <v>551</v>
      </c>
      <c r="E394" s="698" t="s">
        <v>2788</v>
      </c>
      <c r="F394" s="699" t="s">
        <v>2789</v>
      </c>
      <c r="G394" s="698" t="s">
        <v>2796</v>
      </c>
      <c r="H394" s="698" t="s">
        <v>2800</v>
      </c>
      <c r="I394" s="701">
        <v>568.78997802734375</v>
      </c>
      <c r="J394" s="701">
        <v>90</v>
      </c>
      <c r="K394" s="702">
        <v>51190.65087890625</v>
      </c>
    </row>
    <row r="395" spans="1:11" ht="14.45" customHeight="1" x14ac:dyDescent="0.2">
      <c r="A395" s="696" t="s">
        <v>537</v>
      </c>
      <c r="B395" s="697" t="s">
        <v>538</v>
      </c>
      <c r="C395" s="698" t="s">
        <v>550</v>
      </c>
      <c r="D395" s="699" t="s">
        <v>551</v>
      </c>
      <c r="E395" s="698" t="s">
        <v>2788</v>
      </c>
      <c r="F395" s="699" t="s">
        <v>2789</v>
      </c>
      <c r="G395" s="698" t="s">
        <v>2801</v>
      </c>
      <c r="H395" s="698" t="s">
        <v>2802</v>
      </c>
      <c r="I395" s="701">
        <v>1094.2049560546875</v>
      </c>
      <c r="J395" s="701">
        <v>13</v>
      </c>
      <c r="K395" s="702">
        <v>14224.64990234375</v>
      </c>
    </row>
    <row r="396" spans="1:11" ht="14.45" customHeight="1" x14ac:dyDescent="0.2">
      <c r="A396" s="696" t="s">
        <v>537</v>
      </c>
      <c r="B396" s="697" t="s">
        <v>538</v>
      </c>
      <c r="C396" s="698" t="s">
        <v>550</v>
      </c>
      <c r="D396" s="699" t="s">
        <v>551</v>
      </c>
      <c r="E396" s="698" t="s">
        <v>2788</v>
      </c>
      <c r="F396" s="699" t="s">
        <v>2789</v>
      </c>
      <c r="G396" s="698" t="s">
        <v>2803</v>
      </c>
      <c r="H396" s="698" t="s">
        <v>2804</v>
      </c>
      <c r="I396" s="701">
        <v>1286.0400390625</v>
      </c>
      <c r="J396" s="701">
        <v>3</v>
      </c>
      <c r="K396" s="702">
        <v>3858.1201171875</v>
      </c>
    </row>
    <row r="397" spans="1:11" ht="14.45" customHeight="1" x14ac:dyDescent="0.2">
      <c r="A397" s="696" t="s">
        <v>537</v>
      </c>
      <c r="B397" s="697" t="s">
        <v>538</v>
      </c>
      <c r="C397" s="698" t="s">
        <v>550</v>
      </c>
      <c r="D397" s="699" t="s">
        <v>551</v>
      </c>
      <c r="E397" s="698" t="s">
        <v>2788</v>
      </c>
      <c r="F397" s="699" t="s">
        <v>2789</v>
      </c>
      <c r="G397" s="698" t="s">
        <v>2805</v>
      </c>
      <c r="H397" s="698" t="s">
        <v>2806</v>
      </c>
      <c r="I397" s="701">
        <v>1286.06005859375</v>
      </c>
      <c r="J397" s="701">
        <v>4</v>
      </c>
      <c r="K397" s="702">
        <v>5144.22021484375</v>
      </c>
    </row>
    <row r="398" spans="1:11" ht="14.45" customHeight="1" x14ac:dyDescent="0.2">
      <c r="A398" s="696" t="s">
        <v>537</v>
      </c>
      <c r="B398" s="697" t="s">
        <v>538</v>
      </c>
      <c r="C398" s="698" t="s">
        <v>550</v>
      </c>
      <c r="D398" s="699" t="s">
        <v>551</v>
      </c>
      <c r="E398" s="698" t="s">
        <v>2807</v>
      </c>
      <c r="F398" s="699" t="s">
        <v>2808</v>
      </c>
      <c r="G398" s="698" t="s">
        <v>2809</v>
      </c>
      <c r="H398" s="698" t="s">
        <v>2810</v>
      </c>
      <c r="I398" s="701">
        <v>13.189999580383301</v>
      </c>
      <c r="J398" s="701">
        <v>120</v>
      </c>
      <c r="K398" s="702">
        <v>1582.800048828125</v>
      </c>
    </row>
    <row r="399" spans="1:11" ht="14.45" customHeight="1" x14ac:dyDescent="0.2">
      <c r="A399" s="696" t="s">
        <v>537</v>
      </c>
      <c r="B399" s="697" t="s">
        <v>538</v>
      </c>
      <c r="C399" s="698" t="s">
        <v>550</v>
      </c>
      <c r="D399" s="699" t="s">
        <v>551</v>
      </c>
      <c r="E399" s="698" t="s">
        <v>2807</v>
      </c>
      <c r="F399" s="699" t="s">
        <v>2808</v>
      </c>
      <c r="G399" s="698" t="s">
        <v>2809</v>
      </c>
      <c r="H399" s="698" t="s">
        <v>2811</v>
      </c>
      <c r="I399" s="701">
        <v>13.189999580383301</v>
      </c>
      <c r="J399" s="701">
        <v>150</v>
      </c>
      <c r="K399" s="702">
        <v>1978.5000610351563</v>
      </c>
    </row>
    <row r="400" spans="1:11" ht="14.45" customHeight="1" x14ac:dyDescent="0.2">
      <c r="A400" s="696" t="s">
        <v>537</v>
      </c>
      <c r="B400" s="697" t="s">
        <v>538</v>
      </c>
      <c r="C400" s="698" t="s">
        <v>550</v>
      </c>
      <c r="D400" s="699" t="s">
        <v>551</v>
      </c>
      <c r="E400" s="698" t="s">
        <v>2807</v>
      </c>
      <c r="F400" s="699" t="s">
        <v>2808</v>
      </c>
      <c r="G400" s="698" t="s">
        <v>2812</v>
      </c>
      <c r="H400" s="698" t="s">
        <v>2813</v>
      </c>
      <c r="I400" s="701">
        <v>15.210000038146973</v>
      </c>
      <c r="J400" s="701">
        <v>300</v>
      </c>
      <c r="K400" s="702">
        <v>4562.4598388671875</v>
      </c>
    </row>
    <row r="401" spans="1:11" ht="14.45" customHeight="1" x14ac:dyDescent="0.2">
      <c r="A401" s="696" t="s">
        <v>537</v>
      </c>
      <c r="B401" s="697" t="s">
        <v>538</v>
      </c>
      <c r="C401" s="698" t="s">
        <v>550</v>
      </c>
      <c r="D401" s="699" t="s">
        <v>551</v>
      </c>
      <c r="E401" s="698" t="s">
        <v>2807</v>
      </c>
      <c r="F401" s="699" t="s">
        <v>2808</v>
      </c>
      <c r="G401" s="698" t="s">
        <v>2814</v>
      </c>
      <c r="H401" s="698" t="s">
        <v>2815</v>
      </c>
      <c r="I401" s="701">
        <v>35.090000152587891</v>
      </c>
      <c r="J401" s="701">
        <v>10</v>
      </c>
      <c r="K401" s="702">
        <v>350.89999389648438</v>
      </c>
    </row>
    <row r="402" spans="1:11" ht="14.45" customHeight="1" x14ac:dyDescent="0.2">
      <c r="A402" s="696" t="s">
        <v>537</v>
      </c>
      <c r="B402" s="697" t="s">
        <v>538</v>
      </c>
      <c r="C402" s="698" t="s">
        <v>550</v>
      </c>
      <c r="D402" s="699" t="s">
        <v>551</v>
      </c>
      <c r="E402" s="698" t="s">
        <v>2807</v>
      </c>
      <c r="F402" s="699" t="s">
        <v>2808</v>
      </c>
      <c r="G402" s="698" t="s">
        <v>2816</v>
      </c>
      <c r="H402" s="698" t="s">
        <v>2817</v>
      </c>
      <c r="I402" s="701">
        <v>35.090000152587891</v>
      </c>
      <c r="J402" s="701">
        <v>10</v>
      </c>
      <c r="K402" s="702">
        <v>350.89999389648438</v>
      </c>
    </row>
    <row r="403" spans="1:11" ht="14.45" customHeight="1" x14ac:dyDescent="0.2">
      <c r="A403" s="696" t="s">
        <v>537</v>
      </c>
      <c r="B403" s="697" t="s">
        <v>538</v>
      </c>
      <c r="C403" s="698" t="s">
        <v>550</v>
      </c>
      <c r="D403" s="699" t="s">
        <v>551</v>
      </c>
      <c r="E403" s="698" t="s">
        <v>2807</v>
      </c>
      <c r="F403" s="699" t="s">
        <v>2808</v>
      </c>
      <c r="G403" s="698" t="s">
        <v>2818</v>
      </c>
      <c r="H403" s="698" t="s">
        <v>2819</v>
      </c>
      <c r="I403" s="701">
        <v>35.090000152587891</v>
      </c>
      <c r="J403" s="701">
        <v>10</v>
      </c>
      <c r="K403" s="702">
        <v>350.89999389648438</v>
      </c>
    </row>
    <row r="404" spans="1:11" ht="14.45" customHeight="1" x14ac:dyDescent="0.2">
      <c r="A404" s="696" t="s">
        <v>537</v>
      </c>
      <c r="B404" s="697" t="s">
        <v>538</v>
      </c>
      <c r="C404" s="698" t="s">
        <v>550</v>
      </c>
      <c r="D404" s="699" t="s">
        <v>551</v>
      </c>
      <c r="E404" s="698" t="s">
        <v>2807</v>
      </c>
      <c r="F404" s="699" t="s">
        <v>2808</v>
      </c>
      <c r="G404" s="698" t="s">
        <v>2820</v>
      </c>
      <c r="H404" s="698" t="s">
        <v>2821</v>
      </c>
      <c r="I404" s="701">
        <v>36.299999237060547</v>
      </c>
      <c r="J404" s="701">
        <v>30</v>
      </c>
      <c r="K404" s="702">
        <v>1089</v>
      </c>
    </row>
    <row r="405" spans="1:11" ht="14.45" customHeight="1" x14ac:dyDescent="0.2">
      <c r="A405" s="696" t="s">
        <v>537</v>
      </c>
      <c r="B405" s="697" t="s">
        <v>538</v>
      </c>
      <c r="C405" s="698" t="s">
        <v>550</v>
      </c>
      <c r="D405" s="699" t="s">
        <v>551</v>
      </c>
      <c r="E405" s="698" t="s">
        <v>2807</v>
      </c>
      <c r="F405" s="699" t="s">
        <v>2808</v>
      </c>
      <c r="G405" s="698" t="s">
        <v>2822</v>
      </c>
      <c r="H405" s="698" t="s">
        <v>2823</v>
      </c>
      <c r="I405" s="701">
        <v>36.299999237060547</v>
      </c>
      <c r="J405" s="701">
        <v>30</v>
      </c>
      <c r="K405" s="702">
        <v>1089</v>
      </c>
    </row>
    <row r="406" spans="1:11" ht="14.45" customHeight="1" x14ac:dyDescent="0.2">
      <c r="A406" s="696" t="s">
        <v>537</v>
      </c>
      <c r="B406" s="697" t="s">
        <v>538</v>
      </c>
      <c r="C406" s="698" t="s">
        <v>550</v>
      </c>
      <c r="D406" s="699" t="s">
        <v>551</v>
      </c>
      <c r="E406" s="698" t="s">
        <v>2807</v>
      </c>
      <c r="F406" s="699" t="s">
        <v>2808</v>
      </c>
      <c r="G406" s="698" t="s">
        <v>2824</v>
      </c>
      <c r="H406" s="698" t="s">
        <v>2825</v>
      </c>
      <c r="I406" s="701">
        <v>36.299999237060547</v>
      </c>
      <c r="J406" s="701">
        <v>30</v>
      </c>
      <c r="K406" s="702">
        <v>1089</v>
      </c>
    </row>
    <row r="407" spans="1:11" ht="14.45" customHeight="1" x14ac:dyDescent="0.2">
      <c r="A407" s="696" t="s">
        <v>537</v>
      </c>
      <c r="B407" s="697" t="s">
        <v>538</v>
      </c>
      <c r="C407" s="698" t="s">
        <v>550</v>
      </c>
      <c r="D407" s="699" t="s">
        <v>551</v>
      </c>
      <c r="E407" s="698" t="s">
        <v>2807</v>
      </c>
      <c r="F407" s="699" t="s">
        <v>2808</v>
      </c>
      <c r="G407" s="698" t="s">
        <v>2826</v>
      </c>
      <c r="H407" s="698" t="s">
        <v>2827</v>
      </c>
      <c r="I407" s="701">
        <v>19.964999198913574</v>
      </c>
      <c r="J407" s="701">
        <v>1000</v>
      </c>
      <c r="K407" s="702">
        <v>19965.739990234375</v>
      </c>
    </row>
    <row r="408" spans="1:11" ht="14.45" customHeight="1" x14ac:dyDescent="0.2">
      <c r="A408" s="696" t="s">
        <v>537</v>
      </c>
      <c r="B408" s="697" t="s">
        <v>538</v>
      </c>
      <c r="C408" s="698" t="s">
        <v>550</v>
      </c>
      <c r="D408" s="699" t="s">
        <v>551</v>
      </c>
      <c r="E408" s="698" t="s">
        <v>2807</v>
      </c>
      <c r="F408" s="699" t="s">
        <v>2808</v>
      </c>
      <c r="G408" s="698" t="s">
        <v>2828</v>
      </c>
      <c r="H408" s="698" t="s">
        <v>2829</v>
      </c>
      <c r="I408" s="701">
        <v>154.8800048828125</v>
      </c>
      <c r="J408" s="701">
        <v>426</v>
      </c>
      <c r="K408" s="702">
        <v>65978.8798828125</v>
      </c>
    </row>
    <row r="409" spans="1:11" ht="14.45" customHeight="1" x14ac:dyDescent="0.2">
      <c r="A409" s="696" t="s">
        <v>537</v>
      </c>
      <c r="B409" s="697" t="s">
        <v>538</v>
      </c>
      <c r="C409" s="698" t="s">
        <v>550</v>
      </c>
      <c r="D409" s="699" t="s">
        <v>551</v>
      </c>
      <c r="E409" s="698" t="s">
        <v>2807</v>
      </c>
      <c r="F409" s="699" t="s">
        <v>2808</v>
      </c>
      <c r="G409" s="698" t="s">
        <v>2830</v>
      </c>
      <c r="H409" s="698" t="s">
        <v>2831</v>
      </c>
      <c r="I409" s="701">
        <v>15.234999656677246</v>
      </c>
      <c r="J409" s="701">
        <v>690</v>
      </c>
      <c r="K409" s="702">
        <v>10515.080017089844</v>
      </c>
    </row>
    <row r="410" spans="1:11" ht="14.45" customHeight="1" x14ac:dyDescent="0.2">
      <c r="A410" s="696" t="s">
        <v>537</v>
      </c>
      <c r="B410" s="697" t="s">
        <v>538</v>
      </c>
      <c r="C410" s="698" t="s">
        <v>550</v>
      </c>
      <c r="D410" s="699" t="s">
        <v>551</v>
      </c>
      <c r="E410" s="698" t="s">
        <v>2807</v>
      </c>
      <c r="F410" s="699" t="s">
        <v>2808</v>
      </c>
      <c r="G410" s="698" t="s">
        <v>2832</v>
      </c>
      <c r="H410" s="698" t="s">
        <v>2833</v>
      </c>
      <c r="I410" s="701">
        <v>50.603999328613284</v>
      </c>
      <c r="J410" s="701">
        <v>524</v>
      </c>
      <c r="K410" s="702">
        <v>26517.03955078125</v>
      </c>
    </row>
    <row r="411" spans="1:11" ht="14.45" customHeight="1" x14ac:dyDescent="0.2">
      <c r="A411" s="696" t="s">
        <v>537</v>
      </c>
      <c r="B411" s="697" t="s">
        <v>538</v>
      </c>
      <c r="C411" s="698" t="s">
        <v>550</v>
      </c>
      <c r="D411" s="699" t="s">
        <v>551</v>
      </c>
      <c r="E411" s="698" t="s">
        <v>2807</v>
      </c>
      <c r="F411" s="699" t="s">
        <v>2808</v>
      </c>
      <c r="G411" s="698" t="s">
        <v>2834</v>
      </c>
      <c r="H411" s="698" t="s">
        <v>2835</v>
      </c>
      <c r="I411" s="701">
        <v>2395.800048828125</v>
      </c>
      <c r="J411" s="701">
        <v>14</v>
      </c>
      <c r="K411" s="702">
        <v>33541.2001953125</v>
      </c>
    </row>
    <row r="412" spans="1:11" ht="14.45" customHeight="1" x14ac:dyDescent="0.2">
      <c r="A412" s="696" t="s">
        <v>537</v>
      </c>
      <c r="B412" s="697" t="s">
        <v>538</v>
      </c>
      <c r="C412" s="698" t="s">
        <v>550</v>
      </c>
      <c r="D412" s="699" t="s">
        <v>551</v>
      </c>
      <c r="E412" s="698" t="s">
        <v>2807</v>
      </c>
      <c r="F412" s="699" t="s">
        <v>2808</v>
      </c>
      <c r="G412" s="698" t="s">
        <v>2836</v>
      </c>
      <c r="H412" s="698" t="s">
        <v>2837</v>
      </c>
      <c r="I412" s="701">
        <v>570.219970703125</v>
      </c>
      <c r="J412" s="701">
        <v>100</v>
      </c>
      <c r="K412" s="702">
        <v>57022.001953125</v>
      </c>
    </row>
    <row r="413" spans="1:11" ht="14.45" customHeight="1" x14ac:dyDescent="0.2">
      <c r="A413" s="696" t="s">
        <v>537</v>
      </c>
      <c r="B413" s="697" t="s">
        <v>538</v>
      </c>
      <c r="C413" s="698" t="s">
        <v>550</v>
      </c>
      <c r="D413" s="699" t="s">
        <v>551</v>
      </c>
      <c r="E413" s="698" t="s">
        <v>2807</v>
      </c>
      <c r="F413" s="699" t="s">
        <v>2808</v>
      </c>
      <c r="G413" s="698" t="s">
        <v>2838</v>
      </c>
      <c r="H413" s="698" t="s">
        <v>2839</v>
      </c>
      <c r="I413" s="701">
        <v>440.44000244140625</v>
      </c>
      <c r="J413" s="701">
        <v>240</v>
      </c>
      <c r="K413" s="702">
        <v>105705.5986328125</v>
      </c>
    </row>
    <row r="414" spans="1:11" ht="14.45" customHeight="1" x14ac:dyDescent="0.2">
      <c r="A414" s="696" t="s">
        <v>537</v>
      </c>
      <c r="B414" s="697" t="s">
        <v>538</v>
      </c>
      <c r="C414" s="698" t="s">
        <v>550</v>
      </c>
      <c r="D414" s="699" t="s">
        <v>551</v>
      </c>
      <c r="E414" s="698" t="s">
        <v>2807</v>
      </c>
      <c r="F414" s="699" t="s">
        <v>2808</v>
      </c>
      <c r="G414" s="698" t="s">
        <v>2840</v>
      </c>
      <c r="H414" s="698" t="s">
        <v>2841</v>
      </c>
      <c r="I414" s="701">
        <v>302.5</v>
      </c>
      <c r="J414" s="701">
        <v>250</v>
      </c>
      <c r="K414" s="702">
        <v>75625</v>
      </c>
    </row>
    <row r="415" spans="1:11" ht="14.45" customHeight="1" x14ac:dyDescent="0.2">
      <c r="A415" s="696" t="s">
        <v>537</v>
      </c>
      <c r="B415" s="697" t="s">
        <v>538</v>
      </c>
      <c r="C415" s="698" t="s">
        <v>550</v>
      </c>
      <c r="D415" s="699" t="s">
        <v>551</v>
      </c>
      <c r="E415" s="698" t="s">
        <v>2807</v>
      </c>
      <c r="F415" s="699" t="s">
        <v>2808</v>
      </c>
      <c r="G415" s="698" t="s">
        <v>2842</v>
      </c>
      <c r="H415" s="698" t="s">
        <v>2843</v>
      </c>
      <c r="I415" s="701">
        <v>511.82998657226563</v>
      </c>
      <c r="J415" s="701">
        <v>80</v>
      </c>
      <c r="K415" s="702">
        <v>40946.3984375</v>
      </c>
    </row>
    <row r="416" spans="1:11" ht="14.45" customHeight="1" x14ac:dyDescent="0.2">
      <c r="A416" s="696" t="s">
        <v>537</v>
      </c>
      <c r="B416" s="697" t="s">
        <v>538</v>
      </c>
      <c r="C416" s="698" t="s">
        <v>550</v>
      </c>
      <c r="D416" s="699" t="s">
        <v>551</v>
      </c>
      <c r="E416" s="698" t="s">
        <v>2807</v>
      </c>
      <c r="F416" s="699" t="s">
        <v>2808</v>
      </c>
      <c r="G416" s="698" t="s">
        <v>2844</v>
      </c>
      <c r="H416" s="698" t="s">
        <v>2845</v>
      </c>
      <c r="I416" s="701">
        <v>997.20945016961343</v>
      </c>
      <c r="J416" s="701">
        <v>321</v>
      </c>
      <c r="K416" s="702">
        <v>320103.7646484375</v>
      </c>
    </row>
    <row r="417" spans="1:11" ht="14.45" customHeight="1" x14ac:dyDescent="0.2">
      <c r="A417" s="696" t="s">
        <v>537</v>
      </c>
      <c r="B417" s="697" t="s">
        <v>538</v>
      </c>
      <c r="C417" s="698" t="s">
        <v>550</v>
      </c>
      <c r="D417" s="699" t="s">
        <v>551</v>
      </c>
      <c r="E417" s="698" t="s">
        <v>2846</v>
      </c>
      <c r="F417" s="699" t="s">
        <v>2847</v>
      </c>
      <c r="G417" s="698" t="s">
        <v>2848</v>
      </c>
      <c r="H417" s="698" t="s">
        <v>2849</v>
      </c>
      <c r="I417" s="701">
        <v>305.114990234375</v>
      </c>
      <c r="J417" s="701">
        <v>23</v>
      </c>
      <c r="K417" s="702">
        <v>7017.659912109375</v>
      </c>
    </row>
    <row r="418" spans="1:11" ht="14.45" customHeight="1" x14ac:dyDescent="0.2">
      <c r="A418" s="696" t="s">
        <v>537</v>
      </c>
      <c r="B418" s="697" t="s">
        <v>538</v>
      </c>
      <c r="C418" s="698" t="s">
        <v>550</v>
      </c>
      <c r="D418" s="699" t="s">
        <v>551</v>
      </c>
      <c r="E418" s="698" t="s">
        <v>2850</v>
      </c>
      <c r="F418" s="699" t="s">
        <v>2851</v>
      </c>
      <c r="G418" s="698" t="s">
        <v>2852</v>
      </c>
      <c r="H418" s="698" t="s">
        <v>2853</v>
      </c>
      <c r="I418" s="701">
        <v>0.48499999940395355</v>
      </c>
      <c r="J418" s="701">
        <v>4000</v>
      </c>
      <c r="K418" s="702">
        <v>1930</v>
      </c>
    </row>
    <row r="419" spans="1:11" ht="14.45" customHeight="1" thickBot="1" x14ac:dyDescent="0.25">
      <c r="A419" s="703" t="s">
        <v>537</v>
      </c>
      <c r="B419" s="704" t="s">
        <v>538</v>
      </c>
      <c r="C419" s="705" t="s">
        <v>550</v>
      </c>
      <c r="D419" s="706" t="s">
        <v>551</v>
      </c>
      <c r="E419" s="705" t="s">
        <v>2850</v>
      </c>
      <c r="F419" s="706" t="s">
        <v>2851</v>
      </c>
      <c r="G419" s="705" t="s">
        <v>2854</v>
      </c>
      <c r="H419" s="705" t="s">
        <v>2855</v>
      </c>
      <c r="I419" s="708">
        <v>0.47999998927116394</v>
      </c>
      <c r="J419" s="708">
        <v>500</v>
      </c>
      <c r="K419" s="709">
        <v>240</v>
      </c>
    </row>
  </sheetData>
  <autoFilter ref="A4:K4" xr:uid="{00000000-0009-0000-0000-000019000000}"/>
  <mergeCells count="2">
    <mergeCell ref="A1:K1"/>
    <mergeCell ref="C3:G3"/>
  </mergeCells>
  <hyperlinks>
    <hyperlink ref="A2" location="Obsah!A1" display="Zpět na Obsah  KL 01  1.-4.měsíc" xr:uid="{00EBD15A-364D-4C1C-BD09-3AD8B65ADD70}"/>
  </hyperlinks>
  <pageMargins left="0.25" right="0.25" top="0.75" bottom="0.75" header="0.3" footer="0.3"/>
  <pageSetup paperSize="9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List13">
    <tabColor theme="3" tint="0.39997558519241921"/>
    <pageSetUpPr fitToPage="1"/>
  </sheetPr>
  <dimension ref="A1:S57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28515625" defaultRowHeight="15" outlineLevelCol="1" x14ac:dyDescent="0.25"/>
  <cols>
    <col min="1" max="1" width="8.28515625" customWidth="1"/>
    <col min="2" max="2" width="27.42578125" bestFit="1" customWidth="1" outlineLevel="1"/>
    <col min="3" max="3" width="10.85546875" style="439" bestFit="1" customWidth="1"/>
    <col min="4" max="6" width="10.28515625" hidden="1" customWidth="1" outlineLevel="1"/>
    <col min="7" max="7" width="10" customWidth="1" collapsed="1"/>
    <col min="8" max="10" width="10" customWidth="1"/>
    <col min="11" max="14" width="10.7109375" customWidth="1"/>
    <col min="15" max="15" width="12.28515625" customWidth="1"/>
    <col min="16" max="17" width="8.85546875" style="349" customWidth="1"/>
    <col min="18" max="18" width="7.28515625" style="438" customWidth="1"/>
    <col min="19" max="19" width="8" style="349" customWidth="1"/>
    <col min="21" max="21" width="11.28515625" bestFit="1" customWidth="1"/>
  </cols>
  <sheetData>
    <row r="1" spans="1:19" ht="19.5" thickBot="1" x14ac:dyDescent="0.35">
      <c r="A1" s="551" t="s">
        <v>116</v>
      </c>
      <c r="B1" s="528"/>
      <c r="C1" s="528"/>
      <c r="D1" s="528"/>
      <c r="E1" s="528"/>
      <c r="F1" s="528"/>
      <c r="G1" s="528"/>
      <c r="H1" s="528"/>
      <c r="I1" s="528"/>
      <c r="J1" s="528"/>
      <c r="K1" s="528"/>
      <c r="L1" s="528"/>
      <c r="M1" s="528"/>
      <c r="N1" s="528"/>
      <c r="O1" s="528"/>
      <c r="P1" s="528"/>
      <c r="Q1" s="528"/>
      <c r="R1" s="528"/>
      <c r="S1" s="528"/>
    </row>
    <row r="2" spans="1:19" ht="15.75" thickBot="1" x14ac:dyDescent="0.3">
      <c r="A2" s="350" t="s">
        <v>305</v>
      </c>
      <c r="B2" s="351"/>
    </row>
    <row r="3" spans="1:19" x14ac:dyDescent="0.25">
      <c r="A3" s="565" t="s">
        <v>212</v>
      </c>
      <c r="B3" s="566"/>
      <c r="C3" s="567" t="s">
        <v>201</v>
      </c>
      <c r="D3" s="568"/>
      <c r="E3" s="568"/>
      <c r="F3" s="569"/>
      <c r="G3" s="570" t="s">
        <v>202</v>
      </c>
      <c r="H3" s="571"/>
      <c r="I3" s="571"/>
      <c r="J3" s="572"/>
      <c r="K3" s="573" t="s">
        <v>211</v>
      </c>
      <c r="L3" s="574"/>
      <c r="M3" s="574"/>
      <c r="N3" s="574"/>
      <c r="O3" s="575"/>
      <c r="P3" s="571" t="s">
        <v>270</v>
      </c>
      <c r="Q3" s="571"/>
      <c r="R3" s="571"/>
      <c r="S3" s="572"/>
    </row>
    <row r="4" spans="1:19" ht="15.75" thickBot="1" x14ac:dyDescent="0.3">
      <c r="A4" s="584">
        <v>2021</v>
      </c>
      <c r="B4" s="585"/>
      <c r="C4" s="586" t="s">
        <v>269</v>
      </c>
      <c r="D4" s="588" t="s">
        <v>117</v>
      </c>
      <c r="E4" s="588" t="s">
        <v>82</v>
      </c>
      <c r="F4" s="563" t="s">
        <v>55</v>
      </c>
      <c r="G4" s="578" t="s">
        <v>203</v>
      </c>
      <c r="H4" s="580" t="s">
        <v>207</v>
      </c>
      <c r="I4" s="580" t="s">
        <v>268</v>
      </c>
      <c r="J4" s="582" t="s">
        <v>204</v>
      </c>
      <c r="K4" s="560" t="s">
        <v>267</v>
      </c>
      <c r="L4" s="561"/>
      <c r="M4" s="561"/>
      <c r="N4" s="562"/>
      <c r="O4" s="563" t="s">
        <v>266</v>
      </c>
      <c r="P4" s="552" t="s">
        <v>265</v>
      </c>
      <c r="Q4" s="552" t="s">
        <v>214</v>
      </c>
      <c r="R4" s="554" t="s">
        <v>82</v>
      </c>
      <c r="S4" s="556" t="s">
        <v>213</v>
      </c>
    </row>
    <row r="5" spans="1:19" s="473" customFormat="1" ht="19.149999999999999" customHeight="1" x14ac:dyDescent="0.25">
      <c r="A5" s="558" t="s">
        <v>264</v>
      </c>
      <c r="B5" s="559"/>
      <c r="C5" s="587"/>
      <c r="D5" s="589"/>
      <c r="E5" s="589"/>
      <c r="F5" s="564"/>
      <c r="G5" s="579"/>
      <c r="H5" s="581"/>
      <c r="I5" s="581"/>
      <c r="J5" s="583"/>
      <c r="K5" s="476" t="s">
        <v>205</v>
      </c>
      <c r="L5" s="475" t="s">
        <v>206</v>
      </c>
      <c r="M5" s="475" t="s">
        <v>263</v>
      </c>
      <c r="N5" s="474" t="s">
        <v>3</v>
      </c>
      <c r="O5" s="564"/>
      <c r="P5" s="553"/>
      <c r="Q5" s="553"/>
      <c r="R5" s="555"/>
      <c r="S5" s="557"/>
    </row>
    <row r="6" spans="1:19" ht="15.75" thickBot="1" x14ac:dyDescent="0.3">
      <c r="A6" s="576" t="s">
        <v>200</v>
      </c>
      <c r="B6" s="577"/>
      <c r="C6" s="472">
        <f ca="1">SUM(Tabulka[01 uv_sk])/2</f>
        <v>180.15909090909093</v>
      </c>
      <c r="D6" s="470"/>
      <c r="E6" s="470"/>
      <c r="F6" s="469"/>
      <c r="G6" s="471">
        <f ca="1">SUM(Tabulka[05 h_vram])/2</f>
        <v>268980.28000000009</v>
      </c>
      <c r="H6" s="470">
        <f ca="1">SUM(Tabulka[06 h_naduv])/2</f>
        <v>25622.870000000003</v>
      </c>
      <c r="I6" s="470">
        <f ca="1">SUM(Tabulka[07 h_nadzk])/2</f>
        <v>8859.23</v>
      </c>
      <c r="J6" s="469">
        <f ca="1">SUM(Tabulka[08 h_oon])/2</f>
        <v>1716.25</v>
      </c>
      <c r="K6" s="471">
        <f ca="1">SUM(Tabulka[09 m_kl])/2</f>
        <v>0</v>
      </c>
      <c r="L6" s="470">
        <f ca="1">SUM(Tabulka[10 m_gr])/2</f>
        <v>0</v>
      </c>
      <c r="M6" s="470">
        <f ca="1">SUM(Tabulka[11 m_jo])/2</f>
        <v>6299724.5</v>
      </c>
      <c r="N6" s="470">
        <f ca="1">SUM(Tabulka[12 m_oc])/2</f>
        <v>6299724.5</v>
      </c>
      <c r="O6" s="469">
        <f ca="1">SUM(Tabulka[13 m_sk])/2</f>
        <v>153913462.5</v>
      </c>
      <c r="P6" s="468">
        <f ca="1">SUM(Tabulka[14_vzsk])/2</f>
        <v>6630</v>
      </c>
      <c r="Q6" s="468">
        <f ca="1">SUM(Tabulka[15_vzpl])/2</f>
        <v>141169.35483870967</v>
      </c>
      <c r="R6" s="467">
        <f ca="1">IF(Q6=0,0,P6/Q6)</f>
        <v>4.6964867180805489E-2</v>
      </c>
      <c r="S6" s="466">
        <f ca="1">Q6-P6</f>
        <v>134539.35483870967</v>
      </c>
    </row>
    <row r="7" spans="1:19" hidden="1" x14ac:dyDescent="0.25">
      <c r="A7" s="465" t="s">
        <v>262</v>
      </c>
      <c r="B7" s="464" t="s">
        <v>261</v>
      </c>
      <c r="C7" s="463" t="s">
        <v>260</v>
      </c>
      <c r="D7" s="462" t="s">
        <v>259</v>
      </c>
      <c r="E7" s="461" t="s">
        <v>258</v>
      </c>
      <c r="F7" s="460" t="s">
        <v>257</v>
      </c>
      <c r="G7" s="459" t="s">
        <v>256</v>
      </c>
      <c r="H7" s="457" t="s">
        <v>255</v>
      </c>
      <c r="I7" s="457" t="s">
        <v>254</v>
      </c>
      <c r="J7" s="456" t="s">
        <v>253</v>
      </c>
      <c r="K7" s="458" t="s">
        <v>252</v>
      </c>
      <c r="L7" s="457" t="s">
        <v>251</v>
      </c>
      <c r="M7" s="457" t="s">
        <v>250</v>
      </c>
      <c r="N7" s="456" t="s">
        <v>249</v>
      </c>
      <c r="O7" s="455" t="s">
        <v>248</v>
      </c>
      <c r="P7" s="454" t="s">
        <v>247</v>
      </c>
      <c r="Q7" s="453" t="s">
        <v>246</v>
      </c>
      <c r="R7" s="452" t="s">
        <v>245</v>
      </c>
      <c r="S7" s="451" t="s">
        <v>244</v>
      </c>
    </row>
    <row r="8" spans="1:19" x14ac:dyDescent="0.25">
      <c r="A8" s="448" t="s">
        <v>243</v>
      </c>
      <c r="B8" s="447"/>
      <c r="C8" s="44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9.454545454545455</v>
      </c>
      <c r="D8" s="44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44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44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44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15555.28</v>
      </c>
      <c r="H8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1481.72</v>
      </c>
      <c r="I8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101</v>
      </c>
      <c r="J8" s="44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8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8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447663</v>
      </c>
      <c r="N8" s="44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447663</v>
      </c>
      <c r="O8" s="44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12796504</v>
      </c>
      <c r="P8" s="4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8" s="4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23467.741935483868</v>
      </c>
      <c r="R8" s="450">
        <f ca="1">IF(Tabulka[[#This Row],[15_vzpl]]=0,"",Tabulka[[#This Row],[14_vzsk]]/Tabulka[[#This Row],[15_vzpl]])</f>
        <v>0</v>
      </c>
      <c r="S8" s="449">
        <f ca="1">IF(Tabulka[[#This Row],[15_vzpl]]-Tabulka[[#This Row],[14_vzsk]]=0,"",Tabulka[[#This Row],[15_vzpl]]-Tabulka[[#This Row],[14_vzsk]])</f>
        <v>23467.741935483868</v>
      </c>
    </row>
    <row r="9" spans="1:19" x14ac:dyDescent="0.25">
      <c r="A9" s="448">
        <v>99</v>
      </c>
      <c r="B9" s="447" t="s">
        <v>2871</v>
      </c>
      <c r="C9" s="44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9" s="44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44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44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44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9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9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9" s="44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9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9" s="44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9" s="44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52750</v>
      </c>
      <c r="P9" s="4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9" s="4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23467.741935483868</v>
      </c>
      <c r="R9" s="450">
        <f ca="1">IF(Tabulka[[#This Row],[15_vzpl]]=0,"",Tabulka[[#This Row],[14_vzsk]]/Tabulka[[#This Row],[15_vzpl]])</f>
        <v>0</v>
      </c>
      <c r="S9" s="449">
        <f ca="1">IF(Tabulka[[#This Row],[15_vzpl]]-Tabulka[[#This Row],[14_vzsk]]=0,"",Tabulka[[#This Row],[15_vzpl]]-Tabulka[[#This Row],[14_vzsk]])</f>
        <v>23467.741935483868</v>
      </c>
    </row>
    <row r="10" spans="1:19" x14ac:dyDescent="0.25">
      <c r="A10" s="448">
        <v>100</v>
      </c>
      <c r="B10" s="447" t="s">
        <v>2872</v>
      </c>
      <c r="C10" s="44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10" s="44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44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44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44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10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0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0" s="44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0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0" s="44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0" s="44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122500</v>
      </c>
      <c r="P10" s="4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0" s="4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0" s="450" t="str">
        <f ca="1">IF(Tabulka[[#This Row],[15_vzpl]]=0,"",Tabulka[[#This Row],[14_vzsk]]/Tabulka[[#This Row],[15_vzpl]])</f>
        <v/>
      </c>
      <c r="S10" s="449" t="str">
        <f ca="1">IF(Tabulka[[#This Row],[15_vzpl]]-Tabulka[[#This Row],[14_vzsk]]=0,"",Tabulka[[#This Row],[15_vzpl]]-Tabulka[[#This Row],[14_vzsk]])</f>
        <v/>
      </c>
    </row>
    <row r="11" spans="1:19" x14ac:dyDescent="0.25">
      <c r="A11" s="448">
        <v>101</v>
      </c>
      <c r="B11" s="447" t="s">
        <v>2873</v>
      </c>
      <c r="C11" s="44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9.454545454545455</v>
      </c>
      <c r="D11" s="44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44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44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44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15555.28</v>
      </c>
      <c r="H11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1481.72</v>
      </c>
      <c r="I11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101</v>
      </c>
      <c r="J11" s="44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1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1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447663</v>
      </c>
      <c r="N11" s="44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447663</v>
      </c>
      <c r="O11" s="44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12621254</v>
      </c>
      <c r="P11" s="4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1" s="4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1" s="450" t="str">
        <f ca="1">IF(Tabulka[[#This Row],[15_vzpl]]=0,"",Tabulka[[#This Row],[14_vzsk]]/Tabulka[[#This Row],[15_vzpl]])</f>
        <v/>
      </c>
      <c r="S11" s="449" t="str">
        <f ca="1">IF(Tabulka[[#This Row],[15_vzpl]]-Tabulka[[#This Row],[14_vzsk]]=0,"",Tabulka[[#This Row],[15_vzpl]]-Tabulka[[#This Row],[14_vzsk]])</f>
        <v/>
      </c>
    </row>
    <row r="12" spans="1:19" x14ac:dyDescent="0.25">
      <c r="A12" s="448" t="s">
        <v>2857</v>
      </c>
      <c r="B12" s="447"/>
      <c r="C12" s="44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52.713636363636368</v>
      </c>
      <c r="D12" s="44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44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44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44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77154.140000000014</v>
      </c>
      <c r="H12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7515.57</v>
      </c>
      <c r="I12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3009.25</v>
      </c>
      <c r="J12" s="44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686.5</v>
      </c>
      <c r="K12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2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1742613</v>
      </c>
      <c r="N12" s="44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1742613</v>
      </c>
      <c r="O12" s="44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40408688</v>
      </c>
      <c r="P12" s="4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2210</v>
      </c>
      <c r="Q12" s="4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27500</v>
      </c>
      <c r="R12" s="450">
        <f ca="1">IF(Tabulka[[#This Row],[15_vzpl]]=0,"",Tabulka[[#This Row],[14_vzsk]]/Tabulka[[#This Row],[15_vzpl]])</f>
        <v>8.0363636363636359E-2</v>
      </c>
      <c r="S12" s="449">
        <f ca="1">IF(Tabulka[[#This Row],[15_vzpl]]-Tabulka[[#This Row],[14_vzsk]]=0,"",Tabulka[[#This Row],[15_vzpl]]-Tabulka[[#This Row],[14_vzsk]])</f>
        <v>25290</v>
      </c>
    </row>
    <row r="13" spans="1:19" x14ac:dyDescent="0.25">
      <c r="A13" s="448">
        <v>303</v>
      </c>
      <c r="B13" s="447" t="s">
        <v>2874</v>
      </c>
      <c r="C13" s="44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9.5909090909090917</v>
      </c>
      <c r="D13" s="44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44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44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44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13551.59</v>
      </c>
      <c r="H13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1273.57</v>
      </c>
      <c r="I13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672.98000000000013</v>
      </c>
      <c r="J13" s="44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3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3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214966</v>
      </c>
      <c r="N13" s="44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214966</v>
      </c>
      <c r="O13" s="44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6453091</v>
      </c>
      <c r="P13" s="4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2210</v>
      </c>
      <c r="Q13" s="4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27500</v>
      </c>
      <c r="R13" s="450">
        <f ca="1">IF(Tabulka[[#This Row],[15_vzpl]]=0,"",Tabulka[[#This Row],[14_vzsk]]/Tabulka[[#This Row],[15_vzpl]])</f>
        <v>8.0363636363636359E-2</v>
      </c>
      <c r="S13" s="449">
        <f ca="1">IF(Tabulka[[#This Row],[15_vzpl]]-Tabulka[[#This Row],[14_vzsk]]=0,"",Tabulka[[#This Row],[15_vzpl]]-Tabulka[[#This Row],[14_vzsk]])</f>
        <v>25290</v>
      </c>
    </row>
    <row r="14" spans="1:19" x14ac:dyDescent="0.25">
      <c r="A14" s="448">
        <v>304</v>
      </c>
      <c r="B14" s="447" t="s">
        <v>2875</v>
      </c>
      <c r="C14" s="44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24.431818181818183</v>
      </c>
      <c r="D14" s="44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4" s="44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4" s="44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4" s="44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35418.590000000004</v>
      </c>
      <c r="H14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3504</v>
      </c>
      <c r="I14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1393.2299999999998</v>
      </c>
      <c r="J14" s="44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4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4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4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830880</v>
      </c>
      <c r="N14" s="44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830880</v>
      </c>
      <c r="O14" s="44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20116896</v>
      </c>
      <c r="P14" s="4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4" s="4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4" s="450" t="str">
        <f ca="1">IF(Tabulka[[#This Row],[15_vzpl]]=0,"",Tabulka[[#This Row],[14_vzsk]]/Tabulka[[#This Row],[15_vzpl]])</f>
        <v/>
      </c>
      <c r="S14" s="449" t="str">
        <f ca="1">IF(Tabulka[[#This Row],[15_vzpl]]-Tabulka[[#This Row],[14_vzsk]]=0,"",Tabulka[[#This Row],[15_vzpl]]-Tabulka[[#This Row],[14_vzsk]])</f>
        <v/>
      </c>
    </row>
    <row r="15" spans="1:19" x14ac:dyDescent="0.25">
      <c r="A15" s="448">
        <v>305</v>
      </c>
      <c r="B15" s="447" t="s">
        <v>2876</v>
      </c>
      <c r="C15" s="44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11.781818181818181</v>
      </c>
      <c r="D15" s="44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5" s="44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5" s="44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5" s="44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17965.46</v>
      </c>
      <c r="H15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1681.5</v>
      </c>
      <c r="I15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943.04000000000008</v>
      </c>
      <c r="J15" s="44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5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5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5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549815</v>
      </c>
      <c r="N15" s="44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549815</v>
      </c>
      <c r="O15" s="44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9858005</v>
      </c>
      <c r="P15" s="4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5" s="4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5" s="450" t="str">
        <f ca="1">IF(Tabulka[[#This Row],[15_vzpl]]=0,"",Tabulka[[#This Row],[14_vzsk]]/Tabulka[[#This Row],[15_vzpl]])</f>
        <v/>
      </c>
      <c r="S15" s="449" t="str">
        <f ca="1">IF(Tabulka[[#This Row],[15_vzpl]]-Tabulka[[#This Row],[14_vzsk]]=0,"",Tabulka[[#This Row],[15_vzpl]]-Tabulka[[#This Row],[14_vzsk]])</f>
        <v/>
      </c>
    </row>
    <row r="16" spans="1:19" x14ac:dyDescent="0.25">
      <c r="A16" s="448">
        <v>636</v>
      </c>
      <c r="B16" s="447" t="s">
        <v>2877</v>
      </c>
      <c r="C16" s="44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2.0909090909090908</v>
      </c>
      <c r="D16" s="44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6" s="44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6" s="44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6" s="44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3162</v>
      </c>
      <c r="H16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333.5</v>
      </c>
      <c r="I16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6" s="44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</v>
      </c>
      <c r="K16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6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6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47284</v>
      </c>
      <c r="N16" s="44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47284</v>
      </c>
      <c r="O16" s="44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1333134</v>
      </c>
      <c r="P16" s="4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6" s="4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6" s="450" t="str">
        <f ca="1">IF(Tabulka[[#This Row],[15_vzpl]]=0,"",Tabulka[[#This Row],[14_vzsk]]/Tabulka[[#This Row],[15_vzpl]])</f>
        <v/>
      </c>
      <c r="S16" s="449" t="str">
        <f ca="1">IF(Tabulka[[#This Row],[15_vzpl]]-Tabulka[[#This Row],[14_vzsk]]=0,"",Tabulka[[#This Row],[15_vzpl]]-Tabulka[[#This Row],[14_vzsk]])</f>
        <v/>
      </c>
    </row>
    <row r="17" spans="1:19" x14ac:dyDescent="0.25">
      <c r="A17" s="448">
        <v>642</v>
      </c>
      <c r="B17" s="447" t="s">
        <v>2878</v>
      </c>
      <c r="C17" s="44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4.8181818181818183</v>
      </c>
      <c r="D17" s="44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7" s="44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7" s="44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7" s="44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7056.5</v>
      </c>
      <c r="H17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723</v>
      </c>
      <c r="I17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7" s="44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673.5</v>
      </c>
      <c r="K17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7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7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99668</v>
      </c>
      <c r="N17" s="44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99668</v>
      </c>
      <c r="O17" s="44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2647562</v>
      </c>
      <c r="P17" s="4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7" s="4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7" s="450" t="str">
        <f ca="1">IF(Tabulka[[#This Row],[15_vzpl]]=0,"",Tabulka[[#This Row],[14_vzsk]]/Tabulka[[#This Row],[15_vzpl]])</f>
        <v/>
      </c>
      <c r="S17" s="449" t="str">
        <f ca="1">IF(Tabulka[[#This Row],[15_vzpl]]-Tabulka[[#This Row],[14_vzsk]]=0,"",Tabulka[[#This Row],[15_vzpl]]-Tabulka[[#This Row],[14_vzsk]])</f>
        <v/>
      </c>
    </row>
    <row r="18" spans="1:19" x14ac:dyDescent="0.25">
      <c r="A18" s="448" t="s">
        <v>2858</v>
      </c>
      <c r="B18" s="447"/>
      <c r="C18" s="44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8" s="44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8" s="44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8" s="44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8" s="44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1648</v>
      </c>
      <c r="H18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8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8" s="44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8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8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8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25760</v>
      </c>
      <c r="N18" s="44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25760</v>
      </c>
      <c r="O18" s="44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434954</v>
      </c>
      <c r="P18" s="4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8" s="4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8" s="450" t="str">
        <f ca="1">IF(Tabulka[[#This Row],[15_vzpl]]=0,"",Tabulka[[#This Row],[14_vzsk]]/Tabulka[[#This Row],[15_vzpl]])</f>
        <v/>
      </c>
      <c r="S18" s="449" t="str">
        <f ca="1">IF(Tabulka[[#This Row],[15_vzpl]]-Tabulka[[#This Row],[14_vzsk]]=0,"",Tabulka[[#This Row],[15_vzpl]]-Tabulka[[#This Row],[14_vzsk]])</f>
        <v/>
      </c>
    </row>
    <row r="19" spans="1:19" x14ac:dyDescent="0.25">
      <c r="A19" s="448">
        <v>30</v>
      </c>
      <c r="B19" s="447" t="s">
        <v>2879</v>
      </c>
      <c r="C19" s="44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9" s="44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9" s="44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9" s="44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9" s="44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1648</v>
      </c>
      <c r="H19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9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9" s="44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9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9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9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25760</v>
      </c>
      <c r="N19" s="44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25760</v>
      </c>
      <c r="O19" s="44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434954</v>
      </c>
      <c r="P19" s="4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9" s="4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9" s="450" t="str">
        <f ca="1">IF(Tabulka[[#This Row],[15_vzpl]]=0,"",Tabulka[[#This Row],[14_vzsk]]/Tabulka[[#This Row],[15_vzpl]])</f>
        <v/>
      </c>
      <c r="S19" s="449" t="str">
        <f ca="1">IF(Tabulka[[#This Row],[15_vzpl]]-Tabulka[[#This Row],[14_vzsk]]=0,"",Tabulka[[#This Row],[15_vzpl]]-Tabulka[[#This Row],[14_vzsk]])</f>
        <v/>
      </c>
    </row>
    <row r="20" spans="1:19" x14ac:dyDescent="0.25">
      <c r="A20" s="448"/>
      <c r="B20" s="447"/>
      <c r="C20" s="44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20" s="44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0" s="44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0" s="44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0" s="44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20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0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0" s="44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0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0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0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20" s="44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20" s="44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P20" s="4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0" s="4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0" s="450" t="str">
        <f ca="1">IF(Tabulka[[#This Row],[15_vzpl]]=0,"",Tabulka[[#This Row],[14_vzsk]]/Tabulka[[#This Row],[15_vzpl]])</f>
        <v/>
      </c>
      <c r="S20" s="449" t="str">
        <f ca="1">IF(Tabulka[[#This Row],[15_vzpl]]-Tabulka[[#This Row],[14_vzsk]]=0,"",Tabulka[[#This Row],[15_vzpl]]-Tabulka[[#This Row],[14_vzsk]])</f>
        <v/>
      </c>
    </row>
    <row r="21" spans="1:19" x14ac:dyDescent="0.25">
      <c r="A21" s="448" t="s">
        <v>243</v>
      </c>
      <c r="B21" s="447"/>
      <c r="C21" s="44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9.454545454545455</v>
      </c>
      <c r="D21" s="44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1" s="44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1" s="44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1" s="44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15555.28</v>
      </c>
      <c r="H21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1481.72</v>
      </c>
      <c r="I21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101</v>
      </c>
      <c r="J21" s="44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1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1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1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447663</v>
      </c>
      <c r="N21" s="44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447663</v>
      </c>
      <c r="O21" s="44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12796504</v>
      </c>
      <c r="P21" s="4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1" s="4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23467.741935483868</v>
      </c>
      <c r="R21" s="450">
        <f ca="1">IF(Tabulka[[#This Row],[15_vzpl]]=0,"",Tabulka[[#This Row],[14_vzsk]]/Tabulka[[#This Row],[15_vzpl]])</f>
        <v>0</v>
      </c>
      <c r="S21" s="449">
        <f ca="1">IF(Tabulka[[#This Row],[15_vzpl]]-Tabulka[[#This Row],[14_vzsk]]=0,"",Tabulka[[#This Row],[15_vzpl]]-Tabulka[[#This Row],[14_vzsk]])</f>
        <v>23467.741935483868</v>
      </c>
    </row>
    <row r="22" spans="1:19" x14ac:dyDescent="0.25">
      <c r="A22" s="448">
        <v>99</v>
      </c>
      <c r="B22" s="447" t="s">
        <v>2871</v>
      </c>
      <c r="C22" s="44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22" s="44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2" s="44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2" s="44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2" s="44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22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2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2" s="44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2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2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2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22" s="44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22" s="44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52750</v>
      </c>
      <c r="P22" s="4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2" s="4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23467.741935483868</v>
      </c>
      <c r="R22" s="450">
        <f ca="1">IF(Tabulka[[#This Row],[15_vzpl]]=0,"",Tabulka[[#This Row],[14_vzsk]]/Tabulka[[#This Row],[15_vzpl]])</f>
        <v>0</v>
      </c>
      <c r="S22" s="449">
        <f ca="1">IF(Tabulka[[#This Row],[15_vzpl]]-Tabulka[[#This Row],[14_vzsk]]=0,"",Tabulka[[#This Row],[15_vzpl]]-Tabulka[[#This Row],[14_vzsk]])</f>
        <v>23467.741935483868</v>
      </c>
    </row>
    <row r="23" spans="1:19" x14ac:dyDescent="0.25">
      <c r="A23" s="448">
        <v>100</v>
      </c>
      <c r="B23" s="447" t="s">
        <v>2872</v>
      </c>
      <c r="C23" s="44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23" s="44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3" s="44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3" s="44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3" s="44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23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3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3" s="44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3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3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3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23" s="44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23" s="44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122500</v>
      </c>
      <c r="P23" s="4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3" s="4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3" s="450" t="str">
        <f ca="1">IF(Tabulka[[#This Row],[15_vzpl]]=0,"",Tabulka[[#This Row],[14_vzsk]]/Tabulka[[#This Row],[15_vzpl]])</f>
        <v/>
      </c>
      <c r="S23" s="449" t="str">
        <f ca="1">IF(Tabulka[[#This Row],[15_vzpl]]-Tabulka[[#This Row],[14_vzsk]]=0,"",Tabulka[[#This Row],[15_vzpl]]-Tabulka[[#This Row],[14_vzsk]])</f>
        <v/>
      </c>
    </row>
    <row r="24" spans="1:19" x14ac:dyDescent="0.25">
      <c r="A24" s="448">
        <v>101</v>
      </c>
      <c r="B24" s="447" t="s">
        <v>2873</v>
      </c>
      <c r="C24" s="44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9.454545454545455</v>
      </c>
      <c r="D24" s="44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4" s="44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4" s="44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4" s="44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15555.28</v>
      </c>
      <c r="H24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1481.72</v>
      </c>
      <c r="I24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101</v>
      </c>
      <c r="J24" s="44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4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4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4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447663</v>
      </c>
      <c r="N24" s="44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447663</v>
      </c>
      <c r="O24" s="44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12621254</v>
      </c>
      <c r="P24" s="4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4" s="4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4" s="450" t="str">
        <f ca="1">IF(Tabulka[[#This Row],[15_vzpl]]=0,"",Tabulka[[#This Row],[14_vzsk]]/Tabulka[[#This Row],[15_vzpl]])</f>
        <v/>
      </c>
      <c r="S24" s="449" t="str">
        <f ca="1">IF(Tabulka[[#This Row],[15_vzpl]]-Tabulka[[#This Row],[14_vzsk]]=0,"",Tabulka[[#This Row],[15_vzpl]]-Tabulka[[#This Row],[14_vzsk]])</f>
        <v/>
      </c>
    </row>
    <row r="25" spans="1:19" x14ac:dyDescent="0.25">
      <c r="A25" s="448" t="s">
        <v>2880</v>
      </c>
      <c r="B25" s="447"/>
      <c r="C25" s="44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25" s="44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5" s="44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5" s="44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5" s="44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25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5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5" s="44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5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5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5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25" s="44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25" s="44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P25" s="4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5" s="4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5" s="450" t="str">
        <f ca="1">IF(Tabulka[[#This Row],[15_vzpl]]=0,"",Tabulka[[#This Row],[14_vzsk]]/Tabulka[[#This Row],[15_vzpl]])</f>
        <v/>
      </c>
      <c r="S25" s="449" t="str">
        <f ca="1">IF(Tabulka[[#This Row],[15_vzpl]]-Tabulka[[#This Row],[14_vzsk]]=0,"",Tabulka[[#This Row],[15_vzpl]]-Tabulka[[#This Row],[14_vzsk]])</f>
        <v/>
      </c>
    </row>
    <row r="26" spans="1:19" x14ac:dyDescent="0.25">
      <c r="A26" s="448">
        <v>526</v>
      </c>
      <c r="B26" s="447" t="s">
        <v>2881</v>
      </c>
      <c r="C26" s="44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26" s="44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6" s="44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6" s="44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6" s="44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26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6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6" s="44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6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6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6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26" s="44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26" s="44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P26" s="4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6" s="4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6" s="450" t="str">
        <f ca="1">IF(Tabulka[[#This Row],[15_vzpl]]=0,"",Tabulka[[#This Row],[14_vzsk]]/Tabulka[[#This Row],[15_vzpl]])</f>
        <v/>
      </c>
      <c r="S26" s="449" t="str">
        <f ca="1">IF(Tabulka[[#This Row],[15_vzpl]]-Tabulka[[#This Row],[14_vzsk]]=0,"",Tabulka[[#This Row],[15_vzpl]]-Tabulka[[#This Row],[14_vzsk]])</f>
        <v/>
      </c>
    </row>
    <row r="27" spans="1:19" x14ac:dyDescent="0.25">
      <c r="A27" s="448" t="s">
        <v>2857</v>
      </c>
      <c r="B27" s="447"/>
      <c r="C27" s="44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52.713636363636368</v>
      </c>
      <c r="D27" s="44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7" s="44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7" s="44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7" s="44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77154.140000000014</v>
      </c>
      <c r="H27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7515.57</v>
      </c>
      <c r="I27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3009.25</v>
      </c>
      <c r="J27" s="44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686.5</v>
      </c>
      <c r="K27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7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7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1742613</v>
      </c>
      <c r="N27" s="44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1742613</v>
      </c>
      <c r="O27" s="44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40408688</v>
      </c>
      <c r="P27" s="4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2210</v>
      </c>
      <c r="Q27" s="4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27500</v>
      </c>
      <c r="R27" s="450">
        <f ca="1">IF(Tabulka[[#This Row],[15_vzpl]]=0,"",Tabulka[[#This Row],[14_vzsk]]/Tabulka[[#This Row],[15_vzpl]])</f>
        <v>8.0363636363636359E-2</v>
      </c>
      <c r="S27" s="449">
        <f ca="1">IF(Tabulka[[#This Row],[15_vzpl]]-Tabulka[[#This Row],[14_vzsk]]=0,"",Tabulka[[#This Row],[15_vzpl]]-Tabulka[[#This Row],[14_vzsk]])</f>
        <v>25290</v>
      </c>
    </row>
    <row r="28" spans="1:19" x14ac:dyDescent="0.25">
      <c r="A28" s="448">
        <v>303</v>
      </c>
      <c r="B28" s="447" t="s">
        <v>2874</v>
      </c>
      <c r="C28" s="44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9.5909090909090917</v>
      </c>
      <c r="D28" s="44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8" s="44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8" s="44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8" s="44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13551.59</v>
      </c>
      <c r="H28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1273.57</v>
      </c>
      <c r="I28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672.98000000000013</v>
      </c>
      <c r="J28" s="44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8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8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8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214966</v>
      </c>
      <c r="N28" s="44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214966</v>
      </c>
      <c r="O28" s="44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6453091</v>
      </c>
      <c r="P28" s="4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2210</v>
      </c>
      <c r="Q28" s="4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27500</v>
      </c>
      <c r="R28" s="450">
        <f ca="1">IF(Tabulka[[#This Row],[15_vzpl]]=0,"",Tabulka[[#This Row],[14_vzsk]]/Tabulka[[#This Row],[15_vzpl]])</f>
        <v>8.0363636363636359E-2</v>
      </c>
      <c r="S28" s="449">
        <f ca="1">IF(Tabulka[[#This Row],[15_vzpl]]-Tabulka[[#This Row],[14_vzsk]]=0,"",Tabulka[[#This Row],[15_vzpl]]-Tabulka[[#This Row],[14_vzsk]])</f>
        <v>25290</v>
      </c>
    </row>
    <row r="29" spans="1:19" x14ac:dyDescent="0.25">
      <c r="A29" s="448">
        <v>304</v>
      </c>
      <c r="B29" s="447" t="s">
        <v>2875</v>
      </c>
      <c r="C29" s="44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24.431818181818183</v>
      </c>
      <c r="D29" s="44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9" s="44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9" s="44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9" s="44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35418.590000000004</v>
      </c>
      <c r="H29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3504</v>
      </c>
      <c r="I29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1393.2299999999998</v>
      </c>
      <c r="J29" s="44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9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9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9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830880</v>
      </c>
      <c r="N29" s="44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830880</v>
      </c>
      <c r="O29" s="44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20116896</v>
      </c>
      <c r="P29" s="4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9" s="4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9" s="450" t="str">
        <f ca="1">IF(Tabulka[[#This Row],[15_vzpl]]=0,"",Tabulka[[#This Row],[14_vzsk]]/Tabulka[[#This Row],[15_vzpl]])</f>
        <v/>
      </c>
      <c r="S29" s="449" t="str">
        <f ca="1">IF(Tabulka[[#This Row],[15_vzpl]]-Tabulka[[#This Row],[14_vzsk]]=0,"",Tabulka[[#This Row],[15_vzpl]]-Tabulka[[#This Row],[14_vzsk]])</f>
        <v/>
      </c>
    </row>
    <row r="30" spans="1:19" x14ac:dyDescent="0.25">
      <c r="A30" s="448">
        <v>305</v>
      </c>
      <c r="B30" s="447" t="s">
        <v>2876</v>
      </c>
      <c r="C30" s="44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11.781818181818181</v>
      </c>
      <c r="D30" s="44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30" s="44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30" s="44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30" s="44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17965.46</v>
      </c>
      <c r="H30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1681.5</v>
      </c>
      <c r="I30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943.04000000000008</v>
      </c>
      <c r="J30" s="44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30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30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30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549815</v>
      </c>
      <c r="N30" s="44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549815</v>
      </c>
      <c r="O30" s="44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9858005</v>
      </c>
      <c r="P30" s="4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30" s="4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30" s="450" t="str">
        <f ca="1">IF(Tabulka[[#This Row],[15_vzpl]]=0,"",Tabulka[[#This Row],[14_vzsk]]/Tabulka[[#This Row],[15_vzpl]])</f>
        <v/>
      </c>
      <c r="S30" s="449" t="str">
        <f ca="1">IF(Tabulka[[#This Row],[15_vzpl]]-Tabulka[[#This Row],[14_vzsk]]=0,"",Tabulka[[#This Row],[15_vzpl]]-Tabulka[[#This Row],[14_vzsk]])</f>
        <v/>
      </c>
    </row>
    <row r="31" spans="1:19" x14ac:dyDescent="0.25">
      <c r="A31" s="448">
        <v>306</v>
      </c>
      <c r="B31" s="447" t="s">
        <v>2882</v>
      </c>
      <c r="C31" s="44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31" s="44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31" s="44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31" s="44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31" s="44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31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31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31" s="44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31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31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31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31" s="44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31" s="44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P31" s="4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31" s="4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31" s="450" t="str">
        <f ca="1">IF(Tabulka[[#This Row],[15_vzpl]]=0,"",Tabulka[[#This Row],[14_vzsk]]/Tabulka[[#This Row],[15_vzpl]])</f>
        <v/>
      </c>
      <c r="S31" s="449" t="str">
        <f ca="1">IF(Tabulka[[#This Row],[15_vzpl]]-Tabulka[[#This Row],[14_vzsk]]=0,"",Tabulka[[#This Row],[15_vzpl]]-Tabulka[[#This Row],[14_vzsk]])</f>
        <v/>
      </c>
    </row>
    <row r="32" spans="1:19" x14ac:dyDescent="0.25">
      <c r="A32" s="448">
        <v>307</v>
      </c>
      <c r="B32" s="447" t="s">
        <v>2883</v>
      </c>
      <c r="C32" s="44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32" s="44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32" s="44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32" s="44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32" s="44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32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32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32" s="44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32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32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32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32" s="44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32" s="44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P32" s="4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32" s="4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32" s="450" t="str">
        <f ca="1">IF(Tabulka[[#This Row],[15_vzpl]]=0,"",Tabulka[[#This Row],[14_vzsk]]/Tabulka[[#This Row],[15_vzpl]])</f>
        <v/>
      </c>
      <c r="S32" s="449" t="str">
        <f ca="1">IF(Tabulka[[#This Row],[15_vzpl]]-Tabulka[[#This Row],[14_vzsk]]=0,"",Tabulka[[#This Row],[15_vzpl]]-Tabulka[[#This Row],[14_vzsk]])</f>
        <v/>
      </c>
    </row>
    <row r="33" spans="1:19" x14ac:dyDescent="0.25">
      <c r="A33" s="448">
        <v>409</v>
      </c>
      <c r="B33" s="447" t="s">
        <v>2884</v>
      </c>
      <c r="C33" s="44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33" s="44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33" s="44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33" s="44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33" s="44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33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33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33" s="44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33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33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33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33" s="44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33" s="44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P33" s="4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33" s="4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33" s="450" t="str">
        <f ca="1">IF(Tabulka[[#This Row],[15_vzpl]]=0,"",Tabulka[[#This Row],[14_vzsk]]/Tabulka[[#This Row],[15_vzpl]])</f>
        <v/>
      </c>
      <c r="S33" s="449" t="str">
        <f ca="1">IF(Tabulka[[#This Row],[15_vzpl]]-Tabulka[[#This Row],[14_vzsk]]=0,"",Tabulka[[#This Row],[15_vzpl]]-Tabulka[[#This Row],[14_vzsk]])</f>
        <v/>
      </c>
    </row>
    <row r="34" spans="1:19" x14ac:dyDescent="0.25">
      <c r="A34" s="448">
        <v>418</v>
      </c>
      <c r="B34" s="447" t="s">
        <v>2885</v>
      </c>
      <c r="C34" s="44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34" s="44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34" s="44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34" s="44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34" s="44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34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34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34" s="44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34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34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34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34" s="44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34" s="44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P34" s="4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34" s="4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34" s="450" t="str">
        <f ca="1">IF(Tabulka[[#This Row],[15_vzpl]]=0,"",Tabulka[[#This Row],[14_vzsk]]/Tabulka[[#This Row],[15_vzpl]])</f>
        <v/>
      </c>
      <c r="S34" s="449" t="str">
        <f ca="1">IF(Tabulka[[#This Row],[15_vzpl]]-Tabulka[[#This Row],[14_vzsk]]=0,"",Tabulka[[#This Row],[15_vzpl]]-Tabulka[[#This Row],[14_vzsk]])</f>
        <v/>
      </c>
    </row>
    <row r="35" spans="1:19" x14ac:dyDescent="0.25">
      <c r="A35" s="448">
        <v>424</v>
      </c>
      <c r="B35" s="447" t="s">
        <v>2886</v>
      </c>
      <c r="C35" s="44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35" s="44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35" s="44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35" s="44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35" s="44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35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35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35" s="44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35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35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35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35" s="44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35" s="44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P35" s="4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35" s="4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35" s="450" t="str">
        <f ca="1">IF(Tabulka[[#This Row],[15_vzpl]]=0,"",Tabulka[[#This Row],[14_vzsk]]/Tabulka[[#This Row],[15_vzpl]])</f>
        <v/>
      </c>
      <c r="S35" s="449" t="str">
        <f ca="1">IF(Tabulka[[#This Row],[15_vzpl]]-Tabulka[[#This Row],[14_vzsk]]=0,"",Tabulka[[#This Row],[15_vzpl]]-Tabulka[[#This Row],[14_vzsk]])</f>
        <v/>
      </c>
    </row>
    <row r="36" spans="1:19" x14ac:dyDescent="0.25">
      <c r="A36" s="448">
        <v>630</v>
      </c>
      <c r="B36" s="447" t="s">
        <v>2887</v>
      </c>
      <c r="C36" s="44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36" s="44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36" s="44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36" s="44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36" s="44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36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36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36" s="44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36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36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36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36" s="44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36" s="44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P36" s="4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36" s="4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36" s="450" t="str">
        <f ca="1">IF(Tabulka[[#This Row],[15_vzpl]]=0,"",Tabulka[[#This Row],[14_vzsk]]/Tabulka[[#This Row],[15_vzpl]])</f>
        <v/>
      </c>
      <c r="S36" s="449" t="str">
        <f ca="1">IF(Tabulka[[#This Row],[15_vzpl]]-Tabulka[[#This Row],[14_vzsk]]=0,"",Tabulka[[#This Row],[15_vzpl]]-Tabulka[[#This Row],[14_vzsk]])</f>
        <v/>
      </c>
    </row>
    <row r="37" spans="1:19" x14ac:dyDescent="0.25">
      <c r="A37" s="448">
        <v>636</v>
      </c>
      <c r="B37" s="447" t="s">
        <v>2877</v>
      </c>
      <c r="C37" s="44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2.0909090909090908</v>
      </c>
      <c r="D37" s="44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37" s="44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37" s="44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37" s="44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3162</v>
      </c>
      <c r="H37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333.5</v>
      </c>
      <c r="I37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37" s="44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</v>
      </c>
      <c r="K37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37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37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47284</v>
      </c>
      <c r="N37" s="44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47284</v>
      </c>
      <c r="O37" s="44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1333134</v>
      </c>
      <c r="P37" s="4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37" s="4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37" s="450" t="str">
        <f ca="1">IF(Tabulka[[#This Row],[15_vzpl]]=0,"",Tabulka[[#This Row],[14_vzsk]]/Tabulka[[#This Row],[15_vzpl]])</f>
        <v/>
      </c>
      <c r="S37" s="449" t="str">
        <f ca="1">IF(Tabulka[[#This Row],[15_vzpl]]-Tabulka[[#This Row],[14_vzsk]]=0,"",Tabulka[[#This Row],[15_vzpl]]-Tabulka[[#This Row],[14_vzsk]])</f>
        <v/>
      </c>
    </row>
    <row r="38" spans="1:19" x14ac:dyDescent="0.25">
      <c r="A38" s="448">
        <v>642</v>
      </c>
      <c r="B38" s="447" t="s">
        <v>2878</v>
      </c>
      <c r="C38" s="44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4.8181818181818183</v>
      </c>
      <c r="D38" s="44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38" s="44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38" s="44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38" s="44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7056.5</v>
      </c>
      <c r="H38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723</v>
      </c>
      <c r="I38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38" s="44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673.5</v>
      </c>
      <c r="K38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38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38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99668</v>
      </c>
      <c r="N38" s="44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99668</v>
      </c>
      <c r="O38" s="44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2647562</v>
      </c>
      <c r="P38" s="4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38" s="4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38" s="450" t="str">
        <f ca="1">IF(Tabulka[[#This Row],[15_vzpl]]=0,"",Tabulka[[#This Row],[14_vzsk]]/Tabulka[[#This Row],[15_vzpl]])</f>
        <v/>
      </c>
      <c r="S38" s="449" t="str">
        <f ca="1">IF(Tabulka[[#This Row],[15_vzpl]]-Tabulka[[#This Row],[14_vzsk]]=0,"",Tabulka[[#This Row],[15_vzpl]]-Tabulka[[#This Row],[14_vzsk]])</f>
        <v/>
      </c>
    </row>
    <row r="39" spans="1:19" x14ac:dyDescent="0.25">
      <c r="A39" s="448" t="s">
        <v>2858</v>
      </c>
      <c r="B39" s="447"/>
      <c r="C39" s="44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39" s="44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39" s="44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39" s="44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39" s="44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1648</v>
      </c>
      <c r="H39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39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39" s="44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39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39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39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25760</v>
      </c>
      <c r="N39" s="44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25760</v>
      </c>
      <c r="O39" s="44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434954</v>
      </c>
      <c r="P39" s="4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39" s="4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39" s="450" t="str">
        <f ca="1">IF(Tabulka[[#This Row],[15_vzpl]]=0,"",Tabulka[[#This Row],[14_vzsk]]/Tabulka[[#This Row],[15_vzpl]])</f>
        <v/>
      </c>
      <c r="S39" s="449" t="str">
        <f ca="1">IF(Tabulka[[#This Row],[15_vzpl]]-Tabulka[[#This Row],[14_vzsk]]=0,"",Tabulka[[#This Row],[15_vzpl]]-Tabulka[[#This Row],[14_vzsk]])</f>
        <v/>
      </c>
    </row>
    <row r="40" spans="1:19" x14ac:dyDescent="0.25">
      <c r="A40" s="448">
        <v>30</v>
      </c>
      <c r="B40" s="447" t="s">
        <v>2879</v>
      </c>
      <c r="C40" s="44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40" s="44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40" s="44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40" s="44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40" s="44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1648</v>
      </c>
      <c r="H40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40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40" s="44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40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40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40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25760</v>
      </c>
      <c r="N40" s="44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25760</v>
      </c>
      <c r="O40" s="44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434954</v>
      </c>
      <c r="P40" s="4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40" s="4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40" s="450" t="str">
        <f ca="1">IF(Tabulka[[#This Row],[15_vzpl]]=0,"",Tabulka[[#This Row],[14_vzsk]]/Tabulka[[#This Row],[15_vzpl]])</f>
        <v/>
      </c>
      <c r="S40" s="449" t="str">
        <f ca="1">IF(Tabulka[[#This Row],[15_vzpl]]-Tabulka[[#This Row],[14_vzsk]]=0,"",Tabulka[[#This Row],[15_vzpl]]-Tabulka[[#This Row],[14_vzsk]])</f>
        <v/>
      </c>
    </row>
    <row r="41" spans="1:19" x14ac:dyDescent="0.25">
      <c r="A41" s="448"/>
      <c r="B41" s="447"/>
      <c r="C41" s="44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41" s="44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41" s="44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41" s="44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41" s="44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41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41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41" s="44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41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41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41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41" s="44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41" s="44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P41" s="4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41" s="4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41" s="450" t="str">
        <f ca="1">IF(Tabulka[[#This Row],[15_vzpl]]=0,"",Tabulka[[#This Row],[14_vzsk]]/Tabulka[[#This Row],[15_vzpl]])</f>
        <v/>
      </c>
      <c r="S41" s="449" t="str">
        <f ca="1">IF(Tabulka[[#This Row],[15_vzpl]]-Tabulka[[#This Row],[14_vzsk]]=0,"",Tabulka[[#This Row],[15_vzpl]]-Tabulka[[#This Row],[14_vzsk]])</f>
        <v/>
      </c>
    </row>
    <row r="42" spans="1:19" x14ac:dyDescent="0.25">
      <c r="A42" s="448" t="s">
        <v>243</v>
      </c>
      <c r="B42" s="447"/>
      <c r="C42" s="44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9.454545454545455</v>
      </c>
      <c r="D42" s="44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42" s="44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42" s="44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42" s="44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15555.28</v>
      </c>
      <c r="H42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1481.72</v>
      </c>
      <c r="I42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101</v>
      </c>
      <c r="J42" s="44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42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42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42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447663</v>
      </c>
      <c r="N42" s="44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447663</v>
      </c>
      <c r="O42" s="44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12796504</v>
      </c>
      <c r="P42" s="4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42" s="4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23467.741935483868</v>
      </c>
      <c r="R42" s="450">
        <f ca="1">IF(Tabulka[[#This Row],[15_vzpl]]=0,"",Tabulka[[#This Row],[14_vzsk]]/Tabulka[[#This Row],[15_vzpl]])</f>
        <v>0</v>
      </c>
      <c r="S42" s="449">
        <f ca="1">IF(Tabulka[[#This Row],[15_vzpl]]-Tabulka[[#This Row],[14_vzsk]]=0,"",Tabulka[[#This Row],[15_vzpl]]-Tabulka[[#This Row],[14_vzsk]])</f>
        <v>23467.741935483868</v>
      </c>
    </row>
    <row r="43" spans="1:19" x14ac:dyDescent="0.25">
      <c r="A43" s="448">
        <v>101</v>
      </c>
      <c r="B43" s="447" t="s">
        <v>2873</v>
      </c>
      <c r="C43" s="44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9.454545454545455</v>
      </c>
      <c r="D43" s="44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43" s="44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43" s="44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43" s="44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15555.28</v>
      </c>
      <c r="H43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1481.72</v>
      </c>
      <c r="I43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101</v>
      </c>
      <c r="J43" s="44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43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43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43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447663</v>
      </c>
      <c r="N43" s="44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447663</v>
      </c>
      <c r="O43" s="44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12621254</v>
      </c>
      <c r="P43" s="4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43" s="4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43" s="450" t="str">
        <f ca="1">IF(Tabulka[[#This Row],[15_vzpl]]=0,"",Tabulka[[#This Row],[14_vzsk]]/Tabulka[[#This Row],[15_vzpl]])</f>
        <v/>
      </c>
      <c r="S43" s="449" t="str">
        <f ca="1">IF(Tabulka[[#This Row],[15_vzpl]]-Tabulka[[#This Row],[14_vzsk]]=0,"",Tabulka[[#This Row],[15_vzpl]]-Tabulka[[#This Row],[14_vzsk]])</f>
        <v/>
      </c>
    </row>
    <row r="44" spans="1:19" x14ac:dyDescent="0.25">
      <c r="A44" s="448" t="s">
        <v>2880</v>
      </c>
      <c r="B44" s="447"/>
      <c r="C44" s="44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44" s="44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44" s="44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44" s="44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44" s="44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44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44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44" s="44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44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44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44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44" s="44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44" s="44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P44" s="4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44" s="4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44" s="450" t="str">
        <f ca="1">IF(Tabulka[[#This Row],[15_vzpl]]=0,"",Tabulka[[#This Row],[14_vzsk]]/Tabulka[[#This Row],[15_vzpl]])</f>
        <v/>
      </c>
      <c r="S44" s="449" t="str">
        <f ca="1">IF(Tabulka[[#This Row],[15_vzpl]]-Tabulka[[#This Row],[14_vzsk]]=0,"",Tabulka[[#This Row],[15_vzpl]]-Tabulka[[#This Row],[14_vzsk]])</f>
        <v/>
      </c>
    </row>
    <row r="45" spans="1:19" x14ac:dyDescent="0.25">
      <c r="A45" s="448">
        <v>521</v>
      </c>
      <c r="B45" s="447" t="s">
        <v>2888</v>
      </c>
      <c r="C45" s="44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45" s="44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45" s="44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45" s="44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45" s="44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45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45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45" s="44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45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45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45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45" s="44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45" s="44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P45" s="4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45" s="4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45" s="450" t="str">
        <f ca="1">IF(Tabulka[[#This Row],[15_vzpl]]=0,"",Tabulka[[#This Row],[14_vzsk]]/Tabulka[[#This Row],[15_vzpl]])</f>
        <v/>
      </c>
      <c r="S45" s="449" t="str">
        <f ca="1">IF(Tabulka[[#This Row],[15_vzpl]]-Tabulka[[#This Row],[14_vzsk]]=0,"",Tabulka[[#This Row],[15_vzpl]]-Tabulka[[#This Row],[14_vzsk]])</f>
        <v/>
      </c>
    </row>
    <row r="46" spans="1:19" x14ac:dyDescent="0.25">
      <c r="A46" s="448" t="s">
        <v>2857</v>
      </c>
      <c r="B46" s="447"/>
      <c r="C46" s="44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52.713636363636368</v>
      </c>
      <c r="D46" s="44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46" s="44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46" s="44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46" s="44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77154.140000000014</v>
      </c>
      <c r="H46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7515.57</v>
      </c>
      <c r="I46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3009.25</v>
      </c>
      <c r="J46" s="44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686.5</v>
      </c>
      <c r="K46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46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46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1742613</v>
      </c>
      <c r="N46" s="44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1742613</v>
      </c>
      <c r="O46" s="44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40408688</v>
      </c>
      <c r="P46" s="4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2210</v>
      </c>
      <c r="Q46" s="4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27500</v>
      </c>
      <c r="R46" s="450">
        <f ca="1">IF(Tabulka[[#This Row],[15_vzpl]]=0,"",Tabulka[[#This Row],[14_vzsk]]/Tabulka[[#This Row],[15_vzpl]])</f>
        <v>8.0363636363636359E-2</v>
      </c>
      <c r="S46" s="449">
        <f ca="1">IF(Tabulka[[#This Row],[15_vzpl]]-Tabulka[[#This Row],[14_vzsk]]=0,"",Tabulka[[#This Row],[15_vzpl]]-Tabulka[[#This Row],[14_vzsk]])</f>
        <v>25290</v>
      </c>
    </row>
    <row r="47" spans="1:19" x14ac:dyDescent="0.25">
      <c r="A47" s="448">
        <v>303</v>
      </c>
      <c r="B47" s="447" t="s">
        <v>2874</v>
      </c>
      <c r="C47" s="44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9.5909090909090917</v>
      </c>
      <c r="D47" s="44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47" s="44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47" s="44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47" s="44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13551.59</v>
      </c>
      <c r="H47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1273.57</v>
      </c>
      <c r="I47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672.98000000000013</v>
      </c>
      <c r="J47" s="44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47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47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47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214966</v>
      </c>
      <c r="N47" s="44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214966</v>
      </c>
      <c r="O47" s="44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6453091</v>
      </c>
      <c r="P47" s="4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2210</v>
      </c>
      <c r="Q47" s="4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27500</v>
      </c>
      <c r="R47" s="450">
        <f ca="1">IF(Tabulka[[#This Row],[15_vzpl]]=0,"",Tabulka[[#This Row],[14_vzsk]]/Tabulka[[#This Row],[15_vzpl]])</f>
        <v>8.0363636363636359E-2</v>
      </c>
      <c r="S47" s="449">
        <f ca="1">IF(Tabulka[[#This Row],[15_vzpl]]-Tabulka[[#This Row],[14_vzsk]]=0,"",Tabulka[[#This Row],[15_vzpl]]-Tabulka[[#This Row],[14_vzsk]])</f>
        <v>25290</v>
      </c>
    </row>
    <row r="48" spans="1:19" x14ac:dyDescent="0.25">
      <c r="A48" s="448">
        <v>304</v>
      </c>
      <c r="B48" s="447" t="s">
        <v>2875</v>
      </c>
      <c r="C48" s="44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24.431818181818183</v>
      </c>
      <c r="D48" s="44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48" s="44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48" s="44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48" s="44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35418.590000000004</v>
      </c>
      <c r="H48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3504</v>
      </c>
      <c r="I48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1393.2299999999998</v>
      </c>
      <c r="J48" s="44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48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48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48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830880</v>
      </c>
      <c r="N48" s="44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830880</v>
      </c>
      <c r="O48" s="44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20116896</v>
      </c>
      <c r="P48" s="4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48" s="4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48" s="450" t="str">
        <f ca="1">IF(Tabulka[[#This Row],[15_vzpl]]=0,"",Tabulka[[#This Row],[14_vzsk]]/Tabulka[[#This Row],[15_vzpl]])</f>
        <v/>
      </c>
      <c r="S48" s="449" t="str">
        <f ca="1">IF(Tabulka[[#This Row],[15_vzpl]]-Tabulka[[#This Row],[14_vzsk]]=0,"",Tabulka[[#This Row],[15_vzpl]]-Tabulka[[#This Row],[14_vzsk]])</f>
        <v/>
      </c>
    </row>
    <row r="49" spans="1:19" x14ac:dyDescent="0.25">
      <c r="A49" s="448">
        <v>410</v>
      </c>
      <c r="B49" s="447" t="s">
        <v>2889</v>
      </c>
      <c r="C49" s="44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49" s="44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49" s="44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49" s="44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49" s="44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49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49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49" s="44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49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49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49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49" s="44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49" s="44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P49" s="4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49" s="4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49" s="450" t="str">
        <f ca="1">IF(Tabulka[[#This Row],[15_vzpl]]=0,"",Tabulka[[#This Row],[14_vzsk]]/Tabulka[[#This Row],[15_vzpl]])</f>
        <v/>
      </c>
      <c r="S49" s="449" t="str">
        <f ca="1">IF(Tabulka[[#This Row],[15_vzpl]]-Tabulka[[#This Row],[14_vzsk]]=0,"",Tabulka[[#This Row],[15_vzpl]]-Tabulka[[#This Row],[14_vzsk]])</f>
        <v/>
      </c>
    </row>
    <row r="50" spans="1:19" x14ac:dyDescent="0.25">
      <c r="A50" s="448" t="s">
        <v>2858</v>
      </c>
      <c r="B50" s="447"/>
      <c r="C50" s="44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50" s="44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50" s="44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50" s="44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50" s="44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1648</v>
      </c>
      <c r="H50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50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50" s="44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50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50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50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25760</v>
      </c>
      <c r="N50" s="44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25760</v>
      </c>
      <c r="O50" s="44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434954</v>
      </c>
      <c r="P50" s="4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50" s="4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50" s="450" t="str">
        <f ca="1">IF(Tabulka[[#This Row],[15_vzpl]]=0,"",Tabulka[[#This Row],[14_vzsk]]/Tabulka[[#This Row],[15_vzpl]])</f>
        <v/>
      </c>
      <c r="S50" s="449" t="str">
        <f ca="1">IF(Tabulka[[#This Row],[15_vzpl]]-Tabulka[[#This Row],[14_vzsk]]=0,"",Tabulka[[#This Row],[15_vzpl]]-Tabulka[[#This Row],[14_vzsk]])</f>
        <v/>
      </c>
    </row>
    <row r="51" spans="1:19" x14ac:dyDescent="0.25">
      <c r="A51" s="448">
        <v>30</v>
      </c>
      <c r="B51" s="447" t="s">
        <v>2879</v>
      </c>
      <c r="C51" s="44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51" s="44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51" s="44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51" s="44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51" s="44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1648</v>
      </c>
      <c r="H51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51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51" s="44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51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51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51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25760</v>
      </c>
      <c r="N51" s="44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25760</v>
      </c>
      <c r="O51" s="44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434954</v>
      </c>
      <c r="P51" s="4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51" s="4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51" s="450" t="str">
        <f ca="1">IF(Tabulka[[#This Row],[15_vzpl]]=0,"",Tabulka[[#This Row],[14_vzsk]]/Tabulka[[#This Row],[15_vzpl]])</f>
        <v/>
      </c>
      <c r="S51" s="449" t="str">
        <f ca="1">IF(Tabulka[[#This Row],[15_vzpl]]-Tabulka[[#This Row],[14_vzsk]]=0,"",Tabulka[[#This Row],[15_vzpl]]-Tabulka[[#This Row],[14_vzsk]])</f>
        <v/>
      </c>
    </row>
    <row r="52" spans="1:19" x14ac:dyDescent="0.25">
      <c r="A52" t="s">
        <v>272</v>
      </c>
    </row>
    <row r="53" spans="1:19" x14ac:dyDescent="0.25">
      <c r="A53" s="208" t="s">
        <v>179</v>
      </c>
    </row>
    <row r="54" spans="1:19" x14ac:dyDescent="0.25">
      <c r="A54" s="209" t="s">
        <v>242</v>
      </c>
    </row>
    <row r="55" spans="1:19" x14ac:dyDescent="0.25">
      <c r="A55" s="440" t="s">
        <v>241</v>
      </c>
    </row>
    <row r="56" spans="1:19" x14ac:dyDescent="0.25">
      <c r="A56" s="353" t="s">
        <v>210</v>
      </c>
    </row>
    <row r="57" spans="1:19" x14ac:dyDescent="0.25">
      <c r="A57" s="355" t="s">
        <v>215</v>
      </c>
    </row>
  </sheetData>
  <mergeCells count="23"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</mergeCells>
  <conditionalFormatting sqref="S6:S51">
    <cfRule type="cellIs" dxfId="25" priority="3" operator="lessThan">
      <formula>0</formula>
    </cfRule>
  </conditionalFormatting>
  <conditionalFormatting sqref="R6:R51">
    <cfRule type="cellIs" dxfId="24" priority="4" operator="greaterThan">
      <formula>1</formula>
    </cfRule>
  </conditionalFormatting>
  <conditionalFormatting sqref="A8:S51">
    <cfRule type="expression" dxfId="23" priority="2">
      <formula>$B8=""</formula>
    </cfRule>
  </conditionalFormatting>
  <conditionalFormatting sqref="P8:S51">
    <cfRule type="expression" dxfId="22" priority="1">
      <formula>$B8&lt;&gt;""</formula>
    </cfRule>
  </conditionalFormatting>
  <dataValidations count="1">
    <dataValidation type="list" allowBlank="1" showInputMessage="1" showErrorMessage="1" sqref="A4:B4" xr:uid="{00000000-0002-0000-1A00-000000000000}">
      <formula1>Obdobi</formula1>
    </dataValidation>
  </dataValidations>
  <hyperlinks>
    <hyperlink ref="A2" location="Obsah!A1" display="Zpět na Obsah  KL 01  1.-4.měsíc" xr:uid="{7EEB49BB-B2A7-4C7D-9142-CE756E5915D8}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List16">
    <tabColor theme="7" tint="0.39997558519241921"/>
  </sheetPr>
  <dimension ref="A1:S142"/>
  <sheetViews>
    <sheetView workbookViewId="0"/>
  </sheetViews>
  <sheetFormatPr defaultRowHeight="15" x14ac:dyDescent="0.25"/>
  <cols>
    <col min="1" max="1" width="9.42578125" customWidth="1"/>
    <col min="5" max="5" width="10.28515625" customWidth="1"/>
    <col min="6" max="6" width="11" customWidth="1"/>
    <col min="7" max="7" width="11.140625" customWidth="1"/>
    <col min="8" max="8" width="12.140625" customWidth="1"/>
    <col min="9" max="9" width="11.7109375" customWidth="1"/>
    <col min="10" max="10" width="12.7109375" customWidth="1"/>
    <col min="11" max="11" width="12.42578125" customWidth="1"/>
    <col min="12" max="12" width="10.7109375" customWidth="1"/>
    <col min="13" max="13" width="9.42578125" customWidth="1"/>
    <col min="14" max="15" width="9.7109375" customWidth="1"/>
    <col min="16" max="16" width="10" customWidth="1"/>
    <col min="17" max="17" width="9.7109375" customWidth="1"/>
    <col min="18" max="18" width="9.42578125" customWidth="1"/>
    <col min="19" max="19" width="9.28515625" customWidth="1"/>
  </cols>
  <sheetData>
    <row r="1" spans="1:19" x14ac:dyDescent="0.25">
      <c r="A1" t="s">
        <v>2870</v>
      </c>
    </row>
    <row r="2" spans="1:19" x14ac:dyDescent="0.25">
      <c r="A2" s="350" t="s">
        <v>305</v>
      </c>
    </row>
    <row r="3" spans="1:19" x14ac:dyDescent="0.25">
      <c r="A3" s="486" t="s">
        <v>187</v>
      </c>
      <c r="B3" s="485">
        <v>2021</v>
      </c>
      <c r="C3" t="s">
        <v>271</v>
      </c>
      <c r="D3" t="s">
        <v>262</v>
      </c>
      <c r="E3" t="s">
        <v>260</v>
      </c>
      <c r="F3" t="s">
        <v>259</v>
      </c>
      <c r="G3" t="s">
        <v>258</v>
      </c>
      <c r="H3" t="s">
        <v>257</v>
      </c>
      <c r="I3" t="s">
        <v>256</v>
      </c>
      <c r="J3" t="s">
        <v>255</v>
      </c>
      <c r="K3" t="s">
        <v>254</v>
      </c>
      <c r="L3" t="s">
        <v>253</v>
      </c>
      <c r="M3" t="s">
        <v>252</v>
      </c>
      <c r="N3" t="s">
        <v>251</v>
      </c>
      <c r="O3" t="s">
        <v>250</v>
      </c>
      <c r="P3" t="s">
        <v>249</v>
      </c>
      <c r="Q3" t="s">
        <v>248</v>
      </c>
      <c r="R3" t="s">
        <v>247</v>
      </c>
      <c r="S3" t="s">
        <v>246</v>
      </c>
    </row>
    <row r="4" spans="1:19" x14ac:dyDescent="0.25">
      <c r="A4" s="484" t="s">
        <v>188</v>
      </c>
      <c r="B4" s="483">
        <v>1</v>
      </c>
      <c r="C4" s="478">
        <v>1</v>
      </c>
      <c r="D4" s="478" t="s">
        <v>243</v>
      </c>
      <c r="E4" s="477">
        <v>9.25</v>
      </c>
      <c r="F4" s="477"/>
      <c r="G4" s="477"/>
      <c r="H4" s="477"/>
      <c r="I4" s="477">
        <v>1337.9</v>
      </c>
      <c r="J4" s="477">
        <v>150</v>
      </c>
      <c r="K4" s="477">
        <v>18</v>
      </c>
      <c r="L4" s="477"/>
      <c r="M4" s="477"/>
      <c r="N4" s="477"/>
      <c r="O4" s="477"/>
      <c r="P4" s="477"/>
      <c r="Q4" s="477">
        <v>1071935</v>
      </c>
      <c r="R4" s="477"/>
      <c r="S4" s="477">
        <v>2133.4310850439883</v>
      </c>
    </row>
    <row r="5" spans="1:19" x14ac:dyDescent="0.25">
      <c r="A5" s="482" t="s">
        <v>189</v>
      </c>
      <c r="B5" s="481">
        <v>2</v>
      </c>
      <c r="C5">
        <v>1</v>
      </c>
      <c r="D5">
        <v>99</v>
      </c>
      <c r="Q5">
        <v>18100</v>
      </c>
      <c r="S5">
        <v>2133.4310850439883</v>
      </c>
    </row>
    <row r="6" spans="1:19" x14ac:dyDescent="0.25">
      <c r="A6" s="484" t="s">
        <v>190</v>
      </c>
      <c r="B6" s="483">
        <v>3</v>
      </c>
      <c r="C6">
        <v>1</v>
      </c>
      <c r="D6">
        <v>101</v>
      </c>
      <c r="E6">
        <v>9.25</v>
      </c>
      <c r="I6">
        <v>1337.9</v>
      </c>
      <c r="J6">
        <v>150</v>
      </c>
      <c r="K6">
        <v>18</v>
      </c>
      <c r="Q6">
        <v>1053835</v>
      </c>
    </row>
    <row r="7" spans="1:19" x14ac:dyDescent="0.25">
      <c r="A7" s="482" t="s">
        <v>191</v>
      </c>
      <c r="B7" s="481">
        <v>4</v>
      </c>
      <c r="C7">
        <v>1</v>
      </c>
      <c r="D7" t="s">
        <v>2857</v>
      </c>
      <c r="E7">
        <v>52.8</v>
      </c>
      <c r="I7">
        <v>7691.9500000000007</v>
      </c>
      <c r="J7">
        <v>1013.5</v>
      </c>
      <c r="K7">
        <v>274.54999999999995</v>
      </c>
      <c r="L7">
        <v>80</v>
      </c>
      <c r="Q7">
        <v>3310858</v>
      </c>
      <c r="S7">
        <v>2500</v>
      </c>
    </row>
    <row r="8" spans="1:19" x14ac:dyDescent="0.25">
      <c r="A8" s="484" t="s">
        <v>192</v>
      </c>
      <c r="B8" s="483">
        <v>5</v>
      </c>
      <c r="C8">
        <v>1</v>
      </c>
      <c r="D8">
        <v>303</v>
      </c>
      <c r="E8">
        <v>9.75</v>
      </c>
      <c r="I8">
        <v>1451.65</v>
      </c>
      <c r="J8">
        <v>218.5</v>
      </c>
      <c r="K8">
        <v>92.35</v>
      </c>
      <c r="Q8">
        <v>584991</v>
      </c>
      <c r="S8">
        <v>2500</v>
      </c>
    </row>
    <row r="9" spans="1:19" x14ac:dyDescent="0.25">
      <c r="A9" s="482" t="s">
        <v>193</v>
      </c>
      <c r="B9" s="481">
        <v>6</v>
      </c>
      <c r="C9">
        <v>1</v>
      </c>
      <c r="D9">
        <v>304</v>
      </c>
      <c r="E9">
        <v>23.5</v>
      </c>
      <c r="I9">
        <v>3577.15</v>
      </c>
      <c r="J9">
        <v>593</v>
      </c>
      <c r="K9">
        <v>103.85</v>
      </c>
      <c r="Q9">
        <v>1767170</v>
      </c>
    </row>
    <row r="10" spans="1:19" x14ac:dyDescent="0.25">
      <c r="A10" s="484" t="s">
        <v>194</v>
      </c>
      <c r="B10" s="483">
        <v>7</v>
      </c>
      <c r="C10">
        <v>1</v>
      </c>
      <c r="D10">
        <v>305</v>
      </c>
      <c r="E10">
        <v>12.55</v>
      </c>
      <c r="I10">
        <v>1560.65</v>
      </c>
      <c r="J10">
        <v>160</v>
      </c>
      <c r="K10">
        <v>78.349999999999994</v>
      </c>
      <c r="Q10">
        <v>639963</v>
      </c>
    </row>
    <row r="11" spans="1:19" x14ac:dyDescent="0.25">
      <c r="A11" s="482" t="s">
        <v>195</v>
      </c>
      <c r="B11" s="481">
        <v>8</v>
      </c>
      <c r="C11">
        <v>1</v>
      </c>
      <c r="D11">
        <v>636</v>
      </c>
      <c r="E11">
        <v>3</v>
      </c>
      <c r="I11">
        <v>472.5</v>
      </c>
      <c r="J11">
        <v>15</v>
      </c>
      <c r="Q11">
        <v>143507</v>
      </c>
    </row>
    <row r="12" spans="1:19" x14ac:dyDescent="0.25">
      <c r="A12" s="484" t="s">
        <v>196</v>
      </c>
      <c r="B12" s="483">
        <v>9</v>
      </c>
      <c r="C12">
        <v>1</v>
      </c>
      <c r="D12">
        <v>642</v>
      </c>
      <c r="E12">
        <v>4</v>
      </c>
      <c r="I12">
        <v>630</v>
      </c>
      <c r="J12">
        <v>27</v>
      </c>
      <c r="L12">
        <v>80</v>
      </c>
      <c r="Q12">
        <v>175227</v>
      </c>
    </row>
    <row r="13" spans="1:19" x14ac:dyDescent="0.25">
      <c r="A13" s="482" t="s">
        <v>197</v>
      </c>
      <c r="B13" s="481">
        <v>10</v>
      </c>
      <c r="C13">
        <v>1</v>
      </c>
      <c r="D13" t="s">
        <v>2858</v>
      </c>
      <c r="E13">
        <v>1</v>
      </c>
      <c r="I13">
        <v>80</v>
      </c>
      <c r="Q13">
        <v>25892</v>
      </c>
    </row>
    <row r="14" spans="1:19" x14ac:dyDescent="0.25">
      <c r="A14" s="484" t="s">
        <v>198</v>
      </c>
      <c r="B14" s="483">
        <v>11</v>
      </c>
      <c r="C14">
        <v>1</v>
      </c>
      <c r="D14">
        <v>30</v>
      </c>
      <c r="E14">
        <v>1</v>
      </c>
      <c r="I14">
        <v>80</v>
      </c>
      <c r="Q14">
        <v>25892</v>
      </c>
    </row>
    <row r="15" spans="1:19" x14ac:dyDescent="0.25">
      <c r="A15" s="482" t="s">
        <v>199</v>
      </c>
      <c r="B15" s="481">
        <v>12</v>
      </c>
      <c r="C15" t="s">
        <v>2859</v>
      </c>
      <c r="E15">
        <v>63.05</v>
      </c>
      <c r="I15">
        <v>9109.85</v>
      </c>
      <c r="J15">
        <v>1163.5</v>
      </c>
      <c r="K15">
        <v>292.54999999999995</v>
      </c>
      <c r="L15">
        <v>80</v>
      </c>
      <c r="Q15">
        <v>4408685</v>
      </c>
      <c r="S15">
        <v>4633.4310850439888</v>
      </c>
    </row>
    <row r="16" spans="1:19" x14ac:dyDescent="0.25">
      <c r="A16" s="480" t="s">
        <v>187</v>
      </c>
      <c r="B16" s="479">
        <v>2021</v>
      </c>
      <c r="C16">
        <v>2</v>
      </c>
      <c r="D16" t="s">
        <v>243</v>
      </c>
      <c r="E16">
        <v>9.25</v>
      </c>
      <c r="I16">
        <v>1249.52</v>
      </c>
      <c r="J16">
        <v>105</v>
      </c>
      <c r="K16">
        <v>8</v>
      </c>
      <c r="Q16">
        <v>989389</v>
      </c>
      <c r="S16">
        <v>2133.4310850439883</v>
      </c>
    </row>
    <row r="17" spans="3:19" x14ac:dyDescent="0.25">
      <c r="C17">
        <v>2</v>
      </c>
      <c r="D17">
        <v>99</v>
      </c>
      <c r="Q17">
        <v>23450</v>
      </c>
      <c r="S17">
        <v>2133.4310850439883</v>
      </c>
    </row>
    <row r="18" spans="3:19" x14ac:dyDescent="0.25">
      <c r="C18">
        <v>2</v>
      </c>
      <c r="D18">
        <v>101</v>
      </c>
      <c r="E18">
        <v>9.25</v>
      </c>
      <c r="I18">
        <v>1249.52</v>
      </c>
      <c r="J18">
        <v>105</v>
      </c>
      <c r="K18">
        <v>8</v>
      </c>
      <c r="Q18">
        <v>965939</v>
      </c>
    </row>
    <row r="19" spans="3:19" x14ac:dyDescent="0.25">
      <c r="C19">
        <v>2</v>
      </c>
      <c r="D19" t="s">
        <v>2857</v>
      </c>
      <c r="E19">
        <v>52.3</v>
      </c>
      <c r="I19">
        <v>6704.7000000000007</v>
      </c>
      <c r="J19">
        <v>490.5</v>
      </c>
      <c r="K19">
        <v>332.8</v>
      </c>
      <c r="L19">
        <v>144</v>
      </c>
      <c r="O19">
        <v>30848</v>
      </c>
      <c r="P19">
        <v>30848</v>
      </c>
      <c r="Q19">
        <v>2918901</v>
      </c>
      <c r="R19">
        <v>500</v>
      </c>
      <c r="S19">
        <v>2500</v>
      </c>
    </row>
    <row r="20" spans="3:19" x14ac:dyDescent="0.25">
      <c r="C20">
        <v>2</v>
      </c>
      <c r="D20">
        <v>303</v>
      </c>
      <c r="E20">
        <v>9.75</v>
      </c>
      <c r="I20">
        <v>1131.02</v>
      </c>
      <c r="J20">
        <v>84</v>
      </c>
      <c r="K20">
        <v>72.98</v>
      </c>
      <c r="O20">
        <v>6168</v>
      </c>
      <c r="P20">
        <v>6168</v>
      </c>
      <c r="Q20">
        <v>470477</v>
      </c>
      <c r="R20">
        <v>500</v>
      </c>
      <c r="S20">
        <v>2500</v>
      </c>
    </row>
    <row r="21" spans="3:19" x14ac:dyDescent="0.25">
      <c r="C21">
        <v>2</v>
      </c>
      <c r="D21">
        <v>304</v>
      </c>
      <c r="E21">
        <v>24</v>
      </c>
      <c r="I21">
        <v>3260.66</v>
      </c>
      <c r="J21">
        <v>253.5</v>
      </c>
      <c r="K21">
        <v>162.34</v>
      </c>
      <c r="O21">
        <v>12340</v>
      </c>
      <c r="P21">
        <v>12340</v>
      </c>
      <c r="Q21">
        <v>1550233</v>
      </c>
    </row>
    <row r="22" spans="3:19" x14ac:dyDescent="0.25">
      <c r="C22">
        <v>2</v>
      </c>
      <c r="D22">
        <v>305</v>
      </c>
      <c r="E22">
        <v>12.55</v>
      </c>
      <c r="I22">
        <v>1533.02</v>
      </c>
      <c r="J22">
        <v>135</v>
      </c>
      <c r="K22">
        <v>97.48</v>
      </c>
      <c r="O22">
        <v>12340</v>
      </c>
      <c r="P22">
        <v>12340</v>
      </c>
      <c r="Q22">
        <v>638458</v>
      </c>
    </row>
    <row r="23" spans="3:19" x14ac:dyDescent="0.25">
      <c r="C23">
        <v>2</v>
      </c>
      <c r="D23">
        <v>636</v>
      </c>
      <c r="E23">
        <v>2</v>
      </c>
      <c r="I23">
        <v>282</v>
      </c>
      <c r="J23">
        <v>18</v>
      </c>
      <c r="Q23">
        <v>89852</v>
      </c>
    </row>
    <row r="24" spans="3:19" x14ac:dyDescent="0.25">
      <c r="C24">
        <v>2</v>
      </c>
      <c r="D24">
        <v>642</v>
      </c>
      <c r="E24">
        <v>4</v>
      </c>
      <c r="I24">
        <v>498</v>
      </c>
      <c r="L24">
        <v>144</v>
      </c>
      <c r="Q24">
        <v>169881</v>
      </c>
    </row>
    <row r="25" spans="3:19" x14ac:dyDescent="0.25">
      <c r="C25">
        <v>2</v>
      </c>
      <c r="D25" t="s">
        <v>2858</v>
      </c>
      <c r="E25">
        <v>1</v>
      </c>
      <c r="I25">
        <v>160</v>
      </c>
      <c r="Q25">
        <v>34830</v>
      </c>
    </row>
    <row r="26" spans="3:19" x14ac:dyDescent="0.25">
      <c r="C26">
        <v>2</v>
      </c>
      <c r="D26">
        <v>30</v>
      </c>
      <c r="E26">
        <v>1</v>
      </c>
      <c r="I26">
        <v>160</v>
      </c>
      <c r="Q26">
        <v>34830</v>
      </c>
    </row>
    <row r="27" spans="3:19" x14ac:dyDescent="0.25">
      <c r="C27" t="s">
        <v>2860</v>
      </c>
      <c r="E27">
        <v>62.55</v>
      </c>
      <c r="I27">
        <v>8114.2199999999993</v>
      </c>
      <c r="J27">
        <v>595.5</v>
      </c>
      <c r="K27">
        <v>340.8</v>
      </c>
      <c r="L27">
        <v>144</v>
      </c>
      <c r="O27">
        <v>30848</v>
      </c>
      <c r="P27">
        <v>30848</v>
      </c>
      <c r="Q27">
        <v>3943120</v>
      </c>
      <c r="R27">
        <v>500</v>
      </c>
      <c r="S27">
        <v>4633.4310850439888</v>
      </c>
    </row>
    <row r="28" spans="3:19" x14ac:dyDescent="0.25">
      <c r="C28">
        <v>3</v>
      </c>
      <c r="D28" t="s">
        <v>243</v>
      </c>
      <c r="E28">
        <v>9.25</v>
      </c>
      <c r="I28">
        <v>1573.15</v>
      </c>
      <c r="J28">
        <v>123</v>
      </c>
      <c r="K28">
        <v>2</v>
      </c>
      <c r="O28">
        <v>750</v>
      </c>
      <c r="P28">
        <v>750</v>
      </c>
      <c r="Q28">
        <v>885654</v>
      </c>
      <c r="S28">
        <v>2133.4310850439883</v>
      </c>
    </row>
    <row r="29" spans="3:19" x14ac:dyDescent="0.25">
      <c r="C29">
        <v>3</v>
      </c>
      <c r="D29">
        <v>99</v>
      </c>
      <c r="Q29">
        <v>11200</v>
      </c>
      <c r="S29">
        <v>2133.4310850439883</v>
      </c>
    </row>
    <row r="30" spans="3:19" x14ac:dyDescent="0.25">
      <c r="C30">
        <v>3</v>
      </c>
      <c r="D30">
        <v>101</v>
      </c>
      <c r="E30">
        <v>9.25</v>
      </c>
      <c r="I30">
        <v>1573.15</v>
      </c>
      <c r="J30">
        <v>123</v>
      </c>
      <c r="K30">
        <v>2</v>
      </c>
      <c r="O30">
        <v>750</v>
      </c>
      <c r="P30">
        <v>750</v>
      </c>
      <c r="Q30">
        <v>874454</v>
      </c>
    </row>
    <row r="31" spans="3:19" x14ac:dyDescent="0.25">
      <c r="C31">
        <v>3</v>
      </c>
      <c r="D31" t="s">
        <v>2857</v>
      </c>
      <c r="E31">
        <v>53</v>
      </c>
      <c r="I31">
        <v>7522.85</v>
      </c>
      <c r="J31">
        <v>776.5</v>
      </c>
      <c r="K31">
        <v>340.62</v>
      </c>
      <c r="L31">
        <v>92</v>
      </c>
      <c r="O31">
        <v>41520</v>
      </c>
      <c r="P31">
        <v>41520</v>
      </c>
      <c r="Q31">
        <v>2808281</v>
      </c>
      <c r="S31">
        <v>2500</v>
      </c>
    </row>
    <row r="32" spans="3:19" x14ac:dyDescent="0.25">
      <c r="C32">
        <v>3</v>
      </c>
      <c r="D32">
        <v>303</v>
      </c>
      <c r="E32">
        <v>9.75</v>
      </c>
      <c r="I32">
        <v>1172.6500000000001</v>
      </c>
      <c r="J32">
        <v>122.5</v>
      </c>
      <c r="K32">
        <v>101.42</v>
      </c>
      <c r="O32">
        <v>8620</v>
      </c>
      <c r="P32">
        <v>8620</v>
      </c>
      <c r="Q32">
        <v>423440</v>
      </c>
      <c r="S32">
        <v>2500</v>
      </c>
    </row>
    <row r="33" spans="3:19" x14ac:dyDescent="0.25">
      <c r="C33">
        <v>3</v>
      </c>
      <c r="D33">
        <v>304</v>
      </c>
      <c r="E33">
        <v>24</v>
      </c>
      <c r="I33">
        <v>3475.55</v>
      </c>
      <c r="J33">
        <v>333</v>
      </c>
      <c r="K33">
        <v>147.35</v>
      </c>
      <c r="O33">
        <v>25600</v>
      </c>
      <c r="P33">
        <v>25600</v>
      </c>
      <c r="Q33">
        <v>1534301</v>
      </c>
    </row>
    <row r="34" spans="3:19" x14ac:dyDescent="0.25">
      <c r="C34">
        <v>3</v>
      </c>
      <c r="D34">
        <v>305</v>
      </c>
      <c r="E34">
        <v>12.25</v>
      </c>
      <c r="I34">
        <v>1952.15</v>
      </c>
      <c r="J34">
        <v>190</v>
      </c>
      <c r="K34">
        <v>91.85</v>
      </c>
      <c r="O34">
        <v>7300</v>
      </c>
      <c r="P34">
        <v>7300</v>
      </c>
      <c r="Q34">
        <v>600976</v>
      </c>
    </row>
    <row r="35" spans="3:19" x14ac:dyDescent="0.25">
      <c r="C35">
        <v>3</v>
      </c>
      <c r="D35">
        <v>636</v>
      </c>
      <c r="E35">
        <v>2</v>
      </c>
      <c r="I35">
        <v>172.5</v>
      </c>
      <c r="J35">
        <v>55</v>
      </c>
      <c r="L35">
        <v>12</v>
      </c>
      <c r="Q35">
        <v>103960</v>
      </c>
    </row>
    <row r="36" spans="3:19" x14ac:dyDescent="0.25">
      <c r="C36">
        <v>3</v>
      </c>
      <c r="D36">
        <v>642</v>
      </c>
      <c r="E36">
        <v>5</v>
      </c>
      <c r="I36">
        <v>750</v>
      </c>
      <c r="J36">
        <v>76</v>
      </c>
      <c r="L36">
        <v>80</v>
      </c>
      <c r="Q36">
        <v>145604</v>
      </c>
    </row>
    <row r="37" spans="3:19" x14ac:dyDescent="0.25">
      <c r="C37">
        <v>3</v>
      </c>
      <c r="D37" t="s">
        <v>2858</v>
      </c>
      <c r="E37">
        <v>1</v>
      </c>
      <c r="I37">
        <v>184</v>
      </c>
      <c r="Q37">
        <v>34830</v>
      </c>
    </row>
    <row r="38" spans="3:19" x14ac:dyDescent="0.25">
      <c r="C38">
        <v>3</v>
      </c>
      <c r="D38">
        <v>30</v>
      </c>
      <c r="E38">
        <v>1</v>
      </c>
      <c r="I38">
        <v>184</v>
      </c>
      <c r="Q38">
        <v>34830</v>
      </c>
    </row>
    <row r="39" spans="3:19" x14ac:dyDescent="0.25">
      <c r="C39" t="s">
        <v>2861</v>
      </c>
      <c r="E39">
        <v>63.25</v>
      </c>
      <c r="I39">
        <v>9280</v>
      </c>
      <c r="J39">
        <v>899.5</v>
      </c>
      <c r="K39">
        <v>342.62</v>
      </c>
      <c r="L39">
        <v>92</v>
      </c>
      <c r="O39">
        <v>42270</v>
      </c>
      <c r="P39">
        <v>42270</v>
      </c>
      <c r="Q39">
        <v>3728765</v>
      </c>
      <c r="S39">
        <v>4633.4310850439888</v>
      </c>
    </row>
    <row r="40" spans="3:19" x14ac:dyDescent="0.25">
      <c r="C40">
        <v>4</v>
      </c>
      <c r="D40" t="s">
        <v>243</v>
      </c>
      <c r="E40">
        <v>9.25</v>
      </c>
      <c r="I40">
        <v>1480.27</v>
      </c>
      <c r="J40">
        <v>177</v>
      </c>
      <c r="K40">
        <v>14</v>
      </c>
      <c r="O40">
        <v>750</v>
      </c>
      <c r="P40">
        <v>750</v>
      </c>
      <c r="Q40">
        <v>1735660</v>
      </c>
      <c r="S40">
        <v>2133.4310850439883</v>
      </c>
    </row>
    <row r="41" spans="3:19" x14ac:dyDescent="0.25">
      <c r="C41">
        <v>4</v>
      </c>
      <c r="D41">
        <v>99</v>
      </c>
      <c r="S41">
        <v>2133.4310850439883</v>
      </c>
    </row>
    <row r="42" spans="3:19" x14ac:dyDescent="0.25">
      <c r="C42">
        <v>4</v>
      </c>
      <c r="D42">
        <v>101</v>
      </c>
      <c r="E42">
        <v>9.25</v>
      </c>
      <c r="I42">
        <v>1480.27</v>
      </c>
      <c r="J42">
        <v>177</v>
      </c>
      <c r="K42">
        <v>14</v>
      </c>
      <c r="O42">
        <v>750</v>
      </c>
      <c r="P42">
        <v>750</v>
      </c>
      <c r="Q42">
        <v>1735660</v>
      </c>
    </row>
    <row r="43" spans="3:19" x14ac:dyDescent="0.25">
      <c r="C43">
        <v>4</v>
      </c>
      <c r="D43" t="s">
        <v>2857</v>
      </c>
      <c r="E43">
        <v>53.5</v>
      </c>
      <c r="I43">
        <v>7742.08</v>
      </c>
      <c r="J43">
        <v>832.5</v>
      </c>
      <c r="K43">
        <v>317.52000000000004</v>
      </c>
      <c r="L43">
        <v>82</v>
      </c>
      <c r="O43">
        <v>35004</v>
      </c>
      <c r="P43">
        <v>35004</v>
      </c>
      <c r="Q43">
        <v>7060979</v>
      </c>
      <c r="S43">
        <v>2500</v>
      </c>
    </row>
    <row r="44" spans="3:19" x14ac:dyDescent="0.25">
      <c r="C44">
        <v>4</v>
      </c>
      <c r="D44">
        <v>303</v>
      </c>
      <c r="E44">
        <v>9.75</v>
      </c>
      <c r="I44">
        <v>1398.77</v>
      </c>
      <c r="J44">
        <v>150.5</v>
      </c>
      <c r="K44">
        <v>66.73</v>
      </c>
      <c r="Q44">
        <v>1279340</v>
      </c>
      <c r="S44">
        <v>2500</v>
      </c>
    </row>
    <row r="45" spans="3:19" x14ac:dyDescent="0.25">
      <c r="C45">
        <v>4</v>
      </c>
      <c r="D45">
        <v>304</v>
      </c>
      <c r="E45">
        <v>25.5</v>
      </c>
      <c r="I45">
        <v>3594.04</v>
      </c>
      <c r="J45">
        <v>371</v>
      </c>
      <c r="K45">
        <v>144.06</v>
      </c>
      <c r="O45">
        <v>24502</v>
      </c>
      <c r="P45">
        <v>24502</v>
      </c>
      <c r="Q45">
        <v>3434439</v>
      </c>
    </row>
    <row r="46" spans="3:19" x14ac:dyDescent="0.25">
      <c r="C46">
        <v>4</v>
      </c>
      <c r="D46">
        <v>305</v>
      </c>
      <c r="E46">
        <v>11.25</v>
      </c>
      <c r="I46">
        <v>1783.27</v>
      </c>
      <c r="J46">
        <v>171</v>
      </c>
      <c r="K46">
        <v>106.73</v>
      </c>
      <c r="O46">
        <v>10502</v>
      </c>
      <c r="P46">
        <v>10502</v>
      </c>
      <c r="Q46">
        <v>1550863</v>
      </c>
    </row>
    <row r="47" spans="3:19" x14ac:dyDescent="0.25">
      <c r="C47">
        <v>4</v>
      </c>
      <c r="D47">
        <v>636</v>
      </c>
      <c r="E47">
        <v>2</v>
      </c>
      <c r="I47">
        <v>330</v>
      </c>
      <c r="J47">
        <v>54.5</v>
      </c>
      <c r="L47">
        <v>1</v>
      </c>
      <c r="Q47">
        <v>280929</v>
      </c>
    </row>
    <row r="48" spans="3:19" x14ac:dyDescent="0.25">
      <c r="C48">
        <v>4</v>
      </c>
      <c r="D48">
        <v>642</v>
      </c>
      <c r="E48">
        <v>5</v>
      </c>
      <c r="I48">
        <v>636</v>
      </c>
      <c r="J48">
        <v>85.5</v>
      </c>
      <c r="L48">
        <v>81</v>
      </c>
      <c r="Q48">
        <v>515408</v>
      </c>
    </row>
    <row r="49" spans="3:19" x14ac:dyDescent="0.25">
      <c r="C49">
        <v>4</v>
      </c>
      <c r="D49" t="s">
        <v>2858</v>
      </c>
      <c r="E49">
        <v>1</v>
      </c>
      <c r="I49">
        <v>144</v>
      </c>
      <c r="Q49">
        <v>60363</v>
      </c>
    </row>
    <row r="50" spans="3:19" x14ac:dyDescent="0.25">
      <c r="C50">
        <v>4</v>
      </c>
      <c r="D50">
        <v>30</v>
      </c>
      <c r="E50">
        <v>1</v>
      </c>
      <c r="I50">
        <v>144</v>
      </c>
      <c r="Q50">
        <v>60363</v>
      </c>
    </row>
    <row r="51" spans="3:19" x14ac:dyDescent="0.25">
      <c r="C51" t="s">
        <v>2862</v>
      </c>
      <c r="E51">
        <v>63.75</v>
      </c>
      <c r="I51">
        <v>9366.35</v>
      </c>
      <c r="J51">
        <v>1009.5</v>
      </c>
      <c r="K51">
        <v>331.52000000000004</v>
      </c>
      <c r="L51">
        <v>82</v>
      </c>
      <c r="O51">
        <v>35754</v>
      </c>
      <c r="P51">
        <v>35754</v>
      </c>
      <c r="Q51">
        <v>8857002</v>
      </c>
      <c r="S51">
        <v>4633.4310850439888</v>
      </c>
    </row>
    <row r="52" spans="3:19" x14ac:dyDescent="0.25">
      <c r="C52">
        <v>5</v>
      </c>
      <c r="D52" t="s">
        <v>243</v>
      </c>
      <c r="E52">
        <v>9.25</v>
      </c>
      <c r="I52">
        <v>1422.4</v>
      </c>
      <c r="J52">
        <v>201</v>
      </c>
      <c r="K52">
        <v>20</v>
      </c>
      <c r="Q52">
        <v>1123396</v>
      </c>
      <c r="S52">
        <v>2133.4310850439883</v>
      </c>
    </row>
    <row r="53" spans="3:19" x14ac:dyDescent="0.25">
      <c r="C53">
        <v>5</v>
      </c>
      <c r="D53">
        <v>99</v>
      </c>
      <c r="S53">
        <v>2133.4310850439883</v>
      </c>
    </row>
    <row r="54" spans="3:19" x14ac:dyDescent="0.25">
      <c r="C54">
        <v>5</v>
      </c>
      <c r="D54">
        <v>100</v>
      </c>
      <c r="Q54">
        <v>31050</v>
      </c>
    </row>
    <row r="55" spans="3:19" x14ac:dyDescent="0.25">
      <c r="C55">
        <v>5</v>
      </c>
      <c r="D55">
        <v>101</v>
      </c>
      <c r="E55">
        <v>9.25</v>
      </c>
      <c r="I55">
        <v>1422.4</v>
      </c>
      <c r="J55">
        <v>201</v>
      </c>
      <c r="K55">
        <v>20</v>
      </c>
      <c r="Q55">
        <v>1092346</v>
      </c>
    </row>
    <row r="56" spans="3:19" x14ac:dyDescent="0.25">
      <c r="C56">
        <v>5</v>
      </c>
      <c r="D56" t="s">
        <v>2857</v>
      </c>
      <c r="E56">
        <v>52.5</v>
      </c>
      <c r="I56">
        <v>7099.55</v>
      </c>
      <c r="J56">
        <v>933</v>
      </c>
      <c r="K56">
        <v>373.45</v>
      </c>
      <c r="L56">
        <v>80</v>
      </c>
      <c r="O56">
        <v>10380</v>
      </c>
      <c r="P56">
        <v>10380</v>
      </c>
      <c r="Q56">
        <v>3408546</v>
      </c>
      <c r="S56">
        <v>2500</v>
      </c>
    </row>
    <row r="57" spans="3:19" x14ac:dyDescent="0.25">
      <c r="C57">
        <v>5</v>
      </c>
      <c r="D57">
        <v>303</v>
      </c>
      <c r="E57">
        <v>9.75</v>
      </c>
      <c r="I57">
        <v>1435.5</v>
      </c>
      <c r="J57">
        <v>207.5</v>
      </c>
      <c r="K57">
        <v>58.5</v>
      </c>
      <c r="Q57">
        <v>604026</v>
      </c>
      <c r="S57">
        <v>2500</v>
      </c>
    </row>
    <row r="58" spans="3:19" x14ac:dyDescent="0.25">
      <c r="C58">
        <v>5</v>
      </c>
      <c r="D58">
        <v>304</v>
      </c>
      <c r="E58">
        <v>24.5</v>
      </c>
      <c r="I58">
        <v>3223.55</v>
      </c>
      <c r="J58">
        <v>431</v>
      </c>
      <c r="K58">
        <v>203.95</v>
      </c>
      <c r="Q58">
        <v>1742371</v>
      </c>
    </row>
    <row r="59" spans="3:19" x14ac:dyDescent="0.25">
      <c r="C59">
        <v>5</v>
      </c>
      <c r="D59">
        <v>305</v>
      </c>
      <c r="E59">
        <v>11.25</v>
      </c>
      <c r="I59">
        <v>1557</v>
      </c>
      <c r="J59">
        <v>224.5</v>
      </c>
      <c r="K59">
        <v>111</v>
      </c>
      <c r="Q59">
        <v>766374</v>
      </c>
    </row>
    <row r="60" spans="3:19" x14ac:dyDescent="0.25">
      <c r="C60">
        <v>5</v>
      </c>
      <c r="D60">
        <v>636</v>
      </c>
      <c r="E60">
        <v>2</v>
      </c>
      <c r="I60">
        <v>315</v>
      </c>
      <c r="J60">
        <v>18</v>
      </c>
      <c r="O60">
        <v>4600</v>
      </c>
      <c r="P60">
        <v>4600</v>
      </c>
      <c r="Q60">
        <v>97767</v>
      </c>
    </row>
    <row r="61" spans="3:19" x14ac:dyDescent="0.25">
      <c r="C61">
        <v>5</v>
      </c>
      <c r="D61">
        <v>642</v>
      </c>
      <c r="E61">
        <v>5</v>
      </c>
      <c r="I61">
        <v>568.5</v>
      </c>
      <c r="J61">
        <v>52</v>
      </c>
      <c r="L61">
        <v>80</v>
      </c>
      <c r="O61">
        <v>5780</v>
      </c>
      <c r="P61">
        <v>5780</v>
      </c>
      <c r="Q61">
        <v>198008</v>
      </c>
    </row>
    <row r="62" spans="3:19" x14ac:dyDescent="0.25">
      <c r="C62">
        <v>5</v>
      </c>
      <c r="D62" t="s">
        <v>2858</v>
      </c>
      <c r="E62">
        <v>1</v>
      </c>
      <c r="I62">
        <v>168</v>
      </c>
      <c r="Q62">
        <v>34830</v>
      </c>
    </row>
    <row r="63" spans="3:19" x14ac:dyDescent="0.25">
      <c r="C63">
        <v>5</v>
      </c>
      <c r="D63">
        <v>30</v>
      </c>
      <c r="E63">
        <v>1</v>
      </c>
      <c r="I63">
        <v>168</v>
      </c>
      <c r="Q63">
        <v>34830</v>
      </c>
    </row>
    <row r="64" spans="3:19" x14ac:dyDescent="0.25">
      <c r="C64" t="s">
        <v>2863</v>
      </c>
      <c r="E64">
        <v>62.75</v>
      </c>
      <c r="I64">
        <v>8689.9500000000007</v>
      </c>
      <c r="J64">
        <v>1134</v>
      </c>
      <c r="K64">
        <v>393.45</v>
      </c>
      <c r="L64">
        <v>80</v>
      </c>
      <c r="O64">
        <v>10380</v>
      </c>
      <c r="P64">
        <v>10380</v>
      </c>
      <c r="Q64">
        <v>4566772</v>
      </c>
      <c r="S64">
        <v>4633.4310850439888</v>
      </c>
    </row>
    <row r="65" spans="3:19" x14ac:dyDescent="0.25">
      <c r="C65">
        <v>6</v>
      </c>
      <c r="D65" t="s">
        <v>243</v>
      </c>
      <c r="E65">
        <v>9.25</v>
      </c>
      <c r="I65">
        <v>1437.77</v>
      </c>
      <c r="J65">
        <v>128</v>
      </c>
      <c r="K65">
        <v>13</v>
      </c>
      <c r="Q65">
        <v>977572</v>
      </c>
      <c r="S65">
        <v>2133.4310850439883</v>
      </c>
    </row>
    <row r="66" spans="3:19" x14ac:dyDescent="0.25">
      <c r="C66">
        <v>6</v>
      </c>
      <c r="D66">
        <v>99</v>
      </c>
      <c r="S66">
        <v>2133.4310850439883</v>
      </c>
    </row>
    <row r="67" spans="3:19" x14ac:dyDescent="0.25">
      <c r="C67">
        <v>6</v>
      </c>
      <c r="D67">
        <v>100</v>
      </c>
      <c r="Q67">
        <v>11750</v>
      </c>
    </row>
    <row r="68" spans="3:19" x14ac:dyDescent="0.25">
      <c r="C68">
        <v>6</v>
      </c>
      <c r="D68">
        <v>101</v>
      </c>
      <c r="E68">
        <v>9.25</v>
      </c>
      <c r="I68">
        <v>1437.77</v>
      </c>
      <c r="J68">
        <v>128</v>
      </c>
      <c r="K68">
        <v>13</v>
      </c>
      <c r="Q68">
        <v>965822</v>
      </c>
    </row>
    <row r="69" spans="3:19" x14ac:dyDescent="0.25">
      <c r="C69">
        <v>6</v>
      </c>
      <c r="D69" t="s">
        <v>2857</v>
      </c>
      <c r="E69">
        <v>52.5</v>
      </c>
      <c r="I69">
        <v>7200.4600000000009</v>
      </c>
      <c r="J69">
        <v>559.56999999999994</v>
      </c>
      <c r="K69">
        <v>200.92</v>
      </c>
      <c r="L69">
        <v>64</v>
      </c>
      <c r="O69">
        <v>32484</v>
      </c>
      <c r="P69">
        <v>32484</v>
      </c>
      <c r="Q69">
        <v>3145042</v>
      </c>
      <c r="S69">
        <v>2500</v>
      </c>
    </row>
    <row r="70" spans="3:19" x14ac:dyDescent="0.25">
      <c r="C70">
        <v>6</v>
      </c>
      <c r="D70">
        <v>303</v>
      </c>
      <c r="E70">
        <v>9.75</v>
      </c>
      <c r="I70">
        <v>1215.6500000000001</v>
      </c>
      <c r="J70">
        <v>70.569999999999993</v>
      </c>
      <c r="K70">
        <v>35.229999999999997</v>
      </c>
      <c r="O70">
        <v>6500</v>
      </c>
      <c r="P70">
        <v>6500</v>
      </c>
      <c r="Q70">
        <v>515017</v>
      </c>
      <c r="S70">
        <v>2500</v>
      </c>
    </row>
    <row r="71" spans="3:19" x14ac:dyDescent="0.25">
      <c r="C71">
        <v>6</v>
      </c>
      <c r="D71">
        <v>304</v>
      </c>
      <c r="E71">
        <v>24.5</v>
      </c>
      <c r="I71">
        <v>3405.04</v>
      </c>
      <c r="J71">
        <v>260.5</v>
      </c>
      <c r="K71">
        <v>118.46</v>
      </c>
      <c r="O71">
        <v>9784</v>
      </c>
      <c r="P71">
        <v>9784</v>
      </c>
      <c r="Q71">
        <v>1493462</v>
      </c>
    </row>
    <row r="72" spans="3:19" x14ac:dyDescent="0.25">
      <c r="C72">
        <v>6</v>
      </c>
      <c r="D72">
        <v>305</v>
      </c>
      <c r="E72">
        <v>11.25</v>
      </c>
      <c r="I72">
        <v>1610.77</v>
      </c>
      <c r="J72">
        <v>125</v>
      </c>
      <c r="K72">
        <v>47.23</v>
      </c>
      <c r="O72">
        <v>16200</v>
      </c>
      <c r="P72">
        <v>16200</v>
      </c>
      <c r="Q72">
        <v>825085</v>
      </c>
    </row>
    <row r="73" spans="3:19" x14ac:dyDescent="0.25">
      <c r="C73">
        <v>6</v>
      </c>
      <c r="D73">
        <v>636</v>
      </c>
      <c r="E73">
        <v>2</v>
      </c>
      <c r="I73">
        <v>261</v>
      </c>
      <c r="J73">
        <v>33</v>
      </c>
      <c r="Q73">
        <v>95170</v>
      </c>
    </row>
    <row r="74" spans="3:19" x14ac:dyDescent="0.25">
      <c r="C74">
        <v>6</v>
      </c>
      <c r="D74">
        <v>642</v>
      </c>
      <c r="E74">
        <v>5</v>
      </c>
      <c r="I74">
        <v>708</v>
      </c>
      <c r="J74">
        <v>70.5</v>
      </c>
      <c r="L74">
        <v>64</v>
      </c>
      <c r="Q74">
        <v>216308</v>
      </c>
    </row>
    <row r="75" spans="3:19" x14ac:dyDescent="0.25">
      <c r="C75">
        <v>6</v>
      </c>
      <c r="D75" t="s">
        <v>2858</v>
      </c>
      <c r="E75">
        <v>1</v>
      </c>
      <c r="I75">
        <v>176</v>
      </c>
      <c r="Q75">
        <v>34830</v>
      </c>
    </row>
    <row r="76" spans="3:19" x14ac:dyDescent="0.25">
      <c r="C76">
        <v>6</v>
      </c>
      <c r="D76">
        <v>30</v>
      </c>
      <c r="E76">
        <v>1</v>
      </c>
      <c r="I76">
        <v>176</v>
      </c>
      <c r="Q76">
        <v>34830</v>
      </c>
    </row>
    <row r="77" spans="3:19" x14ac:dyDescent="0.25">
      <c r="C77" t="s">
        <v>2864</v>
      </c>
      <c r="E77">
        <v>62.75</v>
      </c>
      <c r="I77">
        <v>8814.23</v>
      </c>
      <c r="J77">
        <v>687.56999999999994</v>
      </c>
      <c r="K77">
        <v>213.92</v>
      </c>
      <c r="L77">
        <v>64</v>
      </c>
      <c r="O77">
        <v>32484</v>
      </c>
      <c r="P77">
        <v>32484</v>
      </c>
      <c r="Q77">
        <v>4157444</v>
      </c>
      <c r="S77">
        <v>4633.4310850439888</v>
      </c>
    </row>
    <row r="78" spans="3:19" x14ac:dyDescent="0.25">
      <c r="C78">
        <v>7</v>
      </c>
      <c r="D78" t="s">
        <v>243</v>
      </c>
      <c r="E78">
        <v>10.25</v>
      </c>
      <c r="I78">
        <v>1498</v>
      </c>
      <c r="J78">
        <v>152</v>
      </c>
      <c r="K78">
        <v>15</v>
      </c>
      <c r="O78">
        <v>298801</v>
      </c>
      <c r="P78">
        <v>298801</v>
      </c>
      <c r="Q78">
        <v>1613857</v>
      </c>
      <c r="S78">
        <v>2133.4310850439883</v>
      </c>
    </row>
    <row r="79" spans="3:19" x14ac:dyDescent="0.25">
      <c r="C79">
        <v>7</v>
      </c>
      <c r="D79">
        <v>99</v>
      </c>
      <c r="S79">
        <v>2133.4310850439883</v>
      </c>
    </row>
    <row r="80" spans="3:19" x14ac:dyDescent="0.25">
      <c r="C80">
        <v>7</v>
      </c>
      <c r="D80">
        <v>100</v>
      </c>
      <c r="Q80">
        <v>17250</v>
      </c>
    </row>
    <row r="81" spans="3:19" x14ac:dyDescent="0.25">
      <c r="C81">
        <v>7</v>
      </c>
      <c r="D81">
        <v>101</v>
      </c>
      <c r="E81">
        <v>10.25</v>
      </c>
      <c r="I81">
        <v>1498</v>
      </c>
      <c r="J81">
        <v>152</v>
      </c>
      <c r="K81">
        <v>15</v>
      </c>
      <c r="O81">
        <v>298801</v>
      </c>
      <c r="P81">
        <v>298801</v>
      </c>
      <c r="Q81">
        <v>1596607</v>
      </c>
    </row>
    <row r="82" spans="3:19" x14ac:dyDescent="0.25">
      <c r="C82">
        <v>7</v>
      </c>
      <c r="D82" t="s">
        <v>2857</v>
      </c>
      <c r="E82">
        <v>52.5</v>
      </c>
      <c r="I82">
        <v>6703.1799999999994</v>
      </c>
      <c r="J82">
        <v>402.5</v>
      </c>
      <c r="K82">
        <v>228.44</v>
      </c>
      <c r="L82">
        <v>80</v>
      </c>
      <c r="O82">
        <v>768937</v>
      </c>
      <c r="P82">
        <v>768937</v>
      </c>
      <c r="Q82">
        <v>3969966</v>
      </c>
      <c r="S82">
        <v>2500</v>
      </c>
    </row>
    <row r="83" spans="3:19" x14ac:dyDescent="0.25">
      <c r="C83">
        <v>7</v>
      </c>
      <c r="D83">
        <v>303</v>
      </c>
      <c r="E83">
        <v>9.75</v>
      </c>
      <c r="I83">
        <v>1232.27</v>
      </c>
      <c r="J83">
        <v>57</v>
      </c>
      <c r="K83">
        <v>39.85</v>
      </c>
      <c r="O83">
        <v>89899</v>
      </c>
      <c r="P83">
        <v>89899</v>
      </c>
      <c r="Q83">
        <v>598100</v>
      </c>
      <c r="S83">
        <v>2500</v>
      </c>
    </row>
    <row r="84" spans="3:19" x14ac:dyDescent="0.25">
      <c r="C84">
        <v>7</v>
      </c>
      <c r="D84">
        <v>304</v>
      </c>
      <c r="E84">
        <v>24.5</v>
      </c>
      <c r="I84">
        <v>3120.04</v>
      </c>
      <c r="J84">
        <v>166.5</v>
      </c>
      <c r="K84">
        <v>115.46</v>
      </c>
      <c r="O84">
        <v>378087</v>
      </c>
      <c r="P84">
        <v>378087</v>
      </c>
      <c r="Q84">
        <v>1905523</v>
      </c>
    </row>
    <row r="85" spans="3:19" x14ac:dyDescent="0.25">
      <c r="C85">
        <v>7</v>
      </c>
      <c r="D85">
        <v>305</v>
      </c>
      <c r="E85">
        <v>11.25</v>
      </c>
      <c r="I85">
        <v>1399.87</v>
      </c>
      <c r="J85">
        <v>109</v>
      </c>
      <c r="K85">
        <v>73.13</v>
      </c>
      <c r="O85">
        <v>232053</v>
      </c>
      <c r="P85">
        <v>232053</v>
      </c>
      <c r="Q85">
        <v>1066601</v>
      </c>
    </row>
    <row r="86" spans="3:19" x14ac:dyDescent="0.25">
      <c r="C86">
        <v>7</v>
      </c>
      <c r="D86">
        <v>636</v>
      </c>
      <c r="E86">
        <v>2</v>
      </c>
      <c r="I86">
        <v>294</v>
      </c>
      <c r="J86">
        <v>10.5</v>
      </c>
      <c r="O86">
        <v>21720</v>
      </c>
      <c r="P86">
        <v>21720</v>
      </c>
      <c r="Q86">
        <v>112903</v>
      </c>
    </row>
    <row r="87" spans="3:19" x14ac:dyDescent="0.25">
      <c r="C87">
        <v>7</v>
      </c>
      <c r="D87">
        <v>642</v>
      </c>
      <c r="E87">
        <v>5</v>
      </c>
      <c r="I87">
        <v>657</v>
      </c>
      <c r="J87">
        <v>59.5</v>
      </c>
      <c r="L87">
        <v>80</v>
      </c>
      <c r="O87">
        <v>47178</v>
      </c>
      <c r="P87">
        <v>47178</v>
      </c>
      <c r="Q87">
        <v>286839</v>
      </c>
    </row>
    <row r="88" spans="3:19" x14ac:dyDescent="0.25">
      <c r="C88">
        <v>7</v>
      </c>
      <c r="D88" t="s">
        <v>2858</v>
      </c>
      <c r="E88">
        <v>1</v>
      </c>
      <c r="I88">
        <v>152</v>
      </c>
      <c r="O88">
        <v>12880</v>
      </c>
      <c r="P88">
        <v>12880</v>
      </c>
      <c r="Q88">
        <v>49515</v>
      </c>
    </row>
    <row r="89" spans="3:19" x14ac:dyDescent="0.25">
      <c r="C89">
        <v>7</v>
      </c>
      <c r="D89">
        <v>30</v>
      </c>
      <c r="E89">
        <v>1</v>
      </c>
      <c r="I89">
        <v>152</v>
      </c>
      <c r="O89">
        <v>12880</v>
      </c>
      <c r="P89">
        <v>12880</v>
      </c>
      <c r="Q89">
        <v>49515</v>
      </c>
    </row>
    <row r="90" spans="3:19" x14ac:dyDescent="0.25">
      <c r="C90" t="s">
        <v>2865</v>
      </c>
      <c r="E90">
        <v>63.75</v>
      </c>
      <c r="I90">
        <v>8353.18</v>
      </c>
      <c r="J90">
        <v>554.5</v>
      </c>
      <c r="K90">
        <v>243.44</v>
      </c>
      <c r="L90">
        <v>80</v>
      </c>
      <c r="O90">
        <v>1080618</v>
      </c>
      <c r="P90">
        <v>1080618</v>
      </c>
      <c r="Q90">
        <v>5633338</v>
      </c>
      <c r="S90">
        <v>4633.4310850439888</v>
      </c>
    </row>
    <row r="91" spans="3:19" x14ac:dyDescent="0.25">
      <c r="C91">
        <v>8</v>
      </c>
      <c r="D91" t="s">
        <v>243</v>
      </c>
      <c r="E91">
        <v>10.25</v>
      </c>
      <c r="I91">
        <v>1367.27</v>
      </c>
      <c r="J91">
        <v>96.75</v>
      </c>
      <c r="K91">
        <v>11</v>
      </c>
      <c r="O91">
        <v>750</v>
      </c>
      <c r="P91">
        <v>750</v>
      </c>
      <c r="Q91">
        <v>1116009</v>
      </c>
      <c r="S91">
        <v>2133.4310850439883</v>
      </c>
    </row>
    <row r="92" spans="3:19" x14ac:dyDescent="0.25">
      <c r="C92">
        <v>8</v>
      </c>
      <c r="D92">
        <v>99</v>
      </c>
      <c r="S92">
        <v>2133.4310850439883</v>
      </c>
    </row>
    <row r="93" spans="3:19" x14ac:dyDescent="0.25">
      <c r="C93">
        <v>8</v>
      </c>
      <c r="D93">
        <v>100</v>
      </c>
      <c r="Q93">
        <v>26550</v>
      </c>
    </row>
    <row r="94" spans="3:19" x14ac:dyDescent="0.25">
      <c r="C94">
        <v>8</v>
      </c>
      <c r="D94">
        <v>101</v>
      </c>
      <c r="E94">
        <v>10.25</v>
      </c>
      <c r="I94">
        <v>1367.27</v>
      </c>
      <c r="J94">
        <v>96.75</v>
      </c>
      <c r="K94">
        <v>11</v>
      </c>
      <c r="O94">
        <v>750</v>
      </c>
      <c r="P94">
        <v>750</v>
      </c>
      <c r="Q94">
        <v>1089459</v>
      </c>
    </row>
    <row r="95" spans="3:19" x14ac:dyDescent="0.25">
      <c r="C95">
        <v>8</v>
      </c>
      <c r="D95" t="s">
        <v>2857</v>
      </c>
      <c r="E95">
        <v>52.5</v>
      </c>
      <c r="I95">
        <v>6207.7999999999993</v>
      </c>
      <c r="J95">
        <v>373</v>
      </c>
      <c r="K95">
        <v>100.84</v>
      </c>
      <c r="L95">
        <v>64.5</v>
      </c>
      <c r="Q95">
        <v>3048100</v>
      </c>
      <c r="S95">
        <v>2500</v>
      </c>
    </row>
    <row r="96" spans="3:19" x14ac:dyDescent="0.25">
      <c r="C96">
        <v>8</v>
      </c>
      <c r="D96">
        <v>303</v>
      </c>
      <c r="E96">
        <v>9.75</v>
      </c>
      <c r="I96">
        <v>1132.1199999999999</v>
      </c>
      <c r="J96">
        <v>69.5</v>
      </c>
      <c r="K96">
        <v>31.88</v>
      </c>
      <c r="Q96">
        <v>486929</v>
      </c>
      <c r="S96">
        <v>2500</v>
      </c>
    </row>
    <row r="97" spans="3:19" x14ac:dyDescent="0.25">
      <c r="C97">
        <v>8</v>
      </c>
      <c r="D97">
        <v>304</v>
      </c>
      <c r="E97">
        <v>24.5</v>
      </c>
      <c r="I97">
        <v>2633.91</v>
      </c>
      <c r="J97">
        <v>111.5</v>
      </c>
      <c r="K97">
        <v>47.23</v>
      </c>
      <c r="Q97">
        <v>1456203</v>
      </c>
    </row>
    <row r="98" spans="3:19" x14ac:dyDescent="0.25">
      <c r="C98">
        <v>8</v>
      </c>
      <c r="D98">
        <v>305</v>
      </c>
      <c r="E98">
        <v>11.25</v>
      </c>
      <c r="I98">
        <v>1622.77</v>
      </c>
      <c r="J98">
        <v>55</v>
      </c>
      <c r="K98">
        <v>21.73</v>
      </c>
      <c r="Q98">
        <v>766778</v>
      </c>
    </row>
    <row r="99" spans="3:19" x14ac:dyDescent="0.25">
      <c r="C99">
        <v>8</v>
      </c>
      <c r="D99">
        <v>636</v>
      </c>
      <c r="E99">
        <v>2</v>
      </c>
      <c r="I99">
        <v>270</v>
      </c>
      <c r="J99">
        <v>40.5</v>
      </c>
      <c r="Q99">
        <v>98165</v>
      </c>
    </row>
    <row r="100" spans="3:19" x14ac:dyDescent="0.25">
      <c r="C100">
        <v>8</v>
      </c>
      <c r="D100">
        <v>642</v>
      </c>
      <c r="E100">
        <v>5</v>
      </c>
      <c r="I100">
        <v>549</v>
      </c>
      <c r="J100">
        <v>96.5</v>
      </c>
      <c r="L100">
        <v>64.5</v>
      </c>
      <c r="Q100">
        <v>240025</v>
      </c>
    </row>
    <row r="101" spans="3:19" x14ac:dyDescent="0.25">
      <c r="C101">
        <v>8</v>
      </c>
      <c r="D101" t="s">
        <v>2858</v>
      </c>
      <c r="E101">
        <v>1</v>
      </c>
      <c r="I101">
        <v>96</v>
      </c>
      <c r="Q101">
        <v>36182</v>
      </c>
    </row>
    <row r="102" spans="3:19" x14ac:dyDescent="0.25">
      <c r="C102">
        <v>8</v>
      </c>
      <c r="D102">
        <v>30</v>
      </c>
      <c r="E102">
        <v>1</v>
      </c>
      <c r="I102">
        <v>96</v>
      </c>
      <c r="Q102">
        <v>36182</v>
      </c>
    </row>
    <row r="103" spans="3:19" x14ac:dyDescent="0.25">
      <c r="C103" t="s">
        <v>2866</v>
      </c>
      <c r="E103">
        <v>63.75</v>
      </c>
      <c r="I103">
        <v>7671.07</v>
      </c>
      <c r="J103">
        <v>469.75</v>
      </c>
      <c r="K103">
        <v>111.83999999999999</v>
      </c>
      <c r="L103">
        <v>64.5</v>
      </c>
      <c r="O103">
        <v>750</v>
      </c>
      <c r="P103">
        <v>750</v>
      </c>
      <c r="Q103">
        <v>4200291</v>
      </c>
      <c r="S103">
        <v>4633.4310850439888</v>
      </c>
    </row>
    <row r="104" spans="3:19" x14ac:dyDescent="0.25">
      <c r="C104">
        <v>9</v>
      </c>
      <c r="D104" t="s">
        <v>243</v>
      </c>
      <c r="E104">
        <v>10</v>
      </c>
      <c r="I104">
        <v>1507.5</v>
      </c>
      <c r="J104">
        <v>125.97</v>
      </c>
      <c r="O104">
        <v>5000</v>
      </c>
      <c r="P104">
        <v>5000</v>
      </c>
      <c r="Q104">
        <v>1135397</v>
      </c>
      <c r="S104">
        <v>2133.4310850439883</v>
      </c>
    </row>
    <row r="105" spans="3:19" x14ac:dyDescent="0.25">
      <c r="C105">
        <v>9</v>
      </c>
      <c r="D105">
        <v>99</v>
      </c>
      <c r="S105">
        <v>2133.4310850439883</v>
      </c>
    </row>
    <row r="106" spans="3:19" x14ac:dyDescent="0.25">
      <c r="C106">
        <v>9</v>
      </c>
      <c r="D106">
        <v>100</v>
      </c>
      <c r="Q106">
        <v>11500</v>
      </c>
    </row>
    <row r="107" spans="3:19" x14ac:dyDescent="0.25">
      <c r="C107">
        <v>9</v>
      </c>
      <c r="D107">
        <v>101</v>
      </c>
      <c r="E107">
        <v>10</v>
      </c>
      <c r="I107">
        <v>1507.5</v>
      </c>
      <c r="J107">
        <v>125.97</v>
      </c>
      <c r="O107">
        <v>5000</v>
      </c>
      <c r="P107">
        <v>5000</v>
      </c>
      <c r="Q107">
        <v>1123897</v>
      </c>
    </row>
    <row r="108" spans="3:19" x14ac:dyDescent="0.25">
      <c r="C108">
        <v>9</v>
      </c>
      <c r="D108" t="s">
        <v>2857</v>
      </c>
      <c r="E108">
        <v>52.5</v>
      </c>
      <c r="I108">
        <v>6749.58</v>
      </c>
      <c r="J108">
        <v>652.5</v>
      </c>
      <c r="K108">
        <v>302.52999999999997</v>
      </c>
      <c r="O108">
        <v>68104</v>
      </c>
      <c r="P108">
        <v>68104</v>
      </c>
      <c r="Q108">
        <v>3385715</v>
      </c>
      <c r="S108">
        <v>2500</v>
      </c>
    </row>
    <row r="109" spans="3:19" x14ac:dyDescent="0.25">
      <c r="C109">
        <v>9</v>
      </c>
      <c r="D109">
        <v>303</v>
      </c>
      <c r="E109">
        <v>9.75</v>
      </c>
      <c r="I109">
        <v>1217.77</v>
      </c>
      <c r="J109">
        <v>92.5</v>
      </c>
      <c r="K109">
        <v>58.73</v>
      </c>
      <c r="O109">
        <v>16035</v>
      </c>
      <c r="P109">
        <v>16035</v>
      </c>
      <c r="Q109">
        <v>520052</v>
      </c>
      <c r="S109">
        <v>2500</v>
      </c>
    </row>
    <row r="110" spans="3:19" x14ac:dyDescent="0.25">
      <c r="C110">
        <v>9</v>
      </c>
      <c r="D110">
        <v>304</v>
      </c>
      <c r="E110">
        <v>24.5</v>
      </c>
      <c r="I110">
        <v>3016.54</v>
      </c>
      <c r="J110">
        <v>289.5</v>
      </c>
      <c r="K110">
        <v>132.07</v>
      </c>
      <c r="O110">
        <v>16000</v>
      </c>
      <c r="P110">
        <v>16000</v>
      </c>
      <c r="Q110">
        <v>1629300</v>
      </c>
    </row>
    <row r="111" spans="3:19" x14ac:dyDescent="0.25">
      <c r="C111">
        <v>9</v>
      </c>
      <c r="D111">
        <v>305</v>
      </c>
      <c r="E111">
        <v>11.25</v>
      </c>
      <c r="I111">
        <v>1618.27</v>
      </c>
      <c r="J111">
        <v>139</v>
      </c>
      <c r="K111">
        <v>111.73</v>
      </c>
      <c r="O111">
        <v>36069</v>
      </c>
      <c r="P111">
        <v>36069</v>
      </c>
      <c r="Q111">
        <v>922346</v>
      </c>
    </row>
    <row r="112" spans="3:19" x14ac:dyDescent="0.25">
      <c r="C112">
        <v>9</v>
      </c>
      <c r="D112">
        <v>636</v>
      </c>
      <c r="E112">
        <v>2</v>
      </c>
      <c r="I112">
        <v>225</v>
      </c>
      <c r="J112">
        <v>34.5</v>
      </c>
      <c r="Q112">
        <v>97158</v>
      </c>
    </row>
    <row r="113" spans="3:19" x14ac:dyDescent="0.25">
      <c r="C113">
        <v>9</v>
      </c>
      <c r="D113">
        <v>642</v>
      </c>
      <c r="E113">
        <v>5</v>
      </c>
      <c r="I113">
        <v>672</v>
      </c>
      <c r="J113">
        <v>97</v>
      </c>
      <c r="Q113">
        <v>216859</v>
      </c>
    </row>
    <row r="114" spans="3:19" x14ac:dyDescent="0.25">
      <c r="C114">
        <v>9</v>
      </c>
      <c r="D114" t="s">
        <v>2858</v>
      </c>
      <c r="E114">
        <v>1</v>
      </c>
      <c r="I114">
        <v>176</v>
      </c>
      <c r="Q114">
        <v>36830</v>
      </c>
    </row>
    <row r="115" spans="3:19" x14ac:dyDescent="0.25">
      <c r="C115">
        <v>9</v>
      </c>
      <c r="D115">
        <v>30</v>
      </c>
      <c r="E115">
        <v>1</v>
      </c>
      <c r="I115">
        <v>176</v>
      </c>
      <c r="Q115">
        <v>36830</v>
      </c>
    </row>
    <row r="116" spans="3:19" x14ac:dyDescent="0.25">
      <c r="C116" t="s">
        <v>2867</v>
      </c>
      <c r="E116">
        <v>63.5</v>
      </c>
      <c r="I116">
        <v>8433.08</v>
      </c>
      <c r="J116">
        <v>778.47</v>
      </c>
      <c r="K116">
        <v>302.52999999999997</v>
      </c>
      <c r="O116">
        <v>73104</v>
      </c>
      <c r="P116">
        <v>73104</v>
      </c>
      <c r="Q116">
        <v>4557942</v>
      </c>
      <c r="S116">
        <v>4633.4310850439888</v>
      </c>
    </row>
    <row r="117" spans="3:19" x14ac:dyDescent="0.25">
      <c r="C117">
        <v>10</v>
      </c>
      <c r="D117" t="s">
        <v>243</v>
      </c>
      <c r="E117">
        <v>9</v>
      </c>
      <c r="I117">
        <v>1324</v>
      </c>
      <c r="J117">
        <v>120</v>
      </c>
      <c r="Q117">
        <v>1026282</v>
      </c>
      <c r="S117">
        <v>2133.4310850439883</v>
      </c>
    </row>
    <row r="118" spans="3:19" x14ac:dyDescent="0.25">
      <c r="C118">
        <v>10</v>
      </c>
      <c r="D118">
        <v>99</v>
      </c>
      <c r="S118">
        <v>2133.4310850439883</v>
      </c>
    </row>
    <row r="119" spans="3:19" x14ac:dyDescent="0.25">
      <c r="C119">
        <v>10</v>
      </c>
      <c r="D119">
        <v>100</v>
      </c>
      <c r="Q119">
        <v>9200</v>
      </c>
    </row>
    <row r="120" spans="3:19" x14ac:dyDescent="0.25">
      <c r="C120">
        <v>10</v>
      </c>
      <c r="D120">
        <v>101</v>
      </c>
      <c r="E120">
        <v>9</v>
      </c>
      <c r="I120">
        <v>1324</v>
      </c>
      <c r="J120">
        <v>120</v>
      </c>
      <c r="Q120">
        <v>1017082</v>
      </c>
    </row>
    <row r="121" spans="3:19" x14ac:dyDescent="0.25">
      <c r="C121">
        <v>10</v>
      </c>
      <c r="D121" t="s">
        <v>2857</v>
      </c>
      <c r="E121">
        <v>52.5</v>
      </c>
      <c r="I121">
        <v>6587.6</v>
      </c>
      <c r="J121">
        <v>972</v>
      </c>
      <c r="K121">
        <v>269.54999999999995</v>
      </c>
      <c r="O121">
        <v>44984</v>
      </c>
      <c r="P121">
        <v>44984</v>
      </c>
      <c r="Q121">
        <v>3495552</v>
      </c>
      <c r="S121">
        <v>2500</v>
      </c>
    </row>
    <row r="122" spans="3:19" x14ac:dyDescent="0.25">
      <c r="C122">
        <v>10</v>
      </c>
      <c r="D122">
        <v>303</v>
      </c>
      <c r="E122">
        <v>9.75</v>
      </c>
      <c r="I122">
        <v>1198.1500000000001</v>
      </c>
      <c r="J122">
        <v>146</v>
      </c>
      <c r="K122">
        <v>60.35</v>
      </c>
      <c r="O122">
        <v>6492</v>
      </c>
      <c r="P122">
        <v>6492</v>
      </c>
      <c r="Q122">
        <v>520021</v>
      </c>
      <c r="S122">
        <v>2500</v>
      </c>
    </row>
    <row r="123" spans="3:19" x14ac:dyDescent="0.25">
      <c r="C123">
        <v>10</v>
      </c>
      <c r="D123">
        <v>304</v>
      </c>
      <c r="E123">
        <v>24.5</v>
      </c>
      <c r="I123">
        <v>2967.3</v>
      </c>
      <c r="J123">
        <v>452.5</v>
      </c>
      <c r="K123">
        <v>97.85</v>
      </c>
      <c r="O123">
        <v>18492</v>
      </c>
      <c r="P123">
        <v>18492</v>
      </c>
      <c r="Q123">
        <v>1719489</v>
      </c>
    </row>
    <row r="124" spans="3:19" x14ac:dyDescent="0.25">
      <c r="C124">
        <v>10</v>
      </c>
      <c r="D124">
        <v>305</v>
      </c>
      <c r="E124">
        <v>11.25</v>
      </c>
      <c r="I124">
        <v>1472.15</v>
      </c>
      <c r="J124">
        <v>212</v>
      </c>
      <c r="K124">
        <v>111.35</v>
      </c>
      <c r="O124">
        <v>20000</v>
      </c>
      <c r="P124">
        <v>20000</v>
      </c>
      <c r="Q124">
        <v>921143</v>
      </c>
    </row>
    <row r="125" spans="3:19" x14ac:dyDescent="0.25">
      <c r="C125">
        <v>10</v>
      </c>
      <c r="D125">
        <v>636</v>
      </c>
      <c r="E125">
        <v>2</v>
      </c>
      <c r="I125">
        <v>315</v>
      </c>
      <c r="J125">
        <v>44.5</v>
      </c>
      <c r="Q125">
        <v>103586</v>
      </c>
    </row>
    <row r="126" spans="3:19" x14ac:dyDescent="0.25">
      <c r="C126">
        <v>10</v>
      </c>
      <c r="D126">
        <v>642</v>
      </c>
      <c r="E126">
        <v>5</v>
      </c>
      <c r="I126">
        <v>635</v>
      </c>
      <c r="J126">
        <v>117</v>
      </c>
      <c r="Q126">
        <v>231313</v>
      </c>
    </row>
    <row r="127" spans="3:19" x14ac:dyDescent="0.25">
      <c r="C127">
        <v>10</v>
      </c>
      <c r="D127" t="s">
        <v>2858</v>
      </c>
      <c r="E127">
        <v>1</v>
      </c>
      <c r="I127">
        <v>160</v>
      </c>
      <c r="Q127">
        <v>36849</v>
      </c>
    </row>
    <row r="128" spans="3:19" x14ac:dyDescent="0.25">
      <c r="C128">
        <v>10</v>
      </c>
      <c r="D128">
        <v>30</v>
      </c>
      <c r="E128">
        <v>1</v>
      </c>
      <c r="I128">
        <v>160</v>
      </c>
      <c r="Q128">
        <v>36849</v>
      </c>
    </row>
    <row r="129" spans="3:19" x14ac:dyDescent="0.25">
      <c r="C129" t="s">
        <v>2868</v>
      </c>
      <c r="E129">
        <v>62.5</v>
      </c>
      <c r="I129">
        <v>8071.6</v>
      </c>
      <c r="J129">
        <v>1092</v>
      </c>
      <c r="K129">
        <v>269.54999999999995</v>
      </c>
      <c r="O129">
        <v>44984</v>
      </c>
      <c r="P129">
        <v>44984</v>
      </c>
      <c r="Q129">
        <v>4558683</v>
      </c>
      <c r="S129">
        <v>4633.4310850439888</v>
      </c>
    </row>
    <row r="130" spans="3:19" x14ac:dyDescent="0.25">
      <c r="C130">
        <v>11</v>
      </c>
      <c r="D130" t="s">
        <v>243</v>
      </c>
      <c r="E130">
        <v>9</v>
      </c>
      <c r="I130">
        <v>1357.5</v>
      </c>
      <c r="J130">
        <v>103</v>
      </c>
      <c r="O130">
        <v>141612</v>
      </c>
      <c r="P130">
        <v>141612</v>
      </c>
      <c r="Q130">
        <v>1121353</v>
      </c>
      <c r="S130">
        <v>2133.4310850439883</v>
      </c>
    </row>
    <row r="131" spans="3:19" x14ac:dyDescent="0.25">
      <c r="C131">
        <v>11</v>
      </c>
      <c r="D131">
        <v>99</v>
      </c>
      <c r="S131">
        <v>2133.4310850439883</v>
      </c>
    </row>
    <row r="132" spans="3:19" x14ac:dyDescent="0.25">
      <c r="C132">
        <v>11</v>
      </c>
      <c r="D132">
        <v>100</v>
      </c>
      <c r="Q132">
        <v>15200</v>
      </c>
    </row>
    <row r="133" spans="3:19" x14ac:dyDescent="0.25">
      <c r="C133">
        <v>11</v>
      </c>
      <c r="D133">
        <v>101</v>
      </c>
      <c r="E133">
        <v>9</v>
      </c>
      <c r="I133">
        <v>1357.5</v>
      </c>
      <c r="J133">
        <v>103</v>
      </c>
      <c r="O133">
        <v>141612</v>
      </c>
      <c r="P133">
        <v>141612</v>
      </c>
      <c r="Q133">
        <v>1106153</v>
      </c>
    </row>
    <row r="134" spans="3:19" x14ac:dyDescent="0.25">
      <c r="C134">
        <v>11</v>
      </c>
      <c r="D134" t="s">
        <v>2857</v>
      </c>
      <c r="E134">
        <v>53.25</v>
      </c>
      <c r="I134">
        <v>6944.39</v>
      </c>
      <c r="J134">
        <v>510</v>
      </c>
      <c r="K134">
        <v>268.02999999999997</v>
      </c>
      <c r="O134">
        <v>710352</v>
      </c>
      <c r="P134">
        <v>710352</v>
      </c>
      <c r="Q134">
        <v>3856748</v>
      </c>
      <c r="R134">
        <v>1710</v>
      </c>
      <c r="S134">
        <v>2500</v>
      </c>
    </row>
    <row r="135" spans="3:19" x14ac:dyDescent="0.25">
      <c r="C135">
        <v>11</v>
      </c>
      <c r="D135">
        <v>303</v>
      </c>
      <c r="E135">
        <v>8</v>
      </c>
      <c r="I135">
        <v>966.04</v>
      </c>
      <c r="J135">
        <v>55</v>
      </c>
      <c r="K135">
        <v>54.96</v>
      </c>
      <c r="O135">
        <v>81252</v>
      </c>
      <c r="P135">
        <v>81252</v>
      </c>
      <c r="Q135">
        <v>450698</v>
      </c>
      <c r="R135">
        <v>1710</v>
      </c>
      <c r="S135">
        <v>2500</v>
      </c>
    </row>
    <row r="136" spans="3:19" x14ac:dyDescent="0.25">
      <c r="C136">
        <v>11</v>
      </c>
      <c r="D136">
        <v>304</v>
      </c>
      <c r="E136">
        <v>24.75</v>
      </c>
      <c r="I136">
        <v>3144.81</v>
      </c>
      <c r="J136">
        <v>242</v>
      </c>
      <c r="K136">
        <v>120.61</v>
      </c>
      <c r="O136">
        <v>346075</v>
      </c>
      <c r="P136">
        <v>346075</v>
      </c>
      <c r="Q136">
        <v>1884405</v>
      </c>
    </row>
    <row r="137" spans="3:19" x14ac:dyDescent="0.25">
      <c r="C137">
        <v>11</v>
      </c>
      <c r="D137">
        <v>305</v>
      </c>
      <c r="E137">
        <v>13.5</v>
      </c>
      <c r="I137">
        <v>1855.54</v>
      </c>
      <c r="J137">
        <v>161</v>
      </c>
      <c r="K137">
        <v>92.46</v>
      </c>
      <c r="O137">
        <v>215351</v>
      </c>
      <c r="P137">
        <v>215351</v>
      </c>
      <c r="Q137">
        <v>1159418</v>
      </c>
    </row>
    <row r="138" spans="3:19" x14ac:dyDescent="0.25">
      <c r="C138">
        <v>11</v>
      </c>
      <c r="D138">
        <v>636</v>
      </c>
      <c r="E138">
        <v>2</v>
      </c>
      <c r="I138">
        <v>225</v>
      </c>
      <c r="J138">
        <v>10</v>
      </c>
      <c r="O138">
        <v>20964</v>
      </c>
      <c r="P138">
        <v>20964</v>
      </c>
      <c r="Q138">
        <v>110137</v>
      </c>
    </row>
    <row r="139" spans="3:19" x14ac:dyDescent="0.25">
      <c r="C139">
        <v>11</v>
      </c>
      <c r="D139">
        <v>642</v>
      </c>
      <c r="E139">
        <v>5</v>
      </c>
      <c r="I139">
        <v>753</v>
      </c>
      <c r="J139">
        <v>42</v>
      </c>
      <c r="O139">
        <v>46710</v>
      </c>
      <c r="P139">
        <v>46710</v>
      </c>
      <c r="Q139">
        <v>252090</v>
      </c>
    </row>
    <row r="140" spans="3:19" x14ac:dyDescent="0.25">
      <c r="C140">
        <v>11</v>
      </c>
      <c r="D140" t="s">
        <v>2858</v>
      </c>
      <c r="E140">
        <v>1</v>
      </c>
      <c r="I140">
        <v>152</v>
      </c>
      <c r="O140">
        <v>12880</v>
      </c>
      <c r="P140">
        <v>12880</v>
      </c>
      <c r="Q140">
        <v>50003</v>
      </c>
    </row>
    <row r="141" spans="3:19" x14ac:dyDescent="0.25">
      <c r="C141">
        <v>11</v>
      </c>
      <c r="D141">
        <v>30</v>
      </c>
      <c r="E141">
        <v>1</v>
      </c>
      <c r="I141">
        <v>152</v>
      </c>
      <c r="O141">
        <v>12880</v>
      </c>
      <c r="P141">
        <v>12880</v>
      </c>
      <c r="Q141">
        <v>50003</v>
      </c>
    </row>
    <row r="142" spans="3:19" x14ac:dyDescent="0.25">
      <c r="C142" t="s">
        <v>2869</v>
      </c>
      <c r="E142">
        <v>63.25</v>
      </c>
      <c r="I142">
        <v>8453.89</v>
      </c>
      <c r="J142">
        <v>613</v>
      </c>
      <c r="K142">
        <v>268.02999999999997</v>
      </c>
      <c r="O142">
        <v>864844</v>
      </c>
      <c r="P142">
        <v>864844</v>
      </c>
      <c r="Q142">
        <v>5028104</v>
      </c>
      <c r="R142">
        <v>1710</v>
      </c>
      <c r="S142">
        <v>4633.4310850439888</v>
      </c>
    </row>
  </sheetData>
  <hyperlinks>
    <hyperlink ref="A2" location="Obsah!A1" display="Zpět na Obsah  KL 01  1.-4.měsíc" xr:uid="{8E568327-D2FF-4638-802C-3F59FC11F2AF}"/>
  </hyperlinks>
  <pageMargins left="0.7" right="0.7" top="0.78740157499999996" bottom="0.78740157499999996" header="0.3" footer="0.3"/>
  <tableParts count="1">
    <tablePart r:id="rId1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List3">
    <tabColor theme="5" tint="0.39997558519241921"/>
    <outlinePr summaryRight="0"/>
    <pageSetUpPr fitToPage="1"/>
  </sheetPr>
  <dimension ref="A1:AB14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ColWidth="8.85546875" defaultRowHeight="14.45" customHeight="1" outlineLevelCol="1" x14ac:dyDescent="0.2"/>
  <cols>
    <col min="1" max="1" width="50" style="233" customWidth="1" collapsed="1"/>
    <col min="2" max="2" width="7.7109375" style="201" hidden="1" customWidth="1" outlineLevel="1"/>
    <col min="3" max="4" width="5.42578125" style="233" hidden="1" customWidth="1"/>
    <col min="5" max="5" width="7.7109375" style="201" customWidth="1"/>
    <col min="6" max="6" width="7.7109375" style="201" hidden="1" customWidth="1"/>
    <col min="7" max="7" width="5.42578125" style="233" hidden="1" customWidth="1"/>
    <col min="8" max="8" width="7.7109375" style="201" customWidth="1" collapsed="1"/>
    <col min="9" max="9" width="7.7109375" style="315" hidden="1" customWidth="1" outlineLevel="1"/>
    <col min="10" max="10" width="7.7109375" style="315" customWidth="1" collapsed="1"/>
    <col min="11" max="12" width="7.7109375" style="201" hidden="1" customWidth="1"/>
    <col min="13" max="13" width="5.42578125" style="233" hidden="1" customWidth="1"/>
    <col min="14" max="14" width="7.7109375" style="201" customWidth="1"/>
    <col min="15" max="15" width="7.7109375" style="201" hidden="1" customWidth="1"/>
    <col min="16" max="16" width="5.42578125" style="233" hidden="1" customWidth="1"/>
    <col min="17" max="17" width="7.7109375" style="201" customWidth="1" collapsed="1"/>
    <col min="18" max="18" width="7.7109375" style="315" hidden="1" customWidth="1" outlineLevel="1"/>
    <col min="19" max="19" width="7.7109375" style="315" customWidth="1" collapsed="1"/>
    <col min="20" max="21" width="7.7109375" style="201" hidden="1" customWidth="1"/>
    <col min="22" max="22" width="5" style="233" hidden="1" customWidth="1"/>
    <col min="23" max="23" width="7.7109375" style="201" customWidth="1"/>
    <col min="24" max="24" width="7.7109375" style="201" hidden="1" customWidth="1"/>
    <col min="25" max="25" width="5" style="233" hidden="1" customWidth="1"/>
    <col min="26" max="26" width="7.7109375" style="201" customWidth="1" collapsed="1"/>
    <col min="27" max="27" width="7.7109375" style="315" hidden="1" customWidth="1" outlineLevel="1"/>
    <col min="28" max="28" width="7.7109375" style="315" customWidth="1" collapsed="1"/>
    <col min="29" max="16384" width="8.85546875" style="233"/>
  </cols>
  <sheetData>
    <row r="1" spans="1:28" ht="18.600000000000001" customHeight="1" thickBot="1" x14ac:dyDescent="0.35">
      <c r="A1" s="591" t="s">
        <v>2892</v>
      </c>
      <c r="B1" s="496"/>
      <c r="C1" s="496"/>
      <c r="D1" s="496"/>
      <c r="E1" s="496"/>
      <c r="F1" s="496"/>
      <c r="G1" s="496"/>
      <c r="H1" s="496"/>
      <c r="I1" s="496"/>
      <c r="J1" s="496"/>
      <c r="K1" s="496"/>
      <c r="L1" s="496"/>
      <c r="M1" s="496"/>
      <c r="N1" s="496"/>
      <c r="O1" s="496"/>
      <c r="P1" s="496"/>
      <c r="Q1" s="496"/>
      <c r="R1" s="496"/>
      <c r="S1" s="496"/>
      <c r="T1" s="496"/>
      <c r="U1" s="496"/>
      <c r="V1" s="496"/>
      <c r="W1" s="496"/>
      <c r="X1" s="496"/>
      <c r="Y1" s="496"/>
      <c r="Z1" s="496"/>
      <c r="AA1" s="496"/>
      <c r="AB1" s="496"/>
    </row>
    <row r="2" spans="1:28" ht="14.45" customHeight="1" thickBot="1" x14ac:dyDescent="0.25">
      <c r="A2" s="350" t="s">
        <v>305</v>
      </c>
      <c r="B2" s="206"/>
      <c r="C2" s="206"/>
      <c r="D2" s="206"/>
      <c r="E2" s="206"/>
      <c r="F2" s="206"/>
      <c r="G2" s="206"/>
      <c r="H2" s="206"/>
      <c r="I2" s="328"/>
      <c r="J2" s="328"/>
      <c r="K2" s="206"/>
      <c r="L2" s="206"/>
      <c r="M2" s="206"/>
      <c r="N2" s="206"/>
      <c r="O2" s="206"/>
      <c r="P2" s="206"/>
      <c r="Q2" s="206"/>
      <c r="R2" s="328"/>
      <c r="S2" s="328"/>
      <c r="T2" s="206"/>
      <c r="U2" s="206"/>
      <c r="V2" s="206"/>
      <c r="W2" s="206"/>
      <c r="X2" s="206"/>
      <c r="Y2" s="206"/>
      <c r="Z2" s="206"/>
      <c r="AA2" s="328"/>
      <c r="AB2" s="328"/>
    </row>
    <row r="3" spans="1:28" ht="14.45" customHeight="1" thickBot="1" x14ac:dyDescent="0.25">
      <c r="A3" s="321" t="s">
        <v>143</v>
      </c>
      <c r="B3" s="322">
        <f>SUBTOTAL(9,B6:B1048576)/4</f>
        <v>0</v>
      </c>
      <c r="C3" s="323">
        <f t="shared" ref="C3:Z3" si="0">SUBTOTAL(9,C6:C1048576)</f>
        <v>0</v>
      </c>
      <c r="D3" s="323"/>
      <c r="E3" s="323">
        <f>SUBTOTAL(9,E6:E1048576)/4</f>
        <v>0</v>
      </c>
      <c r="F3" s="323"/>
      <c r="G3" s="323">
        <f t="shared" si="0"/>
        <v>0</v>
      </c>
      <c r="H3" s="323">
        <f>SUBTOTAL(9,H6:H1048576)/4</f>
        <v>0</v>
      </c>
      <c r="I3" s="326" t="str">
        <f>IF(B3&lt;&gt;0,H3/B3,"")</f>
        <v/>
      </c>
      <c r="J3" s="324" t="str">
        <f>IF(E3&lt;&gt;0,H3/E3,"")</f>
        <v/>
      </c>
      <c r="K3" s="325">
        <f t="shared" si="0"/>
        <v>0</v>
      </c>
      <c r="L3" s="325"/>
      <c r="M3" s="323">
        <f t="shared" si="0"/>
        <v>0</v>
      </c>
      <c r="N3" s="323">
        <f t="shared" si="0"/>
        <v>0</v>
      </c>
      <c r="O3" s="323"/>
      <c r="P3" s="323">
        <f t="shared" si="0"/>
        <v>0</v>
      </c>
      <c r="Q3" s="323">
        <f t="shared" si="0"/>
        <v>0</v>
      </c>
      <c r="R3" s="326" t="str">
        <f>IF(K3&lt;&gt;0,Q3/K3,"")</f>
        <v/>
      </c>
      <c r="S3" s="326" t="str">
        <f>IF(N3&lt;&gt;0,Q3/N3,"")</f>
        <v/>
      </c>
      <c r="T3" s="322">
        <f t="shared" si="0"/>
        <v>0</v>
      </c>
      <c r="U3" s="325"/>
      <c r="V3" s="323">
        <f t="shared" si="0"/>
        <v>0</v>
      </c>
      <c r="W3" s="323">
        <f t="shared" si="0"/>
        <v>0</v>
      </c>
      <c r="X3" s="323"/>
      <c r="Y3" s="323">
        <f t="shared" si="0"/>
        <v>0</v>
      </c>
      <c r="Z3" s="323">
        <f t="shared" si="0"/>
        <v>0</v>
      </c>
      <c r="AA3" s="326" t="str">
        <f>IF(T3&lt;&gt;0,Z3/T3,"")</f>
        <v/>
      </c>
      <c r="AB3" s="324" t="str">
        <f>IF(W3&lt;&gt;0,Z3/W3,"")</f>
        <v/>
      </c>
    </row>
    <row r="4" spans="1:28" ht="14.45" customHeight="1" x14ac:dyDescent="0.2">
      <c r="A4" s="592" t="s">
        <v>232</v>
      </c>
      <c r="B4" s="593" t="s">
        <v>109</v>
      </c>
      <c r="C4" s="594"/>
      <c r="D4" s="595"/>
      <c r="E4" s="594"/>
      <c r="F4" s="595"/>
      <c r="G4" s="594"/>
      <c r="H4" s="594"/>
      <c r="I4" s="595"/>
      <c r="J4" s="596"/>
      <c r="K4" s="593" t="s">
        <v>110</v>
      </c>
      <c r="L4" s="595"/>
      <c r="M4" s="594"/>
      <c r="N4" s="594"/>
      <c r="O4" s="595"/>
      <c r="P4" s="594"/>
      <c r="Q4" s="594"/>
      <c r="R4" s="595"/>
      <c r="S4" s="596"/>
      <c r="T4" s="593" t="s">
        <v>111</v>
      </c>
      <c r="U4" s="595"/>
      <c r="V4" s="594"/>
      <c r="W4" s="594"/>
      <c r="X4" s="595"/>
      <c r="Y4" s="594"/>
      <c r="Z4" s="594"/>
      <c r="AA4" s="595"/>
      <c r="AB4" s="596"/>
    </row>
    <row r="5" spans="1:28" ht="14.45" customHeight="1" thickBot="1" x14ac:dyDescent="0.25">
      <c r="A5" s="752"/>
      <c r="B5" s="753">
        <v>2019</v>
      </c>
      <c r="C5" s="754"/>
      <c r="D5" s="754"/>
      <c r="E5" s="754">
        <v>2020</v>
      </c>
      <c r="F5" s="754"/>
      <c r="G5" s="754"/>
      <c r="H5" s="754">
        <v>2021</v>
      </c>
      <c r="I5" s="755" t="s">
        <v>301</v>
      </c>
      <c r="J5" s="756" t="s">
        <v>2</v>
      </c>
      <c r="K5" s="753">
        <v>2015</v>
      </c>
      <c r="L5" s="754"/>
      <c r="M5" s="754"/>
      <c r="N5" s="754">
        <v>2020</v>
      </c>
      <c r="O5" s="754"/>
      <c r="P5" s="754"/>
      <c r="Q5" s="754">
        <v>2021</v>
      </c>
      <c r="R5" s="755" t="s">
        <v>301</v>
      </c>
      <c r="S5" s="756" t="s">
        <v>2</v>
      </c>
      <c r="T5" s="753">
        <v>2015</v>
      </c>
      <c r="U5" s="754"/>
      <c r="V5" s="754"/>
      <c r="W5" s="754">
        <v>2020</v>
      </c>
      <c r="X5" s="754"/>
      <c r="Y5" s="754"/>
      <c r="Z5" s="754">
        <v>2021</v>
      </c>
      <c r="AA5" s="755" t="s">
        <v>301</v>
      </c>
      <c r="AB5" s="756" t="s">
        <v>2</v>
      </c>
    </row>
    <row r="6" spans="1:28" ht="14.45" customHeight="1" x14ac:dyDescent="0.25">
      <c r="A6" s="757" t="s">
        <v>2890</v>
      </c>
      <c r="B6" s="758">
        <v>0</v>
      </c>
      <c r="C6" s="759"/>
      <c r="D6" s="759"/>
      <c r="E6" s="758"/>
      <c r="F6" s="759"/>
      <c r="G6" s="759"/>
      <c r="H6" s="758"/>
      <c r="I6" s="759"/>
      <c r="J6" s="759"/>
      <c r="K6" s="758"/>
      <c r="L6" s="759"/>
      <c r="M6" s="759"/>
      <c r="N6" s="758"/>
      <c r="O6" s="759"/>
      <c r="P6" s="759"/>
      <c r="Q6" s="758"/>
      <c r="R6" s="759"/>
      <c r="S6" s="759"/>
      <c r="T6" s="758"/>
      <c r="U6" s="759"/>
      <c r="V6" s="759"/>
      <c r="W6" s="758"/>
      <c r="X6" s="759"/>
      <c r="Y6" s="759"/>
      <c r="Z6" s="758"/>
      <c r="AA6" s="759"/>
      <c r="AB6" s="760"/>
    </row>
    <row r="7" spans="1:28" ht="14.45" customHeight="1" thickBot="1" x14ac:dyDescent="0.3">
      <c r="A7" s="764" t="s">
        <v>2891</v>
      </c>
      <c r="B7" s="761">
        <v>0</v>
      </c>
      <c r="C7" s="762"/>
      <c r="D7" s="762"/>
      <c r="E7" s="761"/>
      <c r="F7" s="762"/>
      <c r="G7" s="762"/>
      <c r="H7" s="761"/>
      <c r="I7" s="762"/>
      <c r="J7" s="762"/>
      <c r="K7" s="761"/>
      <c r="L7" s="762"/>
      <c r="M7" s="762"/>
      <c r="N7" s="761"/>
      <c r="O7" s="762"/>
      <c r="P7" s="762"/>
      <c r="Q7" s="761"/>
      <c r="R7" s="762"/>
      <c r="S7" s="762"/>
      <c r="T7" s="761"/>
      <c r="U7" s="762"/>
      <c r="V7" s="762"/>
      <c r="W7" s="761"/>
      <c r="X7" s="762"/>
      <c r="Y7" s="762"/>
      <c r="Z7" s="761"/>
      <c r="AA7" s="762"/>
      <c r="AB7" s="763"/>
    </row>
    <row r="8" spans="1:28" ht="14.45" customHeight="1" thickBot="1" x14ac:dyDescent="0.25"/>
    <row r="9" spans="1:28" ht="14.45" customHeight="1" x14ac:dyDescent="0.25">
      <c r="A9" s="757" t="s">
        <v>550</v>
      </c>
      <c r="B9" s="758">
        <v>0</v>
      </c>
      <c r="C9" s="759"/>
      <c r="D9" s="759"/>
      <c r="E9" s="758"/>
      <c r="F9" s="759"/>
      <c r="G9" s="759"/>
      <c r="H9" s="758"/>
      <c r="I9" s="759"/>
      <c r="J9" s="760"/>
    </row>
    <row r="10" spans="1:28" ht="14.45" customHeight="1" thickBot="1" x14ac:dyDescent="0.3">
      <c r="A10" s="764" t="s">
        <v>2893</v>
      </c>
      <c r="B10" s="761">
        <v>0</v>
      </c>
      <c r="C10" s="762"/>
      <c r="D10" s="762"/>
      <c r="E10" s="761"/>
      <c r="F10" s="762"/>
      <c r="G10" s="762"/>
      <c r="H10" s="761"/>
      <c r="I10" s="762"/>
      <c r="J10" s="763"/>
    </row>
    <row r="11" spans="1:28" ht="14.45" customHeight="1" x14ac:dyDescent="0.2">
      <c r="A11" s="765" t="s">
        <v>272</v>
      </c>
    </row>
    <row r="12" spans="1:28" ht="14.45" customHeight="1" x14ac:dyDescent="0.2">
      <c r="A12" s="766" t="s">
        <v>2894</v>
      </c>
    </row>
    <row r="13" spans="1:28" ht="14.45" customHeight="1" x14ac:dyDescent="0.2">
      <c r="A13" s="765" t="s">
        <v>2895</v>
      </c>
    </row>
    <row r="14" spans="1:28" ht="14.45" customHeight="1" x14ac:dyDescent="0.2">
      <c r="A14" s="765" t="s">
        <v>2896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21" priority="4" stopIfTrue="1" operator="lessThan">
      <formula>0.95</formula>
    </cfRule>
  </conditionalFormatting>
  <hyperlinks>
    <hyperlink ref="A2" location="Obsah!A1" display="Zpět na Obsah  KL 01  1.-4.měsíc" xr:uid="{664C79C1-D5F6-46AE-9E9E-620C91CBDF4B}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List57">
    <tabColor theme="0" tint="-0.249977111117893"/>
    <pageSetUpPr fitToPage="1"/>
  </sheetPr>
  <dimension ref="A1:G9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ColWidth="8.85546875" defaultRowHeight="14.45" customHeight="1" outlineLevelCol="1" x14ac:dyDescent="0.2"/>
  <cols>
    <col min="1" max="1" width="46.7109375" style="233" bestFit="1" customWidth="1"/>
    <col min="2" max="2" width="7.7109375" style="312" hidden="1" customWidth="1" outlineLevel="1"/>
    <col min="3" max="3" width="7.7109375" style="312" customWidth="1" collapsed="1"/>
    <col min="4" max="4" width="7.7109375" style="312" customWidth="1"/>
    <col min="5" max="5" width="7.7109375" style="201" hidden="1" customWidth="1" outlineLevel="1"/>
    <col min="6" max="6" width="7.7109375" style="201" customWidth="1" collapsed="1"/>
    <col min="7" max="7" width="7.7109375" style="201" customWidth="1"/>
    <col min="8" max="16384" width="8.85546875" style="233"/>
  </cols>
  <sheetData>
    <row r="1" spans="1:7" ht="18.600000000000001" customHeight="1" thickBot="1" x14ac:dyDescent="0.35">
      <c r="A1" s="591" t="s">
        <v>2897</v>
      </c>
      <c r="B1" s="496"/>
      <c r="C1" s="496"/>
      <c r="D1" s="496"/>
      <c r="E1" s="496"/>
      <c r="F1" s="496"/>
      <c r="G1" s="496"/>
    </row>
    <row r="2" spans="1:7" ht="14.45" customHeight="1" thickBot="1" x14ac:dyDescent="0.25">
      <c r="A2" s="350" t="s">
        <v>305</v>
      </c>
      <c r="B2" s="206"/>
      <c r="C2" s="206"/>
      <c r="D2" s="206"/>
      <c r="E2" s="206"/>
      <c r="F2" s="206"/>
      <c r="G2" s="206"/>
    </row>
    <row r="3" spans="1:7" ht="14.45" customHeight="1" thickBot="1" x14ac:dyDescent="0.25">
      <c r="A3" s="418" t="s">
        <v>143</v>
      </c>
      <c r="B3" s="382">
        <f t="shared" ref="B3:G3" si="0">SUBTOTAL(9,B6:B1048576)</f>
        <v>0</v>
      </c>
      <c r="C3" s="383">
        <f t="shared" si="0"/>
        <v>0</v>
      </c>
      <c r="D3" s="417">
        <f t="shared" si="0"/>
        <v>0</v>
      </c>
      <c r="E3" s="325">
        <f t="shared" si="0"/>
        <v>0</v>
      </c>
      <c r="F3" s="323">
        <f t="shared" si="0"/>
        <v>0</v>
      </c>
      <c r="G3" s="384">
        <f t="shared" si="0"/>
        <v>0</v>
      </c>
    </row>
    <row r="4" spans="1:7" ht="14.45" customHeight="1" x14ac:dyDescent="0.2">
      <c r="A4" s="592" t="s">
        <v>151</v>
      </c>
      <c r="B4" s="597" t="s">
        <v>230</v>
      </c>
      <c r="C4" s="595"/>
      <c r="D4" s="598"/>
      <c r="E4" s="597" t="s">
        <v>109</v>
      </c>
      <c r="F4" s="595"/>
      <c r="G4" s="598"/>
    </row>
    <row r="5" spans="1:7" ht="14.45" customHeight="1" thickBot="1" x14ac:dyDescent="0.25">
      <c r="A5" s="752"/>
      <c r="B5" s="753">
        <v>2019</v>
      </c>
      <c r="C5" s="754">
        <v>2020</v>
      </c>
      <c r="D5" s="767">
        <v>2021</v>
      </c>
      <c r="E5" s="753">
        <v>2019</v>
      </c>
      <c r="F5" s="754">
        <v>2020</v>
      </c>
      <c r="G5" s="767">
        <v>2021</v>
      </c>
    </row>
    <row r="6" spans="1:7" ht="14.45" customHeight="1" thickBot="1" x14ac:dyDescent="0.25">
      <c r="A6" s="770" t="s">
        <v>2893</v>
      </c>
      <c r="B6" s="718">
        <v>0</v>
      </c>
      <c r="C6" s="718"/>
      <c r="D6" s="718"/>
      <c r="E6" s="768">
        <v>0</v>
      </c>
      <c r="F6" s="768"/>
      <c r="G6" s="769"/>
    </row>
    <row r="7" spans="1:7" ht="14.45" customHeight="1" x14ac:dyDescent="0.2">
      <c r="A7" s="765" t="s">
        <v>272</v>
      </c>
    </row>
    <row r="8" spans="1:7" ht="14.45" customHeight="1" x14ac:dyDescent="0.2">
      <c r="A8" s="766" t="s">
        <v>2894</v>
      </c>
    </row>
    <row r="9" spans="1:7" ht="14.45" customHeight="1" x14ac:dyDescent="0.2">
      <c r="A9" s="765" t="s">
        <v>2895</v>
      </c>
    </row>
  </sheetData>
  <autoFilter ref="A4:A5" xr:uid="{00000000-0009-0000-0000-000021000000}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 xr:uid="{E8360E64-D400-4726-936B-B6BE9E5252D0}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List2">
    <tabColor theme="0" tint="-0.249977111117893"/>
    <outlinePr summaryRight="0"/>
    <pageSetUpPr fitToPage="1"/>
  </sheetPr>
  <dimension ref="A1:R6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ColWidth="8.85546875" defaultRowHeight="14.45" customHeight="1" outlineLevelCol="1" x14ac:dyDescent="0.2"/>
  <cols>
    <col min="1" max="1" width="3.28515625" style="233" customWidth="1"/>
    <col min="2" max="2" width="8.7109375" style="233" bestFit="1" customWidth="1"/>
    <col min="3" max="3" width="6.140625" style="233" customWidth="1"/>
    <col min="4" max="4" width="2.140625" style="233" bestFit="1" customWidth="1"/>
    <col min="5" max="5" width="8" style="233" customWidth="1"/>
    <col min="6" max="6" width="50.85546875" style="233" bestFit="1" customWidth="1" collapsed="1"/>
    <col min="7" max="8" width="11.140625" style="312" hidden="1" customWidth="1" outlineLevel="1"/>
    <col min="9" max="10" width="9.28515625" style="233" hidden="1" customWidth="1"/>
    <col min="11" max="12" width="11.140625" style="312" customWidth="1"/>
    <col min="13" max="14" width="9.28515625" style="233" hidden="1" customWidth="1"/>
    <col min="15" max="16" width="11.140625" style="312" customWidth="1"/>
    <col min="17" max="17" width="11.140625" style="315" customWidth="1"/>
    <col min="18" max="18" width="11.140625" style="312" customWidth="1"/>
    <col min="19" max="16384" width="8.85546875" style="233"/>
  </cols>
  <sheetData>
    <row r="1" spans="1:18" ht="18.600000000000001" customHeight="1" thickBot="1" x14ac:dyDescent="0.35">
      <c r="A1" s="496" t="s">
        <v>2902</v>
      </c>
      <c r="B1" s="528"/>
      <c r="C1" s="528"/>
      <c r="D1" s="528"/>
      <c r="E1" s="528"/>
      <c r="F1" s="528"/>
      <c r="G1" s="528"/>
      <c r="H1" s="528"/>
      <c r="I1" s="528"/>
      <c r="J1" s="528"/>
      <c r="K1" s="528"/>
      <c r="L1" s="528"/>
      <c r="M1" s="528"/>
      <c r="N1" s="528"/>
      <c r="O1" s="528"/>
      <c r="P1" s="528"/>
      <c r="Q1" s="528"/>
      <c r="R1" s="528"/>
    </row>
    <row r="2" spans="1:18" ht="14.45" customHeight="1" thickBot="1" x14ac:dyDescent="0.25">
      <c r="A2" s="350" t="s">
        <v>305</v>
      </c>
      <c r="B2" s="302"/>
      <c r="C2" s="302"/>
      <c r="D2" s="206"/>
      <c r="E2" s="206"/>
      <c r="F2" s="206"/>
      <c r="G2" s="331"/>
      <c r="H2" s="331"/>
      <c r="I2" s="206"/>
      <c r="J2" s="206"/>
      <c r="K2" s="331"/>
      <c r="L2" s="331"/>
      <c r="M2" s="206"/>
      <c r="N2" s="206"/>
      <c r="O2" s="331"/>
      <c r="P2" s="331"/>
      <c r="Q2" s="328"/>
      <c r="R2" s="331"/>
    </row>
    <row r="3" spans="1:18" ht="14.45" customHeight="1" thickBot="1" x14ac:dyDescent="0.25">
      <c r="F3" s="98" t="s">
        <v>143</v>
      </c>
      <c r="G3" s="193">
        <f t="shared" ref="G3:P3" si="0">SUBTOTAL(9,G6:G1048576)</f>
        <v>0</v>
      </c>
      <c r="H3" s="194">
        <f t="shared" si="0"/>
        <v>0</v>
      </c>
      <c r="I3" s="70"/>
      <c r="J3" s="70"/>
      <c r="K3" s="194">
        <f t="shared" si="0"/>
        <v>0</v>
      </c>
      <c r="L3" s="194">
        <f t="shared" si="0"/>
        <v>0</v>
      </c>
      <c r="M3" s="70"/>
      <c r="N3" s="70"/>
      <c r="O3" s="194">
        <f t="shared" si="0"/>
        <v>0</v>
      </c>
      <c r="P3" s="194">
        <f t="shared" si="0"/>
        <v>0</v>
      </c>
      <c r="Q3" s="71">
        <f>IF(L3=0,0,P3/L3)</f>
        <v>0</v>
      </c>
      <c r="R3" s="195">
        <f>IF(O3=0,0,P3/O3)</f>
        <v>0</v>
      </c>
    </row>
    <row r="4" spans="1:18" ht="14.45" customHeight="1" x14ac:dyDescent="0.2">
      <c r="A4" s="599" t="s">
        <v>237</v>
      </c>
      <c r="B4" s="599" t="s">
        <v>105</v>
      </c>
      <c r="C4" s="607" t="s">
        <v>0</v>
      </c>
      <c r="D4" s="601" t="s">
        <v>106</v>
      </c>
      <c r="E4" s="606" t="s">
        <v>76</v>
      </c>
      <c r="F4" s="602" t="s">
        <v>67</v>
      </c>
      <c r="G4" s="603">
        <v>2019</v>
      </c>
      <c r="H4" s="604"/>
      <c r="I4" s="192"/>
      <c r="J4" s="192"/>
      <c r="K4" s="603">
        <v>2020</v>
      </c>
      <c r="L4" s="604"/>
      <c r="M4" s="192"/>
      <c r="N4" s="192"/>
      <c r="O4" s="603">
        <v>2021</v>
      </c>
      <c r="P4" s="604"/>
      <c r="Q4" s="605" t="s">
        <v>2</v>
      </c>
      <c r="R4" s="600" t="s">
        <v>108</v>
      </c>
    </row>
    <row r="5" spans="1:18" ht="14.45" customHeight="1" thickBot="1" x14ac:dyDescent="0.25">
      <c r="A5" s="771"/>
      <c r="B5" s="771"/>
      <c r="C5" s="772"/>
      <c r="D5" s="773"/>
      <c r="E5" s="774"/>
      <c r="F5" s="775"/>
      <c r="G5" s="776" t="s">
        <v>77</v>
      </c>
      <c r="H5" s="777" t="s">
        <v>14</v>
      </c>
      <c r="I5" s="778"/>
      <c r="J5" s="778"/>
      <c r="K5" s="776" t="s">
        <v>77</v>
      </c>
      <c r="L5" s="777" t="s">
        <v>14</v>
      </c>
      <c r="M5" s="778"/>
      <c r="N5" s="778"/>
      <c r="O5" s="776" t="s">
        <v>77</v>
      </c>
      <c r="P5" s="777" t="s">
        <v>14</v>
      </c>
      <c r="Q5" s="779"/>
      <c r="R5" s="780"/>
    </row>
    <row r="6" spans="1:18" ht="14.45" customHeight="1" thickBot="1" x14ac:dyDescent="0.25">
      <c r="A6" s="717"/>
      <c r="B6" s="781" t="s">
        <v>2898</v>
      </c>
      <c r="C6" s="781" t="s">
        <v>550</v>
      </c>
      <c r="D6" s="781" t="s">
        <v>2899</v>
      </c>
      <c r="E6" s="781" t="s">
        <v>2900</v>
      </c>
      <c r="F6" s="781" t="s">
        <v>2901</v>
      </c>
      <c r="G6" s="718">
        <v>0</v>
      </c>
      <c r="H6" s="718">
        <v>0</v>
      </c>
      <c r="I6" s="781"/>
      <c r="J6" s="781"/>
      <c r="K6" s="718"/>
      <c r="L6" s="718"/>
      <c r="M6" s="781"/>
      <c r="N6" s="781"/>
      <c r="O6" s="718"/>
      <c r="P6" s="718"/>
      <c r="Q6" s="371"/>
      <c r="R6" s="719"/>
    </row>
  </sheetData>
  <autoFilter ref="A5:R5" xr:uid="{00000000-0009-0000-0000-000022000000}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 xr:uid="{E277069A-41B7-4BB2-8409-9919B018F899}"/>
  </hyperlinks>
  <pageMargins left="0.25" right="0.25" top="0.75" bottom="0.75" header="0.3" footer="0.3"/>
  <pageSetup paperSize="9" scale="7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List58">
    <tabColor theme="0" tint="-0.249977111117893"/>
    <outlinePr summaryRight="0"/>
    <pageSetUpPr fitToPage="1"/>
  </sheetPr>
  <dimension ref="A1:S6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ColWidth="8.85546875" defaultRowHeight="14.45" customHeight="1" outlineLevelCol="1" x14ac:dyDescent="0.2"/>
  <cols>
    <col min="1" max="1" width="3.28515625" style="233" customWidth="1"/>
    <col min="2" max="2" width="8.7109375" style="233" bestFit="1" customWidth="1"/>
    <col min="3" max="3" width="6.140625" style="233" customWidth="1"/>
    <col min="4" max="4" width="27.7109375" style="233" customWidth="1"/>
    <col min="5" max="5" width="2.140625" style="233" bestFit="1" customWidth="1"/>
    <col min="6" max="6" width="8" style="233" customWidth="1"/>
    <col min="7" max="7" width="50.85546875" style="233" bestFit="1" customWidth="1" collapsed="1"/>
    <col min="8" max="9" width="11.140625" style="312" hidden="1" customWidth="1" outlineLevel="1"/>
    <col min="10" max="11" width="9.28515625" style="233" hidden="1" customWidth="1"/>
    <col min="12" max="13" width="11.140625" style="312" customWidth="1"/>
    <col min="14" max="15" width="9.28515625" style="233" hidden="1" customWidth="1"/>
    <col min="16" max="17" width="11.140625" style="312" customWidth="1"/>
    <col min="18" max="18" width="11.140625" style="315" customWidth="1"/>
    <col min="19" max="19" width="11.140625" style="312" customWidth="1"/>
    <col min="20" max="16384" width="8.85546875" style="233"/>
  </cols>
  <sheetData>
    <row r="1" spans="1:19" ht="18.600000000000001" customHeight="1" thickBot="1" x14ac:dyDescent="0.35">
      <c r="A1" s="496" t="s">
        <v>2903</v>
      </c>
      <c r="B1" s="528"/>
      <c r="C1" s="528"/>
      <c r="D1" s="528"/>
      <c r="E1" s="528"/>
      <c r="F1" s="528"/>
      <c r="G1" s="528"/>
      <c r="H1" s="528"/>
      <c r="I1" s="528"/>
      <c r="J1" s="528"/>
      <c r="K1" s="528"/>
      <c r="L1" s="528"/>
      <c r="M1" s="528"/>
      <c r="N1" s="528"/>
      <c r="O1" s="528"/>
      <c r="P1" s="528"/>
      <c r="Q1" s="528"/>
      <c r="R1" s="528"/>
      <c r="S1" s="528"/>
    </row>
    <row r="2" spans="1:19" ht="14.45" customHeight="1" thickBot="1" x14ac:dyDescent="0.25">
      <c r="A2" s="350" t="s">
        <v>305</v>
      </c>
      <c r="B2" s="302"/>
      <c r="C2" s="302"/>
      <c r="D2" s="302"/>
      <c r="E2" s="206"/>
      <c r="F2" s="206"/>
      <c r="G2" s="206"/>
      <c r="H2" s="331"/>
      <c r="I2" s="331"/>
      <c r="J2" s="206"/>
      <c r="K2" s="206"/>
      <c r="L2" s="331"/>
      <c r="M2" s="331"/>
      <c r="N2" s="206"/>
      <c r="O2" s="206"/>
      <c r="P2" s="331"/>
      <c r="Q2" s="331"/>
      <c r="R2" s="328"/>
      <c r="S2" s="331"/>
    </row>
    <row r="3" spans="1:19" ht="14.45" customHeight="1" thickBot="1" x14ac:dyDescent="0.25">
      <c r="G3" s="98" t="s">
        <v>143</v>
      </c>
      <c r="H3" s="193">
        <f t="shared" ref="H3:Q3" si="0">SUBTOTAL(9,H6:H1048576)</f>
        <v>0</v>
      </c>
      <c r="I3" s="194">
        <f t="shared" si="0"/>
        <v>0</v>
      </c>
      <c r="J3" s="70"/>
      <c r="K3" s="70"/>
      <c r="L3" s="194">
        <f t="shared" si="0"/>
        <v>0</v>
      </c>
      <c r="M3" s="194">
        <f t="shared" si="0"/>
        <v>0</v>
      </c>
      <c r="N3" s="70"/>
      <c r="O3" s="70"/>
      <c r="P3" s="194">
        <f t="shared" si="0"/>
        <v>0</v>
      </c>
      <c r="Q3" s="194">
        <f t="shared" si="0"/>
        <v>0</v>
      </c>
      <c r="R3" s="71">
        <f>IF(M3=0,0,Q3/M3)</f>
        <v>0</v>
      </c>
      <c r="S3" s="195">
        <f>IF(P3=0,0,Q3/P3)</f>
        <v>0</v>
      </c>
    </row>
    <row r="4" spans="1:19" ht="14.45" customHeight="1" x14ac:dyDescent="0.2">
      <c r="A4" s="599" t="s">
        <v>237</v>
      </c>
      <c r="B4" s="599" t="s">
        <v>105</v>
      </c>
      <c r="C4" s="607" t="s">
        <v>0</v>
      </c>
      <c r="D4" s="410" t="s">
        <v>151</v>
      </c>
      <c r="E4" s="601" t="s">
        <v>106</v>
      </c>
      <c r="F4" s="606" t="s">
        <v>76</v>
      </c>
      <c r="G4" s="602" t="s">
        <v>67</v>
      </c>
      <c r="H4" s="603">
        <v>2019</v>
      </c>
      <c r="I4" s="604"/>
      <c r="J4" s="192"/>
      <c r="K4" s="192"/>
      <c r="L4" s="603">
        <v>2020</v>
      </c>
      <c r="M4" s="604"/>
      <c r="N4" s="192"/>
      <c r="O4" s="192"/>
      <c r="P4" s="603">
        <v>2021</v>
      </c>
      <c r="Q4" s="604"/>
      <c r="R4" s="605" t="s">
        <v>2</v>
      </c>
      <c r="S4" s="600" t="s">
        <v>108</v>
      </c>
    </row>
    <row r="5" spans="1:19" ht="14.45" customHeight="1" thickBot="1" x14ac:dyDescent="0.25">
      <c r="A5" s="771"/>
      <c r="B5" s="771"/>
      <c r="C5" s="772"/>
      <c r="D5" s="782"/>
      <c r="E5" s="773"/>
      <c r="F5" s="774"/>
      <c r="G5" s="775"/>
      <c r="H5" s="776" t="s">
        <v>77</v>
      </c>
      <c r="I5" s="777" t="s">
        <v>14</v>
      </c>
      <c r="J5" s="778"/>
      <c r="K5" s="778"/>
      <c r="L5" s="776" t="s">
        <v>77</v>
      </c>
      <c r="M5" s="777" t="s">
        <v>14</v>
      </c>
      <c r="N5" s="778"/>
      <c r="O5" s="778"/>
      <c r="P5" s="776" t="s">
        <v>77</v>
      </c>
      <c r="Q5" s="777" t="s">
        <v>14</v>
      </c>
      <c r="R5" s="779"/>
      <c r="S5" s="780"/>
    </row>
    <row r="6" spans="1:19" ht="14.45" customHeight="1" thickBot="1" x14ac:dyDescent="0.25">
      <c r="A6" s="717"/>
      <c r="B6" s="781" t="s">
        <v>2898</v>
      </c>
      <c r="C6" s="781" t="s">
        <v>550</v>
      </c>
      <c r="D6" s="781" t="s">
        <v>2893</v>
      </c>
      <c r="E6" s="781" t="s">
        <v>2899</v>
      </c>
      <c r="F6" s="781" t="s">
        <v>2900</v>
      </c>
      <c r="G6" s="781" t="s">
        <v>2901</v>
      </c>
      <c r="H6" s="718">
        <v>0</v>
      </c>
      <c r="I6" s="718">
        <v>0</v>
      </c>
      <c r="J6" s="781"/>
      <c r="K6" s="781"/>
      <c r="L6" s="718"/>
      <c r="M6" s="718"/>
      <c r="N6" s="781"/>
      <c r="O6" s="781"/>
      <c r="P6" s="718"/>
      <c r="Q6" s="718"/>
      <c r="R6" s="371"/>
      <c r="S6" s="719"/>
    </row>
  </sheetData>
  <autoFilter ref="A5:S5" xr:uid="{00000000-0009-0000-0000-000023000000}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 xr:uid="{43EDB8F2-BBF7-4C6D-8C5C-3E18BDCE8DD0}"/>
  </hyperlinks>
  <pageMargins left="0.25" right="0.25" top="0.75" bottom="0.75" header="0.3" footer="0.3"/>
  <pageSetup paperSize="9" scale="7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14">
    <tabColor rgb="FFFFFF66"/>
    <pageSetUpPr fitToPage="1"/>
  </sheetPr>
  <dimension ref="A1:E32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ColWidth="8.85546875" defaultRowHeight="12.75" x14ac:dyDescent="0.2"/>
  <cols>
    <col min="1" max="1" width="104.140625" style="254" bestFit="1" customWidth="1"/>
    <col min="2" max="2" width="11.7109375" style="254" hidden="1" customWidth="1"/>
    <col min="3" max="4" width="11" style="256" customWidth="1"/>
    <col min="5" max="5" width="11" style="257" customWidth="1"/>
    <col min="6" max="16384" width="8.85546875" style="254"/>
  </cols>
  <sheetData>
    <row r="1" spans="1:5" ht="19.5" thickBot="1" x14ac:dyDescent="0.35">
      <c r="A1" s="496" t="s">
        <v>135</v>
      </c>
      <c r="B1" s="496"/>
      <c r="C1" s="497"/>
      <c r="D1" s="497"/>
      <c r="E1" s="497"/>
    </row>
    <row r="2" spans="1:5" ht="14.45" customHeight="1" thickBot="1" x14ac:dyDescent="0.25">
      <c r="A2" s="350" t="s">
        <v>305</v>
      </c>
      <c r="B2" s="255"/>
    </row>
    <row r="3" spans="1:5" ht="14.45" customHeight="1" thickBot="1" x14ac:dyDescent="0.25">
      <c r="A3" s="258"/>
      <c r="C3" s="259" t="s">
        <v>117</v>
      </c>
      <c r="D3" s="260" t="s">
        <v>80</v>
      </c>
      <c r="E3" s="261" t="s">
        <v>82</v>
      </c>
    </row>
    <row r="4" spans="1:5" ht="14.45" customHeight="1" thickBot="1" x14ac:dyDescent="0.25">
      <c r="A4" s="262" t="str">
        <f>HYPERLINK("#HI!A1","NÁKLADY CELKEM (v tisících Kč)")</f>
        <v>NÁKLADY CELKEM (v tisících Kč)</v>
      </c>
      <c r="B4" s="263"/>
      <c r="C4" s="264">
        <f ca="1">IF(ISERROR(VLOOKUP("Náklady celkem",INDIRECT("HI!$A:$G"),6,0)),0,VLOOKUP("Náklady celkem",INDIRECT("HI!$A:$G"),6,0))</f>
        <v>0</v>
      </c>
      <c r="D4" s="264">
        <f ca="1">IF(ISERROR(VLOOKUP("Náklady celkem",INDIRECT("HI!$A:$G"),5,0)),0,VLOOKUP("Náklady celkem",INDIRECT("HI!$A:$G"),5,0))</f>
        <v>90856.305499999988</v>
      </c>
      <c r="E4" s="265">
        <f ca="1">IF(C4=0,0,D4/C4)</f>
        <v>0</v>
      </c>
    </row>
    <row r="5" spans="1:5" ht="14.45" customHeight="1" x14ac:dyDescent="0.2">
      <c r="A5" s="266" t="s">
        <v>171</v>
      </c>
      <c r="B5" s="267"/>
      <c r="C5" s="268"/>
      <c r="D5" s="268"/>
      <c r="E5" s="269"/>
    </row>
    <row r="6" spans="1:5" ht="14.45" customHeight="1" x14ac:dyDescent="0.2">
      <c r="A6" s="270" t="s">
        <v>176</v>
      </c>
      <c r="B6" s="271"/>
      <c r="C6" s="272"/>
      <c r="D6" s="272"/>
      <c r="E6" s="269"/>
    </row>
    <row r="7" spans="1:5" ht="14.45" customHeight="1" x14ac:dyDescent="0.25">
      <c r="A7" s="380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271" t="s">
        <v>122</v>
      </c>
      <c r="C7" s="272">
        <f>IF(ISERROR(HI!F5),"",HI!F5)</f>
        <v>0</v>
      </c>
      <c r="D7" s="272">
        <f>IF(ISERROR(HI!E5),"",HI!E5)</f>
        <v>10125.108469999999</v>
      </c>
      <c r="E7" s="269">
        <f t="shared" ref="E7:E13" si="0">IF(C7=0,0,D7/C7)</f>
        <v>0</v>
      </c>
    </row>
    <row r="8" spans="1:5" ht="14.45" customHeight="1" x14ac:dyDescent="0.25">
      <c r="A8" s="380" t="str">
        <f>HYPERLINK("#'LŽ PL'!A1","Plnění pozitivního listu (min. 90%)")</f>
        <v>Plnění pozitivního listu (min. 90%)</v>
      </c>
      <c r="B8" s="271" t="s">
        <v>169</v>
      </c>
      <c r="C8" s="273">
        <v>0.9</v>
      </c>
      <c r="D8" s="273">
        <f>IF(ISERROR(VLOOKUP("celkem",'LŽ PL'!$A:$F,5,0)),0,VLOOKUP("celkem",'LŽ PL'!$A:$F,5,0))</f>
        <v>0.80593526797856552</v>
      </c>
      <c r="E8" s="269">
        <f t="shared" si="0"/>
        <v>0.89548363108729501</v>
      </c>
    </row>
    <row r="9" spans="1:5" ht="14.45" customHeight="1" x14ac:dyDescent="0.25">
      <c r="A9" s="380" t="str">
        <f>HYPERLINK("#'LŽ Statim'!A1","Podíl statimových žádanek (max. 30%)")</f>
        <v>Podíl statimových žádanek (max. 30%)</v>
      </c>
      <c r="B9" s="378" t="s">
        <v>228</v>
      </c>
      <c r="C9" s="379">
        <v>0.3</v>
      </c>
      <c r="D9" s="379">
        <f>IF('LŽ Statim'!G3="",0,'LŽ Statim'!G3)</f>
        <v>0.22298297557364916</v>
      </c>
      <c r="E9" s="269">
        <f>IF(C9=0,0,D9/C9)</f>
        <v>0.74327658524549722</v>
      </c>
    </row>
    <row r="10" spans="1:5" ht="14.45" customHeight="1" x14ac:dyDescent="0.2">
      <c r="A10" s="274" t="s">
        <v>172</v>
      </c>
      <c r="B10" s="271"/>
      <c r="C10" s="272"/>
      <c r="D10" s="272"/>
      <c r="E10" s="269"/>
    </row>
    <row r="11" spans="1:5" ht="14.45" customHeight="1" x14ac:dyDescent="0.2">
      <c r="A11" s="274" t="s">
        <v>173</v>
      </c>
      <c r="B11" s="271"/>
      <c r="C11" s="272"/>
      <c r="D11" s="272"/>
      <c r="E11" s="269"/>
    </row>
    <row r="12" spans="1:5" ht="14.45" customHeight="1" x14ac:dyDescent="0.2">
      <c r="A12" s="275" t="s">
        <v>177</v>
      </c>
      <c r="B12" s="271"/>
      <c r="C12" s="268"/>
      <c r="D12" s="268"/>
      <c r="E12" s="269"/>
    </row>
    <row r="13" spans="1:5" ht="14.45" customHeight="1" x14ac:dyDescent="0.2">
      <c r="A13" s="276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3" s="271" t="s">
        <v>122</v>
      </c>
      <c r="C13" s="272">
        <f>IF(ISERROR(HI!F6),"",HI!F6)</f>
        <v>0</v>
      </c>
      <c r="D13" s="272">
        <f>IF(ISERROR(HI!E6),"",HI!E6)</f>
        <v>4907.4824799999988</v>
      </c>
      <c r="E13" s="269">
        <f t="shared" si="0"/>
        <v>0</v>
      </c>
    </row>
    <row r="14" spans="1:5" ht="14.45" customHeight="1" thickBot="1" x14ac:dyDescent="0.25">
      <c r="A14" s="277" t="str">
        <f>HYPERLINK("#HI!A1","Osobní náklady")</f>
        <v>Osobní náklady</v>
      </c>
      <c r="B14" s="271"/>
      <c r="C14" s="268">
        <f ca="1">IF(ISERROR(VLOOKUP("Osobní náklady (Kč) *",INDIRECT("HI!$A:$G"),6,0)),0,VLOOKUP("Osobní náklady (Kč) *",INDIRECT("HI!$A:$G"),6,0))</f>
        <v>0</v>
      </c>
      <c r="D14" s="268">
        <f ca="1">IF(ISERROR(VLOOKUP("Osobní náklady (Kč) *",INDIRECT("HI!$A:$G"),5,0)),0,VLOOKUP("Osobní náklady (Kč) *",INDIRECT("HI!$A:$G"),5,0))</f>
        <v>63836.219189999996</v>
      </c>
      <c r="E14" s="269">
        <f ca="1">IF(C14=0,0,D14/C14)</f>
        <v>0</v>
      </c>
    </row>
    <row r="15" spans="1:5" ht="14.45" customHeight="1" thickBot="1" x14ac:dyDescent="0.25">
      <c r="A15" s="281"/>
      <c r="B15" s="282"/>
      <c r="C15" s="283"/>
      <c r="D15" s="283"/>
      <c r="E15" s="284"/>
    </row>
    <row r="16" spans="1:5" ht="14.45" customHeight="1" thickBot="1" x14ac:dyDescent="0.25">
      <c r="A16" s="285" t="str">
        <f>HYPERLINK("#HI!A1","VÝNOSY CELKEM (v tisících)")</f>
        <v>VÝNOSY CELKEM (v tisících)</v>
      </c>
      <c r="B16" s="286"/>
      <c r="C16" s="287">
        <f ca="1">IF(ISERROR(VLOOKUP("Výnosy celkem",INDIRECT("HI!$A:$G"),6,0)),0,VLOOKUP("Výnosy celkem",INDIRECT("HI!$A:$G"),6,0))</f>
        <v>0</v>
      </c>
      <c r="D16" s="287">
        <f ca="1">IF(ISERROR(VLOOKUP("Výnosy celkem",INDIRECT("HI!$A:$G"),5,0)),0,VLOOKUP("Výnosy celkem",INDIRECT("HI!$A:$G"),5,0))</f>
        <v>23718.36</v>
      </c>
      <c r="E16" s="288">
        <f t="shared" ref="E16:E29" ca="1" si="1">IF(C16=0,0,D16/C16)</f>
        <v>0</v>
      </c>
    </row>
    <row r="17" spans="1:5" ht="14.45" customHeight="1" x14ac:dyDescent="0.25">
      <c r="A17" s="490" t="str">
        <f>HYPERLINK("#HI!A1","Ambulance (body za výkony)")</f>
        <v>Ambulance (body za výkony)</v>
      </c>
      <c r="B17" s="267"/>
      <c r="C17" s="268">
        <f ca="1">IF(ISERROR(VLOOKUP("Ambulance *",INDIRECT("HI!$A:$G"),6,0)),0,VLOOKUP("Ambulance *",INDIRECT("HI!$A:$G"),6,0))</f>
        <v>0</v>
      </c>
      <c r="D17" s="268">
        <f ca="1">IF(ISERROR(VLOOKUP("Ambulance *",INDIRECT("HI!$A:$G"),5,0)),0,VLOOKUP("Ambulance *",INDIRECT("HI!$A:$G"),5,0))</f>
        <v>0</v>
      </c>
      <c r="E17" s="269">
        <f t="shared" ca="1" si="1"/>
        <v>0</v>
      </c>
    </row>
    <row r="18" spans="1:5" ht="14.45" customHeight="1" x14ac:dyDescent="0.25">
      <c r="A18" s="408" t="str">
        <f>HYPERLINK("#'ZV Vykáz.-A'!A1","Zdravotní výkony vykázané u ambulantních pacientů (min. 100 % 2016)")</f>
        <v>Zdravotní výkony vykázané u ambulantních pacientů (min. 100 % 2016)</v>
      </c>
      <c r="B18" s="409" t="s">
        <v>137</v>
      </c>
      <c r="C18" s="273">
        <v>1</v>
      </c>
      <c r="D18" s="273" t="str">
        <f>IF(ISERROR(VLOOKUP("Celkem:",'ZV Vykáz.-A'!$A:$AB,10,0)),"",VLOOKUP("Celkem:",'ZV Vykáz.-A'!$A:$AB,10,0))</f>
        <v/>
      </c>
      <c r="E18" s="269" t="e">
        <f t="shared" si="1"/>
        <v>#VALUE!</v>
      </c>
    </row>
    <row r="19" spans="1:5" ht="14.45" customHeight="1" x14ac:dyDescent="0.25">
      <c r="A19" s="406" t="str">
        <f>HYPERLINK("#'ZV Vykáz.-A'!A1","Specializovaná ambulantní péče")</f>
        <v>Specializovaná ambulantní péče</v>
      </c>
      <c r="B19" s="409" t="s">
        <v>137</v>
      </c>
      <c r="C19" s="273">
        <v>1</v>
      </c>
      <c r="D19" s="379">
        <f>IF(ISERROR(VLOOKUP("Specializovaná ambulantní péče",'ZV Vykáz.-A'!$A:$AB,10,0)),"",VLOOKUP("Specializovaná ambulantní péče",'ZV Vykáz.-A'!$A:$AB,10,0))</f>
        <v>0</v>
      </c>
      <c r="E19" s="269">
        <f t="shared" si="1"/>
        <v>0</v>
      </c>
    </row>
    <row r="20" spans="1:5" ht="14.45" customHeight="1" x14ac:dyDescent="0.25">
      <c r="A20" s="406" t="str">
        <f>HYPERLINK("#'ZV Vykáz.-A'!A1","Ambulantní péče ve vyjmenovaných odbornostech (§9)")</f>
        <v>Ambulantní péče ve vyjmenovaných odbornostech (§9)</v>
      </c>
      <c r="B20" s="409" t="s">
        <v>137</v>
      </c>
      <c r="C20" s="273">
        <v>1</v>
      </c>
      <c r="D20" s="379" t="str">
        <f>IF(ISERROR(VLOOKUP("Ambulantní péče ve vyjmenovaných odbornostech (§9) *",'ZV Vykáz.-A'!$A:$AB,10,0)),"",VLOOKUP("Ambulantní péče ve vyjmenovaných odbornostech (§9) *",'ZV Vykáz.-A'!$A:$AB,10,0))</f>
        <v/>
      </c>
      <c r="E20" s="269">
        <f>IF(OR(C20=0,D20=""),0,IF(C20="","",D20/C20))</f>
        <v>0</v>
      </c>
    </row>
    <row r="21" spans="1:5" ht="14.45" customHeight="1" x14ac:dyDescent="0.2">
      <c r="A21" s="289" t="str">
        <f>HYPERLINK("#'ZV Vykáz.-H'!A1","Zdravotní výkony vykázané u hospitalizovaných pacientů (max. 85 %)")</f>
        <v>Zdravotní výkony vykázané u hospitalizovaných pacientů (max. 85 %)</v>
      </c>
      <c r="B21" s="409" t="s">
        <v>139</v>
      </c>
      <c r="C21" s="273">
        <v>0.85</v>
      </c>
      <c r="D21" s="273">
        <f>IF(ISERROR(VLOOKUP("Celkem:",'ZV Vykáz.-H'!$A:$S,7,0)),"",VLOOKUP("Celkem:",'ZV Vykáz.-H'!$A:$S,7,0))</f>
        <v>0.95574260974848346</v>
      </c>
      <c r="E21" s="269">
        <f t="shared" si="1"/>
        <v>1.1244030702923336</v>
      </c>
    </row>
    <row r="22" spans="1:5" ht="14.45" customHeight="1" x14ac:dyDescent="0.2">
      <c r="A22" s="290" t="str">
        <f>HYPERLINK("#HI!A1","Hospitalizace (casemix * 30000)")</f>
        <v>Hospitalizace (casemix * 30000)</v>
      </c>
      <c r="B22" s="271"/>
      <c r="C22" s="268">
        <f ca="1">IF(ISERROR(VLOOKUP("Hospitalizace *",INDIRECT("HI!$A:$G"),6,0)),0,VLOOKUP("Hospitalizace *",INDIRECT("HI!$A:$G"),6,0))</f>
        <v>0</v>
      </c>
      <c r="D22" s="268">
        <f ca="1">IF(ISERROR(VLOOKUP("Hospitalizace *",INDIRECT("HI!$A:$G"),5,0)),0,VLOOKUP("Hospitalizace *",INDIRECT("HI!$A:$G"),5,0))</f>
        <v>23718.36</v>
      </c>
      <c r="E22" s="269">
        <f ca="1">IF(C22=0,0,D22/C22)</f>
        <v>0</v>
      </c>
    </row>
    <row r="23" spans="1:5" ht="14.45" customHeight="1" x14ac:dyDescent="0.25">
      <c r="A23" s="408" t="str">
        <f>HYPERLINK("#'CaseMix'!A1","Casemix (min. 100 % 2016)")</f>
        <v>Casemix (min. 100 % 2016)</v>
      </c>
      <c r="B23" s="271" t="s">
        <v>57</v>
      </c>
      <c r="C23" s="273">
        <v>1</v>
      </c>
      <c r="D23" s="273">
        <f>IF(ISERROR(VLOOKUP("Celkem",CaseMix!A:O,6,0)),0,VLOOKUP("Celkem",CaseMix!A:O,6,0))</f>
        <v>1.1967292520631383</v>
      </c>
      <c r="E23" s="269">
        <f t="shared" si="1"/>
        <v>1.1967292520631383</v>
      </c>
    </row>
    <row r="24" spans="1:5" ht="14.45" customHeight="1" x14ac:dyDescent="0.25">
      <c r="A24" s="407" t="str">
        <f>HYPERLINK("#'CaseMix'!A1","DRG - Úhrada formou případového paušálu")</f>
        <v>DRG - Úhrada formou případového paušálu</v>
      </c>
      <c r="B24" s="271" t="s">
        <v>57</v>
      </c>
      <c r="C24" s="273">
        <v>1</v>
      </c>
      <c r="D24" s="273">
        <f>IF(ISERROR(CaseMix!F26),"",CaseMix!F26)</f>
        <v>1.1967292520631383</v>
      </c>
      <c r="E24" s="269">
        <f t="shared" si="1"/>
        <v>1.1967292520631383</v>
      </c>
    </row>
    <row r="25" spans="1:5" ht="14.45" customHeight="1" x14ac:dyDescent="0.25">
      <c r="A25" s="407" t="str">
        <f>HYPERLINK("#'CaseMix'!A1","DRG - Individuálně smluvně sjednaná složka úhrady")</f>
        <v>DRG - Individuálně smluvně sjednaná složka úhrady</v>
      </c>
      <c r="B25" s="271" t="s">
        <v>57</v>
      </c>
      <c r="C25" s="273">
        <v>1</v>
      </c>
      <c r="D25" s="273">
        <f>IF(ISERROR(CaseMix!F39),"",CaseMix!F39)</f>
        <v>0</v>
      </c>
      <c r="E25" s="269">
        <f t="shared" si="1"/>
        <v>0</v>
      </c>
    </row>
    <row r="26" spans="1:5" ht="14.45" customHeight="1" x14ac:dyDescent="0.25">
      <c r="A26" s="406" t="str">
        <f>HYPERLINK("#'CaseMix'!A1","DRG - Úhrada vyčleněná z úhrady formou případového paušálu")</f>
        <v>DRG - Úhrada vyčleněná z úhrady formou případového paušálu</v>
      </c>
      <c r="B26" s="271" t="s">
        <v>57</v>
      </c>
      <c r="C26" s="273">
        <v>1</v>
      </c>
      <c r="D26" s="273">
        <f>IF(ISERROR(CaseMix!F52),"",CaseMix!F52)</f>
        <v>0</v>
      </c>
      <c r="E26" s="269">
        <f t="shared" ref="E26" si="2">IF(C26=0,0,D26/C26)</f>
        <v>0</v>
      </c>
    </row>
    <row r="27" spans="1:5" ht="14.45" customHeight="1" x14ac:dyDescent="0.2">
      <c r="A27" s="289" t="str">
        <f>HYPERLINK("#'CaseMix'!A1","Počet hospitalizací ukončených na pracovišti (min. 95 %)")</f>
        <v>Počet hospitalizací ukončených na pracovišti (min. 95 %)</v>
      </c>
      <c r="B27" s="271" t="s">
        <v>57</v>
      </c>
      <c r="C27" s="273">
        <v>0.95</v>
      </c>
      <c r="D27" s="273">
        <f>IF(ISERROR(CaseMix!K13),"",CaseMix!K13)</f>
        <v>1.1111111111111112</v>
      </c>
      <c r="E27" s="269">
        <f t="shared" si="1"/>
        <v>1.169590643274854</v>
      </c>
    </row>
    <row r="28" spans="1:5" ht="14.45" customHeight="1" x14ac:dyDescent="0.2">
      <c r="A28" s="289" t="str">
        <f>HYPERLINK("#'ALOS'!A1","Průměrná délka hospitalizace (max. 100 % republikového průměru)")</f>
        <v>Průměrná délka hospitalizace (max. 100 % republikového průměru)</v>
      </c>
      <c r="B28" s="271" t="s">
        <v>72</v>
      </c>
      <c r="C28" s="273">
        <v>1</v>
      </c>
      <c r="D28" s="291">
        <f>IF(ISERROR(INDEX(ALOS!$E:$E,COUNT(ALOS!$E:$E)+32)),0,INDEX(ALOS!$E:$E,COUNT(ALOS!$E:$E)+32))</f>
        <v>0.62849533954727033</v>
      </c>
      <c r="E28" s="269">
        <f t="shared" si="1"/>
        <v>0.62849533954727033</v>
      </c>
    </row>
    <row r="29" spans="1:5" ht="25.5" x14ac:dyDescent="0.2">
      <c r="A29" s="292" t="str">
        <f>HYPERLINK("#'ZV Vyžád.'!A1","Zdravotní výkony (vybraných odborností) vyžádané v rámci hospitalizace (95 % při splnění casemixu 100 %, při nesplnění casemixu 100 % snížení limitu o dvojnásobek procentních bodů, o který nebylo dosaženo casemixu 100 %)")</f>
        <v>Zdravotní výkony (vybraných odborností) vyžádané v rámci hospitalizace (95 % při splnění casemixu 100 %, při nesplnění casemixu 100 % snížení limitu o dvojnásobek procentních bodů, o který nebylo dosaženo casemixu 100 %)</v>
      </c>
      <c r="B29" s="271" t="s">
        <v>134</v>
      </c>
      <c r="C29" s="273">
        <f>IF(E23&gt;1,95%,95%-2*ABS(C23-D23))</f>
        <v>0.95</v>
      </c>
      <c r="D29" s="273">
        <f>IF(ISERROR(VLOOKUP("Celkem:",'ZV Vyžád.'!$A:$M,7,0)),"",VLOOKUP("Celkem:",'ZV Vyžád.'!$A:$M,7,0))</f>
        <v>1.3179000361269577</v>
      </c>
      <c r="E29" s="269">
        <f t="shared" si="1"/>
        <v>1.3872631959231134</v>
      </c>
    </row>
    <row r="30" spans="1:5" ht="14.45" customHeight="1" thickBot="1" x14ac:dyDescent="0.25">
      <c r="A30" s="293" t="s">
        <v>174</v>
      </c>
      <c r="B30" s="278"/>
      <c r="C30" s="279"/>
      <c r="D30" s="279"/>
      <c r="E30" s="280"/>
    </row>
    <row r="31" spans="1:5" ht="14.45" customHeight="1" thickBot="1" x14ac:dyDescent="0.25">
      <c r="A31" s="294"/>
      <c r="B31" s="295"/>
      <c r="C31" s="296"/>
      <c r="D31" s="296"/>
      <c r="E31" s="297"/>
    </row>
    <row r="32" spans="1:5" ht="14.45" customHeight="1" thickBot="1" x14ac:dyDescent="0.25">
      <c r="A32" s="298" t="s">
        <v>175</v>
      </c>
      <c r="B32" s="299"/>
      <c r="C32" s="300"/>
      <c r="D32" s="300"/>
      <c r="E32" s="301"/>
    </row>
  </sheetData>
  <mergeCells count="1">
    <mergeCell ref="A1:E1"/>
  </mergeCells>
  <conditionalFormatting sqref="E5">
    <cfRule type="cellIs" dxfId="80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2">
    <cfRule type="cellIs" dxfId="79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78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7">
    <cfRule type="cellIs" dxfId="77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22">
    <cfRule type="cellIs" dxfId="76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75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23:E25 E16 E8 E27 E18:E19">
    <cfRule type="cellIs" dxfId="74" priority="26" operator="lessThan">
      <formula>1</formula>
    </cfRule>
    <cfRule type="iconSet" priority="27">
      <iconSet iconSet="3Symbols2">
        <cfvo type="percent" val="0"/>
        <cfvo type="num" val="1"/>
        <cfvo type="num" val="1"/>
      </iconSet>
    </cfRule>
  </conditionalFormatting>
  <conditionalFormatting sqref="E9">
    <cfRule type="cellIs" dxfId="73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26">
    <cfRule type="iconSet" priority="6">
      <iconSet iconSet="3Symbols2">
        <cfvo type="percent" val="0"/>
        <cfvo type="num" val="1"/>
        <cfvo type="num" val="1"/>
      </iconSet>
    </cfRule>
  </conditionalFormatting>
  <conditionalFormatting sqref="E26">
    <cfRule type="cellIs" dxfId="72" priority="5" operator="lessThan">
      <formula>1</formula>
    </cfRule>
  </conditionalFormatting>
  <conditionalFormatting sqref="E28:E29 E4 E7 E13 E20:E21">
    <cfRule type="cellIs" dxfId="71" priority="29" operator="greaterThan">
      <formula>1</formula>
    </cfRule>
    <cfRule type="iconSet" priority="30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 xr:uid="{5DD37FDC-9306-499C-B1A7-AFA443F5D059}"/>
  </hyperlinks>
  <pageMargins left="0.25" right="0.25" top="0.75" bottom="0.75" header="0.3" footer="0.3"/>
  <pageSetup paperSize="9" fitToHeight="0" orientation="landscape" r:id="rId1"/>
  <ignoredErrors>
    <ignoredError sqref="E18:E19 E21" evalError="1"/>
    <ignoredError sqref="E20" formula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List46">
    <tabColor theme="0" tint="-0.249977111117893"/>
    <outlinePr summaryRight="0"/>
    <pageSetUpPr fitToPage="1"/>
  </sheetPr>
  <dimension ref="A1:S6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ColWidth="8.85546875" defaultRowHeight="14.45" customHeight="1" outlineLevelCol="1" x14ac:dyDescent="0.2"/>
  <cols>
    <col min="1" max="1" width="46.7109375" style="233" bestFit="1" customWidth="1" collapsed="1"/>
    <col min="2" max="2" width="7.7109375" style="201" hidden="1" customWidth="1" outlineLevel="1"/>
    <col min="3" max="3" width="0.140625" style="233" hidden="1" customWidth="1"/>
    <col min="4" max="4" width="7.7109375" style="201" customWidth="1"/>
    <col min="5" max="5" width="5.42578125" style="233" hidden="1" customWidth="1"/>
    <col min="6" max="6" width="7.7109375" style="201" customWidth="1"/>
    <col min="7" max="7" width="7.7109375" style="315" customWidth="1" collapsed="1"/>
    <col min="8" max="8" width="7.7109375" style="201" hidden="1" customWidth="1" outlineLevel="1"/>
    <col min="9" max="9" width="5.42578125" style="233" hidden="1" customWidth="1"/>
    <col min="10" max="10" width="7.7109375" style="201" customWidth="1"/>
    <col min="11" max="11" width="5.42578125" style="233" hidden="1" customWidth="1"/>
    <col min="12" max="12" width="7.7109375" style="201" customWidth="1"/>
    <col min="13" max="13" width="7.7109375" style="315" customWidth="1" collapsed="1"/>
    <col min="14" max="14" width="7.7109375" style="201" hidden="1" customWidth="1" outlineLevel="1"/>
    <col min="15" max="15" width="5" style="233" hidden="1" customWidth="1"/>
    <col min="16" max="16" width="7.7109375" style="201" customWidth="1"/>
    <col min="17" max="17" width="5" style="233" hidden="1" customWidth="1"/>
    <col min="18" max="18" width="7.7109375" style="201" customWidth="1"/>
    <col min="19" max="19" width="7.7109375" style="315" customWidth="1"/>
    <col min="20" max="16384" width="8.85546875" style="233"/>
  </cols>
  <sheetData>
    <row r="1" spans="1:19" ht="18.600000000000001" customHeight="1" thickBot="1" x14ac:dyDescent="0.35">
      <c r="A1" s="508" t="s">
        <v>141</v>
      </c>
      <c r="B1" s="496"/>
      <c r="C1" s="496"/>
      <c r="D1" s="496"/>
      <c r="E1" s="496"/>
      <c r="F1" s="496"/>
      <c r="G1" s="496"/>
      <c r="H1" s="496"/>
      <c r="I1" s="496"/>
      <c r="J1" s="496"/>
      <c r="K1" s="496"/>
      <c r="L1" s="496"/>
      <c r="M1" s="496"/>
      <c r="N1" s="496"/>
      <c r="O1" s="496"/>
      <c r="P1" s="496"/>
      <c r="Q1" s="496"/>
      <c r="R1" s="496"/>
      <c r="S1" s="496"/>
    </row>
    <row r="2" spans="1:19" ht="14.45" customHeight="1" thickBot="1" x14ac:dyDescent="0.25">
      <c r="A2" s="350" t="s">
        <v>305</v>
      </c>
      <c r="B2" s="327"/>
      <c r="C2" s="206"/>
      <c r="D2" s="327"/>
      <c r="E2" s="206"/>
      <c r="F2" s="327"/>
      <c r="G2" s="328"/>
      <c r="H2" s="327"/>
      <c r="I2" s="206"/>
      <c r="J2" s="327"/>
      <c r="K2" s="206"/>
      <c r="L2" s="327"/>
      <c r="M2" s="328"/>
      <c r="N2" s="327"/>
      <c r="O2" s="206"/>
      <c r="P2" s="327"/>
      <c r="Q2" s="206"/>
      <c r="R2" s="327"/>
      <c r="S2" s="328"/>
    </row>
    <row r="3" spans="1:19" ht="14.45" customHeight="1" thickBot="1" x14ac:dyDescent="0.25">
      <c r="A3" s="321" t="s">
        <v>143</v>
      </c>
      <c r="B3" s="322">
        <f>SUBTOTAL(9,B6:B1048576)</f>
        <v>43590788</v>
      </c>
      <c r="C3" s="323">
        <f t="shared" ref="C3:R3" si="0">SUBTOTAL(9,C6:C1048576)</f>
        <v>0</v>
      </c>
      <c r="D3" s="323">
        <f t="shared" si="0"/>
        <v>51855204</v>
      </c>
      <c r="E3" s="323">
        <f t="shared" si="0"/>
        <v>0</v>
      </c>
      <c r="F3" s="323">
        <f t="shared" si="0"/>
        <v>49560228</v>
      </c>
      <c r="G3" s="326">
        <f>IF(D3&lt;&gt;0,F3/D3,"")</f>
        <v>0.95574260974848346</v>
      </c>
      <c r="H3" s="322">
        <f t="shared" si="0"/>
        <v>7442373.8200000059</v>
      </c>
      <c r="I3" s="323">
        <f t="shared" si="0"/>
        <v>0</v>
      </c>
      <c r="J3" s="323">
        <f t="shared" si="0"/>
        <v>9570067.5399999823</v>
      </c>
      <c r="K3" s="323">
        <f t="shared" si="0"/>
        <v>0</v>
      </c>
      <c r="L3" s="323">
        <f t="shared" si="0"/>
        <v>8592772.1799999997</v>
      </c>
      <c r="M3" s="324">
        <f>IF(J3&lt;&gt;0,L3/J3,"")</f>
        <v>0.89787999343628622</v>
      </c>
      <c r="N3" s="325">
        <f t="shared" si="0"/>
        <v>0</v>
      </c>
      <c r="O3" s="323">
        <f t="shared" si="0"/>
        <v>0</v>
      </c>
      <c r="P3" s="323">
        <f t="shared" si="0"/>
        <v>0</v>
      </c>
      <c r="Q3" s="323">
        <f t="shared" si="0"/>
        <v>0</v>
      </c>
      <c r="R3" s="323">
        <f t="shared" si="0"/>
        <v>0</v>
      </c>
      <c r="S3" s="324" t="str">
        <f>IF(P3&lt;&gt;0,R3/P3,"")</f>
        <v/>
      </c>
    </row>
    <row r="4" spans="1:19" ht="14.45" customHeight="1" x14ac:dyDescent="0.2">
      <c r="A4" s="592" t="s">
        <v>115</v>
      </c>
      <c r="B4" s="593" t="s">
        <v>109</v>
      </c>
      <c r="C4" s="594"/>
      <c r="D4" s="594"/>
      <c r="E4" s="594"/>
      <c r="F4" s="594"/>
      <c r="G4" s="596"/>
      <c r="H4" s="593" t="s">
        <v>110</v>
      </c>
      <c r="I4" s="594"/>
      <c r="J4" s="594"/>
      <c r="K4" s="594"/>
      <c r="L4" s="594"/>
      <c r="M4" s="596"/>
      <c r="N4" s="593" t="s">
        <v>111</v>
      </c>
      <c r="O4" s="594"/>
      <c r="P4" s="594"/>
      <c r="Q4" s="594"/>
      <c r="R4" s="594"/>
      <c r="S4" s="596"/>
    </row>
    <row r="5" spans="1:19" ht="14.45" customHeight="1" thickBot="1" x14ac:dyDescent="0.25">
      <c r="A5" s="752"/>
      <c r="B5" s="753">
        <v>2019</v>
      </c>
      <c r="C5" s="754"/>
      <c r="D5" s="754">
        <v>2020</v>
      </c>
      <c r="E5" s="754"/>
      <c r="F5" s="754">
        <v>2021</v>
      </c>
      <c r="G5" s="783" t="s">
        <v>2</v>
      </c>
      <c r="H5" s="753">
        <v>2019</v>
      </c>
      <c r="I5" s="754"/>
      <c r="J5" s="754">
        <v>2020</v>
      </c>
      <c r="K5" s="754"/>
      <c r="L5" s="754">
        <v>2021</v>
      </c>
      <c r="M5" s="783" t="s">
        <v>2</v>
      </c>
      <c r="N5" s="753">
        <v>2019</v>
      </c>
      <c r="O5" s="754"/>
      <c r="P5" s="754">
        <v>2020</v>
      </c>
      <c r="Q5" s="754"/>
      <c r="R5" s="754">
        <v>2021</v>
      </c>
      <c r="S5" s="783" t="s">
        <v>2</v>
      </c>
    </row>
    <row r="6" spans="1:19" ht="14.45" customHeight="1" thickBot="1" x14ac:dyDescent="0.25">
      <c r="A6" s="770" t="s">
        <v>2007</v>
      </c>
      <c r="B6" s="768">
        <v>43590788</v>
      </c>
      <c r="C6" s="781"/>
      <c r="D6" s="768">
        <v>51855204</v>
      </c>
      <c r="E6" s="781"/>
      <c r="F6" s="768">
        <v>49560228</v>
      </c>
      <c r="G6" s="371"/>
      <c r="H6" s="768">
        <v>7442373.8200000059</v>
      </c>
      <c r="I6" s="781"/>
      <c r="J6" s="768">
        <v>9570067.5399999823</v>
      </c>
      <c r="K6" s="781"/>
      <c r="L6" s="768">
        <v>8592772.1799999997</v>
      </c>
      <c r="M6" s="371"/>
      <c r="N6" s="768"/>
      <c r="O6" s="781"/>
      <c r="P6" s="768"/>
      <c r="Q6" s="781"/>
      <c r="R6" s="768"/>
      <c r="S6" s="372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 xr:uid="{9BC5047A-93EA-4012-8456-75D642001D61}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M3 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List21">
    <tabColor theme="0" tint="-0.249977111117893"/>
    <outlinePr summaryRight="0"/>
    <pageSetUpPr fitToPage="1"/>
  </sheetPr>
  <dimension ref="A1:Q570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ColWidth="8.85546875" defaultRowHeight="14.45" customHeight="1" outlineLevelCol="1" x14ac:dyDescent="0.2"/>
  <cols>
    <col min="1" max="1" width="3" style="233" bestFit="1" customWidth="1"/>
    <col min="2" max="2" width="8.7109375" style="233" bestFit="1" customWidth="1"/>
    <col min="3" max="3" width="2.140625" style="233" bestFit="1" customWidth="1"/>
    <col min="4" max="4" width="8" style="233" bestFit="1" customWidth="1"/>
    <col min="5" max="5" width="52.85546875" style="233" bestFit="1" customWidth="1" collapsed="1"/>
    <col min="6" max="7" width="11.140625" style="312" hidden="1" customWidth="1" outlineLevel="1"/>
    <col min="8" max="9" width="9.28515625" style="312" hidden="1" customWidth="1"/>
    <col min="10" max="11" width="11.140625" style="312" customWidth="1"/>
    <col min="12" max="13" width="9.28515625" style="312" hidden="1" customWidth="1"/>
    <col min="14" max="15" width="11.140625" style="312" customWidth="1"/>
    <col min="16" max="16" width="11.140625" style="315" customWidth="1"/>
    <col min="17" max="17" width="11.140625" style="312" customWidth="1"/>
    <col min="18" max="16384" width="8.85546875" style="233"/>
  </cols>
  <sheetData>
    <row r="1" spans="1:17" ht="18.600000000000001" customHeight="1" thickBot="1" x14ac:dyDescent="0.35">
      <c r="A1" s="496" t="s">
        <v>3876</v>
      </c>
      <c r="B1" s="496"/>
      <c r="C1" s="496"/>
      <c r="D1" s="496"/>
      <c r="E1" s="496"/>
      <c r="F1" s="496"/>
      <c r="G1" s="496"/>
      <c r="H1" s="496"/>
      <c r="I1" s="496"/>
      <c r="J1" s="496"/>
      <c r="K1" s="496"/>
      <c r="L1" s="496"/>
      <c r="M1" s="496"/>
      <c r="N1" s="496"/>
      <c r="O1" s="496"/>
      <c r="P1" s="496"/>
      <c r="Q1" s="496"/>
    </row>
    <row r="2" spans="1:17" ht="14.45" customHeight="1" thickBot="1" x14ac:dyDescent="0.25">
      <c r="A2" s="350" t="s">
        <v>305</v>
      </c>
      <c r="B2" s="234"/>
      <c r="C2" s="234"/>
      <c r="D2" s="234"/>
      <c r="E2" s="234"/>
      <c r="F2" s="329"/>
      <c r="G2" s="329"/>
      <c r="H2" s="329"/>
      <c r="I2" s="329"/>
      <c r="J2" s="329"/>
      <c r="K2" s="329"/>
      <c r="L2" s="329"/>
      <c r="M2" s="329"/>
      <c r="N2" s="329"/>
      <c r="O2" s="329"/>
      <c r="P2" s="330"/>
      <c r="Q2" s="329"/>
    </row>
    <row r="3" spans="1:17" ht="14.45" customHeight="1" thickBot="1" x14ac:dyDescent="0.25">
      <c r="E3" s="98" t="s">
        <v>143</v>
      </c>
      <c r="F3" s="193">
        <f t="shared" ref="F3:O3" si="0">SUBTOTAL(9,F6:F1048576)</f>
        <v>13923.33</v>
      </c>
      <c r="G3" s="194">
        <f t="shared" si="0"/>
        <v>51033161.82</v>
      </c>
      <c r="H3" s="194"/>
      <c r="I3" s="194"/>
      <c r="J3" s="194">
        <f t="shared" si="0"/>
        <v>14378.63</v>
      </c>
      <c r="K3" s="194">
        <f t="shared" si="0"/>
        <v>61425271.540000007</v>
      </c>
      <c r="L3" s="194"/>
      <c r="M3" s="194"/>
      <c r="N3" s="194">
        <f t="shared" si="0"/>
        <v>12071.82</v>
      </c>
      <c r="O3" s="194">
        <f t="shared" si="0"/>
        <v>58153000.18</v>
      </c>
      <c r="P3" s="71">
        <f>IF(K3=0,0,O3/K3)</f>
        <v>0.94672760448654902</v>
      </c>
      <c r="Q3" s="195">
        <f>IF(N3=0,0,O3/N3)</f>
        <v>4817.2520945474671</v>
      </c>
    </row>
    <row r="4" spans="1:17" ht="14.45" customHeight="1" x14ac:dyDescent="0.2">
      <c r="A4" s="601" t="s">
        <v>60</v>
      </c>
      <c r="B4" s="599" t="s">
        <v>105</v>
      </c>
      <c r="C4" s="601" t="s">
        <v>106</v>
      </c>
      <c r="D4" s="610" t="s">
        <v>107</v>
      </c>
      <c r="E4" s="602" t="s">
        <v>67</v>
      </c>
      <c r="F4" s="608">
        <v>2019</v>
      </c>
      <c r="G4" s="609"/>
      <c r="H4" s="196"/>
      <c r="I4" s="196"/>
      <c r="J4" s="608">
        <v>2020</v>
      </c>
      <c r="K4" s="609"/>
      <c r="L4" s="196"/>
      <c r="M4" s="196"/>
      <c r="N4" s="608">
        <v>2021</v>
      </c>
      <c r="O4" s="609"/>
      <c r="P4" s="611" t="s">
        <v>2</v>
      </c>
      <c r="Q4" s="600" t="s">
        <v>108</v>
      </c>
    </row>
    <row r="5" spans="1:17" ht="14.45" customHeight="1" thickBot="1" x14ac:dyDescent="0.25">
      <c r="A5" s="773"/>
      <c r="B5" s="771"/>
      <c r="C5" s="773"/>
      <c r="D5" s="784"/>
      <c r="E5" s="775"/>
      <c r="F5" s="785" t="s">
        <v>77</v>
      </c>
      <c r="G5" s="786" t="s">
        <v>14</v>
      </c>
      <c r="H5" s="787"/>
      <c r="I5" s="787"/>
      <c r="J5" s="785" t="s">
        <v>77</v>
      </c>
      <c r="K5" s="786" t="s">
        <v>14</v>
      </c>
      <c r="L5" s="787"/>
      <c r="M5" s="787"/>
      <c r="N5" s="785" t="s">
        <v>77</v>
      </c>
      <c r="O5" s="786" t="s">
        <v>14</v>
      </c>
      <c r="P5" s="788"/>
      <c r="Q5" s="780"/>
    </row>
    <row r="6" spans="1:17" ht="14.45" customHeight="1" x14ac:dyDescent="0.2">
      <c r="A6" s="689" t="s">
        <v>537</v>
      </c>
      <c r="B6" s="690" t="s">
        <v>2904</v>
      </c>
      <c r="C6" s="690" t="s">
        <v>2899</v>
      </c>
      <c r="D6" s="690" t="s">
        <v>2905</v>
      </c>
      <c r="E6" s="690" t="s">
        <v>2906</v>
      </c>
      <c r="F6" s="694"/>
      <c r="G6" s="694"/>
      <c r="H6" s="694"/>
      <c r="I6" s="694"/>
      <c r="J6" s="694"/>
      <c r="K6" s="694"/>
      <c r="L6" s="694"/>
      <c r="M6" s="694"/>
      <c r="N6" s="694">
        <v>0</v>
      </c>
      <c r="O6" s="694">
        <v>0</v>
      </c>
      <c r="P6" s="715"/>
      <c r="Q6" s="695"/>
    </row>
    <row r="7" spans="1:17" ht="14.45" customHeight="1" x14ac:dyDescent="0.2">
      <c r="A7" s="696" t="s">
        <v>537</v>
      </c>
      <c r="B7" s="697" t="s">
        <v>2904</v>
      </c>
      <c r="C7" s="697" t="s">
        <v>2899</v>
      </c>
      <c r="D7" s="697" t="s">
        <v>2907</v>
      </c>
      <c r="E7" s="697" t="s">
        <v>2908</v>
      </c>
      <c r="F7" s="701"/>
      <c r="G7" s="701"/>
      <c r="H7" s="701"/>
      <c r="I7" s="701"/>
      <c r="J7" s="701">
        <v>1</v>
      </c>
      <c r="K7" s="701">
        <v>1983</v>
      </c>
      <c r="L7" s="701"/>
      <c r="M7" s="701">
        <v>1983</v>
      </c>
      <c r="N7" s="701">
        <v>1</v>
      </c>
      <c r="O7" s="701">
        <v>2056</v>
      </c>
      <c r="P7" s="726"/>
      <c r="Q7" s="702">
        <v>2056</v>
      </c>
    </row>
    <row r="8" spans="1:17" ht="14.45" customHeight="1" x14ac:dyDescent="0.2">
      <c r="A8" s="696" t="s">
        <v>537</v>
      </c>
      <c r="B8" s="697" t="s">
        <v>2904</v>
      </c>
      <c r="C8" s="697" t="s">
        <v>2899</v>
      </c>
      <c r="D8" s="697" t="s">
        <v>2909</v>
      </c>
      <c r="E8" s="697" t="s">
        <v>2910</v>
      </c>
      <c r="F8" s="701">
        <v>12</v>
      </c>
      <c r="G8" s="701">
        <v>33432</v>
      </c>
      <c r="H8" s="701"/>
      <c r="I8" s="701">
        <v>2786</v>
      </c>
      <c r="J8" s="701">
        <v>21</v>
      </c>
      <c r="K8" s="701">
        <v>58706</v>
      </c>
      <c r="L8" s="701"/>
      <c r="M8" s="701">
        <v>2795.5238095238096</v>
      </c>
      <c r="N8" s="701">
        <v>19</v>
      </c>
      <c r="O8" s="701">
        <v>54834</v>
      </c>
      <c r="P8" s="726"/>
      <c r="Q8" s="702">
        <v>2886</v>
      </c>
    </row>
    <row r="9" spans="1:17" ht="14.45" customHeight="1" x14ac:dyDescent="0.2">
      <c r="A9" s="696" t="s">
        <v>537</v>
      </c>
      <c r="B9" s="697" t="s">
        <v>2904</v>
      </c>
      <c r="C9" s="697" t="s">
        <v>2899</v>
      </c>
      <c r="D9" s="697" t="s">
        <v>2911</v>
      </c>
      <c r="E9" s="697" t="s">
        <v>2912</v>
      </c>
      <c r="F9" s="701">
        <v>5</v>
      </c>
      <c r="G9" s="701">
        <v>31035</v>
      </c>
      <c r="H9" s="701"/>
      <c r="I9" s="701">
        <v>6207</v>
      </c>
      <c r="J9" s="701">
        <v>2</v>
      </c>
      <c r="K9" s="701">
        <v>12462</v>
      </c>
      <c r="L9" s="701"/>
      <c r="M9" s="701">
        <v>6231</v>
      </c>
      <c r="N9" s="701">
        <v>3</v>
      </c>
      <c r="O9" s="701">
        <v>19371</v>
      </c>
      <c r="P9" s="726"/>
      <c r="Q9" s="702">
        <v>6457</v>
      </c>
    </row>
    <row r="10" spans="1:17" ht="14.45" customHeight="1" x14ac:dyDescent="0.2">
      <c r="A10" s="696" t="s">
        <v>537</v>
      </c>
      <c r="B10" s="697" t="s">
        <v>2904</v>
      </c>
      <c r="C10" s="697" t="s">
        <v>2899</v>
      </c>
      <c r="D10" s="697" t="s">
        <v>2913</v>
      </c>
      <c r="E10" s="697" t="s">
        <v>2914</v>
      </c>
      <c r="F10" s="701">
        <v>1</v>
      </c>
      <c r="G10" s="701">
        <v>3254</v>
      </c>
      <c r="H10" s="701"/>
      <c r="I10" s="701">
        <v>3254</v>
      </c>
      <c r="J10" s="701"/>
      <c r="K10" s="701"/>
      <c r="L10" s="701"/>
      <c r="M10" s="701"/>
      <c r="N10" s="701"/>
      <c r="O10" s="701"/>
      <c r="P10" s="726"/>
      <c r="Q10" s="702"/>
    </row>
    <row r="11" spans="1:17" ht="14.45" customHeight="1" x14ac:dyDescent="0.2">
      <c r="A11" s="696" t="s">
        <v>537</v>
      </c>
      <c r="B11" s="697" t="s">
        <v>2904</v>
      </c>
      <c r="C11" s="697" t="s">
        <v>2899</v>
      </c>
      <c r="D11" s="697" t="s">
        <v>2915</v>
      </c>
      <c r="E11" s="697" t="s">
        <v>2916</v>
      </c>
      <c r="F11" s="701">
        <v>2</v>
      </c>
      <c r="G11" s="701">
        <v>4954</v>
      </c>
      <c r="H11" s="701"/>
      <c r="I11" s="701">
        <v>2477</v>
      </c>
      <c r="J11" s="701">
        <v>6</v>
      </c>
      <c r="K11" s="701">
        <v>14922</v>
      </c>
      <c r="L11" s="701"/>
      <c r="M11" s="701">
        <v>2487</v>
      </c>
      <c r="N11" s="701">
        <v>1</v>
      </c>
      <c r="O11" s="701">
        <v>2577</v>
      </c>
      <c r="P11" s="726"/>
      <c r="Q11" s="702">
        <v>2577</v>
      </c>
    </row>
    <row r="12" spans="1:17" ht="14.45" customHeight="1" x14ac:dyDescent="0.2">
      <c r="A12" s="696" t="s">
        <v>537</v>
      </c>
      <c r="B12" s="697" t="s">
        <v>2904</v>
      </c>
      <c r="C12" s="697" t="s">
        <v>2899</v>
      </c>
      <c r="D12" s="697" t="s">
        <v>2917</v>
      </c>
      <c r="E12" s="697" t="s">
        <v>2918</v>
      </c>
      <c r="F12" s="701"/>
      <c r="G12" s="701"/>
      <c r="H12" s="701"/>
      <c r="I12" s="701"/>
      <c r="J12" s="701">
        <v>1</v>
      </c>
      <c r="K12" s="701">
        <v>4451</v>
      </c>
      <c r="L12" s="701"/>
      <c r="M12" s="701">
        <v>4451</v>
      </c>
      <c r="N12" s="701"/>
      <c r="O12" s="701"/>
      <c r="P12" s="726"/>
      <c r="Q12" s="702"/>
    </row>
    <row r="13" spans="1:17" ht="14.45" customHeight="1" x14ac:dyDescent="0.2">
      <c r="A13" s="696" t="s">
        <v>537</v>
      </c>
      <c r="B13" s="697" t="s">
        <v>2904</v>
      </c>
      <c r="C13" s="697" t="s">
        <v>2899</v>
      </c>
      <c r="D13" s="697" t="s">
        <v>2919</v>
      </c>
      <c r="E13" s="697" t="s">
        <v>2920</v>
      </c>
      <c r="F13" s="701">
        <v>41</v>
      </c>
      <c r="G13" s="701">
        <v>88601</v>
      </c>
      <c r="H13" s="701"/>
      <c r="I13" s="701">
        <v>2161</v>
      </c>
      <c r="J13" s="701">
        <v>37</v>
      </c>
      <c r="K13" s="701">
        <v>80297</v>
      </c>
      <c r="L13" s="701"/>
      <c r="M13" s="701">
        <v>2170.1891891891892</v>
      </c>
      <c r="N13" s="701">
        <v>24</v>
      </c>
      <c r="O13" s="701">
        <v>54264</v>
      </c>
      <c r="P13" s="726"/>
      <c r="Q13" s="702">
        <v>2261</v>
      </c>
    </row>
    <row r="14" spans="1:17" ht="14.45" customHeight="1" x14ac:dyDescent="0.2">
      <c r="A14" s="696" t="s">
        <v>537</v>
      </c>
      <c r="B14" s="697" t="s">
        <v>2904</v>
      </c>
      <c r="C14" s="697" t="s">
        <v>2899</v>
      </c>
      <c r="D14" s="697" t="s">
        <v>2921</v>
      </c>
      <c r="E14" s="697" t="s">
        <v>2922</v>
      </c>
      <c r="F14" s="701">
        <v>1</v>
      </c>
      <c r="G14" s="701">
        <v>1688</v>
      </c>
      <c r="H14" s="701"/>
      <c r="I14" s="701">
        <v>1688</v>
      </c>
      <c r="J14" s="701">
        <v>2</v>
      </c>
      <c r="K14" s="701">
        <v>3388</v>
      </c>
      <c r="L14" s="701"/>
      <c r="M14" s="701">
        <v>1694</v>
      </c>
      <c r="N14" s="701"/>
      <c r="O14" s="701"/>
      <c r="P14" s="726"/>
      <c r="Q14" s="702"/>
    </row>
    <row r="15" spans="1:17" ht="14.45" customHeight="1" x14ac:dyDescent="0.2">
      <c r="A15" s="696" t="s">
        <v>537</v>
      </c>
      <c r="B15" s="697" t="s">
        <v>2904</v>
      </c>
      <c r="C15" s="697" t="s">
        <v>2899</v>
      </c>
      <c r="D15" s="697" t="s">
        <v>2923</v>
      </c>
      <c r="E15" s="697" t="s">
        <v>2924</v>
      </c>
      <c r="F15" s="701">
        <v>4</v>
      </c>
      <c r="G15" s="701">
        <v>9320</v>
      </c>
      <c r="H15" s="701"/>
      <c r="I15" s="701">
        <v>2330</v>
      </c>
      <c r="J15" s="701">
        <v>8</v>
      </c>
      <c r="K15" s="701">
        <v>18720</v>
      </c>
      <c r="L15" s="701"/>
      <c r="M15" s="701">
        <v>2340</v>
      </c>
      <c r="N15" s="701">
        <v>6</v>
      </c>
      <c r="O15" s="701">
        <v>14580</v>
      </c>
      <c r="P15" s="726"/>
      <c r="Q15" s="702">
        <v>2430</v>
      </c>
    </row>
    <row r="16" spans="1:17" ht="14.45" customHeight="1" x14ac:dyDescent="0.2">
      <c r="A16" s="696" t="s">
        <v>537</v>
      </c>
      <c r="B16" s="697" t="s">
        <v>2904</v>
      </c>
      <c r="C16" s="697" t="s">
        <v>2899</v>
      </c>
      <c r="D16" s="697" t="s">
        <v>2925</v>
      </c>
      <c r="E16" s="697" t="s">
        <v>2926</v>
      </c>
      <c r="F16" s="701">
        <v>26</v>
      </c>
      <c r="G16" s="701">
        <v>72410</v>
      </c>
      <c r="H16" s="701"/>
      <c r="I16" s="701">
        <v>2785</v>
      </c>
      <c r="J16" s="701">
        <v>17</v>
      </c>
      <c r="K16" s="701">
        <v>47515</v>
      </c>
      <c r="L16" s="701"/>
      <c r="M16" s="701">
        <v>2795</v>
      </c>
      <c r="N16" s="701">
        <v>21</v>
      </c>
      <c r="O16" s="701">
        <v>60585</v>
      </c>
      <c r="P16" s="726"/>
      <c r="Q16" s="702">
        <v>2885</v>
      </c>
    </row>
    <row r="17" spans="1:17" ht="14.45" customHeight="1" x14ac:dyDescent="0.2">
      <c r="A17" s="696" t="s">
        <v>537</v>
      </c>
      <c r="B17" s="697" t="s">
        <v>2904</v>
      </c>
      <c r="C17" s="697" t="s">
        <v>2899</v>
      </c>
      <c r="D17" s="697" t="s">
        <v>2927</v>
      </c>
      <c r="E17" s="697" t="s">
        <v>2928</v>
      </c>
      <c r="F17" s="701">
        <v>9</v>
      </c>
      <c r="G17" s="701">
        <v>46332</v>
      </c>
      <c r="H17" s="701"/>
      <c r="I17" s="701">
        <v>5148</v>
      </c>
      <c r="J17" s="701">
        <v>4</v>
      </c>
      <c r="K17" s="701">
        <v>20592</v>
      </c>
      <c r="L17" s="701"/>
      <c r="M17" s="701">
        <v>5148</v>
      </c>
      <c r="N17" s="701">
        <v>3</v>
      </c>
      <c r="O17" s="701">
        <v>15444</v>
      </c>
      <c r="P17" s="726"/>
      <c r="Q17" s="702">
        <v>5148</v>
      </c>
    </row>
    <row r="18" spans="1:17" ht="14.45" customHeight="1" x14ac:dyDescent="0.2">
      <c r="A18" s="696" t="s">
        <v>537</v>
      </c>
      <c r="B18" s="697" t="s">
        <v>2904</v>
      </c>
      <c r="C18" s="697" t="s">
        <v>2899</v>
      </c>
      <c r="D18" s="697" t="s">
        <v>2929</v>
      </c>
      <c r="E18" s="697" t="s">
        <v>2930</v>
      </c>
      <c r="F18" s="701">
        <v>2</v>
      </c>
      <c r="G18" s="701">
        <v>9888</v>
      </c>
      <c r="H18" s="701"/>
      <c r="I18" s="701">
        <v>4944</v>
      </c>
      <c r="J18" s="701">
        <v>2</v>
      </c>
      <c r="K18" s="701">
        <v>9898</v>
      </c>
      <c r="L18" s="701"/>
      <c r="M18" s="701">
        <v>4949</v>
      </c>
      <c r="N18" s="701">
        <v>1</v>
      </c>
      <c r="O18" s="701">
        <v>4994</v>
      </c>
      <c r="P18" s="726"/>
      <c r="Q18" s="702">
        <v>4994</v>
      </c>
    </row>
    <row r="19" spans="1:17" ht="14.45" customHeight="1" x14ac:dyDescent="0.2">
      <c r="A19" s="696" t="s">
        <v>537</v>
      </c>
      <c r="B19" s="697" t="s">
        <v>2904</v>
      </c>
      <c r="C19" s="697" t="s">
        <v>2899</v>
      </c>
      <c r="D19" s="697" t="s">
        <v>2931</v>
      </c>
      <c r="E19" s="697" t="s">
        <v>2932</v>
      </c>
      <c r="F19" s="701"/>
      <c r="G19" s="701"/>
      <c r="H19" s="701"/>
      <c r="I19" s="701"/>
      <c r="J19" s="701"/>
      <c r="K19" s="701"/>
      <c r="L19" s="701"/>
      <c r="M19" s="701"/>
      <c r="N19" s="701">
        <v>1</v>
      </c>
      <c r="O19" s="701">
        <v>9915</v>
      </c>
      <c r="P19" s="726"/>
      <c r="Q19" s="702">
        <v>9915</v>
      </c>
    </row>
    <row r="20" spans="1:17" ht="14.45" customHeight="1" x14ac:dyDescent="0.2">
      <c r="A20" s="696" t="s">
        <v>537</v>
      </c>
      <c r="B20" s="697" t="s">
        <v>2904</v>
      </c>
      <c r="C20" s="697" t="s">
        <v>2899</v>
      </c>
      <c r="D20" s="697" t="s">
        <v>2933</v>
      </c>
      <c r="E20" s="697" t="s">
        <v>2934</v>
      </c>
      <c r="F20" s="701">
        <v>3</v>
      </c>
      <c r="G20" s="701">
        <v>2535</v>
      </c>
      <c r="H20" s="701"/>
      <c r="I20" s="701">
        <v>845</v>
      </c>
      <c r="J20" s="701">
        <v>3</v>
      </c>
      <c r="K20" s="701">
        <v>2556</v>
      </c>
      <c r="L20" s="701"/>
      <c r="M20" s="701">
        <v>852</v>
      </c>
      <c r="N20" s="701">
        <v>1</v>
      </c>
      <c r="O20" s="701">
        <v>888</v>
      </c>
      <c r="P20" s="726"/>
      <c r="Q20" s="702">
        <v>888</v>
      </c>
    </row>
    <row r="21" spans="1:17" ht="14.45" customHeight="1" x14ac:dyDescent="0.2">
      <c r="A21" s="696" t="s">
        <v>537</v>
      </c>
      <c r="B21" s="697" t="s">
        <v>2904</v>
      </c>
      <c r="C21" s="697" t="s">
        <v>2899</v>
      </c>
      <c r="D21" s="697" t="s">
        <v>2935</v>
      </c>
      <c r="E21" s="697" t="s">
        <v>2936</v>
      </c>
      <c r="F21" s="701"/>
      <c r="G21" s="701"/>
      <c r="H21" s="701"/>
      <c r="I21" s="701"/>
      <c r="J21" s="701"/>
      <c r="K21" s="701"/>
      <c r="L21" s="701"/>
      <c r="M21" s="701"/>
      <c r="N21" s="701">
        <v>1</v>
      </c>
      <c r="O21" s="701">
        <v>10266</v>
      </c>
      <c r="P21" s="726"/>
      <c r="Q21" s="702">
        <v>10266</v>
      </c>
    </row>
    <row r="22" spans="1:17" ht="14.45" customHeight="1" x14ac:dyDescent="0.2">
      <c r="A22" s="696" t="s">
        <v>537</v>
      </c>
      <c r="B22" s="697" t="s">
        <v>2904</v>
      </c>
      <c r="C22" s="697" t="s">
        <v>2899</v>
      </c>
      <c r="D22" s="697" t="s">
        <v>2937</v>
      </c>
      <c r="E22" s="697" t="s">
        <v>2938</v>
      </c>
      <c r="F22" s="701">
        <v>2</v>
      </c>
      <c r="G22" s="701">
        <v>9896</v>
      </c>
      <c r="H22" s="701"/>
      <c r="I22" s="701">
        <v>4948</v>
      </c>
      <c r="J22" s="701"/>
      <c r="K22" s="701"/>
      <c r="L22" s="701"/>
      <c r="M22" s="701"/>
      <c r="N22" s="701"/>
      <c r="O22" s="701"/>
      <c r="P22" s="726"/>
      <c r="Q22" s="702"/>
    </row>
    <row r="23" spans="1:17" ht="14.45" customHeight="1" x14ac:dyDescent="0.2">
      <c r="A23" s="696" t="s">
        <v>537</v>
      </c>
      <c r="B23" s="697" t="s">
        <v>2904</v>
      </c>
      <c r="C23" s="697" t="s">
        <v>2899</v>
      </c>
      <c r="D23" s="697" t="s">
        <v>2939</v>
      </c>
      <c r="E23" s="697" t="s">
        <v>2940</v>
      </c>
      <c r="F23" s="701">
        <v>1</v>
      </c>
      <c r="G23" s="701">
        <v>685</v>
      </c>
      <c r="H23" s="701"/>
      <c r="I23" s="701">
        <v>685</v>
      </c>
      <c r="J23" s="701"/>
      <c r="K23" s="701"/>
      <c r="L23" s="701"/>
      <c r="M23" s="701"/>
      <c r="N23" s="701">
        <v>1</v>
      </c>
      <c r="O23" s="701">
        <v>706</v>
      </c>
      <c r="P23" s="726"/>
      <c r="Q23" s="702">
        <v>706</v>
      </c>
    </row>
    <row r="24" spans="1:17" ht="14.45" customHeight="1" x14ac:dyDescent="0.2">
      <c r="A24" s="696" t="s">
        <v>537</v>
      </c>
      <c r="B24" s="697" t="s">
        <v>2904</v>
      </c>
      <c r="C24" s="697" t="s">
        <v>2899</v>
      </c>
      <c r="D24" s="697" t="s">
        <v>2941</v>
      </c>
      <c r="E24" s="697" t="s">
        <v>2942</v>
      </c>
      <c r="F24" s="701">
        <v>14</v>
      </c>
      <c r="G24" s="701">
        <v>11844</v>
      </c>
      <c r="H24" s="701"/>
      <c r="I24" s="701">
        <v>846</v>
      </c>
      <c r="J24" s="701">
        <v>29</v>
      </c>
      <c r="K24" s="701">
        <v>24696</v>
      </c>
      <c r="L24" s="701"/>
      <c r="M24" s="701">
        <v>851.58620689655174</v>
      </c>
      <c r="N24" s="701">
        <v>25</v>
      </c>
      <c r="O24" s="701">
        <v>21975</v>
      </c>
      <c r="P24" s="726"/>
      <c r="Q24" s="702">
        <v>879</v>
      </c>
    </row>
    <row r="25" spans="1:17" ht="14.45" customHeight="1" x14ac:dyDescent="0.2">
      <c r="A25" s="696" t="s">
        <v>537</v>
      </c>
      <c r="B25" s="697" t="s">
        <v>2904</v>
      </c>
      <c r="C25" s="697" t="s">
        <v>2899</v>
      </c>
      <c r="D25" s="697" t="s">
        <v>2943</v>
      </c>
      <c r="E25" s="697" t="s">
        <v>2944</v>
      </c>
      <c r="F25" s="701">
        <v>7</v>
      </c>
      <c r="G25" s="701">
        <v>0</v>
      </c>
      <c r="H25" s="701"/>
      <c r="I25" s="701">
        <v>0</v>
      </c>
      <c r="J25" s="701">
        <v>3</v>
      </c>
      <c r="K25" s="701">
        <v>0</v>
      </c>
      <c r="L25" s="701"/>
      <c r="M25" s="701">
        <v>0</v>
      </c>
      <c r="N25" s="701">
        <v>7</v>
      </c>
      <c r="O25" s="701">
        <v>0</v>
      </c>
      <c r="P25" s="726"/>
      <c r="Q25" s="702">
        <v>0</v>
      </c>
    </row>
    <row r="26" spans="1:17" ht="14.45" customHeight="1" x14ac:dyDescent="0.2">
      <c r="A26" s="696" t="s">
        <v>537</v>
      </c>
      <c r="B26" s="697" t="s">
        <v>2904</v>
      </c>
      <c r="C26" s="697" t="s">
        <v>2899</v>
      </c>
      <c r="D26" s="697" t="s">
        <v>2945</v>
      </c>
      <c r="E26" s="697" t="s">
        <v>2946</v>
      </c>
      <c r="F26" s="701"/>
      <c r="G26" s="701"/>
      <c r="H26" s="701"/>
      <c r="I26" s="701"/>
      <c r="J26" s="701"/>
      <c r="K26" s="701"/>
      <c r="L26" s="701"/>
      <c r="M26" s="701"/>
      <c r="N26" s="701">
        <v>1</v>
      </c>
      <c r="O26" s="701">
        <v>0</v>
      </c>
      <c r="P26" s="726"/>
      <c r="Q26" s="702">
        <v>0</v>
      </c>
    </row>
    <row r="27" spans="1:17" ht="14.45" customHeight="1" x14ac:dyDescent="0.2">
      <c r="A27" s="696" t="s">
        <v>537</v>
      </c>
      <c r="B27" s="697" t="s">
        <v>2904</v>
      </c>
      <c r="C27" s="697" t="s">
        <v>2899</v>
      </c>
      <c r="D27" s="697" t="s">
        <v>2947</v>
      </c>
      <c r="E27" s="697" t="s">
        <v>2948</v>
      </c>
      <c r="F27" s="701"/>
      <c r="G27" s="701"/>
      <c r="H27" s="701"/>
      <c r="I27" s="701"/>
      <c r="J27" s="701"/>
      <c r="K27" s="701"/>
      <c r="L27" s="701"/>
      <c r="M27" s="701"/>
      <c r="N27" s="701">
        <v>1</v>
      </c>
      <c r="O27" s="701">
        <v>0</v>
      </c>
      <c r="P27" s="726"/>
      <c r="Q27" s="702">
        <v>0</v>
      </c>
    </row>
    <row r="28" spans="1:17" ht="14.45" customHeight="1" x14ac:dyDescent="0.2">
      <c r="A28" s="696" t="s">
        <v>537</v>
      </c>
      <c r="B28" s="697" t="s">
        <v>2904</v>
      </c>
      <c r="C28" s="697" t="s">
        <v>2899</v>
      </c>
      <c r="D28" s="697" t="s">
        <v>2949</v>
      </c>
      <c r="E28" s="697" t="s">
        <v>2950</v>
      </c>
      <c r="F28" s="701"/>
      <c r="G28" s="701"/>
      <c r="H28" s="701"/>
      <c r="I28" s="701"/>
      <c r="J28" s="701"/>
      <c r="K28" s="701"/>
      <c r="L28" s="701"/>
      <c r="M28" s="701"/>
      <c r="N28" s="701">
        <v>5</v>
      </c>
      <c r="O28" s="701">
        <v>0</v>
      </c>
      <c r="P28" s="726"/>
      <c r="Q28" s="702">
        <v>0</v>
      </c>
    </row>
    <row r="29" spans="1:17" ht="14.45" customHeight="1" x14ac:dyDescent="0.2">
      <c r="A29" s="696" t="s">
        <v>537</v>
      </c>
      <c r="B29" s="697" t="s">
        <v>2904</v>
      </c>
      <c r="C29" s="697" t="s">
        <v>2899</v>
      </c>
      <c r="D29" s="697" t="s">
        <v>2951</v>
      </c>
      <c r="E29" s="697" t="s">
        <v>2952</v>
      </c>
      <c r="F29" s="701"/>
      <c r="G29" s="701"/>
      <c r="H29" s="701"/>
      <c r="I29" s="701"/>
      <c r="J29" s="701"/>
      <c r="K29" s="701"/>
      <c r="L29" s="701"/>
      <c r="M29" s="701"/>
      <c r="N29" s="701">
        <v>3</v>
      </c>
      <c r="O29" s="701">
        <v>0</v>
      </c>
      <c r="P29" s="726"/>
      <c r="Q29" s="702">
        <v>0</v>
      </c>
    </row>
    <row r="30" spans="1:17" ht="14.45" customHeight="1" x14ac:dyDescent="0.2">
      <c r="A30" s="696" t="s">
        <v>537</v>
      </c>
      <c r="B30" s="697" t="s">
        <v>2904</v>
      </c>
      <c r="C30" s="697" t="s">
        <v>2899</v>
      </c>
      <c r="D30" s="697" t="s">
        <v>2953</v>
      </c>
      <c r="E30" s="697" t="s">
        <v>2954</v>
      </c>
      <c r="F30" s="701"/>
      <c r="G30" s="701"/>
      <c r="H30" s="701"/>
      <c r="I30" s="701"/>
      <c r="J30" s="701"/>
      <c r="K30" s="701"/>
      <c r="L30" s="701"/>
      <c r="M30" s="701"/>
      <c r="N30" s="701">
        <v>2</v>
      </c>
      <c r="O30" s="701">
        <v>0</v>
      </c>
      <c r="P30" s="726"/>
      <c r="Q30" s="702">
        <v>0</v>
      </c>
    </row>
    <row r="31" spans="1:17" ht="14.45" customHeight="1" x14ac:dyDescent="0.2">
      <c r="A31" s="696" t="s">
        <v>537</v>
      </c>
      <c r="B31" s="697" t="s">
        <v>2904</v>
      </c>
      <c r="C31" s="697" t="s">
        <v>2899</v>
      </c>
      <c r="D31" s="697" t="s">
        <v>2955</v>
      </c>
      <c r="E31" s="697" t="s">
        <v>2956</v>
      </c>
      <c r="F31" s="701"/>
      <c r="G31" s="701"/>
      <c r="H31" s="701"/>
      <c r="I31" s="701"/>
      <c r="J31" s="701">
        <v>1</v>
      </c>
      <c r="K31" s="701">
        <v>0</v>
      </c>
      <c r="L31" s="701"/>
      <c r="M31" s="701">
        <v>0</v>
      </c>
      <c r="N31" s="701"/>
      <c r="O31" s="701"/>
      <c r="P31" s="726"/>
      <c r="Q31" s="702"/>
    </row>
    <row r="32" spans="1:17" ht="14.45" customHeight="1" x14ac:dyDescent="0.2">
      <c r="A32" s="696" t="s">
        <v>537</v>
      </c>
      <c r="B32" s="697" t="s">
        <v>2904</v>
      </c>
      <c r="C32" s="697" t="s">
        <v>2899</v>
      </c>
      <c r="D32" s="697" t="s">
        <v>2957</v>
      </c>
      <c r="E32" s="697" t="s">
        <v>2958</v>
      </c>
      <c r="F32" s="701">
        <v>1</v>
      </c>
      <c r="G32" s="701">
        <v>0</v>
      </c>
      <c r="H32" s="701"/>
      <c r="I32" s="701">
        <v>0</v>
      </c>
      <c r="J32" s="701">
        <v>1</v>
      </c>
      <c r="K32" s="701">
        <v>0</v>
      </c>
      <c r="L32" s="701"/>
      <c r="M32" s="701">
        <v>0</v>
      </c>
      <c r="N32" s="701">
        <v>1</v>
      </c>
      <c r="O32" s="701">
        <v>0</v>
      </c>
      <c r="P32" s="726"/>
      <c r="Q32" s="702">
        <v>0</v>
      </c>
    </row>
    <row r="33" spans="1:17" ht="14.45" customHeight="1" x14ac:dyDescent="0.2">
      <c r="A33" s="696" t="s">
        <v>537</v>
      </c>
      <c r="B33" s="697" t="s">
        <v>2904</v>
      </c>
      <c r="C33" s="697" t="s">
        <v>2899</v>
      </c>
      <c r="D33" s="697" t="s">
        <v>2959</v>
      </c>
      <c r="E33" s="697" t="s">
        <v>2960</v>
      </c>
      <c r="F33" s="701">
        <v>1</v>
      </c>
      <c r="G33" s="701">
        <v>0</v>
      </c>
      <c r="H33" s="701"/>
      <c r="I33" s="701">
        <v>0</v>
      </c>
      <c r="J33" s="701"/>
      <c r="K33" s="701"/>
      <c r="L33" s="701"/>
      <c r="M33" s="701"/>
      <c r="N33" s="701"/>
      <c r="O33" s="701"/>
      <c r="P33" s="726"/>
      <c r="Q33" s="702"/>
    </row>
    <row r="34" spans="1:17" ht="14.45" customHeight="1" x14ac:dyDescent="0.2">
      <c r="A34" s="696" t="s">
        <v>537</v>
      </c>
      <c r="B34" s="697" t="s">
        <v>2904</v>
      </c>
      <c r="C34" s="697" t="s">
        <v>2899</v>
      </c>
      <c r="D34" s="697" t="s">
        <v>2961</v>
      </c>
      <c r="E34" s="697" t="s">
        <v>2962</v>
      </c>
      <c r="F34" s="701">
        <v>1</v>
      </c>
      <c r="G34" s="701">
        <v>0</v>
      </c>
      <c r="H34" s="701"/>
      <c r="I34" s="701">
        <v>0</v>
      </c>
      <c r="J34" s="701"/>
      <c r="K34" s="701"/>
      <c r="L34" s="701"/>
      <c r="M34" s="701"/>
      <c r="N34" s="701"/>
      <c r="O34" s="701"/>
      <c r="P34" s="726"/>
      <c r="Q34" s="702"/>
    </row>
    <row r="35" spans="1:17" ht="14.45" customHeight="1" x14ac:dyDescent="0.2">
      <c r="A35" s="696" t="s">
        <v>537</v>
      </c>
      <c r="B35" s="697" t="s">
        <v>2904</v>
      </c>
      <c r="C35" s="697" t="s">
        <v>2899</v>
      </c>
      <c r="D35" s="697" t="s">
        <v>2963</v>
      </c>
      <c r="E35" s="697" t="s">
        <v>2964</v>
      </c>
      <c r="F35" s="701">
        <v>1</v>
      </c>
      <c r="G35" s="701">
        <v>0</v>
      </c>
      <c r="H35" s="701"/>
      <c r="I35" s="701">
        <v>0</v>
      </c>
      <c r="J35" s="701"/>
      <c r="K35" s="701"/>
      <c r="L35" s="701"/>
      <c r="M35" s="701"/>
      <c r="N35" s="701"/>
      <c r="O35" s="701"/>
      <c r="P35" s="726"/>
      <c r="Q35" s="702"/>
    </row>
    <row r="36" spans="1:17" ht="14.45" customHeight="1" x14ac:dyDescent="0.2">
      <c r="A36" s="696" t="s">
        <v>537</v>
      </c>
      <c r="B36" s="697" t="s">
        <v>2904</v>
      </c>
      <c r="C36" s="697" t="s">
        <v>2899</v>
      </c>
      <c r="D36" s="697" t="s">
        <v>2965</v>
      </c>
      <c r="E36" s="697" t="s">
        <v>2966</v>
      </c>
      <c r="F36" s="701">
        <v>2</v>
      </c>
      <c r="G36" s="701">
        <v>0</v>
      </c>
      <c r="H36" s="701"/>
      <c r="I36" s="701">
        <v>0</v>
      </c>
      <c r="J36" s="701"/>
      <c r="K36" s="701"/>
      <c r="L36" s="701"/>
      <c r="M36" s="701"/>
      <c r="N36" s="701"/>
      <c r="O36" s="701"/>
      <c r="P36" s="726"/>
      <c r="Q36" s="702"/>
    </row>
    <row r="37" spans="1:17" ht="14.45" customHeight="1" x14ac:dyDescent="0.2">
      <c r="A37" s="696" t="s">
        <v>537</v>
      </c>
      <c r="B37" s="697" t="s">
        <v>2904</v>
      </c>
      <c r="C37" s="697" t="s">
        <v>2899</v>
      </c>
      <c r="D37" s="697" t="s">
        <v>2967</v>
      </c>
      <c r="E37" s="697" t="s">
        <v>2968</v>
      </c>
      <c r="F37" s="701"/>
      <c r="G37" s="701"/>
      <c r="H37" s="701"/>
      <c r="I37" s="701"/>
      <c r="J37" s="701"/>
      <c r="K37" s="701"/>
      <c r="L37" s="701"/>
      <c r="M37" s="701"/>
      <c r="N37" s="701">
        <v>1</v>
      </c>
      <c r="O37" s="701">
        <v>0</v>
      </c>
      <c r="P37" s="726"/>
      <c r="Q37" s="702">
        <v>0</v>
      </c>
    </row>
    <row r="38" spans="1:17" ht="14.45" customHeight="1" x14ac:dyDescent="0.2">
      <c r="A38" s="696" t="s">
        <v>537</v>
      </c>
      <c r="B38" s="697" t="s">
        <v>2904</v>
      </c>
      <c r="C38" s="697" t="s">
        <v>2899</v>
      </c>
      <c r="D38" s="697" t="s">
        <v>2969</v>
      </c>
      <c r="E38" s="697" t="s">
        <v>2970</v>
      </c>
      <c r="F38" s="701"/>
      <c r="G38" s="701"/>
      <c r="H38" s="701"/>
      <c r="I38" s="701"/>
      <c r="J38" s="701">
        <v>1</v>
      </c>
      <c r="K38" s="701">
        <v>0</v>
      </c>
      <c r="L38" s="701"/>
      <c r="M38" s="701">
        <v>0</v>
      </c>
      <c r="N38" s="701"/>
      <c r="O38" s="701"/>
      <c r="P38" s="726"/>
      <c r="Q38" s="702"/>
    </row>
    <row r="39" spans="1:17" ht="14.45" customHeight="1" x14ac:dyDescent="0.2">
      <c r="A39" s="696" t="s">
        <v>537</v>
      </c>
      <c r="B39" s="697" t="s">
        <v>2904</v>
      </c>
      <c r="C39" s="697" t="s">
        <v>2899</v>
      </c>
      <c r="D39" s="697" t="s">
        <v>2971</v>
      </c>
      <c r="E39" s="697" t="s">
        <v>2972</v>
      </c>
      <c r="F39" s="701"/>
      <c r="G39" s="701"/>
      <c r="H39" s="701"/>
      <c r="I39" s="701"/>
      <c r="J39" s="701"/>
      <c r="K39" s="701"/>
      <c r="L39" s="701"/>
      <c r="M39" s="701"/>
      <c r="N39" s="701">
        <v>1</v>
      </c>
      <c r="O39" s="701">
        <v>0</v>
      </c>
      <c r="P39" s="726"/>
      <c r="Q39" s="702">
        <v>0</v>
      </c>
    </row>
    <row r="40" spans="1:17" ht="14.45" customHeight="1" x14ac:dyDescent="0.2">
      <c r="A40" s="696" t="s">
        <v>537</v>
      </c>
      <c r="B40" s="697" t="s">
        <v>2904</v>
      </c>
      <c r="C40" s="697" t="s">
        <v>2899</v>
      </c>
      <c r="D40" s="697" t="s">
        <v>2973</v>
      </c>
      <c r="E40" s="697" t="s">
        <v>2974</v>
      </c>
      <c r="F40" s="701">
        <v>1</v>
      </c>
      <c r="G40" s="701">
        <v>0</v>
      </c>
      <c r="H40" s="701"/>
      <c r="I40" s="701">
        <v>0</v>
      </c>
      <c r="J40" s="701"/>
      <c r="K40" s="701"/>
      <c r="L40" s="701"/>
      <c r="M40" s="701"/>
      <c r="N40" s="701">
        <v>1</v>
      </c>
      <c r="O40" s="701">
        <v>0</v>
      </c>
      <c r="P40" s="726"/>
      <c r="Q40" s="702">
        <v>0</v>
      </c>
    </row>
    <row r="41" spans="1:17" ht="14.45" customHeight="1" x14ac:dyDescent="0.2">
      <c r="A41" s="696" t="s">
        <v>537</v>
      </c>
      <c r="B41" s="697" t="s">
        <v>2904</v>
      </c>
      <c r="C41" s="697" t="s">
        <v>2899</v>
      </c>
      <c r="D41" s="697" t="s">
        <v>2975</v>
      </c>
      <c r="E41" s="697" t="s">
        <v>2976</v>
      </c>
      <c r="F41" s="701"/>
      <c r="G41" s="701"/>
      <c r="H41" s="701"/>
      <c r="I41" s="701"/>
      <c r="J41" s="701">
        <v>3</v>
      </c>
      <c r="K41" s="701">
        <v>0</v>
      </c>
      <c r="L41" s="701"/>
      <c r="M41" s="701">
        <v>0</v>
      </c>
      <c r="N41" s="701">
        <v>8</v>
      </c>
      <c r="O41" s="701">
        <v>0</v>
      </c>
      <c r="P41" s="726"/>
      <c r="Q41" s="702">
        <v>0</v>
      </c>
    </row>
    <row r="42" spans="1:17" ht="14.45" customHeight="1" x14ac:dyDescent="0.2">
      <c r="A42" s="696" t="s">
        <v>537</v>
      </c>
      <c r="B42" s="697" t="s">
        <v>2904</v>
      </c>
      <c r="C42" s="697" t="s">
        <v>2899</v>
      </c>
      <c r="D42" s="697" t="s">
        <v>2977</v>
      </c>
      <c r="E42" s="697" t="s">
        <v>2978</v>
      </c>
      <c r="F42" s="701">
        <v>1</v>
      </c>
      <c r="G42" s="701">
        <v>0</v>
      </c>
      <c r="H42" s="701"/>
      <c r="I42" s="701">
        <v>0</v>
      </c>
      <c r="J42" s="701">
        <v>1</v>
      </c>
      <c r="K42" s="701">
        <v>0</v>
      </c>
      <c r="L42" s="701"/>
      <c r="M42" s="701">
        <v>0</v>
      </c>
      <c r="N42" s="701"/>
      <c r="O42" s="701"/>
      <c r="P42" s="726"/>
      <c r="Q42" s="702"/>
    </row>
    <row r="43" spans="1:17" ht="14.45" customHeight="1" x14ac:dyDescent="0.2">
      <c r="A43" s="696" t="s">
        <v>537</v>
      </c>
      <c r="B43" s="697" t="s">
        <v>2904</v>
      </c>
      <c r="C43" s="697" t="s">
        <v>2899</v>
      </c>
      <c r="D43" s="697" t="s">
        <v>2979</v>
      </c>
      <c r="E43" s="697" t="s">
        <v>2980</v>
      </c>
      <c r="F43" s="701"/>
      <c r="G43" s="701"/>
      <c r="H43" s="701"/>
      <c r="I43" s="701"/>
      <c r="J43" s="701"/>
      <c r="K43" s="701"/>
      <c r="L43" s="701"/>
      <c r="M43" s="701"/>
      <c r="N43" s="701">
        <v>0</v>
      </c>
      <c r="O43" s="701">
        <v>0</v>
      </c>
      <c r="P43" s="726"/>
      <c r="Q43" s="702"/>
    </row>
    <row r="44" spans="1:17" ht="14.45" customHeight="1" x14ac:dyDescent="0.2">
      <c r="A44" s="696" t="s">
        <v>537</v>
      </c>
      <c r="B44" s="697" t="s">
        <v>2904</v>
      </c>
      <c r="C44" s="697" t="s">
        <v>2899</v>
      </c>
      <c r="D44" s="697" t="s">
        <v>2981</v>
      </c>
      <c r="E44" s="697" t="s">
        <v>2982</v>
      </c>
      <c r="F44" s="701">
        <v>2</v>
      </c>
      <c r="G44" s="701">
        <v>0</v>
      </c>
      <c r="H44" s="701"/>
      <c r="I44" s="701">
        <v>0</v>
      </c>
      <c r="J44" s="701">
        <v>1</v>
      </c>
      <c r="K44" s="701">
        <v>0</v>
      </c>
      <c r="L44" s="701"/>
      <c r="M44" s="701">
        <v>0</v>
      </c>
      <c r="N44" s="701">
        <v>6</v>
      </c>
      <c r="O44" s="701">
        <v>0</v>
      </c>
      <c r="P44" s="726"/>
      <c r="Q44" s="702">
        <v>0</v>
      </c>
    </row>
    <row r="45" spans="1:17" ht="14.45" customHeight="1" x14ac:dyDescent="0.2">
      <c r="A45" s="696" t="s">
        <v>537</v>
      </c>
      <c r="B45" s="697" t="s">
        <v>2904</v>
      </c>
      <c r="C45" s="697" t="s">
        <v>2899</v>
      </c>
      <c r="D45" s="697" t="s">
        <v>2983</v>
      </c>
      <c r="E45" s="697" t="s">
        <v>2984</v>
      </c>
      <c r="F45" s="701">
        <v>2</v>
      </c>
      <c r="G45" s="701">
        <v>1550</v>
      </c>
      <c r="H45" s="701"/>
      <c r="I45" s="701">
        <v>775</v>
      </c>
      <c r="J45" s="701">
        <v>1</v>
      </c>
      <c r="K45" s="701">
        <v>780</v>
      </c>
      <c r="L45" s="701"/>
      <c r="M45" s="701">
        <v>780</v>
      </c>
      <c r="N45" s="701">
        <v>4</v>
      </c>
      <c r="O45" s="701">
        <v>3196</v>
      </c>
      <c r="P45" s="726"/>
      <c r="Q45" s="702">
        <v>799</v>
      </c>
    </row>
    <row r="46" spans="1:17" ht="14.45" customHeight="1" x14ac:dyDescent="0.2">
      <c r="A46" s="696" t="s">
        <v>537</v>
      </c>
      <c r="B46" s="697" t="s">
        <v>2904</v>
      </c>
      <c r="C46" s="697" t="s">
        <v>2899</v>
      </c>
      <c r="D46" s="697" t="s">
        <v>2985</v>
      </c>
      <c r="E46" s="697" t="s">
        <v>2986</v>
      </c>
      <c r="F46" s="701"/>
      <c r="G46" s="701"/>
      <c r="H46" s="701"/>
      <c r="I46" s="701"/>
      <c r="J46" s="701"/>
      <c r="K46" s="701"/>
      <c r="L46" s="701"/>
      <c r="M46" s="701"/>
      <c r="N46" s="701">
        <v>1</v>
      </c>
      <c r="O46" s="701">
        <v>563</v>
      </c>
      <c r="P46" s="726"/>
      <c r="Q46" s="702">
        <v>563</v>
      </c>
    </row>
    <row r="47" spans="1:17" ht="14.45" customHeight="1" x14ac:dyDescent="0.2">
      <c r="A47" s="696" t="s">
        <v>537</v>
      </c>
      <c r="B47" s="697" t="s">
        <v>2904</v>
      </c>
      <c r="C47" s="697" t="s">
        <v>2899</v>
      </c>
      <c r="D47" s="697" t="s">
        <v>2987</v>
      </c>
      <c r="E47" s="697" t="s">
        <v>2988</v>
      </c>
      <c r="F47" s="701">
        <v>1</v>
      </c>
      <c r="G47" s="701">
        <v>2827</v>
      </c>
      <c r="H47" s="701"/>
      <c r="I47" s="701">
        <v>2827</v>
      </c>
      <c r="J47" s="701">
        <v>5</v>
      </c>
      <c r="K47" s="701">
        <v>14179</v>
      </c>
      <c r="L47" s="701"/>
      <c r="M47" s="701">
        <v>2835.8</v>
      </c>
      <c r="N47" s="701">
        <v>2</v>
      </c>
      <c r="O47" s="701">
        <v>5886</v>
      </c>
      <c r="P47" s="726"/>
      <c r="Q47" s="702">
        <v>2943</v>
      </c>
    </row>
    <row r="48" spans="1:17" ht="14.45" customHeight="1" x14ac:dyDescent="0.2">
      <c r="A48" s="696" t="s">
        <v>537</v>
      </c>
      <c r="B48" s="697" t="s">
        <v>2904</v>
      </c>
      <c r="C48" s="697" t="s">
        <v>2899</v>
      </c>
      <c r="D48" s="697" t="s">
        <v>2989</v>
      </c>
      <c r="E48" s="697" t="s">
        <v>2990</v>
      </c>
      <c r="F48" s="701"/>
      <c r="G48" s="701"/>
      <c r="H48" s="701"/>
      <c r="I48" s="701"/>
      <c r="J48" s="701">
        <v>2</v>
      </c>
      <c r="K48" s="701">
        <v>1394</v>
      </c>
      <c r="L48" s="701"/>
      <c r="M48" s="701">
        <v>697</v>
      </c>
      <c r="N48" s="701"/>
      <c r="O48" s="701"/>
      <c r="P48" s="726"/>
      <c r="Q48" s="702"/>
    </row>
    <row r="49" spans="1:17" ht="14.45" customHeight="1" x14ac:dyDescent="0.2">
      <c r="A49" s="696" t="s">
        <v>537</v>
      </c>
      <c r="B49" s="697" t="s">
        <v>2904</v>
      </c>
      <c r="C49" s="697" t="s">
        <v>2899</v>
      </c>
      <c r="D49" s="697" t="s">
        <v>2991</v>
      </c>
      <c r="E49" s="697" t="s">
        <v>2992</v>
      </c>
      <c r="F49" s="701">
        <v>2</v>
      </c>
      <c r="G49" s="701">
        <v>1700</v>
      </c>
      <c r="H49" s="701"/>
      <c r="I49" s="701">
        <v>850</v>
      </c>
      <c r="J49" s="701">
        <v>1</v>
      </c>
      <c r="K49" s="701">
        <v>857</v>
      </c>
      <c r="L49" s="701"/>
      <c r="M49" s="701">
        <v>857</v>
      </c>
      <c r="N49" s="701">
        <v>7</v>
      </c>
      <c r="O49" s="701">
        <v>6251</v>
      </c>
      <c r="P49" s="726"/>
      <c r="Q49" s="702">
        <v>893</v>
      </c>
    </row>
    <row r="50" spans="1:17" ht="14.45" customHeight="1" x14ac:dyDescent="0.2">
      <c r="A50" s="696" t="s">
        <v>537</v>
      </c>
      <c r="B50" s="697" t="s">
        <v>2904</v>
      </c>
      <c r="C50" s="697" t="s">
        <v>2899</v>
      </c>
      <c r="D50" s="697" t="s">
        <v>2993</v>
      </c>
      <c r="E50" s="697" t="s">
        <v>2994</v>
      </c>
      <c r="F50" s="701"/>
      <c r="G50" s="701"/>
      <c r="H50" s="701"/>
      <c r="I50" s="701"/>
      <c r="J50" s="701">
        <v>1</v>
      </c>
      <c r="K50" s="701">
        <v>6347</v>
      </c>
      <c r="L50" s="701"/>
      <c r="M50" s="701">
        <v>6347</v>
      </c>
      <c r="N50" s="701">
        <v>1</v>
      </c>
      <c r="O50" s="701">
        <v>6550</v>
      </c>
      <c r="P50" s="726"/>
      <c r="Q50" s="702">
        <v>6550</v>
      </c>
    </row>
    <row r="51" spans="1:17" ht="14.45" customHeight="1" x14ac:dyDescent="0.2">
      <c r="A51" s="696" t="s">
        <v>537</v>
      </c>
      <c r="B51" s="697" t="s">
        <v>2904</v>
      </c>
      <c r="C51" s="697" t="s">
        <v>2899</v>
      </c>
      <c r="D51" s="697" t="s">
        <v>2995</v>
      </c>
      <c r="E51" s="697" t="s">
        <v>2996</v>
      </c>
      <c r="F51" s="701">
        <v>6</v>
      </c>
      <c r="G51" s="701">
        <v>56454</v>
      </c>
      <c r="H51" s="701"/>
      <c r="I51" s="701">
        <v>9409</v>
      </c>
      <c r="J51" s="701">
        <v>5</v>
      </c>
      <c r="K51" s="701">
        <v>47260</v>
      </c>
      <c r="L51" s="701"/>
      <c r="M51" s="701">
        <v>9452</v>
      </c>
      <c r="N51" s="701">
        <v>4</v>
      </c>
      <c r="O51" s="701">
        <v>38972</v>
      </c>
      <c r="P51" s="726"/>
      <c r="Q51" s="702">
        <v>9743</v>
      </c>
    </row>
    <row r="52" spans="1:17" ht="14.45" customHeight="1" x14ac:dyDescent="0.2">
      <c r="A52" s="696" t="s">
        <v>537</v>
      </c>
      <c r="B52" s="697" t="s">
        <v>2904</v>
      </c>
      <c r="C52" s="697" t="s">
        <v>2899</v>
      </c>
      <c r="D52" s="697" t="s">
        <v>2997</v>
      </c>
      <c r="E52" s="697" t="s">
        <v>2998</v>
      </c>
      <c r="F52" s="701">
        <v>6</v>
      </c>
      <c r="G52" s="701">
        <v>2688</v>
      </c>
      <c r="H52" s="701"/>
      <c r="I52" s="701">
        <v>448</v>
      </c>
      <c r="J52" s="701">
        <v>3</v>
      </c>
      <c r="K52" s="701">
        <v>1353</v>
      </c>
      <c r="L52" s="701"/>
      <c r="M52" s="701">
        <v>451</v>
      </c>
      <c r="N52" s="701">
        <v>1</v>
      </c>
      <c r="O52" s="701">
        <v>463</v>
      </c>
      <c r="P52" s="726"/>
      <c r="Q52" s="702">
        <v>463</v>
      </c>
    </row>
    <row r="53" spans="1:17" ht="14.45" customHeight="1" x14ac:dyDescent="0.2">
      <c r="A53" s="696" t="s">
        <v>537</v>
      </c>
      <c r="B53" s="697" t="s">
        <v>2904</v>
      </c>
      <c r="C53" s="697" t="s">
        <v>2899</v>
      </c>
      <c r="D53" s="697" t="s">
        <v>2999</v>
      </c>
      <c r="E53" s="697" t="s">
        <v>3000</v>
      </c>
      <c r="F53" s="701">
        <v>24</v>
      </c>
      <c r="G53" s="701">
        <v>20904</v>
      </c>
      <c r="H53" s="701"/>
      <c r="I53" s="701">
        <v>871</v>
      </c>
      <c r="J53" s="701">
        <v>37</v>
      </c>
      <c r="K53" s="701">
        <v>31241</v>
      </c>
      <c r="L53" s="701"/>
      <c r="M53" s="701">
        <v>844.35135135135135</v>
      </c>
      <c r="N53" s="701">
        <v>25</v>
      </c>
      <c r="O53" s="701">
        <v>21825</v>
      </c>
      <c r="P53" s="726"/>
      <c r="Q53" s="702">
        <v>873</v>
      </c>
    </row>
    <row r="54" spans="1:17" ht="14.45" customHeight="1" x14ac:dyDescent="0.2">
      <c r="A54" s="696" t="s">
        <v>537</v>
      </c>
      <c r="B54" s="697" t="s">
        <v>2904</v>
      </c>
      <c r="C54" s="697" t="s">
        <v>2899</v>
      </c>
      <c r="D54" s="697" t="s">
        <v>3001</v>
      </c>
      <c r="E54" s="697" t="s">
        <v>3002</v>
      </c>
      <c r="F54" s="701">
        <v>4</v>
      </c>
      <c r="G54" s="701">
        <v>14548</v>
      </c>
      <c r="H54" s="701"/>
      <c r="I54" s="701">
        <v>3637</v>
      </c>
      <c r="J54" s="701">
        <v>2</v>
      </c>
      <c r="K54" s="701">
        <v>7306</v>
      </c>
      <c r="L54" s="701"/>
      <c r="M54" s="701">
        <v>3653</v>
      </c>
      <c r="N54" s="701">
        <v>1</v>
      </c>
      <c r="O54" s="701">
        <v>3803</v>
      </c>
      <c r="P54" s="726"/>
      <c r="Q54" s="702">
        <v>3803</v>
      </c>
    </row>
    <row r="55" spans="1:17" ht="14.45" customHeight="1" x14ac:dyDescent="0.2">
      <c r="A55" s="696" t="s">
        <v>537</v>
      </c>
      <c r="B55" s="697" t="s">
        <v>2904</v>
      </c>
      <c r="C55" s="697" t="s">
        <v>2899</v>
      </c>
      <c r="D55" s="697" t="s">
        <v>3003</v>
      </c>
      <c r="E55" s="697" t="s">
        <v>3004</v>
      </c>
      <c r="F55" s="701">
        <v>4</v>
      </c>
      <c r="G55" s="701">
        <v>4292</v>
      </c>
      <c r="H55" s="701"/>
      <c r="I55" s="701">
        <v>1073</v>
      </c>
      <c r="J55" s="701"/>
      <c r="K55" s="701"/>
      <c r="L55" s="701"/>
      <c r="M55" s="701"/>
      <c r="N55" s="701">
        <v>2</v>
      </c>
      <c r="O55" s="701">
        <v>2246</v>
      </c>
      <c r="P55" s="726"/>
      <c r="Q55" s="702">
        <v>1123</v>
      </c>
    </row>
    <row r="56" spans="1:17" ht="14.45" customHeight="1" x14ac:dyDescent="0.2">
      <c r="A56" s="696" t="s">
        <v>537</v>
      </c>
      <c r="B56" s="697" t="s">
        <v>2904</v>
      </c>
      <c r="C56" s="697" t="s">
        <v>2899</v>
      </c>
      <c r="D56" s="697" t="s">
        <v>3005</v>
      </c>
      <c r="E56" s="697" t="s">
        <v>3006</v>
      </c>
      <c r="F56" s="701"/>
      <c r="G56" s="701"/>
      <c r="H56" s="701"/>
      <c r="I56" s="701"/>
      <c r="J56" s="701">
        <v>3</v>
      </c>
      <c r="K56" s="701">
        <v>11409</v>
      </c>
      <c r="L56" s="701"/>
      <c r="M56" s="701">
        <v>3803</v>
      </c>
      <c r="N56" s="701"/>
      <c r="O56" s="701"/>
      <c r="P56" s="726"/>
      <c r="Q56" s="702"/>
    </row>
    <row r="57" spans="1:17" ht="14.45" customHeight="1" x14ac:dyDescent="0.2">
      <c r="A57" s="696" t="s">
        <v>537</v>
      </c>
      <c r="B57" s="697" t="s">
        <v>2904</v>
      </c>
      <c r="C57" s="697" t="s">
        <v>2899</v>
      </c>
      <c r="D57" s="697" t="s">
        <v>3007</v>
      </c>
      <c r="E57" s="697" t="s">
        <v>3008</v>
      </c>
      <c r="F57" s="701">
        <v>1</v>
      </c>
      <c r="G57" s="701">
        <v>376</v>
      </c>
      <c r="H57" s="701"/>
      <c r="I57" s="701">
        <v>376</v>
      </c>
      <c r="J57" s="701"/>
      <c r="K57" s="701"/>
      <c r="L57" s="701"/>
      <c r="M57" s="701"/>
      <c r="N57" s="701">
        <v>1</v>
      </c>
      <c r="O57" s="701">
        <v>388</v>
      </c>
      <c r="P57" s="726"/>
      <c r="Q57" s="702">
        <v>388</v>
      </c>
    </row>
    <row r="58" spans="1:17" ht="14.45" customHeight="1" x14ac:dyDescent="0.2">
      <c r="A58" s="696" t="s">
        <v>537</v>
      </c>
      <c r="B58" s="697" t="s">
        <v>2904</v>
      </c>
      <c r="C58" s="697" t="s">
        <v>2899</v>
      </c>
      <c r="D58" s="697" t="s">
        <v>3009</v>
      </c>
      <c r="E58" s="697" t="s">
        <v>3010</v>
      </c>
      <c r="F58" s="701">
        <v>1</v>
      </c>
      <c r="G58" s="701">
        <v>1999</v>
      </c>
      <c r="H58" s="701"/>
      <c r="I58" s="701">
        <v>1999</v>
      </c>
      <c r="J58" s="701"/>
      <c r="K58" s="701"/>
      <c r="L58" s="701"/>
      <c r="M58" s="701"/>
      <c r="N58" s="701"/>
      <c r="O58" s="701"/>
      <c r="P58" s="726"/>
      <c r="Q58" s="702"/>
    </row>
    <row r="59" spans="1:17" ht="14.45" customHeight="1" x14ac:dyDescent="0.2">
      <c r="A59" s="696" t="s">
        <v>537</v>
      </c>
      <c r="B59" s="697" t="s">
        <v>2904</v>
      </c>
      <c r="C59" s="697" t="s">
        <v>2899</v>
      </c>
      <c r="D59" s="697" t="s">
        <v>3011</v>
      </c>
      <c r="E59" s="697" t="s">
        <v>3012</v>
      </c>
      <c r="F59" s="701"/>
      <c r="G59" s="701"/>
      <c r="H59" s="701"/>
      <c r="I59" s="701"/>
      <c r="J59" s="701"/>
      <c r="K59" s="701"/>
      <c r="L59" s="701"/>
      <c r="M59" s="701"/>
      <c r="N59" s="701">
        <v>1</v>
      </c>
      <c r="O59" s="701">
        <v>16466</v>
      </c>
      <c r="P59" s="726"/>
      <c r="Q59" s="702">
        <v>16466</v>
      </c>
    </row>
    <row r="60" spans="1:17" ht="14.45" customHeight="1" x14ac:dyDescent="0.2">
      <c r="A60" s="696" t="s">
        <v>537</v>
      </c>
      <c r="B60" s="697" t="s">
        <v>2904</v>
      </c>
      <c r="C60" s="697" t="s">
        <v>2899</v>
      </c>
      <c r="D60" s="697" t="s">
        <v>3013</v>
      </c>
      <c r="E60" s="697" t="s">
        <v>3014</v>
      </c>
      <c r="F60" s="701"/>
      <c r="G60" s="701"/>
      <c r="H60" s="701"/>
      <c r="I60" s="701"/>
      <c r="J60" s="701"/>
      <c r="K60" s="701"/>
      <c r="L60" s="701"/>
      <c r="M60" s="701"/>
      <c r="N60" s="701">
        <v>2</v>
      </c>
      <c r="O60" s="701">
        <v>35354</v>
      </c>
      <c r="P60" s="726"/>
      <c r="Q60" s="702">
        <v>17677</v>
      </c>
    </row>
    <row r="61" spans="1:17" ht="14.45" customHeight="1" x14ac:dyDescent="0.2">
      <c r="A61" s="696" t="s">
        <v>537</v>
      </c>
      <c r="B61" s="697" t="s">
        <v>2904</v>
      </c>
      <c r="C61" s="697" t="s">
        <v>2899</v>
      </c>
      <c r="D61" s="697" t="s">
        <v>3015</v>
      </c>
      <c r="E61" s="697" t="s">
        <v>3016</v>
      </c>
      <c r="F61" s="701"/>
      <c r="G61" s="701"/>
      <c r="H61" s="701"/>
      <c r="I61" s="701"/>
      <c r="J61" s="701">
        <v>1</v>
      </c>
      <c r="K61" s="701">
        <v>0</v>
      </c>
      <c r="L61" s="701"/>
      <c r="M61" s="701">
        <v>0</v>
      </c>
      <c r="N61" s="701">
        <v>4</v>
      </c>
      <c r="O61" s="701">
        <v>0</v>
      </c>
      <c r="P61" s="726"/>
      <c r="Q61" s="702">
        <v>0</v>
      </c>
    </row>
    <row r="62" spans="1:17" ht="14.45" customHeight="1" x14ac:dyDescent="0.2">
      <c r="A62" s="696" t="s">
        <v>537</v>
      </c>
      <c r="B62" s="697" t="s">
        <v>2904</v>
      </c>
      <c r="C62" s="697" t="s">
        <v>2899</v>
      </c>
      <c r="D62" s="697" t="s">
        <v>3017</v>
      </c>
      <c r="E62" s="697" t="s">
        <v>3018</v>
      </c>
      <c r="F62" s="701">
        <v>3</v>
      </c>
      <c r="G62" s="701">
        <v>1179</v>
      </c>
      <c r="H62" s="701"/>
      <c r="I62" s="701">
        <v>393</v>
      </c>
      <c r="J62" s="701">
        <v>4</v>
      </c>
      <c r="K62" s="701">
        <v>1584</v>
      </c>
      <c r="L62" s="701"/>
      <c r="M62" s="701">
        <v>396</v>
      </c>
      <c r="N62" s="701"/>
      <c r="O62" s="701"/>
      <c r="P62" s="726"/>
      <c r="Q62" s="702"/>
    </row>
    <row r="63" spans="1:17" ht="14.45" customHeight="1" x14ac:dyDescent="0.2">
      <c r="A63" s="696" t="s">
        <v>537</v>
      </c>
      <c r="B63" s="697" t="s">
        <v>2904</v>
      </c>
      <c r="C63" s="697" t="s">
        <v>2899</v>
      </c>
      <c r="D63" s="697" t="s">
        <v>3019</v>
      </c>
      <c r="E63" s="697" t="s">
        <v>3020</v>
      </c>
      <c r="F63" s="701"/>
      <c r="G63" s="701"/>
      <c r="H63" s="701"/>
      <c r="I63" s="701"/>
      <c r="J63" s="701">
        <v>1</v>
      </c>
      <c r="K63" s="701">
        <v>0</v>
      </c>
      <c r="L63" s="701"/>
      <c r="M63" s="701">
        <v>0</v>
      </c>
      <c r="N63" s="701">
        <v>1</v>
      </c>
      <c r="O63" s="701">
        <v>0</v>
      </c>
      <c r="P63" s="726"/>
      <c r="Q63" s="702">
        <v>0</v>
      </c>
    </row>
    <row r="64" spans="1:17" ht="14.45" customHeight="1" x14ac:dyDescent="0.2">
      <c r="A64" s="696" t="s">
        <v>537</v>
      </c>
      <c r="B64" s="697" t="s">
        <v>2904</v>
      </c>
      <c r="C64" s="697" t="s">
        <v>2899</v>
      </c>
      <c r="D64" s="697" t="s">
        <v>3021</v>
      </c>
      <c r="E64" s="697" t="s">
        <v>3022</v>
      </c>
      <c r="F64" s="701"/>
      <c r="G64" s="701"/>
      <c r="H64" s="701"/>
      <c r="I64" s="701"/>
      <c r="J64" s="701">
        <v>1</v>
      </c>
      <c r="K64" s="701">
        <v>7583</v>
      </c>
      <c r="L64" s="701"/>
      <c r="M64" s="701">
        <v>7583</v>
      </c>
      <c r="N64" s="701"/>
      <c r="O64" s="701"/>
      <c r="P64" s="726"/>
      <c r="Q64" s="702"/>
    </row>
    <row r="65" spans="1:17" ht="14.45" customHeight="1" x14ac:dyDescent="0.2">
      <c r="A65" s="696" t="s">
        <v>537</v>
      </c>
      <c r="B65" s="697" t="s">
        <v>2904</v>
      </c>
      <c r="C65" s="697" t="s">
        <v>2899</v>
      </c>
      <c r="D65" s="697" t="s">
        <v>3023</v>
      </c>
      <c r="E65" s="697" t="s">
        <v>3024</v>
      </c>
      <c r="F65" s="701">
        <v>8</v>
      </c>
      <c r="G65" s="701">
        <v>0</v>
      </c>
      <c r="H65" s="701"/>
      <c r="I65" s="701">
        <v>0</v>
      </c>
      <c r="J65" s="701">
        <v>4</v>
      </c>
      <c r="K65" s="701">
        <v>0</v>
      </c>
      <c r="L65" s="701"/>
      <c r="M65" s="701">
        <v>0</v>
      </c>
      <c r="N65" s="701">
        <v>9</v>
      </c>
      <c r="O65" s="701">
        <v>0</v>
      </c>
      <c r="P65" s="726"/>
      <c r="Q65" s="702">
        <v>0</v>
      </c>
    </row>
    <row r="66" spans="1:17" ht="14.45" customHeight="1" x14ac:dyDescent="0.2">
      <c r="A66" s="696" t="s">
        <v>537</v>
      </c>
      <c r="B66" s="697" t="s">
        <v>2904</v>
      </c>
      <c r="C66" s="697" t="s">
        <v>2899</v>
      </c>
      <c r="D66" s="697" t="s">
        <v>3025</v>
      </c>
      <c r="E66" s="697" t="s">
        <v>3026</v>
      </c>
      <c r="F66" s="701">
        <v>1</v>
      </c>
      <c r="G66" s="701">
        <v>8980</v>
      </c>
      <c r="H66" s="701"/>
      <c r="I66" s="701">
        <v>8980</v>
      </c>
      <c r="J66" s="701"/>
      <c r="K66" s="701"/>
      <c r="L66" s="701"/>
      <c r="M66" s="701"/>
      <c r="N66" s="701">
        <v>1</v>
      </c>
      <c r="O66" s="701">
        <v>9320</v>
      </c>
      <c r="P66" s="726"/>
      <c r="Q66" s="702">
        <v>9320</v>
      </c>
    </row>
    <row r="67" spans="1:17" ht="14.45" customHeight="1" x14ac:dyDescent="0.2">
      <c r="A67" s="696" t="s">
        <v>537</v>
      </c>
      <c r="B67" s="697" t="s">
        <v>2904</v>
      </c>
      <c r="C67" s="697" t="s">
        <v>2899</v>
      </c>
      <c r="D67" s="697" t="s">
        <v>3027</v>
      </c>
      <c r="E67" s="697" t="s">
        <v>3028</v>
      </c>
      <c r="F67" s="701"/>
      <c r="G67" s="701"/>
      <c r="H67" s="701"/>
      <c r="I67" s="701"/>
      <c r="J67" s="701"/>
      <c r="K67" s="701"/>
      <c r="L67" s="701"/>
      <c r="M67" s="701"/>
      <c r="N67" s="701">
        <v>1</v>
      </c>
      <c r="O67" s="701">
        <v>327</v>
      </c>
      <c r="P67" s="726"/>
      <c r="Q67" s="702">
        <v>327</v>
      </c>
    </row>
    <row r="68" spans="1:17" ht="14.45" customHeight="1" x14ac:dyDescent="0.2">
      <c r="A68" s="696" t="s">
        <v>537</v>
      </c>
      <c r="B68" s="697" t="s">
        <v>2904</v>
      </c>
      <c r="C68" s="697" t="s">
        <v>2899</v>
      </c>
      <c r="D68" s="697" t="s">
        <v>3029</v>
      </c>
      <c r="E68" s="697" t="s">
        <v>3030</v>
      </c>
      <c r="F68" s="701"/>
      <c r="G68" s="701"/>
      <c r="H68" s="701"/>
      <c r="I68" s="701"/>
      <c r="J68" s="701"/>
      <c r="K68" s="701"/>
      <c r="L68" s="701"/>
      <c r="M68" s="701"/>
      <c r="N68" s="701">
        <v>2</v>
      </c>
      <c r="O68" s="701">
        <v>0</v>
      </c>
      <c r="P68" s="726"/>
      <c r="Q68" s="702">
        <v>0</v>
      </c>
    </row>
    <row r="69" spans="1:17" ht="14.45" customHeight="1" x14ac:dyDescent="0.2">
      <c r="A69" s="696" t="s">
        <v>537</v>
      </c>
      <c r="B69" s="697" t="s">
        <v>2904</v>
      </c>
      <c r="C69" s="697" t="s">
        <v>2899</v>
      </c>
      <c r="D69" s="697" t="s">
        <v>3031</v>
      </c>
      <c r="E69" s="697" t="s">
        <v>3032</v>
      </c>
      <c r="F69" s="701">
        <v>1</v>
      </c>
      <c r="G69" s="701">
        <v>4607</v>
      </c>
      <c r="H69" s="701"/>
      <c r="I69" s="701">
        <v>4607</v>
      </c>
      <c r="J69" s="701">
        <v>4</v>
      </c>
      <c r="K69" s="701">
        <v>18524</v>
      </c>
      <c r="L69" s="701"/>
      <c r="M69" s="701">
        <v>4631</v>
      </c>
      <c r="N69" s="701">
        <v>3</v>
      </c>
      <c r="O69" s="701">
        <v>14571</v>
      </c>
      <c r="P69" s="726"/>
      <c r="Q69" s="702">
        <v>4857</v>
      </c>
    </row>
    <row r="70" spans="1:17" ht="14.45" customHeight="1" x14ac:dyDescent="0.2">
      <c r="A70" s="696" t="s">
        <v>537</v>
      </c>
      <c r="B70" s="697" t="s">
        <v>2904</v>
      </c>
      <c r="C70" s="697" t="s">
        <v>2899</v>
      </c>
      <c r="D70" s="697" t="s">
        <v>3033</v>
      </c>
      <c r="E70" s="697" t="s">
        <v>3034</v>
      </c>
      <c r="F70" s="701">
        <v>1</v>
      </c>
      <c r="G70" s="701">
        <v>0</v>
      </c>
      <c r="H70" s="701"/>
      <c r="I70" s="701">
        <v>0</v>
      </c>
      <c r="J70" s="701"/>
      <c r="K70" s="701"/>
      <c r="L70" s="701"/>
      <c r="M70" s="701"/>
      <c r="N70" s="701">
        <v>3</v>
      </c>
      <c r="O70" s="701">
        <v>0</v>
      </c>
      <c r="P70" s="726"/>
      <c r="Q70" s="702">
        <v>0</v>
      </c>
    </row>
    <row r="71" spans="1:17" ht="14.45" customHeight="1" x14ac:dyDescent="0.2">
      <c r="A71" s="696" t="s">
        <v>537</v>
      </c>
      <c r="B71" s="697" t="s">
        <v>2904</v>
      </c>
      <c r="C71" s="697" t="s">
        <v>2899</v>
      </c>
      <c r="D71" s="697" t="s">
        <v>3035</v>
      </c>
      <c r="E71" s="697" t="s">
        <v>3036</v>
      </c>
      <c r="F71" s="701">
        <v>13</v>
      </c>
      <c r="G71" s="701">
        <v>43056</v>
      </c>
      <c r="H71" s="701"/>
      <c r="I71" s="701">
        <v>3312</v>
      </c>
      <c r="J71" s="701">
        <v>11</v>
      </c>
      <c r="K71" s="701">
        <v>36532</v>
      </c>
      <c r="L71" s="701"/>
      <c r="M71" s="701">
        <v>3321.090909090909</v>
      </c>
      <c r="N71" s="701">
        <v>10</v>
      </c>
      <c r="O71" s="701">
        <v>34120</v>
      </c>
      <c r="P71" s="726"/>
      <c r="Q71" s="702">
        <v>3412</v>
      </c>
    </row>
    <row r="72" spans="1:17" ht="14.45" customHeight="1" x14ac:dyDescent="0.2">
      <c r="A72" s="696" t="s">
        <v>537</v>
      </c>
      <c r="B72" s="697" t="s">
        <v>2904</v>
      </c>
      <c r="C72" s="697" t="s">
        <v>2899</v>
      </c>
      <c r="D72" s="697" t="s">
        <v>3037</v>
      </c>
      <c r="E72" s="697" t="s">
        <v>3038</v>
      </c>
      <c r="F72" s="701">
        <v>2</v>
      </c>
      <c r="G72" s="701">
        <v>18674</v>
      </c>
      <c r="H72" s="701"/>
      <c r="I72" s="701">
        <v>9337</v>
      </c>
      <c r="J72" s="701"/>
      <c r="K72" s="701"/>
      <c r="L72" s="701"/>
      <c r="M72" s="701"/>
      <c r="N72" s="701">
        <v>1</v>
      </c>
      <c r="O72" s="701">
        <v>9813</v>
      </c>
      <c r="P72" s="726"/>
      <c r="Q72" s="702">
        <v>9813</v>
      </c>
    </row>
    <row r="73" spans="1:17" ht="14.45" customHeight="1" x14ac:dyDescent="0.2">
      <c r="A73" s="696" t="s">
        <v>537</v>
      </c>
      <c r="B73" s="697" t="s">
        <v>2904</v>
      </c>
      <c r="C73" s="697" t="s">
        <v>2899</v>
      </c>
      <c r="D73" s="697" t="s">
        <v>3039</v>
      </c>
      <c r="E73" s="697" t="s">
        <v>3040</v>
      </c>
      <c r="F73" s="701">
        <v>7</v>
      </c>
      <c r="G73" s="701">
        <v>0</v>
      </c>
      <c r="H73" s="701"/>
      <c r="I73" s="701">
        <v>0</v>
      </c>
      <c r="J73" s="701">
        <v>2</v>
      </c>
      <c r="K73" s="701">
        <v>0</v>
      </c>
      <c r="L73" s="701"/>
      <c r="M73" s="701">
        <v>0</v>
      </c>
      <c r="N73" s="701">
        <v>4</v>
      </c>
      <c r="O73" s="701">
        <v>0</v>
      </c>
      <c r="P73" s="726"/>
      <c r="Q73" s="702">
        <v>0</v>
      </c>
    </row>
    <row r="74" spans="1:17" ht="14.45" customHeight="1" x14ac:dyDescent="0.2">
      <c r="A74" s="696" t="s">
        <v>537</v>
      </c>
      <c r="B74" s="697" t="s">
        <v>2904</v>
      </c>
      <c r="C74" s="697" t="s">
        <v>2899</v>
      </c>
      <c r="D74" s="697" t="s">
        <v>3041</v>
      </c>
      <c r="E74" s="697" t="s">
        <v>3042</v>
      </c>
      <c r="F74" s="701">
        <v>2</v>
      </c>
      <c r="G74" s="701">
        <v>0</v>
      </c>
      <c r="H74" s="701"/>
      <c r="I74" s="701">
        <v>0</v>
      </c>
      <c r="J74" s="701">
        <v>3</v>
      </c>
      <c r="K74" s="701">
        <v>0</v>
      </c>
      <c r="L74" s="701"/>
      <c r="M74" s="701">
        <v>0</v>
      </c>
      <c r="N74" s="701">
        <v>1</v>
      </c>
      <c r="O74" s="701">
        <v>0</v>
      </c>
      <c r="P74" s="726"/>
      <c r="Q74" s="702">
        <v>0</v>
      </c>
    </row>
    <row r="75" spans="1:17" ht="14.45" customHeight="1" x14ac:dyDescent="0.2">
      <c r="A75" s="696" t="s">
        <v>537</v>
      </c>
      <c r="B75" s="697" t="s">
        <v>2904</v>
      </c>
      <c r="C75" s="697" t="s">
        <v>2899</v>
      </c>
      <c r="D75" s="697" t="s">
        <v>3043</v>
      </c>
      <c r="E75" s="697" t="s">
        <v>3044</v>
      </c>
      <c r="F75" s="701"/>
      <c r="G75" s="701"/>
      <c r="H75" s="701"/>
      <c r="I75" s="701"/>
      <c r="J75" s="701">
        <v>1</v>
      </c>
      <c r="K75" s="701">
        <v>2562</v>
      </c>
      <c r="L75" s="701"/>
      <c r="M75" s="701">
        <v>2562</v>
      </c>
      <c r="N75" s="701"/>
      <c r="O75" s="701"/>
      <c r="P75" s="726"/>
      <c r="Q75" s="702"/>
    </row>
    <row r="76" spans="1:17" ht="14.45" customHeight="1" x14ac:dyDescent="0.2">
      <c r="A76" s="696" t="s">
        <v>537</v>
      </c>
      <c r="B76" s="697" t="s">
        <v>2904</v>
      </c>
      <c r="C76" s="697" t="s">
        <v>2899</v>
      </c>
      <c r="D76" s="697" t="s">
        <v>3045</v>
      </c>
      <c r="E76" s="697" t="s">
        <v>3046</v>
      </c>
      <c r="F76" s="701"/>
      <c r="G76" s="701"/>
      <c r="H76" s="701"/>
      <c r="I76" s="701"/>
      <c r="J76" s="701"/>
      <c r="K76" s="701"/>
      <c r="L76" s="701"/>
      <c r="M76" s="701"/>
      <c r="N76" s="701">
        <v>1</v>
      </c>
      <c r="O76" s="701">
        <v>8923</v>
      </c>
      <c r="P76" s="726"/>
      <c r="Q76" s="702">
        <v>8923</v>
      </c>
    </row>
    <row r="77" spans="1:17" ht="14.45" customHeight="1" x14ac:dyDescent="0.2">
      <c r="A77" s="696" t="s">
        <v>537</v>
      </c>
      <c r="B77" s="697" t="s">
        <v>2904</v>
      </c>
      <c r="C77" s="697" t="s">
        <v>2899</v>
      </c>
      <c r="D77" s="697" t="s">
        <v>3047</v>
      </c>
      <c r="E77" s="697" t="s">
        <v>3048</v>
      </c>
      <c r="F77" s="701"/>
      <c r="G77" s="701"/>
      <c r="H77" s="701"/>
      <c r="I77" s="701"/>
      <c r="J77" s="701"/>
      <c r="K77" s="701"/>
      <c r="L77" s="701"/>
      <c r="M77" s="701"/>
      <c r="N77" s="701">
        <v>1</v>
      </c>
      <c r="O77" s="701">
        <v>9815</v>
      </c>
      <c r="P77" s="726"/>
      <c r="Q77" s="702">
        <v>9815</v>
      </c>
    </row>
    <row r="78" spans="1:17" ht="14.45" customHeight="1" x14ac:dyDescent="0.2">
      <c r="A78" s="696" t="s">
        <v>537</v>
      </c>
      <c r="B78" s="697" t="s">
        <v>2904</v>
      </c>
      <c r="C78" s="697" t="s">
        <v>2899</v>
      </c>
      <c r="D78" s="697" t="s">
        <v>3049</v>
      </c>
      <c r="E78" s="697" t="s">
        <v>3050</v>
      </c>
      <c r="F78" s="701"/>
      <c r="G78" s="701"/>
      <c r="H78" s="701"/>
      <c r="I78" s="701"/>
      <c r="J78" s="701"/>
      <c r="K78" s="701"/>
      <c r="L78" s="701"/>
      <c r="M78" s="701"/>
      <c r="N78" s="701">
        <v>2</v>
      </c>
      <c r="O78" s="701">
        <v>0</v>
      </c>
      <c r="P78" s="726"/>
      <c r="Q78" s="702">
        <v>0</v>
      </c>
    </row>
    <row r="79" spans="1:17" ht="14.45" customHeight="1" x14ac:dyDescent="0.2">
      <c r="A79" s="696" t="s">
        <v>537</v>
      </c>
      <c r="B79" s="697" t="s">
        <v>2904</v>
      </c>
      <c r="C79" s="697" t="s">
        <v>2899</v>
      </c>
      <c r="D79" s="697" t="s">
        <v>3051</v>
      </c>
      <c r="E79" s="697" t="s">
        <v>3052</v>
      </c>
      <c r="F79" s="701"/>
      <c r="G79" s="701"/>
      <c r="H79" s="701"/>
      <c r="I79" s="701"/>
      <c r="J79" s="701"/>
      <c r="K79" s="701"/>
      <c r="L79" s="701"/>
      <c r="M79" s="701"/>
      <c r="N79" s="701">
        <v>1</v>
      </c>
      <c r="O79" s="701">
        <v>5994</v>
      </c>
      <c r="P79" s="726"/>
      <c r="Q79" s="702">
        <v>5994</v>
      </c>
    </row>
    <row r="80" spans="1:17" ht="14.45" customHeight="1" x14ac:dyDescent="0.2">
      <c r="A80" s="696" t="s">
        <v>537</v>
      </c>
      <c r="B80" s="697" t="s">
        <v>2904</v>
      </c>
      <c r="C80" s="697" t="s">
        <v>2899</v>
      </c>
      <c r="D80" s="697" t="s">
        <v>3053</v>
      </c>
      <c r="E80" s="697" t="s">
        <v>3054</v>
      </c>
      <c r="F80" s="701">
        <v>1</v>
      </c>
      <c r="G80" s="701">
        <v>3713</v>
      </c>
      <c r="H80" s="701"/>
      <c r="I80" s="701">
        <v>3713</v>
      </c>
      <c r="J80" s="701"/>
      <c r="K80" s="701"/>
      <c r="L80" s="701"/>
      <c r="M80" s="701"/>
      <c r="N80" s="701"/>
      <c r="O80" s="701"/>
      <c r="P80" s="726"/>
      <c r="Q80" s="702"/>
    </row>
    <row r="81" spans="1:17" ht="14.45" customHeight="1" x14ac:dyDescent="0.2">
      <c r="A81" s="696" t="s">
        <v>537</v>
      </c>
      <c r="B81" s="697" t="s">
        <v>2904</v>
      </c>
      <c r="C81" s="697" t="s">
        <v>2899</v>
      </c>
      <c r="D81" s="697" t="s">
        <v>3055</v>
      </c>
      <c r="E81" s="697" t="s">
        <v>3056</v>
      </c>
      <c r="F81" s="701">
        <v>2</v>
      </c>
      <c r="G81" s="701">
        <v>10542</v>
      </c>
      <c r="H81" s="701"/>
      <c r="I81" s="701">
        <v>5271</v>
      </c>
      <c r="J81" s="701">
        <v>2</v>
      </c>
      <c r="K81" s="701">
        <v>10600</v>
      </c>
      <c r="L81" s="701"/>
      <c r="M81" s="701">
        <v>5300</v>
      </c>
      <c r="N81" s="701">
        <v>6</v>
      </c>
      <c r="O81" s="701">
        <v>32640</v>
      </c>
      <c r="P81" s="726"/>
      <c r="Q81" s="702">
        <v>5440</v>
      </c>
    </row>
    <row r="82" spans="1:17" ht="14.45" customHeight="1" x14ac:dyDescent="0.2">
      <c r="A82" s="696" t="s">
        <v>537</v>
      </c>
      <c r="B82" s="697" t="s">
        <v>2904</v>
      </c>
      <c r="C82" s="697" t="s">
        <v>2899</v>
      </c>
      <c r="D82" s="697" t="s">
        <v>3057</v>
      </c>
      <c r="E82" s="697" t="s">
        <v>3058</v>
      </c>
      <c r="F82" s="701">
        <v>2</v>
      </c>
      <c r="G82" s="701">
        <v>9376</v>
      </c>
      <c r="H82" s="701"/>
      <c r="I82" s="701">
        <v>4688</v>
      </c>
      <c r="J82" s="701">
        <v>4</v>
      </c>
      <c r="K82" s="701">
        <v>18808</v>
      </c>
      <c r="L82" s="701"/>
      <c r="M82" s="701">
        <v>4702</v>
      </c>
      <c r="N82" s="701">
        <v>4</v>
      </c>
      <c r="O82" s="701">
        <v>19348</v>
      </c>
      <c r="P82" s="726"/>
      <c r="Q82" s="702">
        <v>4837</v>
      </c>
    </row>
    <row r="83" spans="1:17" ht="14.45" customHeight="1" x14ac:dyDescent="0.2">
      <c r="A83" s="696" t="s">
        <v>537</v>
      </c>
      <c r="B83" s="697" t="s">
        <v>2904</v>
      </c>
      <c r="C83" s="697" t="s">
        <v>2899</v>
      </c>
      <c r="D83" s="697" t="s">
        <v>3059</v>
      </c>
      <c r="E83" s="697" t="s">
        <v>3060</v>
      </c>
      <c r="F83" s="701">
        <v>1</v>
      </c>
      <c r="G83" s="701">
        <v>6360</v>
      </c>
      <c r="H83" s="701"/>
      <c r="I83" s="701">
        <v>6360</v>
      </c>
      <c r="J83" s="701"/>
      <c r="K83" s="701"/>
      <c r="L83" s="701"/>
      <c r="M83" s="701"/>
      <c r="N83" s="701"/>
      <c r="O83" s="701"/>
      <c r="P83" s="726"/>
      <c r="Q83" s="702"/>
    </row>
    <row r="84" spans="1:17" ht="14.45" customHeight="1" x14ac:dyDescent="0.2">
      <c r="A84" s="696" t="s">
        <v>537</v>
      </c>
      <c r="B84" s="697" t="s">
        <v>2904</v>
      </c>
      <c r="C84" s="697" t="s">
        <v>2899</v>
      </c>
      <c r="D84" s="697" t="s">
        <v>3061</v>
      </c>
      <c r="E84" s="697" t="s">
        <v>3062</v>
      </c>
      <c r="F84" s="701"/>
      <c r="G84" s="701"/>
      <c r="H84" s="701"/>
      <c r="I84" s="701"/>
      <c r="J84" s="701">
        <v>1</v>
      </c>
      <c r="K84" s="701">
        <v>0</v>
      </c>
      <c r="L84" s="701"/>
      <c r="M84" s="701">
        <v>0</v>
      </c>
      <c r="N84" s="701"/>
      <c r="O84" s="701"/>
      <c r="P84" s="726"/>
      <c r="Q84" s="702"/>
    </row>
    <row r="85" spans="1:17" ht="14.45" customHeight="1" x14ac:dyDescent="0.2">
      <c r="A85" s="696" t="s">
        <v>537</v>
      </c>
      <c r="B85" s="697" t="s">
        <v>2904</v>
      </c>
      <c r="C85" s="697" t="s">
        <v>2899</v>
      </c>
      <c r="D85" s="697" t="s">
        <v>3063</v>
      </c>
      <c r="E85" s="697" t="s">
        <v>3064</v>
      </c>
      <c r="F85" s="701">
        <v>1</v>
      </c>
      <c r="G85" s="701">
        <v>0</v>
      </c>
      <c r="H85" s="701"/>
      <c r="I85" s="701">
        <v>0</v>
      </c>
      <c r="J85" s="701"/>
      <c r="K85" s="701"/>
      <c r="L85" s="701"/>
      <c r="M85" s="701"/>
      <c r="N85" s="701">
        <v>1</v>
      </c>
      <c r="O85" s="701">
        <v>0</v>
      </c>
      <c r="P85" s="726"/>
      <c r="Q85" s="702">
        <v>0</v>
      </c>
    </row>
    <row r="86" spans="1:17" ht="14.45" customHeight="1" x14ac:dyDescent="0.2">
      <c r="A86" s="696" t="s">
        <v>537</v>
      </c>
      <c r="B86" s="697" t="s">
        <v>2904</v>
      </c>
      <c r="C86" s="697" t="s">
        <v>2899</v>
      </c>
      <c r="D86" s="697" t="s">
        <v>3065</v>
      </c>
      <c r="E86" s="697" t="s">
        <v>3066</v>
      </c>
      <c r="F86" s="701">
        <v>4</v>
      </c>
      <c r="G86" s="701">
        <v>21248</v>
      </c>
      <c r="H86" s="701"/>
      <c r="I86" s="701">
        <v>5312</v>
      </c>
      <c r="J86" s="701">
        <v>4</v>
      </c>
      <c r="K86" s="701">
        <v>21324</v>
      </c>
      <c r="L86" s="701"/>
      <c r="M86" s="701">
        <v>5331</v>
      </c>
      <c r="N86" s="701">
        <v>2</v>
      </c>
      <c r="O86" s="701">
        <v>11022</v>
      </c>
      <c r="P86" s="726"/>
      <c r="Q86" s="702">
        <v>5511</v>
      </c>
    </row>
    <row r="87" spans="1:17" ht="14.45" customHeight="1" x14ac:dyDescent="0.2">
      <c r="A87" s="696" t="s">
        <v>537</v>
      </c>
      <c r="B87" s="697" t="s">
        <v>2904</v>
      </c>
      <c r="C87" s="697" t="s">
        <v>2899</v>
      </c>
      <c r="D87" s="697" t="s">
        <v>3067</v>
      </c>
      <c r="E87" s="697" t="s">
        <v>3068</v>
      </c>
      <c r="F87" s="701"/>
      <c r="G87" s="701"/>
      <c r="H87" s="701"/>
      <c r="I87" s="701"/>
      <c r="J87" s="701"/>
      <c r="K87" s="701"/>
      <c r="L87" s="701"/>
      <c r="M87" s="701"/>
      <c r="N87" s="701">
        <v>3</v>
      </c>
      <c r="O87" s="701">
        <v>36651</v>
      </c>
      <c r="P87" s="726"/>
      <c r="Q87" s="702">
        <v>12217</v>
      </c>
    </row>
    <row r="88" spans="1:17" ht="14.45" customHeight="1" x14ac:dyDescent="0.2">
      <c r="A88" s="696" t="s">
        <v>537</v>
      </c>
      <c r="B88" s="697" t="s">
        <v>2904</v>
      </c>
      <c r="C88" s="697" t="s">
        <v>2899</v>
      </c>
      <c r="D88" s="697" t="s">
        <v>3069</v>
      </c>
      <c r="E88" s="697" t="s">
        <v>3070</v>
      </c>
      <c r="F88" s="701">
        <v>1</v>
      </c>
      <c r="G88" s="701">
        <v>0</v>
      </c>
      <c r="H88" s="701"/>
      <c r="I88" s="701">
        <v>0</v>
      </c>
      <c r="J88" s="701"/>
      <c r="K88" s="701"/>
      <c r="L88" s="701"/>
      <c r="M88" s="701"/>
      <c r="N88" s="701">
        <v>1</v>
      </c>
      <c r="O88" s="701">
        <v>0</v>
      </c>
      <c r="P88" s="726"/>
      <c r="Q88" s="702">
        <v>0</v>
      </c>
    </row>
    <row r="89" spans="1:17" ht="14.45" customHeight="1" x14ac:dyDescent="0.2">
      <c r="A89" s="696" t="s">
        <v>537</v>
      </c>
      <c r="B89" s="697" t="s">
        <v>2904</v>
      </c>
      <c r="C89" s="697" t="s">
        <v>2899</v>
      </c>
      <c r="D89" s="697" t="s">
        <v>3071</v>
      </c>
      <c r="E89" s="697" t="s">
        <v>3072</v>
      </c>
      <c r="F89" s="701">
        <v>1</v>
      </c>
      <c r="G89" s="701">
        <v>0</v>
      </c>
      <c r="H89" s="701"/>
      <c r="I89" s="701">
        <v>0</v>
      </c>
      <c r="J89" s="701"/>
      <c r="K89" s="701"/>
      <c r="L89" s="701"/>
      <c r="M89" s="701"/>
      <c r="N89" s="701"/>
      <c r="O89" s="701"/>
      <c r="P89" s="726"/>
      <c r="Q89" s="702"/>
    </row>
    <row r="90" spans="1:17" ht="14.45" customHeight="1" x14ac:dyDescent="0.2">
      <c r="A90" s="696" t="s">
        <v>537</v>
      </c>
      <c r="B90" s="697" t="s">
        <v>2904</v>
      </c>
      <c r="C90" s="697" t="s">
        <v>2899</v>
      </c>
      <c r="D90" s="697" t="s">
        <v>3073</v>
      </c>
      <c r="E90" s="697" t="s">
        <v>3074</v>
      </c>
      <c r="F90" s="701"/>
      <c r="G90" s="701"/>
      <c r="H90" s="701"/>
      <c r="I90" s="701"/>
      <c r="J90" s="701"/>
      <c r="K90" s="701"/>
      <c r="L90" s="701"/>
      <c r="M90" s="701"/>
      <c r="N90" s="701">
        <v>1</v>
      </c>
      <c r="O90" s="701">
        <v>23009</v>
      </c>
      <c r="P90" s="726"/>
      <c r="Q90" s="702">
        <v>23009</v>
      </c>
    </row>
    <row r="91" spans="1:17" ht="14.45" customHeight="1" x14ac:dyDescent="0.2">
      <c r="A91" s="696" t="s">
        <v>537</v>
      </c>
      <c r="B91" s="697" t="s">
        <v>2904</v>
      </c>
      <c r="C91" s="697" t="s">
        <v>2899</v>
      </c>
      <c r="D91" s="697" t="s">
        <v>3075</v>
      </c>
      <c r="E91" s="697" t="s">
        <v>3076</v>
      </c>
      <c r="F91" s="701">
        <v>2</v>
      </c>
      <c r="G91" s="701">
        <v>8272</v>
      </c>
      <c r="H91" s="701"/>
      <c r="I91" s="701">
        <v>4136</v>
      </c>
      <c r="J91" s="701"/>
      <c r="K91" s="701"/>
      <c r="L91" s="701"/>
      <c r="M91" s="701"/>
      <c r="N91" s="701">
        <v>4</v>
      </c>
      <c r="O91" s="701">
        <v>17140</v>
      </c>
      <c r="P91" s="726"/>
      <c r="Q91" s="702">
        <v>4285</v>
      </c>
    </row>
    <row r="92" spans="1:17" ht="14.45" customHeight="1" x14ac:dyDescent="0.2">
      <c r="A92" s="696" t="s">
        <v>537</v>
      </c>
      <c r="B92" s="697" t="s">
        <v>2904</v>
      </c>
      <c r="C92" s="697" t="s">
        <v>2899</v>
      </c>
      <c r="D92" s="697" t="s">
        <v>3077</v>
      </c>
      <c r="E92" s="697" t="s">
        <v>3078</v>
      </c>
      <c r="F92" s="701"/>
      <c r="G92" s="701"/>
      <c r="H92" s="701"/>
      <c r="I92" s="701"/>
      <c r="J92" s="701">
        <v>5</v>
      </c>
      <c r="K92" s="701">
        <v>0</v>
      </c>
      <c r="L92" s="701"/>
      <c r="M92" s="701">
        <v>0</v>
      </c>
      <c r="N92" s="701">
        <v>5</v>
      </c>
      <c r="O92" s="701">
        <v>0</v>
      </c>
      <c r="P92" s="726"/>
      <c r="Q92" s="702">
        <v>0</v>
      </c>
    </row>
    <row r="93" spans="1:17" ht="14.45" customHeight="1" x14ac:dyDescent="0.2">
      <c r="A93" s="696" t="s">
        <v>537</v>
      </c>
      <c r="B93" s="697" t="s">
        <v>2904</v>
      </c>
      <c r="C93" s="697" t="s">
        <v>2899</v>
      </c>
      <c r="D93" s="697" t="s">
        <v>3079</v>
      </c>
      <c r="E93" s="697" t="s">
        <v>3080</v>
      </c>
      <c r="F93" s="701">
        <v>1</v>
      </c>
      <c r="G93" s="701">
        <v>6248</v>
      </c>
      <c r="H93" s="701"/>
      <c r="I93" s="701">
        <v>6248</v>
      </c>
      <c r="J93" s="701">
        <v>3</v>
      </c>
      <c r="K93" s="701">
        <v>18831</v>
      </c>
      <c r="L93" s="701"/>
      <c r="M93" s="701">
        <v>6277</v>
      </c>
      <c r="N93" s="701">
        <v>2</v>
      </c>
      <c r="O93" s="701">
        <v>12940</v>
      </c>
      <c r="P93" s="726"/>
      <c r="Q93" s="702">
        <v>6470</v>
      </c>
    </row>
    <row r="94" spans="1:17" ht="14.45" customHeight="1" x14ac:dyDescent="0.2">
      <c r="A94" s="696" t="s">
        <v>537</v>
      </c>
      <c r="B94" s="697" t="s">
        <v>2904</v>
      </c>
      <c r="C94" s="697" t="s">
        <v>2899</v>
      </c>
      <c r="D94" s="697" t="s">
        <v>3081</v>
      </c>
      <c r="E94" s="697" t="s">
        <v>3082</v>
      </c>
      <c r="F94" s="701">
        <v>1</v>
      </c>
      <c r="G94" s="701">
        <v>1399</v>
      </c>
      <c r="H94" s="701"/>
      <c r="I94" s="701">
        <v>1399</v>
      </c>
      <c r="J94" s="701"/>
      <c r="K94" s="701"/>
      <c r="L94" s="701"/>
      <c r="M94" s="701"/>
      <c r="N94" s="701"/>
      <c r="O94" s="701"/>
      <c r="P94" s="726"/>
      <c r="Q94" s="702"/>
    </row>
    <row r="95" spans="1:17" ht="14.45" customHeight="1" x14ac:dyDescent="0.2">
      <c r="A95" s="696" t="s">
        <v>537</v>
      </c>
      <c r="B95" s="697" t="s">
        <v>2904</v>
      </c>
      <c r="C95" s="697" t="s">
        <v>2899</v>
      </c>
      <c r="D95" s="697" t="s">
        <v>3083</v>
      </c>
      <c r="E95" s="697" t="s">
        <v>3084</v>
      </c>
      <c r="F95" s="701">
        <v>2</v>
      </c>
      <c r="G95" s="701">
        <v>3962</v>
      </c>
      <c r="H95" s="701"/>
      <c r="I95" s="701">
        <v>1981</v>
      </c>
      <c r="J95" s="701">
        <v>1</v>
      </c>
      <c r="K95" s="701">
        <v>1991</v>
      </c>
      <c r="L95" s="701"/>
      <c r="M95" s="701">
        <v>1991</v>
      </c>
      <c r="N95" s="701">
        <v>1</v>
      </c>
      <c r="O95" s="701">
        <v>2029</v>
      </c>
      <c r="P95" s="726"/>
      <c r="Q95" s="702">
        <v>2029</v>
      </c>
    </row>
    <row r="96" spans="1:17" ht="14.45" customHeight="1" x14ac:dyDescent="0.2">
      <c r="A96" s="696" t="s">
        <v>537</v>
      </c>
      <c r="B96" s="697" t="s">
        <v>2904</v>
      </c>
      <c r="C96" s="697" t="s">
        <v>2899</v>
      </c>
      <c r="D96" s="697" t="s">
        <v>3085</v>
      </c>
      <c r="E96" s="697" t="s">
        <v>3086</v>
      </c>
      <c r="F96" s="701"/>
      <c r="G96" s="701"/>
      <c r="H96" s="701"/>
      <c r="I96" s="701"/>
      <c r="J96" s="701">
        <v>1</v>
      </c>
      <c r="K96" s="701">
        <v>0</v>
      </c>
      <c r="L96" s="701"/>
      <c r="M96" s="701">
        <v>0</v>
      </c>
      <c r="N96" s="701"/>
      <c r="O96" s="701"/>
      <c r="P96" s="726"/>
      <c r="Q96" s="702"/>
    </row>
    <row r="97" spans="1:17" ht="14.45" customHeight="1" x14ac:dyDescent="0.2">
      <c r="A97" s="696" t="s">
        <v>537</v>
      </c>
      <c r="B97" s="697" t="s">
        <v>2904</v>
      </c>
      <c r="C97" s="697" t="s">
        <v>2899</v>
      </c>
      <c r="D97" s="697" t="s">
        <v>3087</v>
      </c>
      <c r="E97" s="697" t="s">
        <v>3088</v>
      </c>
      <c r="F97" s="701">
        <v>2</v>
      </c>
      <c r="G97" s="701">
        <v>0</v>
      </c>
      <c r="H97" s="701"/>
      <c r="I97" s="701">
        <v>0</v>
      </c>
      <c r="J97" s="701"/>
      <c r="K97" s="701"/>
      <c r="L97" s="701"/>
      <c r="M97" s="701"/>
      <c r="N97" s="701"/>
      <c r="O97" s="701"/>
      <c r="P97" s="726"/>
      <c r="Q97" s="702"/>
    </row>
    <row r="98" spans="1:17" ht="14.45" customHeight="1" x14ac:dyDescent="0.2">
      <c r="A98" s="696" t="s">
        <v>537</v>
      </c>
      <c r="B98" s="697" t="s">
        <v>2904</v>
      </c>
      <c r="C98" s="697" t="s">
        <v>2899</v>
      </c>
      <c r="D98" s="697" t="s">
        <v>3089</v>
      </c>
      <c r="E98" s="697" t="s">
        <v>3090</v>
      </c>
      <c r="F98" s="701"/>
      <c r="G98" s="701"/>
      <c r="H98" s="701"/>
      <c r="I98" s="701"/>
      <c r="J98" s="701">
        <v>4</v>
      </c>
      <c r="K98" s="701">
        <v>14312</v>
      </c>
      <c r="L98" s="701"/>
      <c r="M98" s="701">
        <v>3578</v>
      </c>
      <c r="N98" s="701">
        <v>2</v>
      </c>
      <c r="O98" s="701">
        <v>7414</v>
      </c>
      <c r="P98" s="726"/>
      <c r="Q98" s="702">
        <v>3707</v>
      </c>
    </row>
    <row r="99" spans="1:17" ht="14.45" customHeight="1" x14ac:dyDescent="0.2">
      <c r="A99" s="696" t="s">
        <v>537</v>
      </c>
      <c r="B99" s="697" t="s">
        <v>2904</v>
      </c>
      <c r="C99" s="697" t="s">
        <v>2899</v>
      </c>
      <c r="D99" s="697" t="s">
        <v>3091</v>
      </c>
      <c r="E99" s="697" t="s">
        <v>3092</v>
      </c>
      <c r="F99" s="701"/>
      <c r="G99" s="701"/>
      <c r="H99" s="701"/>
      <c r="I99" s="701"/>
      <c r="J99" s="701">
        <v>1</v>
      </c>
      <c r="K99" s="701">
        <v>8568</v>
      </c>
      <c r="L99" s="701"/>
      <c r="M99" s="701">
        <v>8568</v>
      </c>
      <c r="N99" s="701">
        <v>1</v>
      </c>
      <c r="O99" s="701">
        <v>8973</v>
      </c>
      <c r="P99" s="726"/>
      <c r="Q99" s="702">
        <v>8973</v>
      </c>
    </row>
    <row r="100" spans="1:17" ht="14.45" customHeight="1" x14ac:dyDescent="0.2">
      <c r="A100" s="696" t="s">
        <v>537</v>
      </c>
      <c r="B100" s="697" t="s">
        <v>2904</v>
      </c>
      <c r="C100" s="697" t="s">
        <v>2899</v>
      </c>
      <c r="D100" s="697" t="s">
        <v>3093</v>
      </c>
      <c r="E100" s="697" t="s">
        <v>3094</v>
      </c>
      <c r="F100" s="701"/>
      <c r="G100" s="701"/>
      <c r="H100" s="701"/>
      <c r="I100" s="701"/>
      <c r="J100" s="701"/>
      <c r="K100" s="701"/>
      <c r="L100" s="701"/>
      <c r="M100" s="701"/>
      <c r="N100" s="701">
        <v>1</v>
      </c>
      <c r="O100" s="701">
        <v>0</v>
      </c>
      <c r="P100" s="726"/>
      <c r="Q100" s="702">
        <v>0</v>
      </c>
    </row>
    <row r="101" spans="1:17" ht="14.45" customHeight="1" x14ac:dyDescent="0.2">
      <c r="A101" s="696" t="s">
        <v>537</v>
      </c>
      <c r="B101" s="697" t="s">
        <v>2904</v>
      </c>
      <c r="C101" s="697" t="s">
        <v>2899</v>
      </c>
      <c r="D101" s="697" t="s">
        <v>3095</v>
      </c>
      <c r="E101" s="697" t="s">
        <v>3096</v>
      </c>
      <c r="F101" s="701"/>
      <c r="G101" s="701"/>
      <c r="H101" s="701"/>
      <c r="I101" s="701"/>
      <c r="J101" s="701">
        <v>1</v>
      </c>
      <c r="K101" s="701">
        <v>6346</v>
      </c>
      <c r="L101" s="701"/>
      <c r="M101" s="701">
        <v>6346</v>
      </c>
      <c r="N101" s="701"/>
      <c r="O101" s="701"/>
      <c r="P101" s="726"/>
      <c r="Q101" s="702"/>
    </row>
    <row r="102" spans="1:17" ht="14.45" customHeight="1" x14ac:dyDescent="0.2">
      <c r="A102" s="696" t="s">
        <v>537</v>
      </c>
      <c r="B102" s="697" t="s">
        <v>2904</v>
      </c>
      <c r="C102" s="697" t="s">
        <v>2899</v>
      </c>
      <c r="D102" s="697" t="s">
        <v>3097</v>
      </c>
      <c r="E102" s="697" t="s">
        <v>3098</v>
      </c>
      <c r="F102" s="701">
        <v>4</v>
      </c>
      <c r="G102" s="701">
        <v>0</v>
      </c>
      <c r="H102" s="701"/>
      <c r="I102" s="701">
        <v>0</v>
      </c>
      <c r="J102" s="701"/>
      <c r="K102" s="701"/>
      <c r="L102" s="701"/>
      <c r="M102" s="701"/>
      <c r="N102" s="701"/>
      <c r="O102" s="701"/>
      <c r="P102" s="726"/>
      <c r="Q102" s="702"/>
    </row>
    <row r="103" spans="1:17" ht="14.45" customHeight="1" x14ac:dyDescent="0.2">
      <c r="A103" s="696" t="s">
        <v>537</v>
      </c>
      <c r="B103" s="697" t="s">
        <v>2904</v>
      </c>
      <c r="C103" s="697" t="s">
        <v>2899</v>
      </c>
      <c r="D103" s="697" t="s">
        <v>3099</v>
      </c>
      <c r="E103" s="697" t="s">
        <v>3100</v>
      </c>
      <c r="F103" s="701">
        <v>2</v>
      </c>
      <c r="G103" s="701">
        <v>0</v>
      </c>
      <c r="H103" s="701"/>
      <c r="I103" s="701">
        <v>0</v>
      </c>
      <c r="J103" s="701"/>
      <c r="K103" s="701"/>
      <c r="L103" s="701"/>
      <c r="M103" s="701"/>
      <c r="N103" s="701"/>
      <c r="O103" s="701"/>
      <c r="P103" s="726"/>
      <c r="Q103" s="702"/>
    </row>
    <row r="104" spans="1:17" ht="14.45" customHeight="1" x14ac:dyDescent="0.2">
      <c r="A104" s="696" t="s">
        <v>537</v>
      </c>
      <c r="B104" s="697" t="s">
        <v>2904</v>
      </c>
      <c r="C104" s="697" t="s">
        <v>2899</v>
      </c>
      <c r="D104" s="697" t="s">
        <v>3101</v>
      </c>
      <c r="E104" s="697" t="s">
        <v>3102</v>
      </c>
      <c r="F104" s="701"/>
      <c r="G104" s="701"/>
      <c r="H104" s="701"/>
      <c r="I104" s="701"/>
      <c r="J104" s="701"/>
      <c r="K104" s="701"/>
      <c r="L104" s="701"/>
      <c r="M104" s="701"/>
      <c r="N104" s="701">
        <v>1</v>
      </c>
      <c r="O104" s="701">
        <v>14368</v>
      </c>
      <c r="P104" s="726"/>
      <c r="Q104" s="702">
        <v>14368</v>
      </c>
    </row>
    <row r="105" spans="1:17" ht="14.45" customHeight="1" x14ac:dyDescent="0.2">
      <c r="A105" s="696" t="s">
        <v>537</v>
      </c>
      <c r="B105" s="697" t="s">
        <v>2904</v>
      </c>
      <c r="C105" s="697" t="s">
        <v>2899</v>
      </c>
      <c r="D105" s="697" t="s">
        <v>3103</v>
      </c>
      <c r="E105" s="697" t="s">
        <v>3104</v>
      </c>
      <c r="F105" s="701"/>
      <c r="G105" s="701"/>
      <c r="H105" s="701"/>
      <c r="I105" s="701"/>
      <c r="J105" s="701"/>
      <c r="K105" s="701"/>
      <c r="L105" s="701"/>
      <c r="M105" s="701"/>
      <c r="N105" s="701">
        <v>1</v>
      </c>
      <c r="O105" s="701">
        <v>0</v>
      </c>
      <c r="P105" s="726"/>
      <c r="Q105" s="702">
        <v>0</v>
      </c>
    </row>
    <row r="106" spans="1:17" ht="14.45" customHeight="1" x14ac:dyDescent="0.2">
      <c r="A106" s="696" t="s">
        <v>537</v>
      </c>
      <c r="B106" s="697" t="s">
        <v>2904</v>
      </c>
      <c r="C106" s="697" t="s">
        <v>2899</v>
      </c>
      <c r="D106" s="697" t="s">
        <v>3105</v>
      </c>
      <c r="E106" s="697" t="s">
        <v>3106</v>
      </c>
      <c r="F106" s="701"/>
      <c r="G106" s="701"/>
      <c r="H106" s="701"/>
      <c r="I106" s="701"/>
      <c r="J106" s="701"/>
      <c r="K106" s="701"/>
      <c r="L106" s="701"/>
      <c r="M106" s="701"/>
      <c r="N106" s="701">
        <v>1</v>
      </c>
      <c r="O106" s="701">
        <v>0</v>
      </c>
      <c r="P106" s="726"/>
      <c r="Q106" s="702">
        <v>0</v>
      </c>
    </row>
    <row r="107" spans="1:17" ht="14.45" customHeight="1" x14ac:dyDescent="0.2">
      <c r="A107" s="696" t="s">
        <v>537</v>
      </c>
      <c r="B107" s="697" t="s">
        <v>2904</v>
      </c>
      <c r="C107" s="697" t="s">
        <v>2899</v>
      </c>
      <c r="D107" s="697" t="s">
        <v>3107</v>
      </c>
      <c r="E107" s="697" t="s">
        <v>3108</v>
      </c>
      <c r="F107" s="701"/>
      <c r="G107" s="701"/>
      <c r="H107" s="701"/>
      <c r="I107" s="701"/>
      <c r="J107" s="701"/>
      <c r="K107" s="701"/>
      <c r="L107" s="701"/>
      <c r="M107" s="701"/>
      <c r="N107" s="701">
        <v>1</v>
      </c>
      <c r="O107" s="701">
        <v>0</v>
      </c>
      <c r="P107" s="726"/>
      <c r="Q107" s="702">
        <v>0</v>
      </c>
    </row>
    <row r="108" spans="1:17" ht="14.45" customHeight="1" x14ac:dyDescent="0.2">
      <c r="A108" s="696" t="s">
        <v>537</v>
      </c>
      <c r="B108" s="697" t="s">
        <v>2904</v>
      </c>
      <c r="C108" s="697" t="s">
        <v>2899</v>
      </c>
      <c r="D108" s="697" t="s">
        <v>3109</v>
      </c>
      <c r="E108" s="697" t="s">
        <v>3110</v>
      </c>
      <c r="F108" s="701"/>
      <c r="G108" s="701"/>
      <c r="H108" s="701"/>
      <c r="I108" s="701"/>
      <c r="J108" s="701">
        <v>1</v>
      </c>
      <c r="K108" s="701">
        <v>2566</v>
      </c>
      <c r="L108" s="701"/>
      <c r="M108" s="701">
        <v>2566</v>
      </c>
      <c r="N108" s="701"/>
      <c r="O108" s="701"/>
      <c r="P108" s="726"/>
      <c r="Q108" s="702"/>
    </row>
    <row r="109" spans="1:17" ht="14.45" customHeight="1" x14ac:dyDescent="0.2">
      <c r="A109" s="696" t="s">
        <v>537</v>
      </c>
      <c r="B109" s="697" t="s">
        <v>2904</v>
      </c>
      <c r="C109" s="697" t="s">
        <v>2899</v>
      </c>
      <c r="D109" s="697" t="s">
        <v>3111</v>
      </c>
      <c r="E109" s="697" t="s">
        <v>3112</v>
      </c>
      <c r="F109" s="701"/>
      <c r="G109" s="701"/>
      <c r="H109" s="701"/>
      <c r="I109" s="701"/>
      <c r="J109" s="701">
        <v>1</v>
      </c>
      <c r="K109" s="701">
        <v>8531</v>
      </c>
      <c r="L109" s="701"/>
      <c r="M109" s="701">
        <v>8531</v>
      </c>
      <c r="N109" s="701"/>
      <c r="O109" s="701"/>
      <c r="P109" s="726"/>
      <c r="Q109" s="702"/>
    </row>
    <row r="110" spans="1:17" ht="14.45" customHeight="1" x14ac:dyDescent="0.2">
      <c r="A110" s="696" t="s">
        <v>537</v>
      </c>
      <c r="B110" s="697" t="s">
        <v>2904</v>
      </c>
      <c r="C110" s="697" t="s">
        <v>2899</v>
      </c>
      <c r="D110" s="697" t="s">
        <v>3113</v>
      </c>
      <c r="E110" s="697" t="s">
        <v>3114</v>
      </c>
      <c r="F110" s="701"/>
      <c r="G110" s="701"/>
      <c r="H110" s="701"/>
      <c r="I110" s="701"/>
      <c r="J110" s="701"/>
      <c r="K110" s="701"/>
      <c r="L110" s="701"/>
      <c r="M110" s="701"/>
      <c r="N110" s="701">
        <v>1</v>
      </c>
      <c r="O110" s="701">
        <v>0</v>
      </c>
      <c r="P110" s="726"/>
      <c r="Q110" s="702">
        <v>0</v>
      </c>
    </row>
    <row r="111" spans="1:17" ht="14.45" customHeight="1" x14ac:dyDescent="0.2">
      <c r="A111" s="696" t="s">
        <v>537</v>
      </c>
      <c r="B111" s="697" t="s">
        <v>2904</v>
      </c>
      <c r="C111" s="697" t="s">
        <v>2899</v>
      </c>
      <c r="D111" s="697" t="s">
        <v>3115</v>
      </c>
      <c r="E111" s="697" t="s">
        <v>3116</v>
      </c>
      <c r="F111" s="701">
        <v>12</v>
      </c>
      <c r="G111" s="701">
        <v>0</v>
      </c>
      <c r="H111" s="701"/>
      <c r="I111" s="701">
        <v>0</v>
      </c>
      <c r="J111" s="701">
        <v>8</v>
      </c>
      <c r="K111" s="701">
        <v>0</v>
      </c>
      <c r="L111" s="701"/>
      <c r="M111" s="701">
        <v>0</v>
      </c>
      <c r="N111" s="701">
        <v>10</v>
      </c>
      <c r="O111" s="701">
        <v>0</v>
      </c>
      <c r="P111" s="726"/>
      <c r="Q111" s="702">
        <v>0</v>
      </c>
    </row>
    <row r="112" spans="1:17" ht="14.45" customHeight="1" x14ac:dyDescent="0.2">
      <c r="A112" s="696" t="s">
        <v>537</v>
      </c>
      <c r="B112" s="697" t="s">
        <v>2904</v>
      </c>
      <c r="C112" s="697" t="s">
        <v>2899</v>
      </c>
      <c r="D112" s="697" t="s">
        <v>3117</v>
      </c>
      <c r="E112" s="697" t="s">
        <v>3118</v>
      </c>
      <c r="F112" s="701"/>
      <c r="G112" s="701"/>
      <c r="H112" s="701"/>
      <c r="I112" s="701"/>
      <c r="J112" s="701"/>
      <c r="K112" s="701"/>
      <c r="L112" s="701"/>
      <c r="M112" s="701"/>
      <c r="N112" s="701">
        <v>1</v>
      </c>
      <c r="O112" s="701">
        <v>0</v>
      </c>
      <c r="P112" s="726"/>
      <c r="Q112" s="702">
        <v>0</v>
      </c>
    </row>
    <row r="113" spans="1:17" ht="14.45" customHeight="1" x14ac:dyDescent="0.2">
      <c r="A113" s="696" t="s">
        <v>537</v>
      </c>
      <c r="B113" s="697" t="s">
        <v>2904</v>
      </c>
      <c r="C113" s="697" t="s">
        <v>2899</v>
      </c>
      <c r="D113" s="697" t="s">
        <v>3119</v>
      </c>
      <c r="E113" s="697" t="s">
        <v>3120</v>
      </c>
      <c r="F113" s="701"/>
      <c r="G113" s="701"/>
      <c r="H113" s="701"/>
      <c r="I113" s="701"/>
      <c r="J113" s="701"/>
      <c r="K113" s="701"/>
      <c r="L113" s="701"/>
      <c r="M113" s="701"/>
      <c r="N113" s="701">
        <v>1</v>
      </c>
      <c r="O113" s="701">
        <v>0</v>
      </c>
      <c r="P113" s="726"/>
      <c r="Q113" s="702">
        <v>0</v>
      </c>
    </row>
    <row r="114" spans="1:17" ht="14.45" customHeight="1" x14ac:dyDescent="0.2">
      <c r="A114" s="696" t="s">
        <v>537</v>
      </c>
      <c r="B114" s="697" t="s">
        <v>2904</v>
      </c>
      <c r="C114" s="697" t="s">
        <v>2899</v>
      </c>
      <c r="D114" s="697" t="s">
        <v>3121</v>
      </c>
      <c r="E114" s="697" t="s">
        <v>3122</v>
      </c>
      <c r="F114" s="701">
        <v>1</v>
      </c>
      <c r="G114" s="701">
        <v>0</v>
      </c>
      <c r="H114" s="701"/>
      <c r="I114" s="701">
        <v>0</v>
      </c>
      <c r="J114" s="701"/>
      <c r="K114" s="701"/>
      <c r="L114" s="701"/>
      <c r="M114" s="701"/>
      <c r="N114" s="701"/>
      <c r="O114" s="701"/>
      <c r="P114" s="726"/>
      <c r="Q114" s="702"/>
    </row>
    <row r="115" spans="1:17" ht="14.45" customHeight="1" x14ac:dyDescent="0.2">
      <c r="A115" s="696" t="s">
        <v>537</v>
      </c>
      <c r="B115" s="697" t="s">
        <v>2904</v>
      </c>
      <c r="C115" s="697" t="s">
        <v>2899</v>
      </c>
      <c r="D115" s="697" t="s">
        <v>3123</v>
      </c>
      <c r="E115" s="697" t="s">
        <v>3124</v>
      </c>
      <c r="F115" s="701">
        <v>2</v>
      </c>
      <c r="G115" s="701">
        <v>0</v>
      </c>
      <c r="H115" s="701"/>
      <c r="I115" s="701">
        <v>0</v>
      </c>
      <c r="J115" s="701"/>
      <c r="K115" s="701"/>
      <c r="L115" s="701"/>
      <c r="M115" s="701"/>
      <c r="N115" s="701"/>
      <c r="O115" s="701"/>
      <c r="P115" s="726"/>
      <c r="Q115" s="702"/>
    </row>
    <row r="116" spans="1:17" ht="14.45" customHeight="1" x14ac:dyDescent="0.2">
      <c r="A116" s="696" t="s">
        <v>537</v>
      </c>
      <c r="B116" s="697" t="s">
        <v>2904</v>
      </c>
      <c r="C116" s="697" t="s">
        <v>2899</v>
      </c>
      <c r="D116" s="697" t="s">
        <v>3125</v>
      </c>
      <c r="E116" s="697" t="s">
        <v>3126</v>
      </c>
      <c r="F116" s="701">
        <v>4</v>
      </c>
      <c r="G116" s="701">
        <v>0</v>
      </c>
      <c r="H116" s="701"/>
      <c r="I116" s="701">
        <v>0</v>
      </c>
      <c r="J116" s="701">
        <v>4</v>
      </c>
      <c r="K116" s="701">
        <v>0</v>
      </c>
      <c r="L116" s="701"/>
      <c r="M116" s="701">
        <v>0</v>
      </c>
      <c r="N116" s="701">
        <v>1</v>
      </c>
      <c r="O116" s="701">
        <v>0</v>
      </c>
      <c r="P116" s="726"/>
      <c r="Q116" s="702">
        <v>0</v>
      </c>
    </row>
    <row r="117" spans="1:17" ht="14.45" customHeight="1" x14ac:dyDescent="0.2">
      <c r="A117" s="696" t="s">
        <v>537</v>
      </c>
      <c r="B117" s="697" t="s">
        <v>2904</v>
      </c>
      <c r="C117" s="697" t="s">
        <v>2899</v>
      </c>
      <c r="D117" s="697" t="s">
        <v>3127</v>
      </c>
      <c r="E117" s="697" t="s">
        <v>3128</v>
      </c>
      <c r="F117" s="701"/>
      <c r="G117" s="701"/>
      <c r="H117" s="701"/>
      <c r="I117" s="701"/>
      <c r="J117" s="701"/>
      <c r="K117" s="701"/>
      <c r="L117" s="701"/>
      <c r="M117" s="701"/>
      <c r="N117" s="701">
        <v>1</v>
      </c>
      <c r="O117" s="701">
        <v>0</v>
      </c>
      <c r="P117" s="726"/>
      <c r="Q117" s="702">
        <v>0</v>
      </c>
    </row>
    <row r="118" spans="1:17" ht="14.45" customHeight="1" x14ac:dyDescent="0.2">
      <c r="A118" s="696" t="s">
        <v>537</v>
      </c>
      <c r="B118" s="697" t="s">
        <v>2904</v>
      </c>
      <c r="C118" s="697" t="s">
        <v>2899</v>
      </c>
      <c r="D118" s="697" t="s">
        <v>3129</v>
      </c>
      <c r="E118" s="697" t="s">
        <v>3130</v>
      </c>
      <c r="F118" s="701"/>
      <c r="G118" s="701"/>
      <c r="H118" s="701"/>
      <c r="I118" s="701"/>
      <c r="J118" s="701">
        <v>3</v>
      </c>
      <c r="K118" s="701">
        <v>0</v>
      </c>
      <c r="L118" s="701"/>
      <c r="M118" s="701">
        <v>0</v>
      </c>
      <c r="N118" s="701"/>
      <c r="O118" s="701"/>
      <c r="P118" s="726"/>
      <c r="Q118" s="702"/>
    </row>
    <row r="119" spans="1:17" ht="14.45" customHeight="1" x14ac:dyDescent="0.2">
      <c r="A119" s="696" t="s">
        <v>537</v>
      </c>
      <c r="B119" s="697" t="s">
        <v>2904</v>
      </c>
      <c r="C119" s="697" t="s">
        <v>2899</v>
      </c>
      <c r="D119" s="697" t="s">
        <v>3131</v>
      </c>
      <c r="E119" s="697" t="s">
        <v>3132</v>
      </c>
      <c r="F119" s="701"/>
      <c r="G119" s="701"/>
      <c r="H119" s="701"/>
      <c r="I119" s="701"/>
      <c r="J119" s="701"/>
      <c r="K119" s="701"/>
      <c r="L119" s="701"/>
      <c r="M119" s="701"/>
      <c r="N119" s="701">
        <v>1</v>
      </c>
      <c r="O119" s="701">
        <v>0</v>
      </c>
      <c r="P119" s="726"/>
      <c r="Q119" s="702">
        <v>0</v>
      </c>
    </row>
    <row r="120" spans="1:17" ht="14.45" customHeight="1" x14ac:dyDescent="0.2">
      <c r="A120" s="696" t="s">
        <v>537</v>
      </c>
      <c r="B120" s="697" t="s">
        <v>3133</v>
      </c>
      <c r="C120" s="697" t="s">
        <v>2899</v>
      </c>
      <c r="D120" s="697" t="s">
        <v>2933</v>
      </c>
      <c r="E120" s="697" t="s">
        <v>2934</v>
      </c>
      <c r="F120" s="701">
        <v>2</v>
      </c>
      <c r="G120" s="701">
        <v>1690</v>
      </c>
      <c r="H120" s="701"/>
      <c r="I120" s="701">
        <v>845</v>
      </c>
      <c r="J120" s="701">
        <v>5</v>
      </c>
      <c r="K120" s="701">
        <v>4260</v>
      </c>
      <c r="L120" s="701"/>
      <c r="M120" s="701">
        <v>852</v>
      </c>
      <c r="N120" s="701">
        <v>5</v>
      </c>
      <c r="O120" s="701">
        <v>4440</v>
      </c>
      <c r="P120" s="726"/>
      <c r="Q120" s="702">
        <v>888</v>
      </c>
    </row>
    <row r="121" spans="1:17" ht="14.45" customHeight="1" x14ac:dyDescent="0.2">
      <c r="A121" s="696" t="s">
        <v>537</v>
      </c>
      <c r="B121" s="697" t="s">
        <v>3133</v>
      </c>
      <c r="C121" s="697" t="s">
        <v>2899</v>
      </c>
      <c r="D121" s="697" t="s">
        <v>3134</v>
      </c>
      <c r="E121" s="697" t="s">
        <v>3135</v>
      </c>
      <c r="F121" s="701"/>
      <c r="G121" s="701"/>
      <c r="H121" s="701"/>
      <c r="I121" s="701"/>
      <c r="J121" s="701">
        <v>1</v>
      </c>
      <c r="K121" s="701">
        <v>385</v>
      </c>
      <c r="L121" s="701"/>
      <c r="M121" s="701">
        <v>385</v>
      </c>
      <c r="N121" s="701"/>
      <c r="O121" s="701"/>
      <c r="P121" s="726"/>
      <c r="Q121" s="702"/>
    </row>
    <row r="122" spans="1:17" ht="14.45" customHeight="1" x14ac:dyDescent="0.2">
      <c r="A122" s="696" t="s">
        <v>537</v>
      </c>
      <c r="B122" s="697" t="s">
        <v>3133</v>
      </c>
      <c r="C122" s="697" t="s">
        <v>2899</v>
      </c>
      <c r="D122" s="697" t="s">
        <v>3136</v>
      </c>
      <c r="E122" s="697" t="s">
        <v>3137</v>
      </c>
      <c r="F122" s="701">
        <v>1</v>
      </c>
      <c r="G122" s="701">
        <v>81</v>
      </c>
      <c r="H122" s="701"/>
      <c r="I122" s="701">
        <v>81</v>
      </c>
      <c r="J122" s="701">
        <v>4</v>
      </c>
      <c r="K122" s="701">
        <v>328</v>
      </c>
      <c r="L122" s="701"/>
      <c r="M122" s="701">
        <v>82</v>
      </c>
      <c r="N122" s="701"/>
      <c r="O122" s="701"/>
      <c r="P122" s="726"/>
      <c r="Q122" s="702"/>
    </row>
    <row r="123" spans="1:17" ht="14.45" customHeight="1" x14ac:dyDescent="0.2">
      <c r="A123" s="696" t="s">
        <v>537</v>
      </c>
      <c r="B123" s="697" t="s">
        <v>3133</v>
      </c>
      <c r="C123" s="697" t="s">
        <v>2899</v>
      </c>
      <c r="D123" s="697" t="s">
        <v>3138</v>
      </c>
      <c r="E123" s="697" t="s">
        <v>3139</v>
      </c>
      <c r="F123" s="701">
        <v>1</v>
      </c>
      <c r="G123" s="701">
        <v>3680</v>
      </c>
      <c r="H123" s="701"/>
      <c r="I123" s="701">
        <v>3680</v>
      </c>
      <c r="J123" s="701"/>
      <c r="K123" s="701"/>
      <c r="L123" s="701"/>
      <c r="M123" s="701"/>
      <c r="N123" s="701"/>
      <c r="O123" s="701"/>
      <c r="P123" s="726"/>
      <c r="Q123" s="702"/>
    </row>
    <row r="124" spans="1:17" ht="14.45" customHeight="1" x14ac:dyDescent="0.2">
      <c r="A124" s="696" t="s">
        <v>537</v>
      </c>
      <c r="B124" s="697" t="s">
        <v>3133</v>
      </c>
      <c r="C124" s="697" t="s">
        <v>2899</v>
      </c>
      <c r="D124" s="697" t="s">
        <v>3140</v>
      </c>
      <c r="E124" s="697" t="s">
        <v>3141</v>
      </c>
      <c r="F124" s="701"/>
      <c r="G124" s="701"/>
      <c r="H124" s="701"/>
      <c r="I124" s="701"/>
      <c r="J124" s="701"/>
      <c r="K124" s="701"/>
      <c r="L124" s="701"/>
      <c r="M124" s="701"/>
      <c r="N124" s="701">
        <v>1</v>
      </c>
      <c r="O124" s="701">
        <v>5249</v>
      </c>
      <c r="P124" s="726"/>
      <c r="Q124" s="702">
        <v>5249</v>
      </c>
    </row>
    <row r="125" spans="1:17" ht="14.45" customHeight="1" x14ac:dyDescent="0.2">
      <c r="A125" s="696" t="s">
        <v>537</v>
      </c>
      <c r="B125" s="697" t="s">
        <v>3133</v>
      </c>
      <c r="C125" s="697" t="s">
        <v>2899</v>
      </c>
      <c r="D125" s="697" t="s">
        <v>3142</v>
      </c>
      <c r="E125" s="697" t="s">
        <v>3143</v>
      </c>
      <c r="F125" s="701"/>
      <c r="G125" s="701"/>
      <c r="H125" s="701"/>
      <c r="I125" s="701"/>
      <c r="J125" s="701">
        <v>2</v>
      </c>
      <c r="K125" s="701">
        <v>8802</v>
      </c>
      <c r="L125" s="701"/>
      <c r="M125" s="701">
        <v>4401</v>
      </c>
      <c r="N125" s="701"/>
      <c r="O125" s="701"/>
      <c r="P125" s="726"/>
      <c r="Q125" s="702"/>
    </row>
    <row r="126" spans="1:17" ht="14.45" customHeight="1" x14ac:dyDescent="0.2">
      <c r="A126" s="696" t="s">
        <v>537</v>
      </c>
      <c r="B126" s="697" t="s">
        <v>3133</v>
      </c>
      <c r="C126" s="697" t="s">
        <v>2899</v>
      </c>
      <c r="D126" s="697" t="s">
        <v>3144</v>
      </c>
      <c r="E126" s="697" t="s">
        <v>3145</v>
      </c>
      <c r="F126" s="701"/>
      <c r="G126" s="701"/>
      <c r="H126" s="701"/>
      <c r="I126" s="701"/>
      <c r="J126" s="701"/>
      <c r="K126" s="701"/>
      <c r="L126" s="701"/>
      <c r="M126" s="701"/>
      <c r="N126" s="701">
        <v>1</v>
      </c>
      <c r="O126" s="701">
        <v>4697</v>
      </c>
      <c r="P126" s="726"/>
      <c r="Q126" s="702">
        <v>4697</v>
      </c>
    </row>
    <row r="127" spans="1:17" ht="14.45" customHeight="1" x14ac:dyDescent="0.2">
      <c r="A127" s="696" t="s">
        <v>537</v>
      </c>
      <c r="B127" s="697" t="s">
        <v>3133</v>
      </c>
      <c r="C127" s="697" t="s">
        <v>2899</v>
      </c>
      <c r="D127" s="697" t="s">
        <v>3146</v>
      </c>
      <c r="E127" s="697" t="s">
        <v>3147</v>
      </c>
      <c r="F127" s="701">
        <v>2</v>
      </c>
      <c r="G127" s="701">
        <v>11074</v>
      </c>
      <c r="H127" s="701"/>
      <c r="I127" s="701">
        <v>5537</v>
      </c>
      <c r="J127" s="701">
        <v>5</v>
      </c>
      <c r="K127" s="701">
        <v>27780</v>
      </c>
      <c r="L127" s="701"/>
      <c r="M127" s="701">
        <v>5556</v>
      </c>
      <c r="N127" s="701">
        <v>1</v>
      </c>
      <c r="O127" s="701">
        <v>5736</v>
      </c>
      <c r="P127" s="726"/>
      <c r="Q127" s="702">
        <v>5736</v>
      </c>
    </row>
    <row r="128" spans="1:17" ht="14.45" customHeight="1" x14ac:dyDescent="0.2">
      <c r="A128" s="696" t="s">
        <v>537</v>
      </c>
      <c r="B128" s="697" t="s">
        <v>3133</v>
      </c>
      <c r="C128" s="697" t="s">
        <v>2899</v>
      </c>
      <c r="D128" s="697" t="s">
        <v>3148</v>
      </c>
      <c r="E128" s="697" t="s">
        <v>3149</v>
      </c>
      <c r="F128" s="701"/>
      <c r="G128" s="701"/>
      <c r="H128" s="701"/>
      <c r="I128" s="701"/>
      <c r="J128" s="701">
        <v>1</v>
      </c>
      <c r="K128" s="701">
        <v>6045</v>
      </c>
      <c r="L128" s="701"/>
      <c r="M128" s="701">
        <v>6045</v>
      </c>
      <c r="N128" s="701"/>
      <c r="O128" s="701"/>
      <c r="P128" s="726"/>
      <c r="Q128" s="702"/>
    </row>
    <row r="129" spans="1:17" ht="14.45" customHeight="1" x14ac:dyDescent="0.2">
      <c r="A129" s="696" t="s">
        <v>537</v>
      </c>
      <c r="B129" s="697" t="s">
        <v>3133</v>
      </c>
      <c r="C129" s="697" t="s">
        <v>2899</v>
      </c>
      <c r="D129" s="697" t="s">
        <v>3150</v>
      </c>
      <c r="E129" s="697" t="s">
        <v>3151</v>
      </c>
      <c r="F129" s="701"/>
      <c r="G129" s="701"/>
      <c r="H129" s="701"/>
      <c r="I129" s="701"/>
      <c r="J129" s="701"/>
      <c r="K129" s="701"/>
      <c r="L129" s="701"/>
      <c r="M129" s="701"/>
      <c r="N129" s="701">
        <v>1</v>
      </c>
      <c r="O129" s="701">
        <v>3195</v>
      </c>
      <c r="P129" s="726"/>
      <c r="Q129" s="702">
        <v>3195</v>
      </c>
    </row>
    <row r="130" spans="1:17" ht="14.45" customHeight="1" x14ac:dyDescent="0.2">
      <c r="A130" s="696" t="s">
        <v>537</v>
      </c>
      <c r="B130" s="697" t="s">
        <v>3133</v>
      </c>
      <c r="C130" s="697" t="s">
        <v>2899</v>
      </c>
      <c r="D130" s="697" t="s">
        <v>3152</v>
      </c>
      <c r="E130" s="697" t="s">
        <v>3153</v>
      </c>
      <c r="F130" s="701">
        <v>1</v>
      </c>
      <c r="G130" s="701">
        <v>1321</v>
      </c>
      <c r="H130" s="701"/>
      <c r="I130" s="701">
        <v>1321</v>
      </c>
      <c r="J130" s="701">
        <v>1</v>
      </c>
      <c r="K130" s="701">
        <v>1328</v>
      </c>
      <c r="L130" s="701"/>
      <c r="M130" s="701">
        <v>1328</v>
      </c>
      <c r="N130" s="701"/>
      <c r="O130" s="701"/>
      <c r="P130" s="726"/>
      <c r="Q130" s="702"/>
    </row>
    <row r="131" spans="1:17" ht="14.45" customHeight="1" x14ac:dyDescent="0.2">
      <c r="A131" s="696" t="s">
        <v>537</v>
      </c>
      <c r="B131" s="697" t="s">
        <v>3133</v>
      </c>
      <c r="C131" s="697" t="s">
        <v>2899</v>
      </c>
      <c r="D131" s="697" t="s">
        <v>3154</v>
      </c>
      <c r="E131" s="697" t="s">
        <v>3155</v>
      </c>
      <c r="F131" s="701">
        <v>4</v>
      </c>
      <c r="G131" s="701">
        <v>17204</v>
      </c>
      <c r="H131" s="701"/>
      <c r="I131" s="701">
        <v>4301</v>
      </c>
      <c r="J131" s="701">
        <v>2</v>
      </c>
      <c r="K131" s="701">
        <v>8650</v>
      </c>
      <c r="L131" s="701"/>
      <c r="M131" s="701">
        <v>4325</v>
      </c>
      <c r="N131" s="701">
        <v>4</v>
      </c>
      <c r="O131" s="701">
        <v>18204</v>
      </c>
      <c r="P131" s="726"/>
      <c r="Q131" s="702">
        <v>4551</v>
      </c>
    </row>
    <row r="132" spans="1:17" ht="14.45" customHeight="1" x14ac:dyDescent="0.2">
      <c r="A132" s="696" t="s">
        <v>537</v>
      </c>
      <c r="B132" s="697" t="s">
        <v>3133</v>
      </c>
      <c r="C132" s="697" t="s">
        <v>2899</v>
      </c>
      <c r="D132" s="697" t="s">
        <v>3156</v>
      </c>
      <c r="E132" s="697" t="s">
        <v>3157</v>
      </c>
      <c r="F132" s="701"/>
      <c r="G132" s="701"/>
      <c r="H132" s="701"/>
      <c r="I132" s="701"/>
      <c r="J132" s="701">
        <v>3</v>
      </c>
      <c r="K132" s="701">
        <v>2967</v>
      </c>
      <c r="L132" s="701"/>
      <c r="M132" s="701">
        <v>989</v>
      </c>
      <c r="N132" s="701">
        <v>1</v>
      </c>
      <c r="O132" s="701">
        <v>1025</v>
      </c>
      <c r="P132" s="726"/>
      <c r="Q132" s="702">
        <v>1025</v>
      </c>
    </row>
    <row r="133" spans="1:17" ht="14.45" customHeight="1" x14ac:dyDescent="0.2">
      <c r="A133" s="696" t="s">
        <v>537</v>
      </c>
      <c r="B133" s="697" t="s">
        <v>3133</v>
      </c>
      <c r="C133" s="697" t="s">
        <v>2899</v>
      </c>
      <c r="D133" s="697" t="s">
        <v>2941</v>
      </c>
      <c r="E133" s="697" t="s">
        <v>2942</v>
      </c>
      <c r="F133" s="701"/>
      <c r="G133" s="701"/>
      <c r="H133" s="701"/>
      <c r="I133" s="701"/>
      <c r="J133" s="701">
        <v>1</v>
      </c>
      <c r="K133" s="701">
        <v>852</v>
      </c>
      <c r="L133" s="701"/>
      <c r="M133" s="701">
        <v>852</v>
      </c>
      <c r="N133" s="701">
        <v>3</v>
      </c>
      <c r="O133" s="701">
        <v>2610</v>
      </c>
      <c r="P133" s="726"/>
      <c r="Q133" s="702">
        <v>870</v>
      </c>
    </row>
    <row r="134" spans="1:17" ht="14.45" customHeight="1" x14ac:dyDescent="0.2">
      <c r="A134" s="696" t="s">
        <v>537</v>
      </c>
      <c r="B134" s="697" t="s">
        <v>3133</v>
      </c>
      <c r="C134" s="697" t="s">
        <v>2899</v>
      </c>
      <c r="D134" s="697" t="s">
        <v>2975</v>
      </c>
      <c r="E134" s="697" t="s">
        <v>2976</v>
      </c>
      <c r="F134" s="701"/>
      <c r="G134" s="701"/>
      <c r="H134" s="701"/>
      <c r="I134" s="701"/>
      <c r="J134" s="701">
        <v>9</v>
      </c>
      <c r="K134" s="701">
        <v>0</v>
      </c>
      <c r="L134" s="701"/>
      <c r="M134" s="701">
        <v>0</v>
      </c>
      <c r="N134" s="701">
        <v>10</v>
      </c>
      <c r="O134" s="701">
        <v>0</v>
      </c>
      <c r="P134" s="726"/>
      <c r="Q134" s="702">
        <v>0</v>
      </c>
    </row>
    <row r="135" spans="1:17" ht="14.45" customHeight="1" x14ac:dyDescent="0.2">
      <c r="A135" s="696" t="s">
        <v>537</v>
      </c>
      <c r="B135" s="697" t="s">
        <v>3133</v>
      </c>
      <c r="C135" s="697" t="s">
        <v>2899</v>
      </c>
      <c r="D135" s="697" t="s">
        <v>3158</v>
      </c>
      <c r="E135" s="697" t="s">
        <v>3159</v>
      </c>
      <c r="F135" s="701">
        <v>1</v>
      </c>
      <c r="G135" s="701">
        <v>2980</v>
      </c>
      <c r="H135" s="701"/>
      <c r="I135" s="701">
        <v>2980</v>
      </c>
      <c r="J135" s="701">
        <v>6</v>
      </c>
      <c r="K135" s="701">
        <v>17994</v>
      </c>
      <c r="L135" s="701"/>
      <c r="M135" s="701">
        <v>2999</v>
      </c>
      <c r="N135" s="701">
        <v>5</v>
      </c>
      <c r="O135" s="701">
        <v>15630</v>
      </c>
      <c r="P135" s="726"/>
      <c r="Q135" s="702">
        <v>3126</v>
      </c>
    </row>
    <row r="136" spans="1:17" ht="14.45" customHeight="1" x14ac:dyDescent="0.2">
      <c r="A136" s="696" t="s">
        <v>537</v>
      </c>
      <c r="B136" s="697" t="s">
        <v>3133</v>
      </c>
      <c r="C136" s="697" t="s">
        <v>2899</v>
      </c>
      <c r="D136" s="697" t="s">
        <v>2997</v>
      </c>
      <c r="E136" s="697" t="s">
        <v>2998</v>
      </c>
      <c r="F136" s="701">
        <v>2</v>
      </c>
      <c r="G136" s="701">
        <v>896</v>
      </c>
      <c r="H136" s="701"/>
      <c r="I136" s="701">
        <v>448</v>
      </c>
      <c r="J136" s="701"/>
      <c r="K136" s="701"/>
      <c r="L136" s="701"/>
      <c r="M136" s="701"/>
      <c r="N136" s="701">
        <v>1</v>
      </c>
      <c r="O136" s="701">
        <v>463</v>
      </c>
      <c r="P136" s="726"/>
      <c r="Q136" s="702">
        <v>463</v>
      </c>
    </row>
    <row r="137" spans="1:17" ht="14.45" customHeight="1" x14ac:dyDescent="0.2">
      <c r="A137" s="696" t="s">
        <v>537</v>
      </c>
      <c r="B137" s="697" t="s">
        <v>3133</v>
      </c>
      <c r="C137" s="697" t="s">
        <v>2899</v>
      </c>
      <c r="D137" s="697" t="s">
        <v>3160</v>
      </c>
      <c r="E137" s="697" t="s">
        <v>3161</v>
      </c>
      <c r="F137" s="701">
        <v>1</v>
      </c>
      <c r="G137" s="701">
        <v>122</v>
      </c>
      <c r="H137" s="701"/>
      <c r="I137" s="701">
        <v>122</v>
      </c>
      <c r="J137" s="701"/>
      <c r="K137" s="701"/>
      <c r="L137" s="701"/>
      <c r="M137" s="701"/>
      <c r="N137" s="701"/>
      <c r="O137" s="701"/>
      <c r="P137" s="726"/>
      <c r="Q137" s="702"/>
    </row>
    <row r="138" spans="1:17" ht="14.45" customHeight="1" x14ac:dyDescent="0.2">
      <c r="A138" s="696" t="s">
        <v>537</v>
      </c>
      <c r="B138" s="697" t="s">
        <v>3133</v>
      </c>
      <c r="C138" s="697" t="s">
        <v>2899</v>
      </c>
      <c r="D138" s="697" t="s">
        <v>2999</v>
      </c>
      <c r="E138" s="697" t="s">
        <v>3000</v>
      </c>
      <c r="F138" s="701">
        <v>3</v>
      </c>
      <c r="G138" s="701">
        <v>2613</v>
      </c>
      <c r="H138" s="701"/>
      <c r="I138" s="701">
        <v>871</v>
      </c>
      <c r="J138" s="701">
        <v>8</v>
      </c>
      <c r="K138" s="701">
        <v>6736</v>
      </c>
      <c r="L138" s="701"/>
      <c r="M138" s="701">
        <v>842</v>
      </c>
      <c r="N138" s="701">
        <v>8</v>
      </c>
      <c r="O138" s="701">
        <v>6984</v>
      </c>
      <c r="P138" s="726"/>
      <c r="Q138" s="702">
        <v>873</v>
      </c>
    </row>
    <row r="139" spans="1:17" ht="14.45" customHeight="1" x14ac:dyDescent="0.2">
      <c r="A139" s="696" t="s">
        <v>537</v>
      </c>
      <c r="B139" s="697" t="s">
        <v>3133</v>
      </c>
      <c r="C139" s="697" t="s">
        <v>2899</v>
      </c>
      <c r="D139" s="697" t="s">
        <v>3162</v>
      </c>
      <c r="E139" s="697" t="s">
        <v>3163</v>
      </c>
      <c r="F139" s="701">
        <v>5</v>
      </c>
      <c r="G139" s="701">
        <v>610</v>
      </c>
      <c r="H139" s="701"/>
      <c r="I139" s="701">
        <v>122</v>
      </c>
      <c r="J139" s="701">
        <v>5</v>
      </c>
      <c r="K139" s="701">
        <v>615</v>
      </c>
      <c r="L139" s="701"/>
      <c r="M139" s="701">
        <v>123</v>
      </c>
      <c r="N139" s="701">
        <v>9</v>
      </c>
      <c r="O139" s="701">
        <v>1188</v>
      </c>
      <c r="P139" s="726"/>
      <c r="Q139" s="702">
        <v>132</v>
      </c>
    </row>
    <row r="140" spans="1:17" ht="14.45" customHeight="1" x14ac:dyDescent="0.2">
      <c r="A140" s="696" t="s">
        <v>537</v>
      </c>
      <c r="B140" s="697" t="s">
        <v>3133</v>
      </c>
      <c r="C140" s="697" t="s">
        <v>2899</v>
      </c>
      <c r="D140" s="697" t="s">
        <v>3164</v>
      </c>
      <c r="E140" s="697" t="s">
        <v>3165</v>
      </c>
      <c r="F140" s="701"/>
      <c r="G140" s="701"/>
      <c r="H140" s="701"/>
      <c r="I140" s="701"/>
      <c r="J140" s="701"/>
      <c r="K140" s="701"/>
      <c r="L140" s="701"/>
      <c r="M140" s="701"/>
      <c r="N140" s="701">
        <v>1</v>
      </c>
      <c r="O140" s="701">
        <v>1976</v>
      </c>
      <c r="P140" s="726"/>
      <c r="Q140" s="702">
        <v>1976</v>
      </c>
    </row>
    <row r="141" spans="1:17" ht="14.45" customHeight="1" x14ac:dyDescent="0.2">
      <c r="A141" s="696" t="s">
        <v>537</v>
      </c>
      <c r="B141" s="697" t="s">
        <v>3133</v>
      </c>
      <c r="C141" s="697" t="s">
        <v>2899</v>
      </c>
      <c r="D141" s="697" t="s">
        <v>3166</v>
      </c>
      <c r="E141" s="697" t="s">
        <v>3167</v>
      </c>
      <c r="F141" s="701"/>
      <c r="G141" s="701"/>
      <c r="H141" s="701"/>
      <c r="I141" s="701"/>
      <c r="J141" s="701"/>
      <c r="K141" s="701"/>
      <c r="L141" s="701"/>
      <c r="M141" s="701"/>
      <c r="N141" s="701">
        <v>2</v>
      </c>
      <c r="O141" s="701">
        <v>736</v>
      </c>
      <c r="P141" s="726"/>
      <c r="Q141" s="702">
        <v>368</v>
      </c>
    </row>
    <row r="142" spans="1:17" ht="14.45" customHeight="1" x14ac:dyDescent="0.2">
      <c r="A142" s="696" t="s">
        <v>537</v>
      </c>
      <c r="B142" s="697" t="s">
        <v>3133</v>
      </c>
      <c r="C142" s="697" t="s">
        <v>2899</v>
      </c>
      <c r="D142" s="697" t="s">
        <v>3168</v>
      </c>
      <c r="E142" s="697" t="s">
        <v>3169</v>
      </c>
      <c r="F142" s="701"/>
      <c r="G142" s="701"/>
      <c r="H142" s="701"/>
      <c r="I142" s="701"/>
      <c r="J142" s="701"/>
      <c r="K142" s="701"/>
      <c r="L142" s="701"/>
      <c r="M142" s="701"/>
      <c r="N142" s="701">
        <v>1</v>
      </c>
      <c r="O142" s="701">
        <v>2820</v>
      </c>
      <c r="P142" s="726"/>
      <c r="Q142" s="702">
        <v>2820</v>
      </c>
    </row>
    <row r="143" spans="1:17" ht="14.45" customHeight="1" x14ac:dyDescent="0.2">
      <c r="A143" s="696" t="s">
        <v>537</v>
      </c>
      <c r="B143" s="697" t="s">
        <v>3133</v>
      </c>
      <c r="C143" s="697" t="s">
        <v>2899</v>
      </c>
      <c r="D143" s="697" t="s">
        <v>3170</v>
      </c>
      <c r="E143" s="697" t="s">
        <v>3171</v>
      </c>
      <c r="F143" s="701">
        <v>1</v>
      </c>
      <c r="G143" s="701">
        <v>5774</v>
      </c>
      <c r="H143" s="701"/>
      <c r="I143" s="701">
        <v>5774</v>
      </c>
      <c r="J143" s="701">
        <v>4</v>
      </c>
      <c r="K143" s="701">
        <v>23268</v>
      </c>
      <c r="L143" s="701"/>
      <c r="M143" s="701">
        <v>5817</v>
      </c>
      <c r="N143" s="701"/>
      <c r="O143" s="701"/>
      <c r="P143" s="726"/>
      <c r="Q143" s="702"/>
    </row>
    <row r="144" spans="1:17" ht="14.45" customHeight="1" x14ac:dyDescent="0.2">
      <c r="A144" s="696" t="s">
        <v>537</v>
      </c>
      <c r="B144" s="697" t="s">
        <v>3133</v>
      </c>
      <c r="C144" s="697" t="s">
        <v>2899</v>
      </c>
      <c r="D144" s="697" t="s">
        <v>3172</v>
      </c>
      <c r="E144" s="697" t="s">
        <v>3173</v>
      </c>
      <c r="F144" s="701"/>
      <c r="G144" s="701"/>
      <c r="H144" s="701"/>
      <c r="I144" s="701"/>
      <c r="J144" s="701"/>
      <c r="K144" s="701"/>
      <c r="L144" s="701"/>
      <c r="M144" s="701"/>
      <c r="N144" s="701">
        <v>1</v>
      </c>
      <c r="O144" s="701">
        <v>3092</v>
      </c>
      <c r="P144" s="726"/>
      <c r="Q144" s="702">
        <v>3092</v>
      </c>
    </row>
    <row r="145" spans="1:17" ht="14.45" customHeight="1" x14ac:dyDescent="0.2">
      <c r="A145" s="696" t="s">
        <v>537</v>
      </c>
      <c r="B145" s="697" t="s">
        <v>3133</v>
      </c>
      <c r="C145" s="697" t="s">
        <v>2899</v>
      </c>
      <c r="D145" s="697" t="s">
        <v>3031</v>
      </c>
      <c r="E145" s="697" t="s">
        <v>3032</v>
      </c>
      <c r="F145" s="701"/>
      <c r="G145" s="701"/>
      <c r="H145" s="701"/>
      <c r="I145" s="701"/>
      <c r="J145" s="701">
        <v>2</v>
      </c>
      <c r="K145" s="701">
        <v>9262</v>
      </c>
      <c r="L145" s="701"/>
      <c r="M145" s="701">
        <v>4631</v>
      </c>
      <c r="N145" s="701">
        <v>1</v>
      </c>
      <c r="O145" s="701">
        <v>4857</v>
      </c>
      <c r="P145" s="726"/>
      <c r="Q145" s="702">
        <v>4857</v>
      </c>
    </row>
    <row r="146" spans="1:17" ht="14.45" customHeight="1" x14ac:dyDescent="0.2">
      <c r="A146" s="696" t="s">
        <v>537</v>
      </c>
      <c r="B146" s="697" t="s">
        <v>3133</v>
      </c>
      <c r="C146" s="697" t="s">
        <v>2899</v>
      </c>
      <c r="D146" s="697" t="s">
        <v>3174</v>
      </c>
      <c r="E146" s="697" t="s">
        <v>3175</v>
      </c>
      <c r="F146" s="701"/>
      <c r="G146" s="701"/>
      <c r="H146" s="701"/>
      <c r="I146" s="701"/>
      <c r="J146" s="701">
        <v>1</v>
      </c>
      <c r="K146" s="701">
        <v>3657</v>
      </c>
      <c r="L146" s="701"/>
      <c r="M146" s="701">
        <v>3657</v>
      </c>
      <c r="N146" s="701">
        <v>1</v>
      </c>
      <c r="O146" s="701">
        <v>3837</v>
      </c>
      <c r="P146" s="726"/>
      <c r="Q146" s="702">
        <v>3837</v>
      </c>
    </row>
    <row r="147" spans="1:17" ht="14.45" customHeight="1" x14ac:dyDescent="0.2">
      <c r="A147" s="696" t="s">
        <v>537</v>
      </c>
      <c r="B147" s="697" t="s">
        <v>3133</v>
      </c>
      <c r="C147" s="697" t="s">
        <v>2899</v>
      </c>
      <c r="D147" s="697" t="s">
        <v>3176</v>
      </c>
      <c r="E147" s="697" t="s">
        <v>3177</v>
      </c>
      <c r="F147" s="701">
        <v>1</v>
      </c>
      <c r="G147" s="701">
        <v>3458</v>
      </c>
      <c r="H147" s="701"/>
      <c r="I147" s="701">
        <v>3458</v>
      </c>
      <c r="J147" s="701">
        <v>3</v>
      </c>
      <c r="K147" s="701">
        <v>10431</v>
      </c>
      <c r="L147" s="701"/>
      <c r="M147" s="701">
        <v>3477</v>
      </c>
      <c r="N147" s="701"/>
      <c r="O147" s="701"/>
      <c r="P147" s="726"/>
      <c r="Q147" s="702"/>
    </row>
    <row r="148" spans="1:17" ht="14.45" customHeight="1" x14ac:dyDescent="0.2">
      <c r="A148" s="696" t="s">
        <v>537</v>
      </c>
      <c r="B148" s="697" t="s">
        <v>3133</v>
      </c>
      <c r="C148" s="697" t="s">
        <v>2899</v>
      </c>
      <c r="D148" s="697" t="s">
        <v>3178</v>
      </c>
      <c r="E148" s="697" t="s">
        <v>3179</v>
      </c>
      <c r="F148" s="701"/>
      <c r="G148" s="701"/>
      <c r="H148" s="701"/>
      <c r="I148" s="701"/>
      <c r="J148" s="701">
        <v>1</v>
      </c>
      <c r="K148" s="701">
        <v>6144</v>
      </c>
      <c r="L148" s="701"/>
      <c r="M148" s="701">
        <v>6144</v>
      </c>
      <c r="N148" s="701"/>
      <c r="O148" s="701"/>
      <c r="P148" s="726"/>
      <c r="Q148" s="702"/>
    </row>
    <row r="149" spans="1:17" ht="14.45" customHeight="1" x14ac:dyDescent="0.2">
      <c r="A149" s="696" t="s">
        <v>537</v>
      </c>
      <c r="B149" s="697" t="s">
        <v>3133</v>
      </c>
      <c r="C149" s="697" t="s">
        <v>2899</v>
      </c>
      <c r="D149" s="697" t="s">
        <v>3180</v>
      </c>
      <c r="E149" s="697" t="s">
        <v>3181</v>
      </c>
      <c r="F149" s="701"/>
      <c r="G149" s="701"/>
      <c r="H149" s="701"/>
      <c r="I149" s="701"/>
      <c r="J149" s="701">
        <v>1</v>
      </c>
      <c r="K149" s="701">
        <v>1643</v>
      </c>
      <c r="L149" s="701"/>
      <c r="M149" s="701">
        <v>1643</v>
      </c>
      <c r="N149" s="701">
        <v>1</v>
      </c>
      <c r="O149" s="701">
        <v>1687</v>
      </c>
      <c r="P149" s="726"/>
      <c r="Q149" s="702">
        <v>1687</v>
      </c>
    </row>
    <row r="150" spans="1:17" ht="14.45" customHeight="1" x14ac:dyDescent="0.2">
      <c r="A150" s="696" t="s">
        <v>537</v>
      </c>
      <c r="B150" s="697" t="s">
        <v>3133</v>
      </c>
      <c r="C150" s="697" t="s">
        <v>2899</v>
      </c>
      <c r="D150" s="697" t="s">
        <v>3182</v>
      </c>
      <c r="E150" s="697" t="s">
        <v>3183</v>
      </c>
      <c r="F150" s="701">
        <v>3</v>
      </c>
      <c r="G150" s="701">
        <v>25155</v>
      </c>
      <c r="H150" s="701"/>
      <c r="I150" s="701">
        <v>8385</v>
      </c>
      <c r="J150" s="701">
        <v>3</v>
      </c>
      <c r="K150" s="701">
        <v>25308</v>
      </c>
      <c r="L150" s="701"/>
      <c r="M150" s="701">
        <v>8436</v>
      </c>
      <c r="N150" s="701">
        <v>1</v>
      </c>
      <c r="O150" s="701">
        <v>8774</v>
      </c>
      <c r="P150" s="726"/>
      <c r="Q150" s="702">
        <v>8774</v>
      </c>
    </row>
    <row r="151" spans="1:17" ht="14.45" customHeight="1" x14ac:dyDescent="0.2">
      <c r="A151" s="696" t="s">
        <v>537</v>
      </c>
      <c r="B151" s="697" t="s">
        <v>3133</v>
      </c>
      <c r="C151" s="697" t="s">
        <v>2899</v>
      </c>
      <c r="D151" s="697" t="s">
        <v>3184</v>
      </c>
      <c r="E151" s="697" t="s">
        <v>3185</v>
      </c>
      <c r="F151" s="701"/>
      <c r="G151" s="701"/>
      <c r="H151" s="701"/>
      <c r="I151" s="701"/>
      <c r="J151" s="701">
        <v>3</v>
      </c>
      <c r="K151" s="701">
        <v>4266</v>
      </c>
      <c r="L151" s="701"/>
      <c r="M151" s="701">
        <v>1422</v>
      </c>
      <c r="N151" s="701"/>
      <c r="O151" s="701"/>
      <c r="P151" s="726"/>
      <c r="Q151" s="702"/>
    </row>
    <row r="152" spans="1:17" ht="14.45" customHeight="1" x14ac:dyDescent="0.2">
      <c r="A152" s="696" t="s">
        <v>537</v>
      </c>
      <c r="B152" s="697" t="s">
        <v>3133</v>
      </c>
      <c r="C152" s="697" t="s">
        <v>2899</v>
      </c>
      <c r="D152" s="697" t="s">
        <v>3186</v>
      </c>
      <c r="E152" s="697" t="s">
        <v>3187</v>
      </c>
      <c r="F152" s="701"/>
      <c r="G152" s="701"/>
      <c r="H152" s="701"/>
      <c r="I152" s="701"/>
      <c r="J152" s="701"/>
      <c r="K152" s="701"/>
      <c r="L152" s="701"/>
      <c r="M152" s="701"/>
      <c r="N152" s="701">
        <v>1</v>
      </c>
      <c r="O152" s="701">
        <v>1191</v>
      </c>
      <c r="P152" s="726"/>
      <c r="Q152" s="702">
        <v>1191</v>
      </c>
    </row>
    <row r="153" spans="1:17" ht="14.45" customHeight="1" x14ac:dyDescent="0.2">
      <c r="A153" s="696" t="s">
        <v>537</v>
      </c>
      <c r="B153" s="697" t="s">
        <v>3133</v>
      </c>
      <c r="C153" s="697" t="s">
        <v>2899</v>
      </c>
      <c r="D153" s="697" t="s">
        <v>3188</v>
      </c>
      <c r="E153" s="697" t="s">
        <v>3189</v>
      </c>
      <c r="F153" s="701"/>
      <c r="G153" s="701"/>
      <c r="H153" s="701"/>
      <c r="I153" s="701"/>
      <c r="J153" s="701">
        <v>1</v>
      </c>
      <c r="K153" s="701">
        <v>1587</v>
      </c>
      <c r="L153" s="701"/>
      <c r="M153" s="701">
        <v>1587</v>
      </c>
      <c r="N153" s="701"/>
      <c r="O153" s="701"/>
      <c r="P153" s="726"/>
      <c r="Q153" s="702"/>
    </row>
    <row r="154" spans="1:17" ht="14.45" customHeight="1" x14ac:dyDescent="0.2">
      <c r="A154" s="696" t="s">
        <v>537</v>
      </c>
      <c r="B154" s="697" t="s">
        <v>3133</v>
      </c>
      <c r="C154" s="697" t="s">
        <v>2899</v>
      </c>
      <c r="D154" s="697" t="s">
        <v>3190</v>
      </c>
      <c r="E154" s="697" t="s">
        <v>3191</v>
      </c>
      <c r="F154" s="701"/>
      <c r="G154" s="701"/>
      <c r="H154" s="701"/>
      <c r="I154" s="701"/>
      <c r="J154" s="701"/>
      <c r="K154" s="701"/>
      <c r="L154" s="701"/>
      <c r="M154" s="701"/>
      <c r="N154" s="701">
        <v>1</v>
      </c>
      <c r="O154" s="701">
        <v>5553</v>
      </c>
      <c r="P154" s="726"/>
      <c r="Q154" s="702">
        <v>5553</v>
      </c>
    </row>
    <row r="155" spans="1:17" ht="14.45" customHeight="1" x14ac:dyDescent="0.2">
      <c r="A155" s="696" t="s">
        <v>537</v>
      </c>
      <c r="B155" s="697" t="s">
        <v>3133</v>
      </c>
      <c r="C155" s="697" t="s">
        <v>2899</v>
      </c>
      <c r="D155" s="697" t="s">
        <v>3077</v>
      </c>
      <c r="E155" s="697" t="s">
        <v>3078</v>
      </c>
      <c r="F155" s="701"/>
      <c r="G155" s="701"/>
      <c r="H155" s="701"/>
      <c r="I155" s="701"/>
      <c r="J155" s="701">
        <v>4</v>
      </c>
      <c r="K155" s="701">
        <v>0</v>
      </c>
      <c r="L155" s="701"/>
      <c r="M155" s="701">
        <v>0</v>
      </c>
      <c r="N155" s="701">
        <v>3</v>
      </c>
      <c r="O155" s="701">
        <v>0</v>
      </c>
      <c r="P155" s="726"/>
      <c r="Q155" s="702">
        <v>0</v>
      </c>
    </row>
    <row r="156" spans="1:17" ht="14.45" customHeight="1" x14ac:dyDescent="0.2">
      <c r="A156" s="696" t="s">
        <v>537</v>
      </c>
      <c r="B156" s="697" t="s">
        <v>3133</v>
      </c>
      <c r="C156" s="697" t="s">
        <v>2899</v>
      </c>
      <c r="D156" s="697" t="s">
        <v>3083</v>
      </c>
      <c r="E156" s="697" t="s">
        <v>3084</v>
      </c>
      <c r="F156" s="701"/>
      <c r="G156" s="701"/>
      <c r="H156" s="701"/>
      <c r="I156" s="701"/>
      <c r="J156" s="701"/>
      <c r="K156" s="701"/>
      <c r="L156" s="701"/>
      <c r="M156" s="701"/>
      <c r="N156" s="701">
        <v>1</v>
      </c>
      <c r="O156" s="701">
        <v>2029</v>
      </c>
      <c r="P156" s="726"/>
      <c r="Q156" s="702">
        <v>2029</v>
      </c>
    </row>
    <row r="157" spans="1:17" ht="14.45" customHeight="1" x14ac:dyDescent="0.2">
      <c r="A157" s="696" t="s">
        <v>537</v>
      </c>
      <c r="B157" s="697" t="s">
        <v>3133</v>
      </c>
      <c r="C157" s="697" t="s">
        <v>2899</v>
      </c>
      <c r="D157" s="697" t="s">
        <v>3192</v>
      </c>
      <c r="E157" s="697" t="s">
        <v>3193</v>
      </c>
      <c r="F157" s="701"/>
      <c r="G157" s="701"/>
      <c r="H157" s="701"/>
      <c r="I157" s="701"/>
      <c r="J157" s="701">
        <v>1</v>
      </c>
      <c r="K157" s="701">
        <v>3745</v>
      </c>
      <c r="L157" s="701"/>
      <c r="M157" s="701">
        <v>3745</v>
      </c>
      <c r="N157" s="701"/>
      <c r="O157" s="701"/>
      <c r="P157" s="726"/>
      <c r="Q157" s="702"/>
    </row>
    <row r="158" spans="1:17" ht="14.45" customHeight="1" x14ac:dyDescent="0.2">
      <c r="A158" s="696" t="s">
        <v>537</v>
      </c>
      <c r="B158" s="697" t="s">
        <v>3133</v>
      </c>
      <c r="C158" s="697" t="s">
        <v>2899</v>
      </c>
      <c r="D158" s="697" t="s">
        <v>3194</v>
      </c>
      <c r="E158" s="697" t="s">
        <v>3195</v>
      </c>
      <c r="F158" s="701">
        <v>1</v>
      </c>
      <c r="G158" s="701">
        <v>5961</v>
      </c>
      <c r="H158" s="701"/>
      <c r="I158" s="701">
        <v>5961</v>
      </c>
      <c r="J158" s="701"/>
      <c r="K158" s="701"/>
      <c r="L158" s="701"/>
      <c r="M158" s="701"/>
      <c r="N158" s="701"/>
      <c r="O158" s="701"/>
      <c r="P158" s="726"/>
      <c r="Q158" s="702"/>
    </row>
    <row r="159" spans="1:17" ht="14.45" customHeight="1" x14ac:dyDescent="0.2">
      <c r="A159" s="696" t="s">
        <v>537</v>
      </c>
      <c r="B159" s="697" t="s">
        <v>3133</v>
      </c>
      <c r="C159" s="697" t="s">
        <v>2899</v>
      </c>
      <c r="D159" s="697" t="s">
        <v>3129</v>
      </c>
      <c r="E159" s="697" t="s">
        <v>3130</v>
      </c>
      <c r="F159" s="701"/>
      <c r="G159" s="701"/>
      <c r="H159" s="701"/>
      <c r="I159" s="701"/>
      <c r="J159" s="701">
        <v>7</v>
      </c>
      <c r="K159" s="701">
        <v>0</v>
      </c>
      <c r="L159" s="701"/>
      <c r="M159" s="701">
        <v>0</v>
      </c>
      <c r="N159" s="701">
        <v>8</v>
      </c>
      <c r="O159" s="701">
        <v>0</v>
      </c>
      <c r="P159" s="726"/>
      <c r="Q159" s="702">
        <v>0</v>
      </c>
    </row>
    <row r="160" spans="1:17" ht="14.45" customHeight="1" x14ac:dyDescent="0.2">
      <c r="A160" s="696" t="s">
        <v>537</v>
      </c>
      <c r="B160" s="697" t="s">
        <v>2898</v>
      </c>
      <c r="C160" s="697" t="s">
        <v>3196</v>
      </c>
      <c r="D160" s="697" t="s">
        <v>3197</v>
      </c>
      <c r="E160" s="697" t="s">
        <v>3198</v>
      </c>
      <c r="F160" s="701">
        <v>4.9000000000000004</v>
      </c>
      <c r="G160" s="701">
        <v>5560.87</v>
      </c>
      <c r="H160" s="701"/>
      <c r="I160" s="701">
        <v>1134.8714285714284</v>
      </c>
      <c r="J160" s="701">
        <v>9</v>
      </c>
      <c r="K160" s="701">
        <v>10214.100000000002</v>
      </c>
      <c r="L160" s="701"/>
      <c r="M160" s="701">
        <v>1134.9000000000003</v>
      </c>
      <c r="N160" s="701"/>
      <c r="O160" s="701"/>
      <c r="P160" s="726"/>
      <c r="Q160" s="702"/>
    </row>
    <row r="161" spans="1:17" ht="14.45" customHeight="1" x14ac:dyDescent="0.2">
      <c r="A161" s="696" t="s">
        <v>537</v>
      </c>
      <c r="B161" s="697" t="s">
        <v>2898</v>
      </c>
      <c r="C161" s="697" t="s">
        <v>3196</v>
      </c>
      <c r="D161" s="697" t="s">
        <v>3199</v>
      </c>
      <c r="E161" s="697" t="s">
        <v>3200</v>
      </c>
      <c r="F161" s="701">
        <v>7</v>
      </c>
      <c r="G161" s="701">
        <v>894.09</v>
      </c>
      <c r="H161" s="701"/>
      <c r="I161" s="701">
        <v>127.72714285714287</v>
      </c>
      <c r="J161" s="701"/>
      <c r="K161" s="701"/>
      <c r="L161" s="701"/>
      <c r="M161" s="701"/>
      <c r="N161" s="701"/>
      <c r="O161" s="701"/>
      <c r="P161" s="726"/>
      <c r="Q161" s="702"/>
    </row>
    <row r="162" spans="1:17" ht="14.45" customHeight="1" x14ac:dyDescent="0.2">
      <c r="A162" s="696" t="s">
        <v>537</v>
      </c>
      <c r="B162" s="697" t="s">
        <v>2898</v>
      </c>
      <c r="C162" s="697" t="s">
        <v>3196</v>
      </c>
      <c r="D162" s="697" t="s">
        <v>3201</v>
      </c>
      <c r="E162" s="697" t="s">
        <v>1433</v>
      </c>
      <c r="F162" s="701">
        <v>5</v>
      </c>
      <c r="G162" s="701">
        <v>20588.09</v>
      </c>
      <c r="H162" s="701"/>
      <c r="I162" s="701">
        <v>4117.6180000000004</v>
      </c>
      <c r="J162" s="701"/>
      <c r="K162" s="701"/>
      <c r="L162" s="701"/>
      <c r="M162" s="701"/>
      <c r="N162" s="701"/>
      <c r="O162" s="701"/>
      <c r="P162" s="726"/>
      <c r="Q162" s="702"/>
    </row>
    <row r="163" spans="1:17" ht="14.45" customHeight="1" x14ac:dyDescent="0.2">
      <c r="A163" s="696" t="s">
        <v>537</v>
      </c>
      <c r="B163" s="697" t="s">
        <v>2898</v>
      </c>
      <c r="C163" s="697" t="s">
        <v>3196</v>
      </c>
      <c r="D163" s="697" t="s">
        <v>3202</v>
      </c>
      <c r="E163" s="697" t="s">
        <v>3203</v>
      </c>
      <c r="F163" s="701">
        <v>168.86</v>
      </c>
      <c r="G163" s="701">
        <v>62707.149999999987</v>
      </c>
      <c r="H163" s="701"/>
      <c r="I163" s="701">
        <v>371.35585692289459</v>
      </c>
      <c r="J163" s="701">
        <v>5.1000000000000005</v>
      </c>
      <c r="K163" s="701">
        <v>1603.79</v>
      </c>
      <c r="L163" s="701"/>
      <c r="M163" s="701">
        <v>314.46862745098036</v>
      </c>
      <c r="N163" s="701"/>
      <c r="O163" s="701"/>
      <c r="P163" s="726"/>
      <c r="Q163" s="702"/>
    </row>
    <row r="164" spans="1:17" ht="14.45" customHeight="1" x14ac:dyDescent="0.2">
      <c r="A164" s="696" t="s">
        <v>537</v>
      </c>
      <c r="B164" s="697" t="s">
        <v>2898</v>
      </c>
      <c r="C164" s="697" t="s">
        <v>3196</v>
      </c>
      <c r="D164" s="697" t="s">
        <v>3204</v>
      </c>
      <c r="E164" s="697" t="s">
        <v>732</v>
      </c>
      <c r="F164" s="701">
        <v>15</v>
      </c>
      <c r="G164" s="701">
        <v>7968.9</v>
      </c>
      <c r="H164" s="701"/>
      <c r="I164" s="701">
        <v>531.26</v>
      </c>
      <c r="J164" s="701"/>
      <c r="K164" s="701"/>
      <c r="L164" s="701"/>
      <c r="M164" s="701"/>
      <c r="N164" s="701"/>
      <c r="O164" s="701"/>
      <c r="P164" s="726"/>
      <c r="Q164" s="702"/>
    </row>
    <row r="165" spans="1:17" ht="14.45" customHeight="1" x14ac:dyDescent="0.2">
      <c r="A165" s="696" t="s">
        <v>537</v>
      </c>
      <c r="B165" s="697" t="s">
        <v>2898</v>
      </c>
      <c r="C165" s="697" t="s">
        <v>3196</v>
      </c>
      <c r="D165" s="697" t="s">
        <v>3205</v>
      </c>
      <c r="E165" s="697" t="s">
        <v>3206</v>
      </c>
      <c r="F165" s="701">
        <v>692</v>
      </c>
      <c r="G165" s="701">
        <v>25491.599999999999</v>
      </c>
      <c r="H165" s="701"/>
      <c r="I165" s="701">
        <v>36.837572254335257</v>
      </c>
      <c r="J165" s="701"/>
      <c r="K165" s="701"/>
      <c r="L165" s="701"/>
      <c r="M165" s="701"/>
      <c r="N165" s="701"/>
      <c r="O165" s="701"/>
      <c r="P165" s="726"/>
      <c r="Q165" s="702"/>
    </row>
    <row r="166" spans="1:17" ht="14.45" customHeight="1" x14ac:dyDescent="0.2">
      <c r="A166" s="696" t="s">
        <v>537</v>
      </c>
      <c r="B166" s="697" t="s">
        <v>2898</v>
      </c>
      <c r="C166" s="697" t="s">
        <v>3196</v>
      </c>
      <c r="D166" s="697" t="s">
        <v>3207</v>
      </c>
      <c r="E166" s="697" t="s">
        <v>3208</v>
      </c>
      <c r="F166" s="701">
        <v>0.2</v>
      </c>
      <c r="G166" s="701">
        <v>972.62</v>
      </c>
      <c r="H166" s="701"/>
      <c r="I166" s="701">
        <v>4863.0999999999995</v>
      </c>
      <c r="J166" s="701">
        <v>0.1</v>
      </c>
      <c r="K166" s="701">
        <v>486.31</v>
      </c>
      <c r="L166" s="701"/>
      <c r="M166" s="701">
        <v>4863.0999999999995</v>
      </c>
      <c r="N166" s="701">
        <v>0.6</v>
      </c>
      <c r="O166" s="701">
        <v>2917.87</v>
      </c>
      <c r="P166" s="726"/>
      <c r="Q166" s="702">
        <v>4863.1166666666668</v>
      </c>
    </row>
    <row r="167" spans="1:17" ht="14.45" customHeight="1" x14ac:dyDescent="0.2">
      <c r="A167" s="696" t="s">
        <v>537</v>
      </c>
      <c r="B167" s="697" t="s">
        <v>2898</v>
      </c>
      <c r="C167" s="697" t="s">
        <v>3196</v>
      </c>
      <c r="D167" s="697" t="s">
        <v>3209</v>
      </c>
      <c r="E167" s="697" t="s">
        <v>1773</v>
      </c>
      <c r="F167" s="701">
        <v>73.700000000000017</v>
      </c>
      <c r="G167" s="701">
        <v>225019.97000000003</v>
      </c>
      <c r="H167" s="701"/>
      <c r="I167" s="701">
        <v>3053.1881953867028</v>
      </c>
      <c r="J167" s="701">
        <v>126.89999999999999</v>
      </c>
      <c r="K167" s="701">
        <v>347749.25000000006</v>
      </c>
      <c r="L167" s="701"/>
      <c r="M167" s="701">
        <v>2740.3408195429479</v>
      </c>
      <c r="N167" s="701">
        <v>110.82</v>
      </c>
      <c r="O167" s="701">
        <v>257938.02000000002</v>
      </c>
      <c r="P167" s="726"/>
      <c r="Q167" s="702">
        <v>2327.5403356794804</v>
      </c>
    </row>
    <row r="168" spans="1:17" ht="14.45" customHeight="1" x14ac:dyDescent="0.2">
      <c r="A168" s="696" t="s">
        <v>537</v>
      </c>
      <c r="B168" s="697" t="s">
        <v>2898</v>
      </c>
      <c r="C168" s="697" t="s">
        <v>3196</v>
      </c>
      <c r="D168" s="697" t="s">
        <v>3210</v>
      </c>
      <c r="E168" s="697" t="s">
        <v>3211</v>
      </c>
      <c r="F168" s="701"/>
      <c r="G168" s="701"/>
      <c r="H168" s="701"/>
      <c r="I168" s="701"/>
      <c r="J168" s="701">
        <v>36</v>
      </c>
      <c r="K168" s="701">
        <v>12020.58</v>
      </c>
      <c r="L168" s="701"/>
      <c r="M168" s="701">
        <v>333.90499999999997</v>
      </c>
      <c r="N168" s="701"/>
      <c r="O168" s="701"/>
      <c r="P168" s="726"/>
      <c r="Q168" s="702"/>
    </row>
    <row r="169" spans="1:17" ht="14.45" customHeight="1" x14ac:dyDescent="0.2">
      <c r="A169" s="696" t="s">
        <v>537</v>
      </c>
      <c r="B169" s="697" t="s">
        <v>2898</v>
      </c>
      <c r="C169" s="697" t="s">
        <v>3196</v>
      </c>
      <c r="D169" s="697" t="s">
        <v>3212</v>
      </c>
      <c r="E169" s="697" t="s">
        <v>1428</v>
      </c>
      <c r="F169" s="701">
        <v>2</v>
      </c>
      <c r="G169" s="701">
        <v>11420.86</v>
      </c>
      <c r="H169" s="701"/>
      <c r="I169" s="701">
        <v>5710.43</v>
      </c>
      <c r="J169" s="701"/>
      <c r="K169" s="701"/>
      <c r="L169" s="701"/>
      <c r="M169" s="701"/>
      <c r="N169" s="701"/>
      <c r="O169" s="701"/>
      <c r="P169" s="726"/>
      <c r="Q169" s="702"/>
    </row>
    <row r="170" spans="1:17" ht="14.45" customHeight="1" x14ac:dyDescent="0.2">
      <c r="A170" s="696" t="s">
        <v>537</v>
      </c>
      <c r="B170" s="697" t="s">
        <v>2898</v>
      </c>
      <c r="C170" s="697" t="s">
        <v>3196</v>
      </c>
      <c r="D170" s="697" t="s">
        <v>3213</v>
      </c>
      <c r="E170" s="697" t="s">
        <v>1428</v>
      </c>
      <c r="F170" s="701">
        <v>13</v>
      </c>
      <c r="G170" s="701">
        <v>148471.31</v>
      </c>
      <c r="H170" s="701"/>
      <c r="I170" s="701">
        <v>11420.869999999999</v>
      </c>
      <c r="J170" s="701"/>
      <c r="K170" s="701"/>
      <c r="L170" s="701"/>
      <c r="M170" s="701"/>
      <c r="N170" s="701">
        <v>19</v>
      </c>
      <c r="O170" s="701">
        <v>216996.53</v>
      </c>
      <c r="P170" s="726"/>
      <c r="Q170" s="702">
        <v>11420.87</v>
      </c>
    </row>
    <row r="171" spans="1:17" ht="14.45" customHeight="1" x14ac:dyDescent="0.2">
      <c r="A171" s="696" t="s">
        <v>537</v>
      </c>
      <c r="B171" s="697" t="s">
        <v>2898</v>
      </c>
      <c r="C171" s="697" t="s">
        <v>3196</v>
      </c>
      <c r="D171" s="697" t="s">
        <v>3214</v>
      </c>
      <c r="E171" s="697" t="s">
        <v>1815</v>
      </c>
      <c r="F171" s="701"/>
      <c r="G171" s="701"/>
      <c r="H171" s="701"/>
      <c r="I171" s="701"/>
      <c r="J171" s="701"/>
      <c r="K171" s="701"/>
      <c r="L171" s="701"/>
      <c r="M171" s="701"/>
      <c r="N171" s="701">
        <v>132</v>
      </c>
      <c r="O171" s="701">
        <v>4936.8</v>
      </c>
      <c r="P171" s="726"/>
      <c r="Q171" s="702">
        <v>37.4</v>
      </c>
    </row>
    <row r="172" spans="1:17" ht="14.45" customHeight="1" x14ac:dyDescent="0.2">
      <c r="A172" s="696" t="s">
        <v>537</v>
      </c>
      <c r="B172" s="697" t="s">
        <v>2898</v>
      </c>
      <c r="C172" s="697" t="s">
        <v>3196</v>
      </c>
      <c r="D172" s="697" t="s">
        <v>3215</v>
      </c>
      <c r="E172" s="697" t="s">
        <v>1430</v>
      </c>
      <c r="F172" s="701">
        <v>64</v>
      </c>
      <c r="G172" s="701">
        <v>585013.1100000001</v>
      </c>
      <c r="H172" s="701"/>
      <c r="I172" s="701">
        <v>9140.8298437500016</v>
      </c>
      <c r="J172" s="701">
        <v>83</v>
      </c>
      <c r="K172" s="701">
        <v>760136.41000000015</v>
      </c>
      <c r="L172" s="701"/>
      <c r="M172" s="701">
        <v>9158.2700000000023</v>
      </c>
      <c r="N172" s="701">
        <v>123</v>
      </c>
      <c r="O172" s="701">
        <v>1126467.21</v>
      </c>
      <c r="P172" s="726"/>
      <c r="Q172" s="702">
        <v>9158.27</v>
      </c>
    </row>
    <row r="173" spans="1:17" ht="14.45" customHeight="1" x14ac:dyDescent="0.2">
      <c r="A173" s="696" t="s">
        <v>537</v>
      </c>
      <c r="B173" s="697" t="s">
        <v>2898</v>
      </c>
      <c r="C173" s="697" t="s">
        <v>3196</v>
      </c>
      <c r="D173" s="697" t="s">
        <v>3216</v>
      </c>
      <c r="E173" s="697" t="s">
        <v>1430</v>
      </c>
      <c r="F173" s="701">
        <v>1</v>
      </c>
      <c r="G173" s="701">
        <v>17457.349999999999</v>
      </c>
      <c r="H173" s="701"/>
      <c r="I173" s="701">
        <v>17457.349999999999</v>
      </c>
      <c r="J173" s="701">
        <v>3</v>
      </c>
      <c r="K173" s="701">
        <v>52372.05</v>
      </c>
      <c r="L173" s="701"/>
      <c r="M173" s="701">
        <v>17457.350000000002</v>
      </c>
      <c r="N173" s="701">
        <v>4</v>
      </c>
      <c r="O173" s="701">
        <v>73266.16</v>
      </c>
      <c r="P173" s="726"/>
      <c r="Q173" s="702">
        <v>18316.54</v>
      </c>
    </row>
    <row r="174" spans="1:17" ht="14.45" customHeight="1" x14ac:dyDescent="0.2">
      <c r="A174" s="696" t="s">
        <v>537</v>
      </c>
      <c r="B174" s="697" t="s">
        <v>2898</v>
      </c>
      <c r="C174" s="697" t="s">
        <v>3196</v>
      </c>
      <c r="D174" s="697" t="s">
        <v>3217</v>
      </c>
      <c r="E174" s="697" t="s">
        <v>1789</v>
      </c>
      <c r="F174" s="701">
        <v>15.2</v>
      </c>
      <c r="G174" s="701">
        <v>3376.3900000000003</v>
      </c>
      <c r="H174" s="701"/>
      <c r="I174" s="701">
        <v>222.13092105263161</v>
      </c>
      <c r="J174" s="701">
        <v>23.2</v>
      </c>
      <c r="K174" s="701">
        <v>4709.1499999999996</v>
      </c>
      <c r="L174" s="701"/>
      <c r="M174" s="701">
        <v>202.98060344827584</v>
      </c>
      <c r="N174" s="701">
        <v>15.000000000000002</v>
      </c>
      <c r="O174" s="701">
        <v>2940.2900000000004</v>
      </c>
      <c r="P174" s="726"/>
      <c r="Q174" s="702">
        <v>196.01933333333335</v>
      </c>
    </row>
    <row r="175" spans="1:17" ht="14.45" customHeight="1" x14ac:dyDescent="0.2">
      <c r="A175" s="696" t="s">
        <v>537</v>
      </c>
      <c r="B175" s="697" t="s">
        <v>2898</v>
      </c>
      <c r="C175" s="697" t="s">
        <v>3196</v>
      </c>
      <c r="D175" s="697" t="s">
        <v>3218</v>
      </c>
      <c r="E175" s="697" t="s">
        <v>3219</v>
      </c>
      <c r="F175" s="701">
        <v>491.2000000000001</v>
      </c>
      <c r="G175" s="701">
        <v>91433.260000000024</v>
      </c>
      <c r="H175" s="701"/>
      <c r="I175" s="701">
        <v>186.14263029315961</v>
      </c>
      <c r="J175" s="701">
        <v>349.00000000000006</v>
      </c>
      <c r="K175" s="701">
        <v>72949.060000000012</v>
      </c>
      <c r="L175" s="701"/>
      <c r="M175" s="701">
        <v>209.02309455587394</v>
      </c>
      <c r="N175" s="701">
        <v>207.20000000000002</v>
      </c>
      <c r="O175" s="701">
        <v>42348.68</v>
      </c>
      <c r="P175" s="726"/>
      <c r="Q175" s="702">
        <v>204.38552123552122</v>
      </c>
    </row>
    <row r="176" spans="1:17" ht="14.45" customHeight="1" x14ac:dyDescent="0.2">
      <c r="A176" s="696" t="s">
        <v>537</v>
      </c>
      <c r="B176" s="697" t="s">
        <v>2898</v>
      </c>
      <c r="C176" s="697" t="s">
        <v>3196</v>
      </c>
      <c r="D176" s="697" t="s">
        <v>3220</v>
      </c>
      <c r="E176" s="697" t="s">
        <v>3221</v>
      </c>
      <c r="F176" s="701">
        <v>51</v>
      </c>
      <c r="G176" s="701">
        <v>3353.25</v>
      </c>
      <c r="H176" s="701"/>
      <c r="I176" s="701">
        <v>65.75</v>
      </c>
      <c r="J176" s="701">
        <v>107</v>
      </c>
      <c r="K176" s="701">
        <v>3153.29</v>
      </c>
      <c r="L176" s="701"/>
      <c r="M176" s="701">
        <v>29.47</v>
      </c>
      <c r="N176" s="701">
        <v>39</v>
      </c>
      <c r="O176" s="701">
        <v>1149.33</v>
      </c>
      <c r="P176" s="726"/>
      <c r="Q176" s="702">
        <v>29.47</v>
      </c>
    </row>
    <row r="177" spans="1:17" ht="14.45" customHeight="1" x14ac:dyDescent="0.2">
      <c r="A177" s="696" t="s">
        <v>537</v>
      </c>
      <c r="B177" s="697" t="s">
        <v>2898</v>
      </c>
      <c r="C177" s="697" t="s">
        <v>3196</v>
      </c>
      <c r="D177" s="697" t="s">
        <v>3222</v>
      </c>
      <c r="E177" s="697" t="s">
        <v>3221</v>
      </c>
      <c r="F177" s="701">
        <v>113</v>
      </c>
      <c r="G177" s="701">
        <v>14857.239999999996</v>
      </c>
      <c r="H177" s="701"/>
      <c r="I177" s="701">
        <v>131.47999999999996</v>
      </c>
      <c r="J177" s="701">
        <v>189.3</v>
      </c>
      <c r="K177" s="701">
        <v>11155.44</v>
      </c>
      <c r="L177" s="701"/>
      <c r="M177" s="701">
        <v>58.929952456418384</v>
      </c>
      <c r="N177" s="701">
        <v>47.3</v>
      </c>
      <c r="O177" s="701">
        <v>2787.38</v>
      </c>
      <c r="P177" s="726"/>
      <c r="Q177" s="702">
        <v>58.92980972515857</v>
      </c>
    </row>
    <row r="178" spans="1:17" ht="14.45" customHeight="1" x14ac:dyDescent="0.2">
      <c r="A178" s="696" t="s">
        <v>537</v>
      </c>
      <c r="B178" s="697" t="s">
        <v>2898</v>
      </c>
      <c r="C178" s="697" t="s">
        <v>3196</v>
      </c>
      <c r="D178" s="697" t="s">
        <v>3223</v>
      </c>
      <c r="E178" s="697" t="s">
        <v>1171</v>
      </c>
      <c r="F178" s="701"/>
      <c r="G178" s="701"/>
      <c r="H178" s="701"/>
      <c r="I178" s="701"/>
      <c r="J178" s="701"/>
      <c r="K178" s="701"/>
      <c r="L178" s="701"/>
      <c r="M178" s="701"/>
      <c r="N178" s="701">
        <v>0.3</v>
      </c>
      <c r="O178" s="701">
        <v>368.31</v>
      </c>
      <c r="P178" s="726"/>
      <c r="Q178" s="702">
        <v>1227.7</v>
      </c>
    </row>
    <row r="179" spans="1:17" ht="14.45" customHeight="1" x14ac:dyDescent="0.2">
      <c r="A179" s="696" t="s">
        <v>537</v>
      </c>
      <c r="B179" s="697" t="s">
        <v>2898</v>
      </c>
      <c r="C179" s="697" t="s">
        <v>3196</v>
      </c>
      <c r="D179" s="697" t="s">
        <v>3224</v>
      </c>
      <c r="E179" s="697"/>
      <c r="F179" s="701">
        <v>2.8</v>
      </c>
      <c r="G179" s="701">
        <v>900.04000000000008</v>
      </c>
      <c r="H179" s="701"/>
      <c r="I179" s="701">
        <v>321.44285714285718</v>
      </c>
      <c r="J179" s="701"/>
      <c r="K179" s="701"/>
      <c r="L179" s="701"/>
      <c r="M179" s="701"/>
      <c r="N179" s="701"/>
      <c r="O179" s="701"/>
      <c r="P179" s="726"/>
      <c r="Q179" s="702"/>
    </row>
    <row r="180" spans="1:17" ht="14.45" customHeight="1" x14ac:dyDescent="0.2">
      <c r="A180" s="696" t="s">
        <v>537</v>
      </c>
      <c r="B180" s="697" t="s">
        <v>2898</v>
      </c>
      <c r="C180" s="697" t="s">
        <v>3196</v>
      </c>
      <c r="D180" s="697" t="s">
        <v>3224</v>
      </c>
      <c r="E180" s="697" t="s">
        <v>3225</v>
      </c>
      <c r="F180" s="701">
        <v>2.1</v>
      </c>
      <c r="G180" s="701">
        <v>827.4899999999999</v>
      </c>
      <c r="H180" s="701"/>
      <c r="I180" s="701">
        <v>394.04285714285709</v>
      </c>
      <c r="J180" s="701"/>
      <c r="K180" s="701"/>
      <c r="L180" s="701"/>
      <c r="M180" s="701"/>
      <c r="N180" s="701"/>
      <c r="O180" s="701"/>
      <c r="P180" s="726"/>
      <c r="Q180" s="702"/>
    </row>
    <row r="181" spans="1:17" ht="14.45" customHeight="1" x14ac:dyDescent="0.2">
      <c r="A181" s="696" t="s">
        <v>537</v>
      </c>
      <c r="B181" s="697" t="s">
        <v>2898</v>
      </c>
      <c r="C181" s="697" t="s">
        <v>3196</v>
      </c>
      <c r="D181" s="697" t="s">
        <v>3226</v>
      </c>
      <c r="E181" s="697" t="s">
        <v>3227</v>
      </c>
      <c r="F181" s="701">
        <v>14.250000000000002</v>
      </c>
      <c r="G181" s="701">
        <v>840.7600000000001</v>
      </c>
      <c r="H181" s="701"/>
      <c r="I181" s="701">
        <v>59.000701754385965</v>
      </c>
      <c r="J181" s="701">
        <v>0.7</v>
      </c>
      <c r="K181" s="701">
        <v>41.08</v>
      </c>
      <c r="L181" s="701"/>
      <c r="M181" s="701">
        <v>58.68571428571429</v>
      </c>
      <c r="N181" s="701">
        <v>5.4</v>
      </c>
      <c r="O181" s="701">
        <v>316.82</v>
      </c>
      <c r="P181" s="726"/>
      <c r="Q181" s="702">
        <v>58.670370370370364</v>
      </c>
    </row>
    <row r="182" spans="1:17" ht="14.45" customHeight="1" x14ac:dyDescent="0.2">
      <c r="A182" s="696" t="s">
        <v>537</v>
      </c>
      <c r="B182" s="697" t="s">
        <v>2898</v>
      </c>
      <c r="C182" s="697" t="s">
        <v>3196</v>
      </c>
      <c r="D182" s="697" t="s">
        <v>3228</v>
      </c>
      <c r="E182" s="697" t="s">
        <v>3229</v>
      </c>
      <c r="F182" s="701">
        <v>17.700000000000003</v>
      </c>
      <c r="G182" s="701">
        <v>12137.73</v>
      </c>
      <c r="H182" s="701"/>
      <c r="I182" s="701">
        <v>685.74745762711848</v>
      </c>
      <c r="J182" s="701">
        <v>12.52</v>
      </c>
      <c r="K182" s="701">
        <v>9022.16</v>
      </c>
      <c r="L182" s="701"/>
      <c r="M182" s="701">
        <v>720.61980830670927</v>
      </c>
      <c r="N182" s="701">
        <v>11.1</v>
      </c>
      <c r="O182" s="701">
        <v>8083.5999999999985</v>
      </c>
      <c r="P182" s="726"/>
      <c r="Q182" s="702">
        <v>728.25225225225211</v>
      </c>
    </row>
    <row r="183" spans="1:17" ht="14.45" customHeight="1" x14ac:dyDescent="0.2">
      <c r="A183" s="696" t="s">
        <v>537</v>
      </c>
      <c r="B183" s="697" t="s">
        <v>2898</v>
      </c>
      <c r="C183" s="697" t="s">
        <v>3196</v>
      </c>
      <c r="D183" s="697" t="s">
        <v>3230</v>
      </c>
      <c r="E183" s="697" t="s">
        <v>3229</v>
      </c>
      <c r="F183" s="701"/>
      <c r="G183" s="701"/>
      <c r="H183" s="701"/>
      <c r="I183" s="701"/>
      <c r="J183" s="701">
        <v>4.3</v>
      </c>
      <c r="K183" s="701">
        <v>1430.06</v>
      </c>
      <c r="L183" s="701"/>
      <c r="M183" s="701">
        <v>332.57209302325583</v>
      </c>
      <c r="N183" s="701">
        <v>1</v>
      </c>
      <c r="O183" s="701">
        <v>330</v>
      </c>
      <c r="P183" s="726"/>
      <c r="Q183" s="702">
        <v>330</v>
      </c>
    </row>
    <row r="184" spans="1:17" ht="14.45" customHeight="1" x14ac:dyDescent="0.2">
      <c r="A184" s="696" t="s">
        <v>537</v>
      </c>
      <c r="B184" s="697" t="s">
        <v>2898</v>
      </c>
      <c r="C184" s="697" t="s">
        <v>3196</v>
      </c>
      <c r="D184" s="697" t="s">
        <v>3231</v>
      </c>
      <c r="E184" s="697" t="s">
        <v>3232</v>
      </c>
      <c r="F184" s="701">
        <v>1.6</v>
      </c>
      <c r="G184" s="701">
        <v>598.4</v>
      </c>
      <c r="H184" s="701"/>
      <c r="I184" s="701">
        <v>373.99999999999994</v>
      </c>
      <c r="J184" s="701"/>
      <c r="K184" s="701"/>
      <c r="L184" s="701"/>
      <c r="M184" s="701"/>
      <c r="N184" s="701"/>
      <c r="O184" s="701"/>
      <c r="P184" s="726"/>
      <c r="Q184" s="702"/>
    </row>
    <row r="185" spans="1:17" ht="14.45" customHeight="1" x14ac:dyDescent="0.2">
      <c r="A185" s="696" t="s">
        <v>537</v>
      </c>
      <c r="B185" s="697" t="s">
        <v>2898</v>
      </c>
      <c r="C185" s="697" t="s">
        <v>3196</v>
      </c>
      <c r="D185" s="697" t="s">
        <v>3233</v>
      </c>
      <c r="E185" s="697" t="s">
        <v>3234</v>
      </c>
      <c r="F185" s="701">
        <v>30</v>
      </c>
      <c r="G185" s="701">
        <v>38620.800000000003</v>
      </c>
      <c r="H185" s="701"/>
      <c r="I185" s="701">
        <v>1287.3600000000001</v>
      </c>
      <c r="J185" s="701"/>
      <c r="K185" s="701"/>
      <c r="L185" s="701"/>
      <c r="M185" s="701"/>
      <c r="N185" s="701"/>
      <c r="O185" s="701"/>
      <c r="P185" s="726"/>
      <c r="Q185" s="702"/>
    </row>
    <row r="186" spans="1:17" ht="14.45" customHeight="1" x14ac:dyDescent="0.2">
      <c r="A186" s="696" t="s">
        <v>537</v>
      </c>
      <c r="B186" s="697" t="s">
        <v>2898</v>
      </c>
      <c r="C186" s="697" t="s">
        <v>3196</v>
      </c>
      <c r="D186" s="697" t="s">
        <v>3235</v>
      </c>
      <c r="E186" s="697"/>
      <c r="F186" s="701">
        <v>8</v>
      </c>
      <c r="G186" s="701">
        <v>13054.91</v>
      </c>
      <c r="H186" s="701"/>
      <c r="I186" s="701">
        <v>1631.86375</v>
      </c>
      <c r="J186" s="701">
        <v>4.2</v>
      </c>
      <c r="K186" s="701">
        <v>6853.84</v>
      </c>
      <c r="L186" s="701"/>
      <c r="M186" s="701">
        <v>1631.8666666666666</v>
      </c>
      <c r="N186" s="701"/>
      <c r="O186" s="701"/>
      <c r="P186" s="726"/>
      <c r="Q186" s="702"/>
    </row>
    <row r="187" spans="1:17" ht="14.45" customHeight="1" x14ac:dyDescent="0.2">
      <c r="A187" s="696" t="s">
        <v>537</v>
      </c>
      <c r="B187" s="697" t="s">
        <v>2898</v>
      </c>
      <c r="C187" s="697" t="s">
        <v>3196</v>
      </c>
      <c r="D187" s="697" t="s">
        <v>3235</v>
      </c>
      <c r="E187" s="697" t="s">
        <v>3236</v>
      </c>
      <c r="F187" s="701">
        <v>2</v>
      </c>
      <c r="G187" s="701">
        <v>3263.74</v>
      </c>
      <c r="H187" s="701"/>
      <c r="I187" s="701">
        <v>1631.87</v>
      </c>
      <c r="J187" s="701"/>
      <c r="K187" s="701"/>
      <c r="L187" s="701"/>
      <c r="M187" s="701"/>
      <c r="N187" s="701"/>
      <c r="O187" s="701"/>
      <c r="P187" s="726"/>
      <c r="Q187" s="702"/>
    </row>
    <row r="188" spans="1:17" ht="14.45" customHeight="1" x14ac:dyDescent="0.2">
      <c r="A188" s="696" t="s">
        <v>537</v>
      </c>
      <c r="B188" s="697" t="s">
        <v>2898</v>
      </c>
      <c r="C188" s="697" t="s">
        <v>3196</v>
      </c>
      <c r="D188" s="697" t="s">
        <v>3237</v>
      </c>
      <c r="E188" s="697" t="s">
        <v>1812</v>
      </c>
      <c r="F188" s="701">
        <v>1.5</v>
      </c>
      <c r="G188" s="701">
        <v>342.15999999999997</v>
      </c>
      <c r="H188" s="701"/>
      <c r="I188" s="701">
        <v>228.10666666666665</v>
      </c>
      <c r="J188" s="701">
        <v>1.3</v>
      </c>
      <c r="K188" s="701">
        <v>443.3</v>
      </c>
      <c r="L188" s="701"/>
      <c r="M188" s="701">
        <v>341</v>
      </c>
      <c r="N188" s="701"/>
      <c r="O188" s="701"/>
      <c r="P188" s="726"/>
      <c r="Q188" s="702"/>
    </row>
    <row r="189" spans="1:17" ht="14.45" customHeight="1" x14ac:dyDescent="0.2">
      <c r="A189" s="696" t="s">
        <v>537</v>
      </c>
      <c r="B189" s="697" t="s">
        <v>2898</v>
      </c>
      <c r="C189" s="697" t="s">
        <v>3196</v>
      </c>
      <c r="D189" s="697" t="s">
        <v>3238</v>
      </c>
      <c r="E189" s="697" t="s">
        <v>1812</v>
      </c>
      <c r="F189" s="701">
        <v>29.900000000000002</v>
      </c>
      <c r="G189" s="701">
        <v>14101.609999999999</v>
      </c>
      <c r="H189" s="701"/>
      <c r="I189" s="701">
        <v>471.62575250836113</v>
      </c>
      <c r="J189" s="701">
        <v>21.6</v>
      </c>
      <c r="K189" s="701">
        <v>14760.25</v>
      </c>
      <c r="L189" s="701"/>
      <c r="M189" s="701">
        <v>683.34490740740739</v>
      </c>
      <c r="N189" s="701">
        <v>20.2</v>
      </c>
      <c r="O189" s="701">
        <v>13446.199999999999</v>
      </c>
      <c r="P189" s="726"/>
      <c r="Q189" s="702">
        <v>665.65346534653463</v>
      </c>
    </row>
    <row r="190" spans="1:17" ht="14.45" customHeight="1" x14ac:dyDescent="0.2">
      <c r="A190" s="696" t="s">
        <v>537</v>
      </c>
      <c r="B190" s="697" t="s">
        <v>2898</v>
      </c>
      <c r="C190" s="697" t="s">
        <v>3196</v>
      </c>
      <c r="D190" s="697" t="s">
        <v>3239</v>
      </c>
      <c r="E190" s="697" t="s">
        <v>1839</v>
      </c>
      <c r="F190" s="701">
        <v>69.7</v>
      </c>
      <c r="G190" s="701">
        <v>16491.04</v>
      </c>
      <c r="H190" s="701"/>
      <c r="I190" s="701">
        <v>236.60028694404591</v>
      </c>
      <c r="J190" s="701">
        <v>106.40000000000002</v>
      </c>
      <c r="K190" s="701">
        <v>34842.929999999993</v>
      </c>
      <c r="L190" s="701"/>
      <c r="M190" s="701">
        <v>327.4711466165412</v>
      </c>
      <c r="N190" s="701">
        <v>76.899999999999991</v>
      </c>
      <c r="O190" s="701">
        <v>24531.1</v>
      </c>
      <c r="P190" s="726"/>
      <c r="Q190" s="702">
        <v>319</v>
      </c>
    </row>
    <row r="191" spans="1:17" ht="14.45" customHeight="1" x14ac:dyDescent="0.2">
      <c r="A191" s="696" t="s">
        <v>537</v>
      </c>
      <c r="B191" s="697" t="s">
        <v>2898</v>
      </c>
      <c r="C191" s="697" t="s">
        <v>3196</v>
      </c>
      <c r="D191" s="697" t="s">
        <v>3240</v>
      </c>
      <c r="E191" s="697" t="s">
        <v>1819</v>
      </c>
      <c r="F191" s="701">
        <v>88.1</v>
      </c>
      <c r="G191" s="701">
        <v>4661.57</v>
      </c>
      <c r="H191" s="701"/>
      <c r="I191" s="701">
        <v>52.912258796821796</v>
      </c>
      <c r="J191" s="701">
        <v>70.28</v>
      </c>
      <c r="K191" s="701">
        <v>3717.1000000000004</v>
      </c>
      <c r="L191" s="701"/>
      <c r="M191" s="701">
        <v>52.889869095048383</v>
      </c>
      <c r="N191" s="701">
        <v>74</v>
      </c>
      <c r="O191" s="701">
        <v>3913.12</v>
      </c>
      <c r="P191" s="726"/>
      <c r="Q191" s="702">
        <v>52.879999999999995</v>
      </c>
    </row>
    <row r="192" spans="1:17" ht="14.45" customHeight="1" x14ac:dyDescent="0.2">
      <c r="A192" s="696" t="s">
        <v>537</v>
      </c>
      <c r="B192" s="697" t="s">
        <v>2898</v>
      </c>
      <c r="C192" s="697" t="s">
        <v>3196</v>
      </c>
      <c r="D192" s="697" t="s">
        <v>3241</v>
      </c>
      <c r="E192" s="697" t="s">
        <v>1873</v>
      </c>
      <c r="F192" s="701">
        <v>1</v>
      </c>
      <c r="G192" s="701">
        <v>576.72</v>
      </c>
      <c r="H192" s="701"/>
      <c r="I192" s="701">
        <v>576.72</v>
      </c>
      <c r="J192" s="701"/>
      <c r="K192" s="701"/>
      <c r="L192" s="701"/>
      <c r="M192" s="701"/>
      <c r="N192" s="701"/>
      <c r="O192" s="701"/>
      <c r="P192" s="726"/>
      <c r="Q192" s="702"/>
    </row>
    <row r="193" spans="1:17" ht="14.45" customHeight="1" x14ac:dyDescent="0.2">
      <c r="A193" s="696" t="s">
        <v>537</v>
      </c>
      <c r="B193" s="697" t="s">
        <v>2898</v>
      </c>
      <c r="C193" s="697" t="s">
        <v>3196</v>
      </c>
      <c r="D193" s="697" t="s">
        <v>3242</v>
      </c>
      <c r="E193" s="697" t="s">
        <v>1853</v>
      </c>
      <c r="F193" s="701">
        <v>71</v>
      </c>
      <c r="G193" s="701">
        <v>257730</v>
      </c>
      <c r="H193" s="701"/>
      <c r="I193" s="701">
        <v>3630</v>
      </c>
      <c r="J193" s="701">
        <v>141.1</v>
      </c>
      <c r="K193" s="701">
        <v>512193</v>
      </c>
      <c r="L193" s="701"/>
      <c r="M193" s="701">
        <v>3630</v>
      </c>
      <c r="N193" s="701">
        <v>55</v>
      </c>
      <c r="O193" s="701">
        <v>199650</v>
      </c>
      <c r="P193" s="726"/>
      <c r="Q193" s="702">
        <v>3630</v>
      </c>
    </row>
    <row r="194" spans="1:17" ht="14.45" customHeight="1" x14ac:dyDescent="0.2">
      <c r="A194" s="696" t="s">
        <v>537</v>
      </c>
      <c r="B194" s="697" t="s">
        <v>2898</v>
      </c>
      <c r="C194" s="697" t="s">
        <v>3196</v>
      </c>
      <c r="D194" s="697" t="s">
        <v>3243</v>
      </c>
      <c r="E194" s="697" t="s">
        <v>1425</v>
      </c>
      <c r="F194" s="701">
        <v>6</v>
      </c>
      <c r="G194" s="701">
        <v>17763.900000000001</v>
      </c>
      <c r="H194" s="701"/>
      <c r="I194" s="701">
        <v>2960.65</v>
      </c>
      <c r="J194" s="701"/>
      <c r="K194" s="701"/>
      <c r="L194" s="701"/>
      <c r="M194" s="701"/>
      <c r="N194" s="701"/>
      <c r="O194" s="701"/>
      <c r="P194" s="726"/>
      <c r="Q194" s="702"/>
    </row>
    <row r="195" spans="1:17" ht="14.45" customHeight="1" x14ac:dyDescent="0.2">
      <c r="A195" s="696" t="s">
        <v>537</v>
      </c>
      <c r="B195" s="697" t="s">
        <v>2898</v>
      </c>
      <c r="C195" s="697" t="s">
        <v>3196</v>
      </c>
      <c r="D195" s="697" t="s">
        <v>3244</v>
      </c>
      <c r="E195" s="697" t="s">
        <v>1839</v>
      </c>
      <c r="F195" s="701">
        <v>11.200000000000001</v>
      </c>
      <c r="G195" s="701">
        <v>4661.869999999999</v>
      </c>
      <c r="H195" s="701"/>
      <c r="I195" s="701">
        <v>416.23839285714274</v>
      </c>
      <c r="J195" s="701">
        <v>22.999999999999996</v>
      </c>
      <c r="K195" s="701">
        <v>14987.100000000004</v>
      </c>
      <c r="L195" s="701"/>
      <c r="M195" s="701">
        <v>651.61304347826115</v>
      </c>
      <c r="N195" s="701">
        <v>18.52</v>
      </c>
      <c r="O195" s="701">
        <v>11815.759999999997</v>
      </c>
      <c r="P195" s="726"/>
      <c r="Q195" s="702">
        <v>637.99999999999989</v>
      </c>
    </row>
    <row r="196" spans="1:17" ht="14.45" customHeight="1" x14ac:dyDescent="0.2">
      <c r="A196" s="696" t="s">
        <v>537</v>
      </c>
      <c r="B196" s="697" t="s">
        <v>2898</v>
      </c>
      <c r="C196" s="697" t="s">
        <v>3196</v>
      </c>
      <c r="D196" s="697" t="s">
        <v>3245</v>
      </c>
      <c r="E196" s="697" t="s">
        <v>1777</v>
      </c>
      <c r="F196" s="701">
        <v>46.699999999999996</v>
      </c>
      <c r="G196" s="701">
        <v>19131.169999999998</v>
      </c>
      <c r="H196" s="701"/>
      <c r="I196" s="701">
        <v>409.6610278372591</v>
      </c>
      <c r="J196" s="701">
        <v>105.00000000000003</v>
      </c>
      <c r="K196" s="701">
        <v>51108.639999999992</v>
      </c>
      <c r="L196" s="701"/>
      <c r="M196" s="701">
        <v>486.74895238095218</v>
      </c>
      <c r="N196" s="701">
        <v>55.500000000000014</v>
      </c>
      <c r="O196" s="701">
        <v>29305.520000000004</v>
      </c>
      <c r="P196" s="726"/>
      <c r="Q196" s="702">
        <v>528.02738738738731</v>
      </c>
    </row>
    <row r="197" spans="1:17" ht="14.45" customHeight="1" x14ac:dyDescent="0.2">
      <c r="A197" s="696" t="s">
        <v>537</v>
      </c>
      <c r="B197" s="697" t="s">
        <v>2898</v>
      </c>
      <c r="C197" s="697" t="s">
        <v>3196</v>
      </c>
      <c r="D197" s="697" t="s">
        <v>3246</v>
      </c>
      <c r="E197" s="697" t="s">
        <v>3247</v>
      </c>
      <c r="F197" s="701">
        <v>178.2</v>
      </c>
      <c r="G197" s="701">
        <v>5955.29</v>
      </c>
      <c r="H197" s="701"/>
      <c r="I197" s="701">
        <v>33.419135802469135</v>
      </c>
      <c r="J197" s="701">
        <v>62</v>
      </c>
      <c r="K197" s="701">
        <v>1827.1399999999999</v>
      </c>
      <c r="L197" s="701"/>
      <c r="M197" s="701">
        <v>29.47</v>
      </c>
      <c r="N197" s="701"/>
      <c r="O197" s="701"/>
      <c r="P197" s="726"/>
      <c r="Q197" s="702"/>
    </row>
    <row r="198" spans="1:17" ht="14.45" customHeight="1" x14ac:dyDescent="0.2">
      <c r="A198" s="696" t="s">
        <v>537</v>
      </c>
      <c r="B198" s="697" t="s">
        <v>2898</v>
      </c>
      <c r="C198" s="697" t="s">
        <v>3196</v>
      </c>
      <c r="D198" s="697" t="s">
        <v>3248</v>
      </c>
      <c r="E198" s="697"/>
      <c r="F198" s="701">
        <v>1.3</v>
      </c>
      <c r="G198" s="701">
        <v>12977.55</v>
      </c>
      <c r="H198" s="701"/>
      <c r="I198" s="701">
        <v>9982.7307692307677</v>
      </c>
      <c r="J198" s="701"/>
      <c r="K198" s="701"/>
      <c r="L198" s="701"/>
      <c r="M198" s="701"/>
      <c r="N198" s="701"/>
      <c r="O198" s="701"/>
      <c r="P198" s="726"/>
      <c r="Q198" s="702"/>
    </row>
    <row r="199" spans="1:17" ht="14.45" customHeight="1" x14ac:dyDescent="0.2">
      <c r="A199" s="696" t="s">
        <v>537</v>
      </c>
      <c r="B199" s="697" t="s">
        <v>2898</v>
      </c>
      <c r="C199" s="697" t="s">
        <v>3196</v>
      </c>
      <c r="D199" s="697" t="s">
        <v>3248</v>
      </c>
      <c r="E199" s="697" t="s">
        <v>3249</v>
      </c>
      <c r="F199" s="701">
        <v>0.9</v>
      </c>
      <c r="G199" s="701">
        <v>8980.02</v>
      </c>
      <c r="H199" s="701"/>
      <c r="I199" s="701">
        <v>9977.8000000000011</v>
      </c>
      <c r="J199" s="701"/>
      <c r="K199" s="701"/>
      <c r="L199" s="701"/>
      <c r="M199" s="701"/>
      <c r="N199" s="701"/>
      <c r="O199" s="701"/>
      <c r="P199" s="726"/>
      <c r="Q199" s="702"/>
    </row>
    <row r="200" spans="1:17" ht="14.45" customHeight="1" x14ac:dyDescent="0.2">
      <c r="A200" s="696" t="s">
        <v>537</v>
      </c>
      <c r="B200" s="697" t="s">
        <v>2898</v>
      </c>
      <c r="C200" s="697" t="s">
        <v>3196</v>
      </c>
      <c r="D200" s="697" t="s">
        <v>3250</v>
      </c>
      <c r="E200" s="697" t="s">
        <v>1781</v>
      </c>
      <c r="F200" s="701"/>
      <c r="G200" s="701"/>
      <c r="H200" s="701"/>
      <c r="I200" s="701"/>
      <c r="J200" s="701">
        <v>42.199999999999989</v>
      </c>
      <c r="K200" s="701">
        <v>17588.259999999998</v>
      </c>
      <c r="L200" s="701"/>
      <c r="M200" s="701">
        <v>416.78341232227496</v>
      </c>
      <c r="N200" s="701">
        <v>82.850000000000037</v>
      </c>
      <c r="O200" s="701">
        <v>34382.829999999994</v>
      </c>
      <c r="P200" s="726"/>
      <c r="Q200" s="702">
        <v>415.00096560048257</v>
      </c>
    </row>
    <row r="201" spans="1:17" ht="14.45" customHeight="1" x14ac:dyDescent="0.2">
      <c r="A201" s="696" t="s">
        <v>537</v>
      </c>
      <c r="B201" s="697" t="s">
        <v>2898</v>
      </c>
      <c r="C201" s="697" t="s">
        <v>3196</v>
      </c>
      <c r="D201" s="697" t="s">
        <v>3251</v>
      </c>
      <c r="E201" s="697" t="s">
        <v>1789</v>
      </c>
      <c r="F201" s="701">
        <v>0.4</v>
      </c>
      <c r="G201" s="701">
        <v>57.47</v>
      </c>
      <c r="H201" s="701"/>
      <c r="I201" s="701">
        <v>143.67499999999998</v>
      </c>
      <c r="J201" s="701">
        <v>1</v>
      </c>
      <c r="K201" s="701">
        <v>140.04</v>
      </c>
      <c r="L201" s="701"/>
      <c r="M201" s="701">
        <v>140.04</v>
      </c>
      <c r="N201" s="701"/>
      <c r="O201" s="701"/>
      <c r="P201" s="726"/>
      <c r="Q201" s="702"/>
    </row>
    <row r="202" spans="1:17" ht="14.45" customHeight="1" x14ac:dyDescent="0.2">
      <c r="A202" s="696" t="s">
        <v>537</v>
      </c>
      <c r="B202" s="697" t="s">
        <v>2898</v>
      </c>
      <c r="C202" s="697" t="s">
        <v>3196</v>
      </c>
      <c r="D202" s="697" t="s">
        <v>3252</v>
      </c>
      <c r="E202" s="697" t="s">
        <v>1785</v>
      </c>
      <c r="F202" s="701">
        <v>129.38999999999999</v>
      </c>
      <c r="G202" s="701">
        <v>59503.439999999981</v>
      </c>
      <c r="H202" s="701"/>
      <c r="I202" s="701">
        <v>459.87665198237875</v>
      </c>
      <c r="J202" s="701">
        <v>174.63000000000005</v>
      </c>
      <c r="K202" s="701">
        <v>269409.99999999994</v>
      </c>
      <c r="L202" s="701"/>
      <c r="M202" s="701">
        <v>1542.7475233350503</v>
      </c>
      <c r="N202" s="701">
        <v>169.65999999999997</v>
      </c>
      <c r="O202" s="701">
        <v>126949.94000000002</v>
      </c>
      <c r="P202" s="726"/>
      <c r="Q202" s="702">
        <v>748.26087469055778</v>
      </c>
    </row>
    <row r="203" spans="1:17" ht="14.45" customHeight="1" x14ac:dyDescent="0.2">
      <c r="A203" s="696" t="s">
        <v>537</v>
      </c>
      <c r="B203" s="697" t="s">
        <v>2898</v>
      </c>
      <c r="C203" s="697" t="s">
        <v>3196</v>
      </c>
      <c r="D203" s="697" t="s">
        <v>3253</v>
      </c>
      <c r="E203" s="697" t="s">
        <v>1857</v>
      </c>
      <c r="F203" s="701"/>
      <c r="G203" s="701"/>
      <c r="H203" s="701"/>
      <c r="I203" s="701"/>
      <c r="J203" s="701">
        <v>19</v>
      </c>
      <c r="K203" s="701">
        <v>21389.06</v>
      </c>
      <c r="L203" s="701"/>
      <c r="M203" s="701">
        <v>1125.74</v>
      </c>
      <c r="N203" s="701">
        <v>12</v>
      </c>
      <c r="O203" s="701">
        <v>13143</v>
      </c>
      <c r="P203" s="726"/>
      <c r="Q203" s="702">
        <v>1095.25</v>
      </c>
    </row>
    <row r="204" spans="1:17" ht="14.45" customHeight="1" x14ac:dyDescent="0.2">
      <c r="A204" s="696" t="s">
        <v>537</v>
      </c>
      <c r="B204" s="697" t="s">
        <v>2898</v>
      </c>
      <c r="C204" s="697" t="s">
        <v>3196</v>
      </c>
      <c r="D204" s="697" t="s">
        <v>3254</v>
      </c>
      <c r="E204" s="697" t="s">
        <v>3255</v>
      </c>
      <c r="F204" s="701">
        <v>10.549999999999999</v>
      </c>
      <c r="G204" s="701">
        <v>11820.359999999999</v>
      </c>
      <c r="H204" s="701"/>
      <c r="I204" s="701">
        <v>1120.4132701421802</v>
      </c>
      <c r="J204" s="701">
        <v>48.100000000000009</v>
      </c>
      <c r="K204" s="701">
        <v>47135.24</v>
      </c>
      <c r="L204" s="701"/>
      <c r="M204" s="701">
        <v>979.94261954261935</v>
      </c>
      <c r="N204" s="701"/>
      <c r="O204" s="701"/>
      <c r="P204" s="726"/>
      <c r="Q204" s="702"/>
    </row>
    <row r="205" spans="1:17" ht="14.45" customHeight="1" x14ac:dyDescent="0.2">
      <c r="A205" s="696" t="s">
        <v>537</v>
      </c>
      <c r="B205" s="697" t="s">
        <v>2898</v>
      </c>
      <c r="C205" s="697" t="s">
        <v>3196</v>
      </c>
      <c r="D205" s="697" t="s">
        <v>3256</v>
      </c>
      <c r="E205" s="697" t="s">
        <v>1800</v>
      </c>
      <c r="F205" s="701">
        <v>11.399999999999999</v>
      </c>
      <c r="G205" s="701">
        <v>1752.3700000000003</v>
      </c>
      <c r="H205" s="701"/>
      <c r="I205" s="701">
        <v>153.71666666666673</v>
      </c>
      <c r="J205" s="701">
        <v>13.500000000000002</v>
      </c>
      <c r="K205" s="701">
        <v>2059.94</v>
      </c>
      <c r="L205" s="701"/>
      <c r="M205" s="701">
        <v>152.58814814814812</v>
      </c>
      <c r="N205" s="701">
        <v>0.89999999999999991</v>
      </c>
      <c r="O205" s="701">
        <v>135.63</v>
      </c>
      <c r="P205" s="726"/>
      <c r="Q205" s="702">
        <v>150.70000000000002</v>
      </c>
    </row>
    <row r="206" spans="1:17" ht="14.45" customHeight="1" x14ac:dyDescent="0.2">
      <c r="A206" s="696" t="s">
        <v>537</v>
      </c>
      <c r="B206" s="697" t="s">
        <v>2898</v>
      </c>
      <c r="C206" s="697" t="s">
        <v>3196</v>
      </c>
      <c r="D206" s="697" t="s">
        <v>3257</v>
      </c>
      <c r="E206" s="697" t="s">
        <v>1800</v>
      </c>
      <c r="F206" s="701">
        <v>27.400000000000002</v>
      </c>
      <c r="G206" s="701">
        <v>7228.06</v>
      </c>
      <c r="H206" s="701"/>
      <c r="I206" s="701">
        <v>263.7978102189781</v>
      </c>
      <c r="J206" s="701">
        <v>32</v>
      </c>
      <c r="K206" s="701">
        <v>8609.0400000000009</v>
      </c>
      <c r="L206" s="701"/>
      <c r="M206" s="701">
        <v>269.03250000000003</v>
      </c>
      <c r="N206" s="701">
        <v>7.4999999999999991</v>
      </c>
      <c r="O206" s="701">
        <v>1980.0000000000002</v>
      </c>
      <c r="P206" s="726"/>
      <c r="Q206" s="702">
        <v>264.00000000000006</v>
      </c>
    </row>
    <row r="207" spans="1:17" ht="14.45" customHeight="1" x14ac:dyDescent="0.2">
      <c r="A207" s="696" t="s">
        <v>537</v>
      </c>
      <c r="B207" s="697" t="s">
        <v>2898</v>
      </c>
      <c r="C207" s="697" t="s">
        <v>3196</v>
      </c>
      <c r="D207" s="697" t="s">
        <v>3258</v>
      </c>
      <c r="E207" s="697" t="s">
        <v>1819</v>
      </c>
      <c r="F207" s="701">
        <v>21</v>
      </c>
      <c r="G207" s="701">
        <v>701.2</v>
      </c>
      <c r="H207" s="701"/>
      <c r="I207" s="701">
        <v>33.390476190476193</v>
      </c>
      <c r="J207" s="701">
        <v>10.25</v>
      </c>
      <c r="K207" s="701">
        <v>342.21000000000004</v>
      </c>
      <c r="L207" s="701"/>
      <c r="M207" s="701">
        <v>33.386341463414638</v>
      </c>
      <c r="N207" s="701">
        <v>37</v>
      </c>
      <c r="O207" s="701">
        <v>1235.43</v>
      </c>
      <c r="P207" s="726"/>
      <c r="Q207" s="702">
        <v>33.39</v>
      </c>
    </row>
    <row r="208" spans="1:17" ht="14.45" customHeight="1" x14ac:dyDescent="0.2">
      <c r="A208" s="696" t="s">
        <v>537</v>
      </c>
      <c r="B208" s="697" t="s">
        <v>2898</v>
      </c>
      <c r="C208" s="697" t="s">
        <v>3196</v>
      </c>
      <c r="D208" s="697" t="s">
        <v>3259</v>
      </c>
      <c r="E208" s="697" t="s">
        <v>3260</v>
      </c>
      <c r="F208" s="701">
        <v>25.700000000000003</v>
      </c>
      <c r="G208" s="701">
        <v>3444.66</v>
      </c>
      <c r="H208" s="701"/>
      <c r="I208" s="701">
        <v>134.03346303501942</v>
      </c>
      <c r="J208" s="701">
        <v>22.000000000000004</v>
      </c>
      <c r="K208" s="701">
        <v>3164.7400000000007</v>
      </c>
      <c r="L208" s="701"/>
      <c r="M208" s="701">
        <v>143.8518181818182</v>
      </c>
      <c r="N208" s="701">
        <v>32.099999999999994</v>
      </c>
      <c r="O208" s="701">
        <v>4134.4800000000014</v>
      </c>
      <c r="P208" s="726"/>
      <c r="Q208" s="702">
        <v>128.80000000000007</v>
      </c>
    </row>
    <row r="209" spans="1:17" ht="14.45" customHeight="1" x14ac:dyDescent="0.2">
      <c r="A209" s="696" t="s">
        <v>537</v>
      </c>
      <c r="B209" s="697" t="s">
        <v>2898</v>
      </c>
      <c r="C209" s="697" t="s">
        <v>3196</v>
      </c>
      <c r="D209" s="697" t="s">
        <v>3261</v>
      </c>
      <c r="E209" s="697"/>
      <c r="F209" s="701"/>
      <c r="G209" s="701"/>
      <c r="H209" s="701"/>
      <c r="I209" s="701"/>
      <c r="J209" s="701">
        <v>0.8</v>
      </c>
      <c r="K209" s="701">
        <v>1700.48</v>
      </c>
      <c r="L209" s="701"/>
      <c r="M209" s="701">
        <v>2125.6</v>
      </c>
      <c r="N209" s="701"/>
      <c r="O209" s="701"/>
      <c r="P209" s="726"/>
      <c r="Q209" s="702"/>
    </row>
    <row r="210" spans="1:17" ht="14.45" customHeight="1" x14ac:dyDescent="0.2">
      <c r="A210" s="696" t="s">
        <v>537</v>
      </c>
      <c r="B210" s="697" t="s">
        <v>2898</v>
      </c>
      <c r="C210" s="697" t="s">
        <v>3196</v>
      </c>
      <c r="D210" s="697" t="s">
        <v>3262</v>
      </c>
      <c r="E210" s="697" t="s">
        <v>3263</v>
      </c>
      <c r="F210" s="701"/>
      <c r="G210" s="701"/>
      <c r="H210" s="701"/>
      <c r="I210" s="701"/>
      <c r="J210" s="701">
        <v>111</v>
      </c>
      <c r="K210" s="701">
        <v>14532.119999999999</v>
      </c>
      <c r="L210" s="701"/>
      <c r="M210" s="701">
        <v>130.91999999999999</v>
      </c>
      <c r="N210" s="701"/>
      <c r="O210" s="701"/>
      <c r="P210" s="726"/>
      <c r="Q210" s="702"/>
    </row>
    <row r="211" spans="1:17" ht="14.45" customHeight="1" x14ac:dyDescent="0.2">
      <c r="A211" s="696" t="s">
        <v>537</v>
      </c>
      <c r="B211" s="697" t="s">
        <v>2898</v>
      </c>
      <c r="C211" s="697" t="s">
        <v>3196</v>
      </c>
      <c r="D211" s="697" t="s">
        <v>3264</v>
      </c>
      <c r="E211" s="697" t="s">
        <v>3265</v>
      </c>
      <c r="F211" s="701">
        <v>11.1</v>
      </c>
      <c r="G211" s="701">
        <v>7028.52</v>
      </c>
      <c r="H211" s="701"/>
      <c r="I211" s="701">
        <v>633.20000000000005</v>
      </c>
      <c r="J211" s="701">
        <v>3.2</v>
      </c>
      <c r="K211" s="701">
        <v>2220.1</v>
      </c>
      <c r="L211" s="701"/>
      <c r="M211" s="701">
        <v>693.78124999999989</v>
      </c>
      <c r="N211" s="701">
        <v>0.4</v>
      </c>
      <c r="O211" s="701">
        <v>315.94</v>
      </c>
      <c r="P211" s="726"/>
      <c r="Q211" s="702">
        <v>789.84999999999991</v>
      </c>
    </row>
    <row r="212" spans="1:17" ht="14.45" customHeight="1" x14ac:dyDescent="0.2">
      <c r="A212" s="696" t="s">
        <v>537</v>
      </c>
      <c r="B212" s="697" t="s">
        <v>2898</v>
      </c>
      <c r="C212" s="697" t="s">
        <v>3196</v>
      </c>
      <c r="D212" s="697" t="s">
        <v>3266</v>
      </c>
      <c r="E212" s="697" t="s">
        <v>3267</v>
      </c>
      <c r="F212" s="701">
        <v>63.100000000000016</v>
      </c>
      <c r="G212" s="701">
        <v>79039.839999999997</v>
      </c>
      <c r="H212" s="701"/>
      <c r="I212" s="701">
        <v>1252.61236133122</v>
      </c>
      <c r="J212" s="701"/>
      <c r="K212" s="701"/>
      <c r="L212" s="701"/>
      <c r="M212" s="701"/>
      <c r="N212" s="701"/>
      <c r="O212" s="701"/>
      <c r="P212" s="726"/>
      <c r="Q212" s="702"/>
    </row>
    <row r="213" spans="1:17" ht="14.45" customHeight="1" x14ac:dyDescent="0.2">
      <c r="A213" s="696" t="s">
        <v>537</v>
      </c>
      <c r="B213" s="697" t="s">
        <v>2898</v>
      </c>
      <c r="C213" s="697" t="s">
        <v>3196</v>
      </c>
      <c r="D213" s="697" t="s">
        <v>3268</v>
      </c>
      <c r="E213" s="697" t="s">
        <v>3269</v>
      </c>
      <c r="F213" s="701"/>
      <c r="G213" s="701"/>
      <c r="H213" s="701"/>
      <c r="I213" s="701"/>
      <c r="J213" s="701">
        <v>1.8</v>
      </c>
      <c r="K213" s="701">
        <v>1664.73</v>
      </c>
      <c r="L213" s="701"/>
      <c r="M213" s="701">
        <v>924.85</v>
      </c>
      <c r="N213" s="701"/>
      <c r="O213" s="701"/>
      <c r="P213" s="726"/>
      <c r="Q213" s="702"/>
    </row>
    <row r="214" spans="1:17" ht="14.45" customHeight="1" x14ac:dyDescent="0.2">
      <c r="A214" s="696" t="s">
        <v>537</v>
      </c>
      <c r="B214" s="697" t="s">
        <v>2898</v>
      </c>
      <c r="C214" s="697" t="s">
        <v>3196</v>
      </c>
      <c r="D214" s="697" t="s">
        <v>3270</v>
      </c>
      <c r="E214" s="697" t="s">
        <v>1433</v>
      </c>
      <c r="F214" s="701">
        <v>1</v>
      </c>
      <c r="G214" s="701">
        <v>9276.36</v>
      </c>
      <c r="H214" s="701"/>
      <c r="I214" s="701">
        <v>9276.36</v>
      </c>
      <c r="J214" s="701"/>
      <c r="K214" s="701"/>
      <c r="L214" s="701"/>
      <c r="M214" s="701"/>
      <c r="N214" s="701"/>
      <c r="O214" s="701"/>
      <c r="P214" s="726"/>
      <c r="Q214" s="702"/>
    </row>
    <row r="215" spans="1:17" ht="14.45" customHeight="1" x14ac:dyDescent="0.2">
      <c r="A215" s="696" t="s">
        <v>537</v>
      </c>
      <c r="B215" s="697" t="s">
        <v>2898</v>
      </c>
      <c r="C215" s="697" t="s">
        <v>3196</v>
      </c>
      <c r="D215" s="697" t="s">
        <v>3271</v>
      </c>
      <c r="E215" s="697" t="s">
        <v>3272</v>
      </c>
      <c r="F215" s="701"/>
      <c r="G215" s="701"/>
      <c r="H215" s="701"/>
      <c r="I215" s="701"/>
      <c r="J215" s="701">
        <v>0.3</v>
      </c>
      <c r="K215" s="701">
        <v>6483.09</v>
      </c>
      <c r="L215" s="701"/>
      <c r="M215" s="701">
        <v>21610.300000000003</v>
      </c>
      <c r="N215" s="701"/>
      <c r="O215" s="701"/>
      <c r="P215" s="726"/>
      <c r="Q215" s="702"/>
    </row>
    <row r="216" spans="1:17" ht="14.45" customHeight="1" x14ac:dyDescent="0.2">
      <c r="A216" s="696" t="s">
        <v>537</v>
      </c>
      <c r="B216" s="697" t="s">
        <v>2898</v>
      </c>
      <c r="C216" s="697" t="s">
        <v>3196</v>
      </c>
      <c r="D216" s="697" t="s">
        <v>3273</v>
      </c>
      <c r="E216" s="697" t="s">
        <v>3274</v>
      </c>
      <c r="F216" s="701">
        <v>45</v>
      </c>
      <c r="G216" s="701">
        <v>12490.869999999999</v>
      </c>
      <c r="H216" s="701"/>
      <c r="I216" s="701">
        <v>277.57488888888889</v>
      </c>
      <c r="J216" s="701"/>
      <c r="K216" s="701"/>
      <c r="L216" s="701"/>
      <c r="M216" s="701"/>
      <c r="N216" s="701"/>
      <c r="O216" s="701"/>
      <c r="P216" s="726"/>
      <c r="Q216" s="702"/>
    </row>
    <row r="217" spans="1:17" ht="14.45" customHeight="1" x14ac:dyDescent="0.2">
      <c r="A217" s="696" t="s">
        <v>537</v>
      </c>
      <c r="B217" s="697" t="s">
        <v>2898</v>
      </c>
      <c r="C217" s="697" t="s">
        <v>3196</v>
      </c>
      <c r="D217" s="697" t="s">
        <v>3275</v>
      </c>
      <c r="E217" s="697" t="s">
        <v>1436</v>
      </c>
      <c r="F217" s="701"/>
      <c r="G217" s="701"/>
      <c r="H217" s="701"/>
      <c r="I217" s="701"/>
      <c r="J217" s="701"/>
      <c r="K217" s="701"/>
      <c r="L217" s="701"/>
      <c r="M217" s="701"/>
      <c r="N217" s="701">
        <v>1</v>
      </c>
      <c r="O217" s="701">
        <v>2235</v>
      </c>
      <c r="P217" s="726"/>
      <c r="Q217" s="702">
        <v>2235</v>
      </c>
    </row>
    <row r="218" spans="1:17" ht="14.45" customHeight="1" x14ac:dyDescent="0.2">
      <c r="A218" s="696" t="s">
        <v>537</v>
      </c>
      <c r="B218" s="697" t="s">
        <v>2898</v>
      </c>
      <c r="C218" s="697" t="s">
        <v>3196</v>
      </c>
      <c r="D218" s="697" t="s">
        <v>3276</v>
      </c>
      <c r="E218" s="697" t="s">
        <v>1517</v>
      </c>
      <c r="F218" s="701"/>
      <c r="G218" s="701"/>
      <c r="H218" s="701"/>
      <c r="I218" s="701"/>
      <c r="J218" s="701">
        <v>6</v>
      </c>
      <c r="K218" s="701">
        <v>353.58</v>
      </c>
      <c r="L218" s="701"/>
      <c r="M218" s="701">
        <v>58.93</v>
      </c>
      <c r="N218" s="701"/>
      <c r="O218" s="701"/>
      <c r="P218" s="726"/>
      <c r="Q218" s="702"/>
    </row>
    <row r="219" spans="1:17" ht="14.45" customHeight="1" x14ac:dyDescent="0.2">
      <c r="A219" s="696" t="s">
        <v>537</v>
      </c>
      <c r="B219" s="697" t="s">
        <v>2898</v>
      </c>
      <c r="C219" s="697" t="s">
        <v>3196</v>
      </c>
      <c r="D219" s="697" t="s">
        <v>3277</v>
      </c>
      <c r="E219" s="697"/>
      <c r="F219" s="701">
        <v>0.55000000000000004</v>
      </c>
      <c r="G219" s="701">
        <v>15931.03</v>
      </c>
      <c r="H219" s="701"/>
      <c r="I219" s="701">
        <v>28965.50909090909</v>
      </c>
      <c r="J219" s="701"/>
      <c r="K219" s="701"/>
      <c r="L219" s="701"/>
      <c r="M219" s="701"/>
      <c r="N219" s="701"/>
      <c r="O219" s="701"/>
      <c r="P219" s="726"/>
      <c r="Q219" s="702"/>
    </row>
    <row r="220" spans="1:17" ht="14.45" customHeight="1" x14ac:dyDescent="0.2">
      <c r="A220" s="696" t="s">
        <v>537</v>
      </c>
      <c r="B220" s="697" t="s">
        <v>2898</v>
      </c>
      <c r="C220" s="697" t="s">
        <v>3196</v>
      </c>
      <c r="D220" s="697" t="s">
        <v>3278</v>
      </c>
      <c r="E220" s="697" t="s">
        <v>3279</v>
      </c>
      <c r="F220" s="701">
        <v>0.1</v>
      </c>
      <c r="G220" s="701">
        <v>163.95</v>
      </c>
      <c r="H220" s="701"/>
      <c r="I220" s="701">
        <v>1639.4999999999998</v>
      </c>
      <c r="J220" s="701"/>
      <c r="K220" s="701"/>
      <c r="L220" s="701"/>
      <c r="M220" s="701"/>
      <c r="N220" s="701"/>
      <c r="O220" s="701"/>
      <c r="P220" s="726"/>
      <c r="Q220" s="702"/>
    </row>
    <row r="221" spans="1:17" ht="14.45" customHeight="1" x14ac:dyDescent="0.2">
      <c r="A221" s="696" t="s">
        <v>537</v>
      </c>
      <c r="B221" s="697" t="s">
        <v>2898</v>
      </c>
      <c r="C221" s="697" t="s">
        <v>3196</v>
      </c>
      <c r="D221" s="697" t="s">
        <v>3280</v>
      </c>
      <c r="E221" s="697" t="s">
        <v>1496</v>
      </c>
      <c r="F221" s="701"/>
      <c r="G221" s="701"/>
      <c r="H221" s="701"/>
      <c r="I221" s="701"/>
      <c r="J221" s="701">
        <v>2.7</v>
      </c>
      <c r="K221" s="701">
        <v>2999.7</v>
      </c>
      <c r="L221" s="701"/>
      <c r="M221" s="701">
        <v>1110.9999999999998</v>
      </c>
      <c r="N221" s="701">
        <v>11.000000000000002</v>
      </c>
      <c r="O221" s="701">
        <v>17866.259999999998</v>
      </c>
      <c r="P221" s="726"/>
      <c r="Q221" s="702">
        <v>1624.2054545454541</v>
      </c>
    </row>
    <row r="222" spans="1:17" ht="14.45" customHeight="1" x14ac:dyDescent="0.2">
      <c r="A222" s="696" t="s">
        <v>537</v>
      </c>
      <c r="B222" s="697" t="s">
        <v>2898</v>
      </c>
      <c r="C222" s="697" t="s">
        <v>3196</v>
      </c>
      <c r="D222" s="697" t="s">
        <v>3281</v>
      </c>
      <c r="E222" s="697" t="s">
        <v>1425</v>
      </c>
      <c r="F222" s="701"/>
      <c r="G222" s="701"/>
      <c r="H222" s="701"/>
      <c r="I222" s="701"/>
      <c r="J222" s="701"/>
      <c r="K222" s="701"/>
      <c r="L222" s="701"/>
      <c r="M222" s="701"/>
      <c r="N222" s="701">
        <v>18</v>
      </c>
      <c r="O222" s="701">
        <v>114220.26</v>
      </c>
      <c r="P222" s="726"/>
      <c r="Q222" s="702">
        <v>6345.57</v>
      </c>
    </row>
    <row r="223" spans="1:17" ht="14.45" customHeight="1" x14ac:dyDescent="0.2">
      <c r="A223" s="696" t="s">
        <v>537</v>
      </c>
      <c r="B223" s="697" t="s">
        <v>2898</v>
      </c>
      <c r="C223" s="697" t="s">
        <v>3196</v>
      </c>
      <c r="D223" s="697" t="s">
        <v>3282</v>
      </c>
      <c r="E223" s="697" t="s">
        <v>3283</v>
      </c>
      <c r="F223" s="701"/>
      <c r="G223" s="701"/>
      <c r="H223" s="701"/>
      <c r="I223" s="701"/>
      <c r="J223" s="701">
        <v>3.8000000000000003</v>
      </c>
      <c r="K223" s="701">
        <v>78557.400000000009</v>
      </c>
      <c r="L223" s="701"/>
      <c r="M223" s="701">
        <v>20673</v>
      </c>
      <c r="N223" s="701">
        <v>0.89999999999999991</v>
      </c>
      <c r="O223" s="701">
        <v>18605.7</v>
      </c>
      <c r="P223" s="726"/>
      <c r="Q223" s="702">
        <v>20673.000000000004</v>
      </c>
    </row>
    <row r="224" spans="1:17" ht="14.45" customHeight="1" x14ac:dyDescent="0.2">
      <c r="A224" s="696" t="s">
        <v>537</v>
      </c>
      <c r="B224" s="697" t="s">
        <v>2898</v>
      </c>
      <c r="C224" s="697" t="s">
        <v>3196</v>
      </c>
      <c r="D224" s="697" t="s">
        <v>3284</v>
      </c>
      <c r="E224" s="697" t="s">
        <v>1439</v>
      </c>
      <c r="F224" s="701">
        <v>204.1</v>
      </c>
      <c r="G224" s="701">
        <v>262750.17000000004</v>
      </c>
      <c r="H224" s="701"/>
      <c r="I224" s="701">
        <v>1287.3599706026459</v>
      </c>
      <c r="J224" s="701">
        <v>346</v>
      </c>
      <c r="K224" s="701">
        <v>445426.55999999988</v>
      </c>
      <c r="L224" s="701"/>
      <c r="M224" s="701">
        <v>1287.3599999999997</v>
      </c>
      <c r="N224" s="701">
        <v>472</v>
      </c>
      <c r="O224" s="701">
        <v>607633.92000000004</v>
      </c>
      <c r="P224" s="726"/>
      <c r="Q224" s="702">
        <v>1287.3600000000001</v>
      </c>
    </row>
    <row r="225" spans="1:17" ht="14.45" customHeight="1" x14ac:dyDescent="0.2">
      <c r="A225" s="696" t="s">
        <v>537</v>
      </c>
      <c r="B225" s="697" t="s">
        <v>2898</v>
      </c>
      <c r="C225" s="697" t="s">
        <v>3196</v>
      </c>
      <c r="D225" s="697" t="s">
        <v>3285</v>
      </c>
      <c r="E225" s="697" t="s">
        <v>3286</v>
      </c>
      <c r="F225" s="701">
        <v>1</v>
      </c>
      <c r="G225" s="701">
        <v>1287.3599999999999</v>
      </c>
      <c r="H225" s="701"/>
      <c r="I225" s="701">
        <v>1287.3599999999999</v>
      </c>
      <c r="J225" s="701">
        <v>12</v>
      </c>
      <c r="K225" s="701">
        <v>15448.32</v>
      </c>
      <c r="L225" s="701"/>
      <c r="M225" s="701">
        <v>1287.3599999999999</v>
      </c>
      <c r="N225" s="701"/>
      <c r="O225" s="701"/>
      <c r="P225" s="726"/>
      <c r="Q225" s="702"/>
    </row>
    <row r="226" spans="1:17" ht="14.45" customHeight="1" x14ac:dyDescent="0.2">
      <c r="A226" s="696" t="s">
        <v>537</v>
      </c>
      <c r="B226" s="697" t="s">
        <v>2898</v>
      </c>
      <c r="C226" s="697" t="s">
        <v>3196</v>
      </c>
      <c r="D226" s="697" t="s">
        <v>3287</v>
      </c>
      <c r="E226" s="697" t="s">
        <v>3288</v>
      </c>
      <c r="F226" s="701"/>
      <c r="G226" s="701"/>
      <c r="H226" s="701"/>
      <c r="I226" s="701"/>
      <c r="J226" s="701"/>
      <c r="K226" s="701"/>
      <c r="L226" s="701"/>
      <c r="M226" s="701"/>
      <c r="N226" s="701">
        <v>4</v>
      </c>
      <c r="O226" s="701">
        <v>24345.48</v>
      </c>
      <c r="P226" s="726"/>
      <c r="Q226" s="702">
        <v>6086.37</v>
      </c>
    </row>
    <row r="227" spans="1:17" ht="14.45" customHeight="1" x14ac:dyDescent="0.2">
      <c r="A227" s="696" t="s">
        <v>537</v>
      </c>
      <c r="B227" s="697" t="s">
        <v>2898</v>
      </c>
      <c r="C227" s="697" t="s">
        <v>3196</v>
      </c>
      <c r="D227" s="697" t="s">
        <v>3289</v>
      </c>
      <c r="E227" s="697" t="s">
        <v>1439</v>
      </c>
      <c r="F227" s="701">
        <v>1</v>
      </c>
      <c r="G227" s="701">
        <v>643.67999999999995</v>
      </c>
      <c r="H227" s="701"/>
      <c r="I227" s="701">
        <v>643.67999999999995</v>
      </c>
      <c r="J227" s="701">
        <v>2</v>
      </c>
      <c r="K227" s="701">
        <v>1287.3599999999999</v>
      </c>
      <c r="L227" s="701"/>
      <c r="M227" s="701">
        <v>643.67999999999995</v>
      </c>
      <c r="N227" s="701"/>
      <c r="O227" s="701"/>
      <c r="P227" s="726"/>
      <c r="Q227" s="702"/>
    </row>
    <row r="228" spans="1:17" ht="14.45" customHeight="1" x14ac:dyDescent="0.2">
      <c r="A228" s="696" t="s">
        <v>537</v>
      </c>
      <c r="B228" s="697" t="s">
        <v>2898</v>
      </c>
      <c r="C228" s="697" t="s">
        <v>3196</v>
      </c>
      <c r="D228" s="697" t="s">
        <v>3290</v>
      </c>
      <c r="E228" s="697" t="s">
        <v>560</v>
      </c>
      <c r="F228" s="701"/>
      <c r="G228" s="701"/>
      <c r="H228" s="701"/>
      <c r="I228" s="701"/>
      <c r="J228" s="701"/>
      <c r="K228" s="701"/>
      <c r="L228" s="701"/>
      <c r="M228" s="701"/>
      <c r="N228" s="701">
        <v>40</v>
      </c>
      <c r="O228" s="701">
        <v>11976.98</v>
      </c>
      <c r="P228" s="726"/>
      <c r="Q228" s="702">
        <v>299.42449999999997</v>
      </c>
    </row>
    <row r="229" spans="1:17" ht="14.45" customHeight="1" x14ac:dyDescent="0.2">
      <c r="A229" s="696" t="s">
        <v>537</v>
      </c>
      <c r="B229" s="697" t="s">
        <v>2898</v>
      </c>
      <c r="C229" s="697" t="s">
        <v>3196</v>
      </c>
      <c r="D229" s="697" t="s">
        <v>3291</v>
      </c>
      <c r="E229" s="697" t="s">
        <v>1433</v>
      </c>
      <c r="F229" s="701">
        <v>6</v>
      </c>
      <c r="G229" s="701">
        <v>57601.08</v>
      </c>
      <c r="H229" s="701"/>
      <c r="I229" s="701">
        <v>9600.18</v>
      </c>
      <c r="J229" s="701">
        <v>26</v>
      </c>
      <c r="K229" s="701">
        <v>247661.76</v>
      </c>
      <c r="L229" s="701"/>
      <c r="M229" s="701">
        <v>9525.4523076923088</v>
      </c>
      <c r="N229" s="701">
        <v>20</v>
      </c>
      <c r="O229" s="701">
        <v>190708.32</v>
      </c>
      <c r="P229" s="726"/>
      <c r="Q229" s="702">
        <v>9535.4160000000011</v>
      </c>
    </row>
    <row r="230" spans="1:17" ht="14.45" customHeight="1" x14ac:dyDescent="0.2">
      <c r="A230" s="696" t="s">
        <v>537</v>
      </c>
      <c r="B230" s="697" t="s">
        <v>2898</v>
      </c>
      <c r="C230" s="697" t="s">
        <v>3196</v>
      </c>
      <c r="D230" s="697" t="s">
        <v>3292</v>
      </c>
      <c r="E230" s="697" t="s">
        <v>1825</v>
      </c>
      <c r="F230" s="701">
        <v>9.48</v>
      </c>
      <c r="G230" s="701">
        <v>6239.13</v>
      </c>
      <c r="H230" s="701"/>
      <c r="I230" s="701">
        <v>658.13607594936707</v>
      </c>
      <c r="J230" s="701">
        <v>12.600000000000001</v>
      </c>
      <c r="K230" s="701">
        <v>8516.93</v>
      </c>
      <c r="L230" s="701"/>
      <c r="M230" s="701">
        <v>675.94682539682537</v>
      </c>
      <c r="N230" s="701">
        <v>23.6</v>
      </c>
      <c r="O230" s="701">
        <v>15552.4</v>
      </c>
      <c r="P230" s="726"/>
      <c r="Q230" s="702">
        <v>659</v>
      </c>
    </row>
    <row r="231" spans="1:17" ht="14.45" customHeight="1" x14ac:dyDescent="0.2">
      <c r="A231" s="696" t="s">
        <v>537</v>
      </c>
      <c r="B231" s="697" t="s">
        <v>2898</v>
      </c>
      <c r="C231" s="697" t="s">
        <v>3196</v>
      </c>
      <c r="D231" s="697" t="s">
        <v>3293</v>
      </c>
      <c r="E231" s="697" t="s">
        <v>1433</v>
      </c>
      <c r="F231" s="701">
        <v>24</v>
      </c>
      <c r="G231" s="701">
        <v>114465.51000000001</v>
      </c>
      <c r="H231" s="701"/>
      <c r="I231" s="701">
        <v>4769.3962500000007</v>
      </c>
      <c r="J231" s="701">
        <v>59</v>
      </c>
      <c r="K231" s="701">
        <v>286249.37999999995</v>
      </c>
      <c r="L231" s="701"/>
      <c r="M231" s="701">
        <v>4851.6844067796601</v>
      </c>
      <c r="N231" s="701">
        <v>33</v>
      </c>
      <c r="O231" s="701">
        <v>161457.78</v>
      </c>
      <c r="P231" s="726"/>
      <c r="Q231" s="702">
        <v>4892.66</v>
      </c>
    </row>
    <row r="232" spans="1:17" ht="14.45" customHeight="1" x14ac:dyDescent="0.2">
      <c r="A232" s="696" t="s">
        <v>537</v>
      </c>
      <c r="B232" s="697" t="s">
        <v>2898</v>
      </c>
      <c r="C232" s="697" t="s">
        <v>3196</v>
      </c>
      <c r="D232" s="697" t="s">
        <v>3294</v>
      </c>
      <c r="E232" s="697" t="s">
        <v>1529</v>
      </c>
      <c r="F232" s="701"/>
      <c r="G232" s="701"/>
      <c r="H232" s="701"/>
      <c r="I232" s="701"/>
      <c r="J232" s="701"/>
      <c r="K232" s="701"/>
      <c r="L232" s="701"/>
      <c r="M232" s="701"/>
      <c r="N232" s="701">
        <v>50.4</v>
      </c>
      <c r="O232" s="701">
        <v>44352</v>
      </c>
      <c r="P232" s="726"/>
      <c r="Q232" s="702">
        <v>880</v>
      </c>
    </row>
    <row r="233" spans="1:17" ht="14.45" customHeight="1" x14ac:dyDescent="0.2">
      <c r="A233" s="696" t="s">
        <v>537</v>
      </c>
      <c r="B233" s="697" t="s">
        <v>2898</v>
      </c>
      <c r="C233" s="697" t="s">
        <v>3196</v>
      </c>
      <c r="D233" s="697" t="s">
        <v>3295</v>
      </c>
      <c r="E233" s="697" t="s">
        <v>560</v>
      </c>
      <c r="F233" s="701"/>
      <c r="G233" s="701"/>
      <c r="H233" s="701"/>
      <c r="I233" s="701"/>
      <c r="J233" s="701">
        <v>5.6</v>
      </c>
      <c r="K233" s="701">
        <v>3043.42</v>
      </c>
      <c r="L233" s="701"/>
      <c r="M233" s="701">
        <v>543.46785714285716</v>
      </c>
      <c r="N233" s="701"/>
      <c r="O233" s="701"/>
      <c r="P233" s="726"/>
      <c r="Q233" s="702"/>
    </row>
    <row r="234" spans="1:17" ht="14.45" customHeight="1" x14ac:dyDescent="0.2">
      <c r="A234" s="696" t="s">
        <v>537</v>
      </c>
      <c r="B234" s="697" t="s">
        <v>2898</v>
      </c>
      <c r="C234" s="697" t="s">
        <v>3196</v>
      </c>
      <c r="D234" s="697" t="s">
        <v>3296</v>
      </c>
      <c r="E234" s="697" t="s">
        <v>732</v>
      </c>
      <c r="F234" s="701"/>
      <c r="G234" s="701"/>
      <c r="H234" s="701"/>
      <c r="I234" s="701"/>
      <c r="J234" s="701"/>
      <c r="K234" s="701"/>
      <c r="L234" s="701"/>
      <c r="M234" s="701"/>
      <c r="N234" s="701">
        <v>65</v>
      </c>
      <c r="O234" s="701">
        <v>35536.49</v>
      </c>
      <c r="P234" s="726"/>
      <c r="Q234" s="702">
        <v>546.71523076923074</v>
      </c>
    </row>
    <row r="235" spans="1:17" ht="14.45" customHeight="1" x14ac:dyDescent="0.2">
      <c r="A235" s="696" t="s">
        <v>537</v>
      </c>
      <c r="B235" s="697" t="s">
        <v>2898</v>
      </c>
      <c r="C235" s="697" t="s">
        <v>3196</v>
      </c>
      <c r="D235" s="697" t="s">
        <v>3297</v>
      </c>
      <c r="E235" s="697" t="s">
        <v>1436</v>
      </c>
      <c r="F235" s="701"/>
      <c r="G235" s="701"/>
      <c r="H235" s="701"/>
      <c r="I235" s="701"/>
      <c r="J235" s="701">
        <v>1</v>
      </c>
      <c r="K235" s="701">
        <v>2235</v>
      </c>
      <c r="L235" s="701"/>
      <c r="M235" s="701">
        <v>2235</v>
      </c>
      <c r="N235" s="701">
        <v>2</v>
      </c>
      <c r="O235" s="701">
        <v>4470</v>
      </c>
      <c r="P235" s="726"/>
      <c r="Q235" s="702">
        <v>2235</v>
      </c>
    </row>
    <row r="236" spans="1:17" ht="14.45" customHeight="1" x14ac:dyDescent="0.2">
      <c r="A236" s="696" t="s">
        <v>537</v>
      </c>
      <c r="B236" s="697" t="s">
        <v>2898</v>
      </c>
      <c r="C236" s="697" t="s">
        <v>3196</v>
      </c>
      <c r="D236" s="697" t="s">
        <v>3298</v>
      </c>
      <c r="E236" s="697" t="s">
        <v>1502</v>
      </c>
      <c r="F236" s="701">
        <v>11.950000000000001</v>
      </c>
      <c r="G236" s="701">
        <v>4523.47</v>
      </c>
      <c r="H236" s="701"/>
      <c r="I236" s="701">
        <v>378.53305439330541</v>
      </c>
      <c r="J236" s="701">
        <v>15.55</v>
      </c>
      <c r="K236" s="701">
        <v>5861.9500000000007</v>
      </c>
      <c r="L236" s="701"/>
      <c r="M236" s="701">
        <v>376.9742765273312</v>
      </c>
      <c r="N236" s="701"/>
      <c r="O236" s="701"/>
      <c r="P236" s="726"/>
      <c r="Q236" s="702"/>
    </row>
    <row r="237" spans="1:17" ht="14.45" customHeight="1" x14ac:dyDescent="0.2">
      <c r="A237" s="696" t="s">
        <v>537</v>
      </c>
      <c r="B237" s="697" t="s">
        <v>2898</v>
      </c>
      <c r="C237" s="697" t="s">
        <v>3196</v>
      </c>
      <c r="D237" s="697" t="s">
        <v>3299</v>
      </c>
      <c r="E237" s="697" t="s">
        <v>1501</v>
      </c>
      <c r="F237" s="701">
        <v>1.8</v>
      </c>
      <c r="G237" s="701">
        <v>1496.4</v>
      </c>
      <c r="H237" s="701"/>
      <c r="I237" s="701">
        <v>831.33333333333337</v>
      </c>
      <c r="J237" s="701">
        <v>96.3</v>
      </c>
      <c r="K237" s="701">
        <v>91012.859999999986</v>
      </c>
      <c r="L237" s="701"/>
      <c r="M237" s="701">
        <v>945.09719626168214</v>
      </c>
      <c r="N237" s="701">
        <v>174.26999999999998</v>
      </c>
      <c r="O237" s="701">
        <v>124865.98</v>
      </c>
      <c r="P237" s="726"/>
      <c r="Q237" s="702">
        <v>716.5087507890056</v>
      </c>
    </row>
    <row r="238" spans="1:17" ht="14.45" customHeight="1" x14ac:dyDescent="0.2">
      <c r="A238" s="696" t="s">
        <v>537</v>
      </c>
      <c r="B238" s="697" t="s">
        <v>2898</v>
      </c>
      <c r="C238" s="697" t="s">
        <v>3196</v>
      </c>
      <c r="D238" s="697" t="s">
        <v>3300</v>
      </c>
      <c r="E238" s="697" t="s">
        <v>1502</v>
      </c>
      <c r="F238" s="701"/>
      <c r="G238" s="701"/>
      <c r="H238" s="701"/>
      <c r="I238" s="701"/>
      <c r="J238" s="701">
        <v>190.70000000000002</v>
      </c>
      <c r="K238" s="701">
        <v>38317.940000000017</v>
      </c>
      <c r="L238" s="701"/>
      <c r="M238" s="701">
        <v>200.93308862087054</v>
      </c>
      <c r="N238" s="701">
        <v>23.200000000000003</v>
      </c>
      <c r="O238" s="701">
        <v>4372.4799999999996</v>
      </c>
      <c r="P238" s="726"/>
      <c r="Q238" s="702">
        <v>188.46896551724134</v>
      </c>
    </row>
    <row r="239" spans="1:17" ht="14.45" customHeight="1" x14ac:dyDescent="0.2">
      <c r="A239" s="696" t="s">
        <v>537</v>
      </c>
      <c r="B239" s="697" t="s">
        <v>2898</v>
      </c>
      <c r="C239" s="697" t="s">
        <v>3196</v>
      </c>
      <c r="D239" s="697" t="s">
        <v>3301</v>
      </c>
      <c r="E239" s="697" t="s">
        <v>1806</v>
      </c>
      <c r="F239" s="701"/>
      <c r="G239" s="701"/>
      <c r="H239" s="701"/>
      <c r="I239" s="701"/>
      <c r="J239" s="701"/>
      <c r="K239" s="701"/>
      <c r="L239" s="701"/>
      <c r="M239" s="701"/>
      <c r="N239" s="701">
        <v>16.8</v>
      </c>
      <c r="O239" s="701">
        <v>9145.869999999999</v>
      </c>
      <c r="P239" s="726"/>
      <c r="Q239" s="702">
        <v>544.39702380952372</v>
      </c>
    </row>
    <row r="240" spans="1:17" ht="14.45" customHeight="1" x14ac:dyDescent="0.2">
      <c r="A240" s="696" t="s">
        <v>537</v>
      </c>
      <c r="B240" s="697" t="s">
        <v>2898</v>
      </c>
      <c r="C240" s="697" t="s">
        <v>3196</v>
      </c>
      <c r="D240" s="697" t="s">
        <v>3302</v>
      </c>
      <c r="E240" s="697" t="s">
        <v>1517</v>
      </c>
      <c r="F240" s="701"/>
      <c r="G240" s="701"/>
      <c r="H240" s="701"/>
      <c r="I240" s="701"/>
      <c r="J240" s="701">
        <v>119</v>
      </c>
      <c r="K240" s="701">
        <v>2318.59</v>
      </c>
      <c r="L240" s="701"/>
      <c r="M240" s="701">
        <v>19.483949579831933</v>
      </c>
      <c r="N240" s="701">
        <v>162</v>
      </c>
      <c r="O240" s="701">
        <v>3340.63</v>
      </c>
      <c r="P240" s="726"/>
      <c r="Q240" s="702">
        <v>20.621172839506173</v>
      </c>
    </row>
    <row r="241" spans="1:17" ht="14.45" customHeight="1" x14ac:dyDescent="0.2">
      <c r="A241" s="696" t="s">
        <v>537</v>
      </c>
      <c r="B241" s="697" t="s">
        <v>2898</v>
      </c>
      <c r="C241" s="697" t="s">
        <v>3196</v>
      </c>
      <c r="D241" s="697" t="s">
        <v>3303</v>
      </c>
      <c r="E241" s="697" t="s">
        <v>1425</v>
      </c>
      <c r="F241" s="701"/>
      <c r="G241" s="701"/>
      <c r="H241" s="701"/>
      <c r="I241" s="701"/>
      <c r="J241" s="701">
        <v>6</v>
      </c>
      <c r="K241" s="701">
        <v>19036.68</v>
      </c>
      <c r="L241" s="701"/>
      <c r="M241" s="701">
        <v>3172.78</v>
      </c>
      <c r="N241" s="701">
        <v>20</v>
      </c>
      <c r="O241" s="701">
        <v>63455.6</v>
      </c>
      <c r="P241" s="726"/>
      <c r="Q241" s="702">
        <v>3172.7799999999997</v>
      </c>
    </row>
    <row r="242" spans="1:17" ht="14.45" customHeight="1" x14ac:dyDescent="0.2">
      <c r="A242" s="696" t="s">
        <v>537</v>
      </c>
      <c r="B242" s="697" t="s">
        <v>2898</v>
      </c>
      <c r="C242" s="697" t="s">
        <v>3196</v>
      </c>
      <c r="D242" s="697" t="s">
        <v>3304</v>
      </c>
      <c r="E242" s="697" t="s">
        <v>926</v>
      </c>
      <c r="F242" s="701"/>
      <c r="G242" s="701"/>
      <c r="H242" s="701"/>
      <c r="I242" s="701"/>
      <c r="J242" s="701">
        <v>5</v>
      </c>
      <c r="K242" s="701">
        <v>6405.86</v>
      </c>
      <c r="L242" s="701"/>
      <c r="M242" s="701">
        <v>1281.172</v>
      </c>
      <c r="N242" s="701">
        <v>13.2</v>
      </c>
      <c r="O242" s="701">
        <v>16956.61</v>
      </c>
      <c r="P242" s="726"/>
      <c r="Q242" s="702">
        <v>1284.5916666666667</v>
      </c>
    </row>
    <row r="243" spans="1:17" ht="14.45" customHeight="1" x14ac:dyDescent="0.2">
      <c r="A243" s="696" t="s">
        <v>537</v>
      </c>
      <c r="B243" s="697" t="s">
        <v>2898</v>
      </c>
      <c r="C243" s="697" t="s">
        <v>3196</v>
      </c>
      <c r="D243" s="697" t="s">
        <v>3305</v>
      </c>
      <c r="E243" s="697" t="s">
        <v>1513</v>
      </c>
      <c r="F243" s="701"/>
      <c r="G243" s="701"/>
      <c r="H243" s="701"/>
      <c r="I243" s="701"/>
      <c r="J243" s="701"/>
      <c r="K243" s="701"/>
      <c r="L243" s="701"/>
      <c r="M243" s="701"/>
      <c r="N243" s="701">
        <v>7.1000000000000005</v>
      </c>
      <c r="O243" s="701">
        <v>6345.2700000000013</v>
      </c>
      <c r="P243" s="726"/>
      <c r="Q243" s="702">
        <v>893.70000000000016</v>
      </c>
    </row>
    <row r="244" spans="1:17" ht="14.45" customHeight="1" x14ac:dyDescent="0.2">
      <c r="A244" s="696" t="s">
        <v>537</v>
      </c>
      <c r="B244" s="697" t="s">
        <v>2898</v>
      </c>
      <c r="C244" s="697" t="s">
        <v>3196</v>
      </c>
      <c r="D244" s="697" t="s">
        <v>3306</v>
      </c>
      <c r="E244" s="697" t="s">
        <v>1506</v>
      </c>
      <c r="F244" s="701"/>
      <c r="G244" s="701"/>
      <c r="H244" s="701"/>
      <c r="I244" s="701"/>
      <c r="J244" s="701"/>
      <c r="K244" s="701"/>
      <c r="L244" s="701"/>
      <c r="M244" s="701"/>
      <c r="N244" s="701">
        <v>14</v>
      </c>
      <c r="O244" s="701">
        <v>23180.92</v>
      </c>
      <c r="P244" s="726"/>
      <c r="Q244" s="702">
        <v>1655.78</v>
      </c>
    </row>
    <row r="245" spans="1:17" ht="14.45" customHeight="1" x14ac:dyDescent="0.2">
      <c r="A245" s="696" t="s">
        <v>537</v>
      </c>
      <c r="B245" s="697" t="s">
        <v>2898</v>
      </c>
      <c r="C245" s="697" t="s">
        <v>3196</v>
      </c>
      <c r="D245" s="697" t="s">
        <v>3307</v>
      </c>
      <c r="E245" s="697" t="s">
        <v>1024</v>
      </c>
      <c r="F245" s="701"/>
      <c r="G245" s="701"/>
      <c r="H245" s="701"/>
      <c r="I245" s="701"/>
      <c r="J245" s="701"/>
      <c r="K245" s="701"/>
      <c r="L245" s="701"/>
      <c r="M245" s="701"/>
      <c r="N245" s="701">
        <v>1</v>
      </c>
      <c r="O245" s="701">
        <v>885.5</v>
      </c>
      <c r="P245" s="726"/>
      <c r="Q245" s="702">
        <v>885.5</v>
      </c>
    </row>
    <row r="246" spans="1:17" ht="14.45" customHeight="1" x14ac:dyDescent="0.2">
      <c r="A246" s="696" t="s">
        <v>537</v>
      </c>
      <c r="B246" s="697" t="s">
        <v>2898</v>
      </c>
      <c r="C246" s="697" t="s">
        <v>3196</v>
      </c>
      <c r="D246" s="697" t="s">
        <v>3308</v>
      </c>
      <c r="E246" s="697" t="s">
        <v>1024</v>
      </c>
      <c r="F246" s="701"/>
      <c r="G246" s="701"/>
      <c r="H246" s="701"/>
      <c r="I246" s="701"/>
      <c r="J246" s="701"/>
      <c r="K246" s="701"/>
      <c r="L246" s="701"/>
      <c r="M246" s="701"/>
      <c r="N246" s="701">
        <v>3.9000000000000004</v>
      </c>
      <c r="O246" s="701">
        <v>3453.45</v>
      </c>
      <c r="P246" s="726"/>
      <c r="Q246" s="702">
        <v>885.49999999999989</v>
      </c>
    </row>
    <row r="247" spans="1:17" ht="14.45" customHeight="1" x14ac:dyDescent="0.2">
      <c r="A247" s="696" t="s">
        <v>537</v>
      </c>
      <c r="B247" s="697" t="s">
        <v>2898</v>
      </c>
      <c r="C247" s="697" t="s">
        <v>3196</v>
      </c>
      <c r="D247" s="697" t="s">
        <v>3309</v>
      </c>
      <c r="E247" s="697" t="s">
        <v>3310</v>
      </c>
      <c r="F247" s="701"/>
      <c r="G247" s="701"/>
      <c r="H247" s="701"/>
      <c r="I247" s="701"/>
      <c r="J247" s="701"/>
      <c r="K247" s="701"/>
      <c r="L247" s="701"/>
      <c r="M247" s="701"/>
      <c r="N247" s="701">
        <v>2</v>
      </c>
      <c r="O247" s="701">
        <v>2705.7</v>
      </c>
      <c r="P247" s="726"/>
      <c r="Q247" s="702">
        <v>1352.85</v>
      </c>
    </row>
    <row r="248" spans="1:17" ht="14.45" customHeight="1" x14ac:dyDescent="0.2">
      <c r="A248" s="696" t="s">
        <v>537</v>
      </c>
      <c r="B248" s="697" t="s">
        <v>2898</v>
      </c>
      <c r="C248" s="697" t="s">
        <v>3196</v>
      </c>
      <c r="D248" s="697" t="s">
        <v>3311</v>
      </c>
      <c r="E248" s="697" t="s">
        <v>3312</v>
      </c>
      <c r="F248" s="701"/>
      <c r="G248" s="701"/>
      <c r="H248" s="701"/>
      <c r="I248" s="701"/>
      <c r="J248" s="701">
        <v>0.8</v>
      </c>
      <c r="K248" s="701">
        <v>1145.56</v>
      </c>
      <c r="L248" s="701"/>
      <c r="M248" s="701">
        <v>1431.9499999999998</v>
      </c>
      <c r="N248" s="701"/>
      <c r="O248" s="701"/>
      <c r="P248" s="726"/>
      <c r="Q248" s="702"/>
    </row>
    <row r="249" spans="1:17" ht="14.45" customHeight="1" x14ac:dyDescent="0.2">
      <c r="A249" s="696" t="s">
        <v>537</v>
      </c>
      <c r="B249" s="697" t="s">
        <v>2898</v>
      </c>
      <c r="C249" s="697" t="s">
        <v>3313</v>
      </c>
      <c r="D249" s="697" t="s">
        <v>3314</v>
      </c>
      <c r="E249" s="697" t="s">
        <v>3315</v>
      </c>
      <c r="F249" s="701">
        <v>3</v>
      </c>
      <c r="G249" s="701">
        <v>4263.96</v>
      </c>
      <c r="H249" s="701"/>
      <c r="I249" s="701">
        <v>1421.32</v>
      </c>
      <c r="J249" s="701"/>
      <c r="K249" s="701"/>
      <c r="L249" s="701"/>
      <c r="M249" s="701"/>
      <c r="N249" s="701"/>
      <c r="O249" s="701"/>
      <c r="P249" s="726"/>
      <c r="Q249" s="702"/>
    </row>
    <row r="250" spans="1:17" ht="14.45" customHeight="1" x14ac:dyDescent="0.2">
      <c r="A250" s="696" t="s">
        <v>537</v>
      </c>
      <c r="B250" s="697" t="s">
        <v>2898</v>
      </c>
      <c r="C250" s="697" t="s">
        <v>3313</v>
      </c>
      <c r="D250" s="697" t="s">
        <v>3316</v>
      </c>
      <c r="E250" s="697" t="s">
        <v>3317</v>
      </c>
      <c r="F250" s="701">
        <v>464</v>
      </c>
      <c r="G250" s="701">
        <v>1012389.6399999998</v>
      </c>
      <c r="H250" s="701"/>
      <c r="I250" s="701">
        <v>2181.8742241379305</v>
      </c>
      <c r="J250" s="701">
        <v>411</v>
      </c>
      <c r="K250" s="701">
        <v>910489.52999999991</v>
      </c>
      <c r="L250" s="701"/>
      <c r="M250" s="701">
        <v>2215.3029927007296</v>
      </c>
      <c r="N250" s="701">
        <v>412</v>
      </c>
      <c r="O250" s="701">
        <v>919057.06</v>
      </c>
      <c r="P250" s="726"/>
      <c r="Q250" s="702">
        <v>2230.7210194174759</v>
      </c>
    </row>
    <row r="251" spans="1:17" ht="14.45" customHeight="1" x14ac:dyDescent="0.2">
      <c r="A251" s="696" t="s">
        <v>537</v>
      </c>
      <c r="B251" s="697" t="s">
        <v>2898</v>
      </c>
      <c r="C251" s="697" t="s">
        <v>3313</v>
      </c>
      <c r="D251" s="697" t="s">
        <v>3318</v>
      </c>
      <c r="E251" s="697" t="s">
        <v>3319</v>
      </c>
      <c r="F251" s="701">
        <v>750</v>
      </c>
      <c r="G251" s="701">
        <v>2000011.8200000003</v>
      </c>
      <c r="H251" s="701"/>
      <c r="I251" s="701">
        <v>2666.6824266666672</v>
      </c>
      <c r="J251" s="701">
        <v>836</v>
      </c>
      <c r="K251" s="701">
        <v>2260859.15</v>
      </c>
      <c r="L251" s="701"/>
      <c r="M251" s="701">
        <v>2704.3769736842105</v>
      </c>
      <c r="N251" s="701">
        <v>669</v>
      </c>
      <c r="O251" s="701">
        <v>1821873.5499999998</v>
      </c>
      <c r="P251" s="726"/>
      <c r="Q251" s="702">
        <v>2723.2788490284001</v>
      </c>
    </row>
    <row r="252" spans="1:17" ht="14.45" customHeight="1" x14ac:dyDescent="0.2">
      <c r="A252" s="696" t="s">
        <v>537</v>
      </c>
      <c r="B252" s="697" t="s">
        <v>2898</v>
      </c>
      <c r="C252" s="697" t="s">
        <v>3313</v>
      </c>
      <c r="D252" s="697" t="s">
        <v>3320</v>
      </c>
      <c r="E252" s="697" t="s">
        <v>3319</v>
      </c>
      <c r="F252" s="701"/>
      <c r="G252" s="701"/>
      <c r="H252" s="701"/>
      <c r="I252" s="701"/>
      <c r="J252" s="701">
        <v>1</v>
      </c>
      <c r="K252" s="701">
        <v>1700.09</v>
      </c>
      <c r="L252" s="701"/>
      <c r="M252" s="701">
        <v>1700.09</v>
      </c>
      <c r="N252" s="701"/>
      <c r="O252" s="701"/>
      <c r="P252" s="726"/>
      <c r="Q252" s="702"/>
    </row>
    <row r="253" spans="1:17" ht="14.45" customHeight="1" x14ac:dyDescent="0.2">
      <c r="A253" s="696" t="s">
        <v>537</v>
      </c>
      <c r="B253" s="697" t="s">
        <v>2898</v>
      </c>
      <c r="C253" s="697" t="s">
        <v>3313</v>
      </c>
      <c r="D253" s="697" t="s">
        <v>3321</v>
      </c>
      <c r="E253" s="697" t="s">
        <v>3322</v>
      </c>
      <c r="F253" s="701">
        <v>5</v>
      </c>
      <c r="G253" s="701">
        <v>10895.68</v>
      </c>
      <c r="H253" s="701"/>
      <c r="I253" s="701">
        <v>2179.136</v>
      </c>
      <c r="J253" s="701">
        <v>11</v>
      </c>
      <c r="K253" s="701">
        <v>24228.78</v>
      </c>
      <c r="L253" s="701"/>
      <c r="M253" s="701">
        <v>2202.6163636363635</v>
      </c>
      <c r="N253" s="701">
        <v>27</v>
      </c>
      <c r="O253" s="701">
        <v>60639.3</v>
      </c>
      <c r="P253" s="726"/>
      <c r="Q253" s="702">
        <v>2245.9</v>
      </c>
    </row>
    <row r="254" spans="1:17" ht="14.45" customHeight="1" x14ac:dyDescent="0.2">
      <c r="A254" s="696" t="s">
        <v>537</v>
      </c>
      <c r="B254" s="697" t="s">
        <v>2898</v>
      </c>
      <c r="C254" s="697" t="s">
        <v>3313</v>
      </c>
      <c r="D254" s="697" t="s">
        <v>3323</v>
      </c>
      <c r="E254" s="697" t="s">
        <v>3324</v>
      </c>
      <c r="F254" s="701">
        <v>56</v>
      </c>
      <c r="G254" s="701">
        <v>502365.43000000005</v>
      </c>
      <c r="H254" s="701"/>
      <c r="I254" s="701">
        <v>8970.8112500000007</v>
      </c>
      <c r="J254" s="701">
        <v>41</v>
      </c>
      <c r="K254" s="701">
        <v>372805.22999999992</v>
      </c>
      <c r="L254" s="701"/>
      <c r="M254" s="701">
        <v>9092.8104878048762</v>
      </c>
      <c r="N254" s="701">
        <v>49</v>
      </c>
      <c r="O254" s="701">
        <v>446425.41000000003</v>
      </c>
      <c r="P254" s="726"/>
      <c r="Q254" s="702">
        <v>9110.7226530612243</v>
      </c>
    </row>
    <row r="255" spans="1:17" ht="14.45" customHeight="1" x14ac:dyDescent="0.2">
      <c r="A255" s="696" t="s">
        <v>537</v>
      </c>
      <c r="B255" s="697" t="s">
        <v>2898</v>
      </c>
      <c r="C255" s="697" t="s">
        <v>3313</v>
      </c>
      <c r="D255" s="697" t="s">
        <v>3325</v>
      </c>
      <c r="E255" s="697" t="s">
        <v>3326</v>
      </c>
      <c r="F255" s="701">
        <v>58</v>
      </c>
      <c r="G255" s="701">
        <v>600052.14</v>
      </c>
      <c r="H255" s="701"/>
      <c r="I255" s="701">
        <v>10345.726551724138</v>
      </c>
      <c r="J255" s="701">
        <v>83</v>
      </c>
      <c r="K255" s="701">
        <v>862713.42000000016</v>
      </c>
      <c r="L255" s="701"/>
      <c r="M255" s="701">
        <v>10394.137590361448</v>
      </c>
      <c r="N255" s="701">
        <v>55</v>
      </c>
      <c r="O255" s="701">
        <v>573775.33000000007</v>
      </c>
      <c r="P255" s="726"/>
      <c r="Q255" s="702">
        <v>10432.278727272729</v>
      </c>
    </row>
    <row r="256" spans="1:17" ht="14.45" customHeight="1" x14ac:dyDescent="0.2">
      <c r="A256" s="696" t="s">
        <v>537</v>
      </c>
      <c r="B256" s="697" t="s">
        <v>2898</v>
      </c>
      <c r="C256" s="697" t="s">
        <v>3313</v>
      </c>
      <c r="D256" s="697" t="s">
        <v>3327</v>
      </c>
      <c r="E256" s="697" t="s">
        <v>3328</v>
      </c>
      <c r="F256" s="701">
        <v>365</v>
      </c>
      <c r="G256" s="701">
        <v>447768.47000000015</v>
      </c>
      <c r="H256" s="701"/>
      <c r="I256" s="701">
        <v>1226.7629315068498</v>
      </c>
      <c r="J256" s="701">
        <v>511</v>
      </c>
      <c r="K256" s="701">
        <v>636936.06999999972</v>
      </c>
      <c r="L256" s="701"/>
      <c r="M256" s="701">
        <v>1246.4502348336589</v>
      </c>
      <c r="N256" s="701">
        <v>308</v>
      </c>
      <c r="O256" s="701">
        <v>392074.2</v>
      </c>
      <c r="P256" s="726"/>
      <c r="Q256" s="702">
        <v>1272.9681818181818</v>
      </c>
    </row>
    <row r="257" spans="1:17" ht="14.45" customHeight="1" x14ac:dyDescent="0.2">
      <c r="A257" s="696" t="s">
        <v>537</v>
      </c>
      <c r="B257" s="697" t="s">
        <v>2898</v>
      </c>
      <c r="C257" s="697" t="s">
        <v>3313</v>
      </c>
      <c r="D257" s="697" t="s">
        <v>3329</v>
      </c>
      <c r="E257" s="697" t="s">
        <v>3330</v>
      </c>
      <c r="F257" s="701">
        <v>60</v>
      </c>
      <c r="G257" s="701">
        <v>14997.599999999999</v>
      </c>
      <c r="H257" s="701"/>
      <c r="I257" s="701">
        <v>249.95999999999998</v>
      </c>
      <c r="J257" s="701">
        <v>28</v>
      </c>
      <c r="K257" s="701">
        <v>7085.82</v>
      </c>
      <c r="L257" s="701"/>
      <c r="M257" s="701">
        <v>253.065</v>
      </c>
      <c r="N257" s="701">
        <v>48</v>
      </c>
      <c r="O257" s="701">
        <v>12289.529999999999</v>
      </c>
      <c r="P257" s="726"/>
      <c r="Q257" s="702">
        <v>256.03187499999996</v>
      </c>
    </row>
    <row r="258" spans="1:17" ht="14.45" customHeight="1" x14ac:dyDescent="0.2">
      <c r="A258" s="696" t="s">
        <v>537</v>
      </c>
      <c r="B258" s="697" t="s">
        <v>2898</v>
      </c>
      <c r="C258" s="697" t="s">
        <v>3313</v>
      </c>
      <c r="D258" s="697" t="s">
        <v>3331</v>
      </c>
      <c r="E258" s="697" t="s">
        <v>3332</v>
      </c>
      <c r="F258" s="701"/>
      <c r="G258" s="701"/>
      <c r="H258" s="701"/>
      <c r="I258" s="701"/>
      <c r="J258" s="701">
        <v>1</v>
      </c>
      <c r="K258" s="701">
        <v>2707.83</v>
      </c>
      <c r="L258" s="701"/>
      <c r="M258" s="701">
        <v>2707.83</v>
      </c>
      <c r="N258" s="701"/>
      <c r="O258" s="701"/>
      <c r="P258" s="726"/>
      <c r="Q258" s="702"/>
    </row>
    <row r="259" spans="1:17" ht="14.45" customHeight="1" x14ac:dyDescent="0.2">
      <c r="A259" s="696" t="s">
        <v>537</v>
      </c>
      <c r="B259" s="697" t="s">
        <v>2898</v>
      </c>
      <c r="C259" s="697" t="s">
        <v>3333</v>
      </c>
      <c r="D259" s="697" t="s">
        <v>3334</v>
      </c>
      <c r="E259" s="697" t="s">
        <v>3335</v>
      </c>
      <c r="F259" s="701">
        <v>28</v>
      </c>
      <c r="G259" s="701">
        <v>8804.8300000000017</v>
      </c>
      <c r="H259" s="701"/>
      <c r="I259" s="701">
        <v>314.45821428571435</v>
      </c>
      <c r="J259" s="701">
        <v>28</v>
      </c>
      <c r="K259" s="701">
        <v>8177.06</v>
      </c>
      <c r="L259" s="701"/>
      <c r="M259" s="701">
        <v>292.03785714285715</v>
      </c>
      <c r="N259" s="701">
        <v>2</v>
      </c>
      <c r="O259" s="701">
        <v>563.38</v>
      </c>
      <c r="P259" s="726"/>
      <c r="Q259" s="702">
        <v>281.69</v>
      </c>
    </row>
    <row r="260" spans="1:17" ht="14.45" customHeight="1" x14ac:dyDescent="0.2">
      <c r="A260" s="696" t="s">
        <v>537</v>
      </c>
      <c r="B260" s="697" t="s">
        <v>2898</v>
      </c>
      <c r="C260" s="697" t="s">
        <v>3333</v>
      </c>
      <c r="D260" s="697" t="s">
        <v>3336</v>
      </c>
      <c r="E260" s="697" t="s">
        <v>3335</v>
      </c>
      <c r="F260" s="701">
        <v>1</v>
      </c>
      <c r="G260" s="701">
        <v>370.39</v>
      </c>
      <c r="H260" s="701"/>
      <c r="I260" s="701">
        <v>370.39</v>
      </c>
      <c r="J260" s="701"/>
      <c r="K260" s="701"/>
      <c r="L260" s="701"/>
      <c r="M260" s="701"/>
      <c r="N260" s="701"/>
      <c r="O260" s="701"/>
      <c r="P260" s="726"/>
      <c r="Q260" s="702"/>
    </row>
    <row r="261" spans="1:17" ht="14.45" customHeight="1" x14ac:dyDescent="0.2">
      <c r="A261" s="696" t="s">
        <v>537</v>
      </c>
      <c r="B261" s="697" t="s">
        <v>2898</v>
      </c>
      <c r="C261" s="697" t="s">
        <v>3333</v>
      </c>
      <c r="D261" s="697" t="s">
        <v>3337</v>
      </c>
      <c r="E261" s="697" t="s">
        <v>3338</v>
      </c>
      <c r="F261" s="701"/>
      <c r="G261" s="701"/>
      <c r="H261" s="701"/>
      <c r="I261" s="701"/>
      <c r="J261" s="701">
        <v>1</v>
      </c>
      <c r="K261" s="701">
        <v>1435.36</v>
      </c>
      <c r="L261" s="701"/>
      <c r="M261" s="701">
        <v>1435.36</v>
      </c>
      <c r="N261" s="701"/>
      <c r="O261" s="701"/>
      <c r="P261" s="726"/>
      <c r="Q261" s="702"/>
    </row>
    <row r="262" spans="1:17" ht="14.45" customHeight="1" x14ac:dyDescent="0.2">
      <c r="A262" s="696" t="s">
        <v>537</v>
      </c>
      <c r="B262" s="697" t="s">
        <v>2898</v>
      </c>
      <c r="C262" s="697" t="s">
        <v>3333</v>
      </c>
      <c r="D262" s="697" t="s">
        <v>3339</v>
      </c>
      <c r="E262" s="697" t="s">
        <v>3340</v>
      </c>
      <c r="F262" s="701"/>
      <c r="G262" s="701"/>
      <c r="H262" s="701"/>
      <c r="I262" s="701"/>
      <c r="J262" s="701"/>
      <c r="K262" s="701"/>
      <c r="L262" s="701"/>
      <c r="M262" s="701"/>
      <c r="N262" s="701">
        <v>8</v>
      </c>
      <c r="O262" s="701">
        <v>594.96</v>
      </c>
      <c r="P262" s="726"/>
      <c r="Q262" s="702">
        <v>74.37</v>
      </c>
    </row>
    <row r="263" spans="1:17" ht="14.45" customHeight="1" x14ac:dyDescent="0.2">
      <c r="A263" s="696" t="s">
        <v>537</v>
      </c>
      <c r="B263" s="697" t="s">
        <v>2898</v>
      </c>
      <c r="C263" s="697" t="s">
        <v>3333</v>
      </c>
      <c r="D263" s="697" t="s">
        <v>3341</v>
      </c>
      <c r="E263" s="697" t="s">
        <v>3342</v>
      </c>
      <c r="F263" s="701"/>
      <c r="G263" s="701"/>
      <c r="H263" s="701"/>
      <c r="I263" s="701"/>
      <c r="J263" s="701">
        <v>1</v>
      </c>
      <c r="K263" s="701">
        <v>748.57</v>
      </c>
      <c r="L263" s="701"/>
      <c r="M263" s="701">
        <v>748.57</v>
      </c>
      <c r="N263" s="701"/>
      <c r="O263" s="701"/>
      <c r="P263" s="726"/>
      <c r="Q263" s="702"/>
    </row>
    <row r="264" spans="1:17" ht="14.45" customHeight="1" x14ac:dyDescent="0.2">
      <c r="A264" s="696" t="s">
        <v>537</v>
      </c>
      <c r="B264" s="697" t="s">
        <v>2898</v>
      </c>
      <c r="C264" s="697" t="s">
        <v>3333</v>
      </c>
      <c r="D264" s="697" t="s">
        <v>3343</v>
      </c>
      <c r="E264" s="697" t="s">
        <v>3344</v>
      </c>
      <c r="F264" s="701">
        <v>0.2</v>
      </c>
      <c r="G264" s="701">
        <v>22.92</v>
      </c>
      <c r="H264" s="701"/>
      <c r="I264" s="701">
        <v>114.60000000000001</v>
      </c>
      <c r="J264" s="701">
        <v>0.4</v>
      </c>
      <c r="K264" s="701">
        <v>45.84</v>
      </c>
      <c r="L264" s="701"/>
      <c r="M264" s="701">
        <v>114.60000000000001</v>
      </c>
      <c r="N264" s="701">
        <v>0.4</v>
      </c>
      <c r="O264" s="701">
        <v>45.84</v>
      </c>
      <c r="P264" s="726"/>
      <c r="Q264" s="702">
        <v>114.60000000000001</v>
      </c>
    </row>
    <row r="265" spans="1:17" ht="14.45" customHeight="1" x14ac:dyDescent="0.2">
      <c r="A265" s="696" t="s">
        <v>537</v>
      </c>
      <c r="B265" s="697" t="s">
        <v>2898</v>
      </c>
      <c r="C265" s="697" t="s">
        <v>3333</v>
      </c>
      <c r="D265" s="697" t="s">
        <v>3345</v>
      </c>
      <c r="E265" s="697" t="s">
        <v>3344</v>
      </c>
      <c r="F265" s="701">
        <v>0.1</v>
      </c>
      <c r="G265" s="701">
        <v>13.79</v>
      </c>
      <c r="H265" s="701"/>
      <c r="I265" s="701">
        <v>137.89999999999998</v>
      </c>
      <c r="J265" s="701">
        <v>0.2</v>
      </c>
      <c r="K265" s="701">
        <v>27.58</v>
      </c>
      <c r="L265" s="701"/>
      <c r="M265" s="701">
        <v>137.89999999999998</v>
      </c>
      <c r="N265" s="701"/>
      <c r="O265" s="701"/>
      <c r="P265" s="726"/>
      <c r="Q265" s="702"/>
    </row>
    <row r="266" spans="1:17" ht="14.45" customHeight="1" x14ac:dyDescent="0.2">
      <c r="A266" s="696" t="s">
        <v>537</v>
      </c>
      <c r="B266" s="697" t="s">
        <v>2898</v>
      </c>
      <c r="C266" s="697" t="s">
        <v>3333</v>
      </c>
      <c r="D266" s="697" t="s">
        <v>3346</v>
      </c>
      <c r="E266" s="697" t="s">
        <v>3344</v>
      </c>
      <c r="F266" s="701">
        <v>1.4</v>
      </c>
      <c r="G266" s="701">
        <v>881.40000000000009</v>
      </c>
      <c r="H266" s="701"/>
      <c r="I266" s="701">
        <v>629.57142857142867</v>
      </c>
      <c r="J266" s="701">
        <v>2.1</v>
      </c>
      <c r="K266" s="701">
        <v>1322.1299999999999</v>
      </c>
      <c r="L266" s="701"/>
      <c r="M266" s="701">
        <v>629.58571428571418</v>
      </c>
      <c r="N266" s="701">
        <v>1.5</v>
      </c>
      <c r="O266" s="701">
        <v>944.37000000000012</v>
      </c>
      <c r="P266" s="726"/>
      <c r="Q266" s="702">
        <v>629.58000000000004</v>
      </c>
    </row>
    <row r="267" spans="1:17" ht="14.45" customHeight="1" x14ac:dyDescent="0.2">
      <c r="A267" s="696" t="s">
        <v>537</v>
      </c>
      <c r="B267" s="697" t="s">
        <v>2898</v>
      </c>
      <c r="C267" s="697" t="s">
        <v>3333</v>
      </c>
      <c r="D267" s="697" t="s">
        <v>3347</v>
      </c>
      <c r="E267" s="697" t="s">
        <v>3348</v>
      </c>
      <c r="F267" s="701">
        <v>1</v>
      </c>
      <c r="G267" s="701">
        <v>1000.02</v>
      </c>
      <c r="H267" s="701"/>
      <c r="I267" s="701">
        <v>1000.02</v>
      </c>
      <c r="J267" s="701"/>
      <c r="K267" s="701"/>
      <c r="L267" s="701"/>
      <c r="M267" s="701"/>
      <c r="N267" s="701"/>
      <c r="O267" s="701"/>
      <c r="P267" s="726"/>
      <c r="Q267" s="702"/>
    </row>
    <row r="268" spans="1:17" ht="14.45" customHeight="1" x14ac:dyDescent="0.2">
      <c r="A268" s="696" t="s">
        <v>537</v>
      </c>
      <c r="B268" s="697" t="s">
        <v>2898</v>
      </c>
      <c r="C268" s="697" t="s">
        <v>3333</v>
      </c>
      <c r="D268" s="697" t="s">
        <v>3349</v>
      </c>
      <c r="E268" s="697" t="s">
        <v>3350</v>
      </c>
      <c r="F268" s="701"/>
      <c r="G268" s="701"/>
      <c r="H268" s="701"/>
      <c r="I268" s="701"/>
      <c r="J268" s="701">
        <v>1</v>
      </c>
      <c r="K268" s="701">
        <v>884.05</v>
      </c>
      <c r="L268" s="701"/>
      <c r="M268" s="701">
        <v>884.05</v>
      </c>
      <c r="N268" s="701"/>
      <c r="O268" s="701"/>
      <c r="P268" s="726"/>
      <c r="Q268" s="702"/>
    </row>
    <row r="269" spans="1:17" ht="14.45" customHeight="1" x14ac:dyDescent="0.2">
      <c r="A269" s="696" t="s">
        <v>537</v>
      </c>
      <c r="B269" s="697" t="s">
        <v>2898</v>
      </c>
      <c r="C269" s="697" t="s">
        <v>3333</v>
      </c>
      <c r="D269" s="697" t="s">
        <v>3351</v>
      </c>
      <c r="E269" s="697" t="s">
        <v>3350</v>
      </c>
      <c r="F269" s="701"/>
      <c r="G269" s="701"/>
      <c r="H269" s="701"/>
      <c r="I269" s="701"/>
      <c r="J269" s="701">
        <v>4</v>
      </c>
      <c r="K269" s="701">
        <v>4035.24</v>
      </c>
      <c r="L269" s="701"/>
      <c r="M269" s="701">
        <v>1008.81</v>
      </c>
      <c r="N269" s="701"/>
      <c r="O269" s="701"/>
      <c r="P269" s="726"/>
      <c r="Q269" s="702"/>
    </row>
    <row r="270" spans="1:17" ht="14.45" customHeight="1" x14ac:dyDescent="0.2">
      <c r="A270" s="696" t="s">
        <v>537</v>
      </c>
      <c r="B270" s="697" t="s">
        <v>2898</v>
      </c>
      <c r="C270" s="697" t="s">
        <v>3333</v>
      </c>
      <c r="D270" s="697" t="s">
        <v>3352</v>
      </c>
      <c r="E270" s="697" t="s">
        <v>3353</v>
      </c>
      <c r="F270" s="701">
        <v>2</v>
      </c>
      <c r="G270" s="701">
        <v>1374</v>
      </c>
      <c r="H270" s="701"/>
      <c r="I270" s="701">
        <v>687</v>
      </c>
      <c r="J270" s="701">
        <v>2</v>
      </c>
      <c r="K270" s="701">
        <v>1374</v>
      </c>
      <c r="L270" s="701"/>
      <c r="M270" s="701">
        <v>687</v>
      </c>
      <c r="N270" s="701"/>
      <c r="O270" s="701"/>
      <c r="P270" s="726"/>
      <c r="Q270" s="702"/>
    </row>
    <row r="271" spans="1:17" ht="14.45" customHeight="1" x14ac:dyDescent="0.2">
      <c r="A271" s="696" t="s">
        <v>537</v>
      </c>
      <c r="B271" s="697" t="s">
        <v>2898</v>
      </c>
      <c r="C271" s="697" t="s">
        <v>3333</v>
      </c>
      <c r="D271" s="697" t="s">
        <v>3354</v>
      </c>
      <c r="E271" s="697" t="s">
        <v>3355</v>
      </c>
      <c r="F271" s="701">
        <v>2</v>
      </c>
      <c r="G271" s="701">
        <v>3887.8</v>
      </c>
      <c r="H271" s="701"/>
      <c r="I271" s="701">
        <v>1943.9</v>
      </c>
      <c r="J271" s="701"/>
      <c r="K271" s="701"/>
      <c r="L271" s="701"/>
      <c r="M271" s="701"/>
      <c r="N271" s="701"/>
      <c r="O271" s="701"/>
      <c r="P271" s="726"/>
      <c r="Q271" s="702"/>
    </row>
    <row r="272" spans="1:17" ht="14.45" customHeight="1" x14ac:dyDescent="0.2">
      <c r="A272" s="696" t="s">
        <v>537</v>
      </c>
      <c r="B272" s="697" t="s">
        <v>2898</v>
      </c>
      <c r="C272" s="697" t="s">
        <v>3333</v>
      </c>
      <c r="D272" s="697" t="s">
        <v>3356</v>
      </c>
      <c r="E272" s="697" t="s">
        <v>3355</v>
      </c>
      <c r="F272" s="701">
        <v>2</v>
      </c>
      <c r="G272" s="701">
        <v>3887.8</v>
      </c>
      <c r="H272" s="701"/>
      <c r="I272" s="701">
        <v>1943.9</v>
      </c>
      <c r="J272" s="701"/>
      <c r="K272" s="701"/>
      <c r="L272" s="701"/>
      <c r="M272" s="701"/>
      <c r="N272" s="701"/>
      <c r="O272" s="701"/>
      <c r="P272" s="726"/>
      <c r="Q272" s="702"/>
    </row>
    <row r="273" spans="1:17" ht="14.45" customHeight="1" x14ac:dyDescent="0.2">
      <c r="A273" s="696" t="s">
        <v>537</v>
      </c>
      <c r="B273" s="697" t="s">
        <v>2898</v>
      </c>
      <c r="C273" s="697" t="s">
        <v>3333</v>
      </c>
      <c r="D273" s="697" t="s">
        <v>3357</v>
      </c>
      <c r="E273" s="697" t="s">
        <v>3358</v>
      </c>
      <c r="F273" s="701"/>
      <c r="G273" s="701"/>
      <c r="H273" s="701"/>
      <c r="I273" s="701"/>
      <c r="J273" s="701"/>
      <c r="K273" s="701"/>
      <c r="L273" s="701"/>
      <c r="M273" s="701"/>
      <c r="N273" s="701">
        <v>4.5</v>
      </c>
      <c r="O273" s="701">
        <v>15808.5</v>
      </c>
      <c r="P273" s="726"/>
      <c r="Q273" s="702">
        <v>3513</v>
      </c>
    </row>
    <row r="274" spans="1:17" ht="14.45" customHeight="1" x14ac:dyDescent="0.2">
      <c r="A274" s="696" t="s">
        <v>537</v>
      </c>
      <c r="B274" s="697" t="s">
        <v>2898</v>
      </c>
      <c r="C274" s="697" t="s">
        <v>3333</v>
      </c>
      <c r="D274" s="697" t="s">
        <v>3359</v>
      </c>
      <c r="E274" s="697" t="s">
        <v>3340</v>
      </c>
      <c r="F274" s="701"/>
      <c r="G274" s="701"/>
      <c r="H274" s="701"/>
      <c r="I274" s="701"/>
      <c r="J274" s="701">
        <v>11</v>
      </c>
      <c r="K274" s="701">
        <v>668.77</v>
      </c>
      <c r="L274" s="701"/>
      <c r="M274" s="701">
        <v>60.797272727272727</v>
      </c>
      <c r="N274" s="701">
        <v>1</v>
      </c>
      <c r="O274" s="701">
        <v>58.97</v>
      </c>
      <c r="P274" s="726"/>
      <c r="Q274" s="702">
        <v>58.97</v>
      </c>
    </row>
    <row r="275" spans="1:17" ht="14.45" customHeight="1" x14ac:dyDescent="0.2">
      <c r="A275" s="696" t="s">
        <v>537</v>
      </c>
      <c r="B275" s="697" t="s">
        <v>2898</v>
      </c>
      <c r="C275" s="697" t="s">
        <v>3333</v>
      </c>
      <c r="D275" s="697" t="s">
        <v>3360</v>
      </c>
      <c r="E275" s="697" t="s">
        <v>3361</v>
      </c>
      <c r="F275" s="701"/>
      <c r="G275" s="701"/>
      <c r="H275" s="701"/>
      <c r="I275" s="701"/>
      <c r="J275" s="701"/>
      <c r="K275" s="701"/>
      <c r="L275" s="701"/>
      <c r="M275" s="701"/>
      <c r="N275" s="701">
        <v>1</v>
      </c>
      <c r="O275" s="701">
        <v>3917.23</v>
      </c>
      <c r="P275" s="726"/>
      <c r="Q275" s="702">
        <v>3917.23</v>
      </c>
    </row>
    <row r="276" spans="1:17" ht="14.45" customHeight="1" x14ac:dyDescent="0.2">
      <c r="A276" s="696" t="s">
        <v>537</v>
      </c>
      <c r="B276" s="697" t="s">
        <v>2898</v>
      </c>
      <c r="C276" s="697" t="s">
        <v>3333</v>
      </c>
      <c r="D276" s="697" t="s">
        <v>3362</v>
      </c>
      <c r="E276" s="697" t="s">
        <v>3363</v>
      </c>
      <c r="F276" s="701"/>
      <c r="G276" s="701"/>
      <c r="H276" s="701"/>
      <c r="I276" s="701"/>
      <c r="J276" s="701">
        <v>1</v>
      </c>
      <c r="K276" s="701">
        <v>4919.58</v>
      </c>
      <c r="L276" s="701"/>
      <c r="M276" s="701">
        <v>4919.58</v>
      </c>
      <c r="N276" s="701"/>
      <c r="O276" s="701"/>
      <c r="P276" s="726"/>
      <c r="Q276" s="702"/>
    </row>
    <row r="277" spans="1:17" ht="14.45" customHeight="1" x14ac:dyDescent="0.2">
      <c r="A277" s="696" t="s">
        <v>537</v>
      </c>
      <c r="B277" s="697" t="s">
        <v>2898</v>
      </c>
      <c r="C277" s="697" t="s">
        <v>3333</v>
      </c>
      <c r="D277" s="697" t="s">
        <v>3364</v>
      </c>
      <c r="E277" s="697" t="s">
        <v>3365</v>
      </c>
      <c r="F277" s="701">
        <v>1</v>
      </c>
      <c r="G277" s="701">
        <v>4880</v>
      </c>
      <c r="H277" s="701"/>
      <c r="I277" s="701">
        <v>4880</v>
      </c>
      <c r="J277" s="701"/>
      <c r="K277" s="701"/>
      <c r="L277" s="701"/>
      <c r="M277" s="701"/>
      <c r="N277" s="701"/>
      <c r="O277" s="701"/>
      <c r="P277" s="726"/>
      <c r="Q277" s="702"/>
    </row>
    <row r="278" spans="1:17" ht="14.45" customHeight="1" x14ac:dyDescent="0.2">
      <c r="A278" s="696" t="s">
        <v>537</v>
      </c>
      <c r="B278" s="697" t="s">
        <v>2898</v>
      </c>
      <c r="C278" s="697" t="s">
        <v>3333</v>
      </c>
      <c r="D278" s="697" t="s">
        <v>3366</v>
      </c>
      <c r="E278" s="697" t="s">
        <v>3367</v>
      </c>
      <c r="F278" s="701">
        <v>1</v>
      </c>
      <c r="G278" s="701">
        <v>6307.7</v>
      </c>
      <c r="H278" s="701"/>
      <c r="I278" s="701">
        <v>6307.7</v>
      </c>
      <c r="J278" s="701"/>
      <c r="K278" s="701"/>
      <c r="L278" s="701"/>
      <c r="M278" s="701"/>
      <c r="N278" s="701"/>
      <c r="O278" s="701"/>
      <c r="P278" s="726"/>
      <c r="Q278" s="702"/>
    </row>
    <row r="279" spans="1:17" ht="14.45" customHeight="1" x14ac:dyDescent="0.2">
      <c r="A279" s="696" t="s">
        <v>537</v>
      </c>
      <c r="B279" s="697" t="s">
        <v>2898</v>
      </c>
      <c r="C279" s="697" t="s">
        <v>3333</v>
      </c>
      <c r="D279" s="697" t="s">
        <v>3368</v>
      </c>
      <c r="E279" s="697" t="s">
        <v>3369</v>
      </c>
      <c r="F279" s="701"/>
      <c r="G279" s="701"/>
      <c r="H279" s="701"/>
      <c r="I279" s="701"/>
      <c r="J279" s="701">
        <v>1</v>
      </c>
      <c r="K279" s="701">
        <v>185.2</v>
      </c>
      <c r="L279" s="701"/>
      <c r="M279" s="701">
        <v>185.2</v>
      </c>
      <c r="N279" s="701"/>
      <c r="O279" s="701"/>
      <c r="P279" s="726"/>
      <c r="Q279" s="702"/>
    </row>
    <row r="280" spans="1:17" ht="14.45" customHeight="1" x14ac:dyDescent="0.2">
      <c r="A280" s="696" t="s">
        <v>537</v>
      </c>
      <c r="B280" s="697" t="s">
        <v>2898</v>
      </c>
      <c r="C280" s="697" t="s">
        <v>3333</v>
      </c>
      <c r="D280" s="697" t="s">
        <v>3370</v>
      </c>
      <c r="E280" s="697" t="s">
        <v>3369</v>
      </c>
      <c r="F280" s="701">
        <v>1</v>
      </c>
      <c r="G280" s="701">
        <v>226.12</v>
      </c>
      <c r="H280" s="701"/>
      <c r="I280" s="701">
        <v>226.12</v>
      </c>
      <c r="J280" s="701">
        <v>1</v>
      </c>
      <c r="K280" s="701">
        <v>226.12</v>
      </c>
      <c r="L280" s="701"/>
      <c r="M280" s="701">
        <v>226.12</v>
      </c>
      <c r="N280" s="701"/>
      <c r="O280" s="701"/>
      <c r="P280" s="726"/>
      <c r="Q280" s="702"/>
    </row>
    <row r="281" spans="1:17" ht="14.45" customHeight="1" x14ac:dyDescent="0.2">
      <c r="A281" s="696" t="s">
        <v>537</v>
      </c>
      <c r="B281" s="697" t="s">
        <v>2898</v>
      </c>
      <c r="C281" s="697" t="s">
        <v>3333</v>
      </c>
      <c r="D281" s="697" t="s">
        <v>3371</v>
      </c>
      <c r="E281" s="697" t="s">
        <v>3340</v>
      </c>
      <c r="F281" s="701"/>
      <c r="G281" s="701"/>
      <c r="H281" s="701"/>
      <c r="I281" s="701"/>
      <c r="J281" s="701">
        <v>1</v>
      </c>
      <c r="K281" s="701">
        <v>121.25</v>
      </c>
      <c r="L281" s="701"/>
      <c r="M281" s="701">
        <v>121.25</v>
      </c>
      <c r="N281" s="701"/>
      <c r="O281" s="701"/>
      <c r="P281" s="726"/>
      <c r="Q281" s="702"/>
    </row>
    <row r="282" spans="1:17" ht="14.45" customHeight="1" x14ac:dyDescent="0.2">
      <c r="A282" s="696" t="s">
        <v>537</v>
      </c>
      <c r="B282" s="697" t="s">
        <v>2898</v>
      </c>
      <c r="C282" s="697" t="s">
        <v>3333</v>
      </c>
      <c r="D282" s="697" t="s">
        <v>3372</v>
      </c>
      <c r="E282" s="697" t="s">
        <v>3373</v>
      </c>
      <c r="F282" s="701"/>
      <c r="G282" s="701"/>
      <c r="H282" s="701"/>
      <c r="I282" s="701"/>
      <c r="J282" s="701">
        <v>1</v>
      </c>
      <c r="K282" s="701">
        <v>1719.25</v>
      </c>
      <c r="L282" s="701"/>
      <c r="M282" s="701">
        <v>1719.25</v>
      </c>
      <c r="N282" s="701"/>
      <c r="O282" s="701"/>
      <c r="P282" s="726"/>
      <c r="Q282" s="702"/>
    </row>
    <row r="283" spans="1:17" ht="14.45" customHeight="1" x14ac:dyDescent="0.2">
      <c r="A283" s="696" t="s">
        <v>537</v>
      </c>
      <c r="B283" s="697" t="s">
        <v>2898</v>
      </c>
      <c r="C283" s="697" t="s">
        <v>3333</v>
      </c>
      <c r="D283" s="697" t="s">
        <v>3374</v>
      </c>
      <c r="E283" s="697" t="s">
        <v>3375</v>
      </c>
      <c r="F283" s="701">
        <v>3</v>
      </c>
      <c r="G283" s="701">
        <v>4458.4500000000007</v>
      </c>
      <c r="H283" s="701"/>
      <c r="I283" s="701">
        <v>1486.1500000000003</v>
      </c>
      <c r="J283" s="701">
        <v>4</v>
      </c>
      <c r="K283" s="701">
        <v>5080.16</v>
      </c>
      <c r="L283" s="701"/>
      <c r="M283" s="701">
        <v>1270.04</v>
      </c>
      <c r="N283" s="701"/>
      <c r="O283" s="701"/>
      <c r="P283" s="726"/>
      <c r="Q283" s="702"/>
    </row>
    <row r="284" spans="1:17" ht="14.45" customHeight="1" x14ac:dyDescent="0.2">
      <c r="A284" s="696" t="s">
        <v>537</v>
      </c>
      <c r="B284" s="697" t="s">
        <v>2898</v>
      </c>
      <c r="C284" s="697" t="s">
        <v>3333</v>
      </c>
      <c r="D284" s="697" t="s">
        <v>3376</v>
      </c>
      <c r="E284" s="697" t="s">
        <v>3377</v>
      </c>
      <c r="F284" s="701">
        <v>2</v>
      </c>
      <c r="G284" s="701">
        <v>3465.6</v>
      </c>
      <c r="H284" s="701"/>
      <c r="I284" s="701">
        <v>1732.8</v>
      </c>
      <c r="J284" s="701"/>
      <c r="K284" s="701"/>
      <c r="L284" s="701"/>
      <c r="M284" s="701"/>
      <c r="N284" s="701">
        <v>3</v>
      </c>
      <c r="O284" s="701">
        <v>4485</v>
      </c>
      <c r="P284" s="726"/>
      <c r="Q284" s="702">
        <v>1495</v>
      </c>
    </row>
    <row r="285" spans="1:17" ht="14.45" customHeight="1" x14ac:dyDescent="0.2">
      <c r="A285" s="696" t="s">
        <v>537</v>
      </c>
      <c r="B285" s="697" t="s">
        <v>2898</v>
      </c>
      <c r="C285" s="697" t="s">
        <v>3333</v>
      </c>
      <c r="D285" s="697" t="s">
        <v>3378</v>
      </c>
      <c r="E285" s="697" t="s">
        <v>3379</v>
      </c>
      <c r="F285" s="701"/>
      <c r="G285" s="701"/>
      <c r="H285" s="701"/>
      <c r="I285" s="701"/>
      <c r="J285" s="701">
        <v>2</v>
      </c>
      <c r="K285" s="701">
        <v>5250.22</v>
      </c>
      <c r="L285" s="701"/>
      <c r="M285" s="701">
        <v>2625.11</v>
      </c>
      <c r="N285" s="701"/>
      <c r="O285" s="701"/>
      <c r="P285" s="726"/>
      <c r="Q285" s="702"/>
    </row>
    <row r="286" spans="1:17" ht="14.45" customHeight="1" x14ac:dyDescent="0.2">
      <c r="A286" s="696" t="s">
        <v>537</v>
      </c>
      <c r="B286" s="697" t="s">
        <v>2898</v>
      </c>
      <c r="C286" s="697" t="s">
        <v>3333</v>
      </c>
      <c r="D286" s="697" t="s">
        <v>3380</v>
      </c>
      <c r="E286" s="697" t="s">
        <v>3381</v>
      </c>
      <c r="F286" s="701"/>
      <c r="G286" s="701"/>
      <c r="H286" s="701"/>
      <c r="I286" s="701"/>
      <c r="J286" s="701">
        <v>6</v>
      </c>
      <c r="K286" s="701">
        <v>6397.98</v>
      </c>
      <c r="L286" s="701"/>
      <c r="M286" s="701">
        <v>1066.33</v>
      </c>
      <c r="N286" s="701"/>
      <c r="O286" s="701"/>
      <c r="P286" s="726"/>
      <c r="Q286" s="702"/>
    </row>
    <row r="287" spans="1:17" ht="14.45" customHeight="1" x14ac:dyDescent="0.2">
      <c r="A287" s="696" t="s">
        <v>537</v>
      </c>
      <c r="B287" s="697" t="s">
        <v>2898</v>
      </c>
      <c r="C287" s="697" t="s">
        <v>3333</v>
      </c>
      <c r="D287" s="697" t="s">
        <v>3382</v>
      </c>
      <c r="E287" s="697" t="s">
        <v>3381</v>
      </c>
      <c r="F287" s="701"/>
      <c r="G287" s="701"/>
      <c r="H287" s="701"/>
      <c r="I287" s="701"/>
      <c r="J287" s="701">
        <v>14</v>
      </c>
      <c r="K287" s="701">
        <v>17016.440000000002</v>
      </c>
      <c r="L287" s="701"/>
      <c r="M287" s="701">
        <v>1215.4600000000003</v>
      </c>
      <c r="N287" s="701">
        <v>5</v>
      </c>
      <c r="O287" s="701">
        <v>6077.3</v>
      </c>
      <c r="P287" s="726"/>
      <c r="Q287" s="702">
        <v>1215.46</v>
      </c>
    </row>
    <row r="288" spans="1:17" ht="14.45" customHeight="1" x14ac:dyDescent="0.2">
      <c r="A288" s="696" t="s">
        <v>537</v>
      </c>
      <c r="B288" s="697" t="s">
        <v>2898</v>
      </c>
      <c r="C288" s="697" t="s">
        <v>3333</v>
      </c>
      <c r="D288" s="697" t="s">
        <v>3383</v>
      </c>
      <c r="E288" s="697" t="s">
        <v>3381</v>
      </c>
      <c r="F288" s="701"/>
      <c r="G288" s="701"/>
      <c r="H288" s="701"/>
      <c r="I288" s="701"/>
      <c r="J288" s="701">
        <v>10</v>
      </c>
      <c r="K288" s="701">
        <v>14152.6</v>
      </c>
      <c r="L288" s="701"/>
      <c r="M288" s="701">
        <v>1415.26</v>
      </c>
      <c r="N288" s="701"/>
      <c r="O288" s="701"/>
      <c r="P288" s="726"/>
      <c r="Q288" s="702"/>
    </row>
    <row r="289" spans="1:17" ht="14.45" customHeight="1" x14ac:dyDescent="0.2">
      <c r="A289" s="696" t="s">
        <v>537</v>
      </c>
      <c r="B289" s="697" t="s">
        <v>2898</v>
      </c>
      <c r="C289" s="697" t="s">
        <v>3333</v>
      </c>
      <c r="D289" s="697" t="s">
        <v>3384</v>
      </c>
      <c r="E289" s="697" t="s">
        <v>3381</v>
      </c>
      <c r="F289" s="701"/>
      <c r="G289" s="701"/>
      <c r="H289" s="701"/>
      <c r="I289" s="701"/>
      <c r="J289" s="701">
        <v>2</v>
      </c>
      <c r="K289" s="701">
        <v>3041.06</v>
      </c>
      <c r="L289" s="701"/>
      <c r="M289" s="701">
        <v>1520.53</v>
      </c>
      <c r="N289" s="701"/>
      <c r="O289" s="701"/>
      <c r="P289" s="726"/>
      <c r="Q289" s="702"/>
    </row>
    <row r="290" spans="1:17" ht="14.45" customHeight="1" x14ac:dyDescent="0.2">
      <c r="A290" s="696" t="s">
        <v>537</v>
      </c>
      <c r="B290" s="697" t="s">
        <v>2898</v>
      </c>
      <c r="C290" s="697" t="s">
        <v>3333</v>
      </c>
      <c r="D290" s="697" t="s">
        <v>3385</v>
      </c>
      <c r="E290" s="697" t="s">
        <v>3386</v>
      </c>
      <c r="F290" s="701"/>
      <c r="G290" s="701"/>
      <c r="H290" s="701"/>
      <c r="I290" s="701"/>
      <c r="J290" s="701">
        <v>1</v>
      </c>
      <c r="K290" s="701">
        <v>1213.49</v>
      </c>
      <c r="L290" s="701"/>
      <c r="M290" s="701">
        <v>1213.49</v>
      </c>
      <c r="N290" s="701">
        <v>5</v>
      </c>
      <c r="O290" s="701">
        <v>6067.5</v>
      </c>
      <c r="P290" s="726"/>
      <c r="Q290" s="702">
        <v>1213.5</v>
      </c>
    </row>
    <row r="291" spans="1:17" ht="14.45" customHeight="1" x14ac:dyDescent="0.2">
      <c r="A291" s="696" t="s">
        <v>537</v>
      </c>
      <c r="B291" s="697" t="s">
        <v>2898</v>
      </c>
      <c r="C291" s="697" t="s">
        <v>3333</v>
      </c>
      <c r="D291" s="697" t="s">
        <v>3387</v>
      </c>
      <c r="E291" s="697" t="s">
        <v>3386</v>
      </c>
      <c r="F291" s="701"/>
      <c r="G291" s="701"/>
      <c r="H291" s="701"/>
      <c r="I291" s="701"/>
      <c r="J291" s="701">
        <v>5</v>
      </c>
      <c r="K291" s="701">
        <v>6613.35</v>
      </c>
      <c r="L291" s="701"/>
      <c r="M291" s="701">
        <v>1322.67</v>
      </c>
      <c r="N291" s="701"/>
      <c r="O291" s="701"/>
      <c r="P291" s="726"/>
      <c r="Q291" s="702"/>
    </row>
    <row r="292" spans="1:17" ht="14.45" customHeight="1" x14ac:dyDescent="0.2">
      <c r="A292" s="696" t="s">
        <v>537</v>
      </c>
      <c r="B292" s="697" t="s">
        <v>2898</v>
      </c>
      <c r="C292" s="697" t="s">
        <v>3333</v>
      </c>
      <c r="D292" s="697" t="s">
        <v>3388</v>
      </c>
      <c r="E292" s="697" t="s">
        <v>3389</v>
      </c>
      <c r="F292" s="701">
        <v>1</v>
      </c>
      <c r="G292" s="701">
        <v>1738.87</v>
      </c>
      <c r="H292" s="701"/>
      <c r="I292" s="701">
        <v>1738.87</v>
      </c>
      <c r="J292" s="701"/>
      <c r="K292" s="701"/>
      <c r="L292" s="701"/>
      <c r="M292" s="701"/>
      <c r="N292" s="701"/>
      <c r="O292" s="701"/>
      <c r="P292" s="726"/>
      <c r="Q292" s="702"/>
    </row>
    <row r="293" spans="1:17" ht="14.45" customHeight="1" x14ac:dyDescent="0.2">
      <c r="A293" s="696" t="s">
        <v>537</v>
      </c>
      <c r="B293" s="697" t="s">
        <v>2898</v>
      </c>
      <c r="C293" s="697" t="s">
        <v>3333</v>
      </c>
      <c r="D293" s="697" t="s">
        <v>3390</v>
      </c>
      <c r="E293" s="697" t="s">
        <v>3389</v>
      </c>
      <c r="F293" s="701">
        <v>1</v>
      </c>
      <c r="G293" s="701">
        <v>1904.56</v>
      </c>
      <c r="H293" s="701"/>
      <c r="I293" s="701">
        <v>1904.56</v>
      </c>
      <c r="J293" s="701"/>
      <c r="K293" s="701"/>
      <c r="L293" s="701"/>
      <c r="M293" s="701"/>
      <c r="N293" s="701"/>
      <c r="O293" s="701"/>
      <c r="P293" s="726"/>
      <c r="Q293" s="702"/>
    </row>
    <row r="294" spans="1:17" ht="14.45" customHeight="1" x14ac:dyDescent="0.2">
      <c r="A294" s="696" t="s">
        <v>537</v>
      </c>
      <c r="B294" s="697" t="s">
        <v>2898</v>
      </c>
      <c r="C294" s="697" t="s">
        <v>3333</v>
      </c>
      <c r="D294" s="697" t="s">
        <v>3391</v>
      </c>
      <c r="E294" s="697" t="s">
        <v>3392</v>
      </c>
      <c r="F294" s="701">
        <v>5</v>
      </c>
      <c r="G294" s="701">
        <v>3946.45</v>
      </c>
      <c r="H294" s="701"/>
      <c r="I294" s="701">
        <v>789.29</v>
      </c>
      <c r="J294" s="701">
        <v>19</v>
      </c>
      <c r="K294" s="701">
        <v>14996.509999999998</v>
      </c>
      <c r="L294" s="701"/>
      <c r="M294" s="701">
        <v>789.29</v>
      </c>
      <c r="N294" s="701">
        <v>2</v>
      </c>
      <c r="O294" s="701">
        <v>1578.58</v>
      </c>
      <c r="P294" s="726"/>
      <c r="Q294" s="702">
        <v>789.29</v>
      </c>
    </row>
    <row r="295" spans="1:17" ht="14.45" customHeight="1" x14ac:dyDescent="0.2">
      <c r="A295" s="696" t="s">
        <v>537</v>
      </c>
      <c r="B295" s="697" t="s">
        <v>2898</v>
      </c>
      <c r="C295" s="697" t="s">
        <v>3333</v>
      </c>
      <c r="D295" s="697" t="s">
        <v>3393</v>
      </c>
      <c r="E295" s="697" t="s">
        <v>3386</v>
      </c>
      <c r="F295" s="701"/>
      <c r="G295" s="701"/>
      <c r="H295" s="701"/>
      <c r="I295" s="701"/>
      <c r="J295" s="701"/>
      <c r="K295" s="701"/>
      <c r="L295" s="701"/>
      <c r="M295" s="701"/>
      <c r="N295" s="701">
        <v>3</v>
      </c>
      <c r="O295" s="701">
        <v>3269.16</v>
      </c>
      <c r="P295" s="726"/>
      <c r="Q295" s="702">
        <v>1089.72</v>
      </c>
    </row>
    <row r="296" spans="1:17" ht="14.45" customHeight="1" x14ac:dyDescent="0.2">
      <c r="A296" s="696" t="s">
        <v>537</v>
      </c>
      <c r="B296" s="697" t="s">
        <v>2898</v>
      </c>
      <c r="C296" s="697" t="s">
        <v>3333</v>
      </c>
      <c r="D296" s="697" t="s">
        <v>3394</v>
      </c>
      <c r="E296" s="697" t="s">
        <v>3395</v>
      </c>
      <c r="F296" s="701"/>
      <c r="G296" s="701"/>
      <c r="H296" s="701"/>
      <c r="I296" s="701"/>
      <c r="J296" s="701"/>
      <c r="K296" s="701"/>
      <c r="L296" s="701"/>
      <c r="M296" s="701"/>
      <c r="N296" s="701">
        <v>1</v>
      </c>
      <c r="O296" s="701">
        <v>10807.5</v>
      </c>
      <c r="P296" s="726"/>
      <c r="Q296" s="702">
        <v>10807.5</v>
      </c>
    </row>
    <row r="297" spans="1:17" ht="14.45" customHeight="1" x14ac:dyDescent="0.2">
      <c r="A297" s="696" t="s">
        <v>537</v>
      </c>
      <c r="B297" s="697" t="s">
        <v>2898</v>
      </c>
      <c r="C297" s="697" t="s">
        <v>3333</v>
      </c>
      <c r="D297" s="697" t="s">
        <v>3396</v>
      </c>
      <c r="E297" s="697" t="s">
        <v>3397</v>
      </c>
      <c r="F297" s="701"/>
      <c r="G297" s="701"/>
      <c r="H297" s="701"/>
      <c r="I297" s="701"/>
      <c r="J297" s="701">
        <v>2</v>
      </c>
      <c r="K297" s="701">
        <v>18174.25</v>
      </c>
      <c r="L297" s="701"/>
      <c r="M297" s="701">
        <v>9087.125</v>
      </c>
      <c r="N297" s="701"/>
      <c r="O297" s="701"/>
      <c r="P297" s="726"/>
      <c r="Q297" s="702"/>
    </row>
    <row r="298" spans="1:17" ht="14.45" customHeight="1" x14ac:dyDescent="0.2">
      <c r="A298" s="696" t="s">
        <v>537</v>
      </c>
      <c r="B298" s="697" t="s">
        <v>2898</v>
      </c>
      <c r="C298" s="697" t="s">
        <v>3333</v>
      </c>
      <c r="D298" s="697" t="s">
        <v>3398</v>
      </c>
      <c r="E298" s="697" t="s">
        <v>3399</v>
      </c>
      <c r="F298" s="701"/>
      <c r="G298" s="701"/>
      <c r="H298" s="701"/>
      <c r="I298" s="701"/>
      <c r="J298" s="701">
        <v>14</v>
      </c>
      <c r="K298" s="701">
        <v>12322.099999999999</v>
      </c>
      <c r="L298" s="701"/>
      <c r="M298" s="701">
        <v>880.14999999999986</v>
      </c>
      <c r="N298" s="701"/>
      <c r="O298" s="701"/>
      <c r="P298" s="726"/>
      <c r="Q298" s="702"/>
    </row>
    <row r="299" spans="1:17" ht="14.45" customHeight="1" x14ac:dyDescent="0.2">
      <c r="A299" s="696" t="s">
        <v>537</v>
      </c>
      <c r="B299" s="697" t="s">
        <v>2898</v>
      </c>
      <c r="C299" s="697" t="s">
        <v>3333</v>
      </c>
      <c r="D299" s="697" t="s">
        <v>3400</v>
      </c>
      <c r="E299" s="697" t="s">
        <v>3401</v>
      </c>
      <c r="F299" s="701"/>
      <c r="G299" s="701"/>
      <c r="H299" s="701"/>
      <c r="I299" s="701"/>
      <c r="J299" s="701">
        <v>1</v>
      </c>
      <c r="K299" s="701">
        <v>28950</v>
      </c>
      <c r="L299" s="701"/>
      <c r="M299" s="701">
        <v>28950</v>
      </c>
      <c r="N299" s="701"/>
      <c r="O299" s="701"/>
      <c r="P299" s="726"/>
      <c r="Q299" s="702"/>
    </row>
    <row r="300" spans="1:17" ht="14.45" customHeight="1" x14ac:dyDescent="0.2">
      <c r="A300" s="696" t="s">
        <v>537</v>
      </c>
      <c r="B300" s="697" t="s">
        <v>2898</v>
      </c>
      <c r="C300" s="697" t="s">
        <v>3333</v>
      </c>
      <c r="D300" s="697" t="s">
        <v>3402</v>
      </c>
      <c r="E300" s="697" t="s">
        <v>3403</v>
      </c>
      <c r="F300" s="701"/>
      <c r="G300" s="701"/>
      <c r="H300" s="701"/>
      <c r="I300" s="701"/>
      <c r="J300" s="701">
        <v>1</v>
      </c>
      <c r="K300" s="701">
        <v>60099</v>
      </c>
      <c r="L300" s="701"/>
      <c r="M300" s="701">
        <v>60099</v>
      </c>
      <c r="N300" s="701"/>
      <c r="O300" s="701"/>
      <c r="P300" s="726"/>
      <c r="Q300" s="702"/>
    </row>
    <row r="301" spans="1:17" ht="14.45" customHeight="1" x14ac:dyDescent="0.2">
      <c r="A301" s="696" t="s">
        <v>537</v>
      </c>
      <c r="B301" s="697" t="s">
        <v>2898</v>
      </c>
      <c r="C301" s="697" t="s">
        <v>3333</v>
      </c>
      <c r="D301" s="697" t="s">
        <v>3404</v>
      </c>
      <c r="E301" s="697" t="s">
        <v>3405</v>
      </c>
      <c r="F301" s="701"/>
      <c r="G301" s="701"/>
      <c r="H301" s="701"/>
      <c r="I301" s="701"/>
      <c r="J301" s="701">
        <v>1</v>
      </c>
      <c r="K301" s="701">
        <v>907.5</v>
      </c>
      <c r="L301" s="701"/>
      <c r="M301" s="701">
        <v>907.5</v>
      </c>
      <c r="N301" s="701">
        <v>1</v>
      </c>
      <c r="O301" s="701">
        <v>907.5</v>
      </c>
      <c r="P301" s="726"/>
      <c r="Q301" s="702">
        <v>907.5</v>
      </c>
    </row>
    <row r="302" spans="1:17" ht="14.45" customHeight="1" x14ac:dyDescent="0.2">
      <c r="A302" s="696" t="s">
        <v>537</v>
      </c>
      <c r="B302" s="697" t="s">
        <v>2898</v>
      </c>
      <c r="C302" s="697" t="s">
        <v>3333</v>
      </c>
      <c r="D302" s="697" t="s">
        <v>3406</v>
      </c>
      <c r="E302" s="697" t="s">
        <v>3407</v>
      </c>
      <c r="F302" s="701"/>
      <c r="G302" s="701"/>
      <c r="H302" s="701"/>
      <c r="I302" s="701"/>
      <c r="J302" s="701"/>
      <c r="K302" s="701"/>
      <c r="L302" s="701"/>
      <c r="M302" s="701"/>
      <c r="N302" s="701">
        <v>2</v>
      </c>
      <c r="O302" s="701">
        <v>1190</v>
      </c>
      <c r="P302" s="726"/>
      <c r="Q302" s="702">
        <v>595</v>
      </c>
    </row>
    <row r="303" spans="1:17" ht="14.45" customHeight="1" x14ac:dyDescent="0.2">
      <c r="A303" s="696" t="s">
        <v>537</v>
      </c>
      <c r="B303" s="697" t="s">
        <v>2898</v>
      </c>
      <c r="C303" s="697" t="s">
        <v>3333</v>
      </c>
      <c r="D303" s="697" t="s">
        <v>3408</v>
      </c>
      <c r="E303" s="697" t="s">
        <v>3409</v>
      </c>
      <c r="F303" s="701">
        <v>1</v>
      </c>
      <c r="G303" s="701">
        <v>223.85</v>
      </c>
      <c r="H303" s="701"/>
      <c r="I303" s="701">
        <v>223.85</v>
      </c>
      <c r="J303" s="701">
        <v>4</v>
      </c>
      <c r="K303" s="701">
        <v>895.4</v>
      </c>
      <c r="L303" s="701"/>
      <c r="M303" s="701">
        <v>223.85</v>
      </c>
      <c r="N303" s="701"/>
      <c r="O303" s="701"/>
      <c r="P303" s="726"/>
      <c r="Q303" s="702"/>
    </row>
    <row r="304" spans="1:17" ht="14.45" customHeight="1" x14ac:dyDescent="0.2">
      <c r="A304" s="696" t="s">
        <v>537</v>
      </c>
      <c r="B304" s="697" t="s">
        <v>2898</v>
      </c>
      <c r="C304" s="697" t="s">
        <v>3333</v>
      </c>
      <c r="D304" s="697" t="s">
        <v>3410</v>
      </c>
      <c r="E304" s="697" t="s">
        <v>3411</v>
      </c>
      <c r="F304" s="701"/>
      <c r="G304" s="701"/>
      <c r="H304" s="701"/>
      <c r="I304" s="701"/>
      <c r="J304" s="701"/>
      <c r="K304" s="701"/>
      <c r="L304" s="701"/>
      <c r="M304" s="701"/>
      <c r="N304" s="701">
        <v>1</v>
      </c>
      <c r="O304" s="701">
        <v>7031.68</v>
      </c>
      <c r="P304" s="726"/>
      <c r="Q304" s="702">
        <v>7031.68</v>
      </c>
    </row>
    <row r="305" spans="1:17" ht="14.45" customHeight="1" x14ac:dyDescent="0.2">
      <c r="A305" s="696" t="s">
        <v>537</v>
      </c>
      <c r="B305" s="697" t="s">
        <v>2898</v>
      </c>
      <c r="C305" s="697" t="s">
        <v>3333</v>
      </c>
      <c r="D305" s="697" t="s">
        <v>3412</v>
      </c>
      <c r="E305" s="697" t="s">
        <v>3413</v>
      </c>
      <c r="F305" s="701"/>
      <c r="G305" s="701"/>
      <c r="H305" s="701"/>
      <c r="I305" s="701"/>
      <c r="J305" s="701"/>
      <c r="K305" s="701"/>
      <c r="L305" s="701"/>
      <c r="M305" s="701"/>
      <c r="N305" s="701">
        <v>1</v>
      </c>
      <c r="O305" s="701">
        <v>5030.17</v>
      </c>
      <c r="P305" s="726"/>
      <c r="Q305" s="702">
        <v>5030.17</v>
      </c>
    </row>
    <row r="306" spans="1:17" ht="14.45" customHeight="1" x14ac:dyDescent="0.2">
      <c r="A306" s="696" t="s">
        <v>537</v>
      </c>
      <c r="B306" s="697" t="s">
        <v>2898</v>
      </c>
      <c r="C306" s="697" t="s">
        <v>3333</v>
      </c>
      <c r="D306" s="697" t="s">
        <v>3414</v>
      </c>
      <c r="E306" s="697" t="s">
        <v>3415</v>
      </c>
      <c r="F306" s="701">
        <v>1</v>
      </c>
      <c r="G306" s="701">
        <v>408.74</v>
      </c>
      <c r="H306" s="701"/>
      <c r="I306" s="701">
        <v>408.74</v>
      </c>
      <c r="J306" s="701">
        <v>1</v>
      </c>
      <c r="K306" s="701">
        <v>408.74</v>
      </c>
      <c r="L306" s="701"/>
      <c r="M306" s="701">
        <v>408.74</v>
      </c>
      <c r="N306" s="701"/>
      <c r="O306" s="701"/>
      <c r="P306" s="726"/>
      <c r="Q306" s="702"/>
    </row>
    <row r="307" spans="1:17" ht="14.45" customHeight="1" x14ac:dyDescent="0.2">
      <c r="A307" s="696" t="s">
        <v>537</v>
      </c>
      <c r="B307" s="697" t="s">
        <v>2898</v>
      </c>
      <c r="C307" s="697" t="s">
        <v>3333</v>
      </c>
      <c r="D307" s="697" t="s">
        <v>3416</v>
      </c>
      <c r="E307" s="697" t="s">
        <v>3417</v>
      </c>
      <c r="F307" s="701">
        <v>1</v>
      </c>
      <c r="G307" s="701">
        <v>2420.14</v>
      </c>
      <c r="H307" s="701"/>
      <c r="I307" s="701">
        <v>2420.14</v>
      </c>
      <c r="J307" s="701"/>
      <c r="K307" s="701"/>
      <c r="L307" s="701"/>
      <c r="M307" s="701"/>
      <c r="N307" s="701"/>
      <c r="O307" s="701"/>
      <c r="P307" s="726"/>
      <c r="Q307" s="702"/>
    </row>
    <row r="308" spans="1:17" ht="14.45" customHeight="1" x14ac:dyDescent="0.2">
      <c r="A308" s="696" t="s">
        <v>537</v>
      </c>
      <c r="B308" s="697" t="s">
        <v>2898</v>
      </c>
      <c r="C308" s="697" t="s">
        <v>3333</v>
      </c>
      <c r="D308" s="697" t="s">
        <v>3418</v>
      </c>
      <c r="E308" s="697" t="s">
        <v>3419</v>
      </c>
      <c r="F308" s="701">
        <v>1</v>
      </c>
      <c r="G308" s="701">
        <v>1317.9</v>
      </c>
      <c r="H308" s="701"/>
      <c r="I308" s="701">
        <v>1317.9</v>
      </c>
      <c r="J308" s="701"/>
      <c r="K308" s="701"/>
      <c r="L308" s="701"/>
      <c r="M308" s="701"/>
      <c r="N308" s="701"/>
      <c r="O308" s="701"/>
      <c r="P308" s="726"/>
      <c r="Q308" s="702"/>
    </row>
    <row r="309" spans="1:17" ht="14.45" customHeight="1" x14ac:dyDescent="0.2">
      <c r="A309" s="696" t="s">
        <v>537</v>
      </c>
      <c r="B309" s="697" t="s">
        <v>2898</v>
      </c>
      <c r="C309" s="697" t="s">
        <v>3333</v>
      </c>
      <c r="D309" s="697" t="s">
        <v>3420</v>
      </c>
      <c r="E309" s="697" t="s">
        <v>3421</v>
      </c>
      <c r="F309" s="701">
        <v>1</v>
      </c>
      <c r="G309" s="701">
        <v>7289.24</v>
      </c>
      <c r="H309" s="701"/>
      <c r="I309" s="701">
        <v>7289.24</v>
      </c>
      <c r="J309" s="701"/>
      <c r="K309" s="701"/>
      <c r="L309" s="701"/>
      <c r="M309" s="701"/>
      <c r="N309" s="701"/>
      <c r="O309" s="701"/>
      <c r="P309" s="726"/>
      <c r="Q309" s="702"/>
    </row>
    <row r="310" spans="1:17" ht="14.45" customHeight="1" x14ac:dyDescent="0.2">
      <c r="A310" s="696" t="s">
        <v>537</v>
      </c>
      <c r="B310" s="697" t="s">
        <v>2898</v>
      </c>
      <c r="C310" s="697" t="s">
        <v>3333</v>
      </c>
      <c r="D310" s="697" t="s">
        <v>3422</v>
      </c>
      <c r="E310" s="697" t="s">
        <v>3423</v>
      </c>
      <c r="F310" s="701">
        <v>1</v>
      </c>
      <c r="G310" s="701">
        <v>6397.2</v>
      </c>
      <c r="H310" s="701"/>
      <c r="I310" s="701">
        <v>6397.2</v>
      </c>
      <c r="J310" s="701"/>
      <c r="K310" s="701"/>
      <c r="L310" s="701"/>
      <c r="M310" s="701"/>
      <c r="N310" s="701"/>
      <c r="O310" s="701"/>
      <c r="P310" s="726"/>
      <c r="Q310" s="702"/>
    </row>
    <row r="311" spans="1:17" ht="14.45" customHeight="1" x14ac:dyDescent="0.2">
      <c r="A311" s="696" t="s">
        <v>537</v>
      </c>
      <c r="B311" s="697" t="s">
        <v>2898</v>
      </c>
      <c r="C311" s="697" t="s">
        <v>3333</v>
      </c>
      <c r="D311" s="697" t="s">
        <v>3424</v>
      </c>
      <c r="E311" s="697" t="s">
        <v>3425</v>
      </c>
      <c r="F311" s="701"/>
      <c r="G311" s="701"/>
      <c r="H311" s="701"/>
      <c r="I311" s="701"/>
      <c r="J311" s="701"/>
      <c r="K311" s="701"/>
      <c r="L311" s="701"/>
      <c r="M311" s="701"/>
      <c r="N311" s="701">
        <v>1</v>
      </c>
      <c r="O311" s="701">
        <v>5708.29</v>
      </c>
      <c r="P311" s="726"/>
      <c r="Q311" s="702">
        <v>5708.29</v>
      </c>
    </row>
    <row r="312" spans="1:17" ht="14.45" customHeight="1" x14ac:dyDescent="0.2">
      <c r="A312" s="696" t="s">
        <v>537</v>
      </c>
      <c r="B312" s="697" t="s">
        <v>2898</v>
      </c>
      <c r="C312" s="697" t="s">
        <v>3333</v>
      </c>
      <c r="D312" s="697" t="s">
        <v>3426</v>
      </c>
      <c r="E312" s="697" t="s">
        <v>3427</v>
      </c>
      <c r="F312" s="701"/>
      <c r="G312" s="701"/>
      <c r="H312" s="701"/>
      <c r="I312" s="701"/>
      <c r="J312" s="701">
        <v>1</v>
      </c>
      <c r="K312" s="701">
        <v>740</v>
      </c>
      <c r="L312" s="701"/>
      <c r="M312" s="701">
        <v>740</v>
      </c>
      <c r="N312" s="701"/>
      <c r="O312" s="701"/>
      <c r="P312" s="726"/>
      <c r="Q312" s="702"/>
    </row>
    <row r="313" spans="1:17" ht="14.45" customHeight="1" x14ac:dyDescent="0.2">
      <c r="A313" s="696" t="s">
        <v>537</v>
      </c>
      <c r="B313" s="697" t="s">
        <v>2898</v>
      </c>
      <c r="C313" s="697" t="s">
        <v>3333</v>
      </c>
      <c r="D313" s="697" t="s">
        <v>3428</v>
      </c>
      <c r="E313" s="697" t="s">
        <v>3429</v>
      </c>
      <c r="F313" s="701"/>
      <c r="G313" s="701"/>
      <c r="H313" s="701"/>
      <c r="I313" s="701"/>
      <c r="J313" s="701"/>
      <c r="K313" s="701"/>
      <c r="L313" s="701"/>
      <c r="M313" s="701"/>
      <c r="N313" s="701">
        <v>2</v>
      </c>
      <c r="O313" s="701">
        <v>1921.48</v>
      </c>
      <c r="P313" s="726"/>
      <c r="Q313" s="702">
        <v>960.74</v>
      </c>
    </row>
    <row r="314" spans="1:17" ht="14.45" customHeight="1" x14ac:dyDescent="0.2">
      <c r="A314" s="696" t="s">
        <v>537</v>
      </c>
      <c r="B314" s="697" t="s">
        <v>2898</v>
      </c>
      <c r="C314" s="697" t="s">
        <v>3333</v>
      </c>
      <c r="D314" s="697" t="s">
        <v>3430</v>
      </c>
      <c r="E314" s="697" t="s">
        <v>3431</v>
      </c>
      <c r="F314" s="701"/>
      <c r="G314" s="701"/>
      <c r="H314" s="701"/>
      <c r="I314" s="701"/>
      <c r="J314" s="701">
        <v>1</v>
      </c>
      <c r="K314" s="701">
        <v>1796</v>
      </c>
      <c r="L314" s="701"/>
      <c r="M314" s="701">
        <v>1796</v>
      </c>
      <c r="N314" s="701">
        <v>1</v>
      </c>
      <c r="O314" s="701">
        <v>960.74</v>
      </c>
      <c r="P314" s="726"/>
      <c r="Q314" s="702">
        <v>960.74</v>
      </c>
    </row>
    <row r="315" spans="1:17" ht="14.45" customHeight="1" x14ac:dyDescent="0.2">
      <c r="A315" s="696" t="s">
        <v>537</v>
      </c>
      <c r="B315" s="697" t="s">
        <v>2898</v>
      </c>
      <c r="C315" s="697" t="s">
        <v>3333</v>
      </c>
      <c r="D315" s="697" t="s">
        <v>3432</v>
      </c>
      <c r="E315" s="697" t="s">
        <v>3433</v>
      </c>
      <c r="F315" s="701">
        <v>1</v>
      </c>
      <c r="G315" s="701">
        <v>1657.27</v>
      </c>
      <c r="H315" s="701"/>
      <c r="I315" s="701">
        <v>1657.27</v>
      </c>
      <c r="J315" s="701"/>
      <c r="K315" s="701"/>
      <c r="L315" s="701"/>
      <c r="M315" s="701"/>
      <c r="N315" s="701">
        <v>3</v>
      </c>
      <c r="O315" s="701">
        <v>3360.17</v>
      </c>
      <c r="P315" s="726"/>
      <c r="Q315" s="702">
        <v>1120.0566666666666</v>
      </c>
    </row>
    <row r="316" spans="1:17" ht="14.45" customHeight="1" x14ac:dyDescent="0.2">
      <c r="A316" s="696" t="s">
        <v>537</v>
      </c>
      <c r="B316" s="697" t="s">
        <v>2898</v>
      </c>
      <c r="C316" s="697" t="s">
        <v>3333</v>
      </c>
      <c r="D316" s="697" t="s">
        <v>3434</v>
      </c>
      <c r="E316" s="697" t="s">
        <v>3435</v>
      </c>
      <c r="F316" s="701">
        <v>2</v>
      </c>
      <c r="G316" s="701">
        <v>1921.48</v>
      </c>
      <c r="H316" s="701"/>
      <c r="I316" s="701">
        <v>960.74</v>
      </c>
      <c r="J316" s="701"/>
      <c r="K316" s="701"/>
      <c r="L316" s="701"/>
      <c r="M316" s="701"/>
      <c r="N316" s="701">
        <v>3</v>
      </c>
      <c r="O316" s="701">
        <v>3455.76</v>
      </c>
      <c r="P316" s="726"/>
      <c r="Q316" s="702">
        <v>1151.92</v>
      </c>
    </row>
    <row r="317" spans="1:17" ht="14.45" customHeight="1" x14ac:dyDescent="0.2">
      <c r="A317" s="696" t="s">
        <v>537</v>
      </c>
      <c r="B317" s="697" t="s">
        <v>2898</v>
      </c>
      <c r="C317" s="697" t="s">
        <v>3333</v>
      </c>
      <c r="D317" s="697" t="s">
        <v>3436</v>
      </c>
      <c r="E317" s="697" t="s">
        <v>3437</v>
      </c>
      <c r="F317" s="701"/>
      <c r="G317" s="701"/>
      <c r="H317" s="701"/>
      <c r="I317" s="701"/>
      <c r="J317" s="701"/>
      <c r="K317" s="701"/>
      <c r="L317" s="701"/>
      <c r="M317" s="701"/>
      <c r="N317" s="701">
        <v>1</v>
      </c>
      <c r="O317" s="701">
        <v>2016</v>
      </c>
      <c r="P317" s="726"/>
      <c r="Q317" s="702">
        <v>2016</v>
      </c>
    </row>
    <row r="318" spans="1:17" ht="14.45" customHeight="1" x14ac:dyDescent="0.2">
      <c r="A318" s="696" t="s">
        <v>537</v>
      </c>
      <c r="B318" s="697" t="s">
        <v>2898</v>
      </c>
      <c r="C318" s="697" t="s">
        <v>3333</v>
      </c>
      <c r="D318" s="697" t="s">
        <v>3438</v>
      </c>
      <c r="E318" s="697" t="s">
        <v>3439</v>
      </c>
      <c r="F318" s="701">
        <v>1</v>
      </c>
      <c r="G318" s="701">
        <v>2016</v>
      </c>
      <c r="H318" s="701"/>
      <c r="I318" s="701">
        <v>2016</v>
      </c>
      <c r="J318" s="701"/>
      <c r="K318" s="701"/>
      <c r="L318" s="701"/>
      <c r="M318" s="701"/>
      <c r="N318" s="701"/>
      <c r="O318" s="701"/>
      <c r="P318" s="726"/>
      <c r="Q318" s="702"/>
    </row>
    <row r="319" spans="1:17" ht="14.45" customHeight="1" x14ac:dyDescent="0.2">
      <c r="A319" s="696" t="s">
        <v>537</v>
      </c>
      <c r="B319" s="697" t="s">
        <v>2898</v>
      </c>
      <c r="C319" s="697" t="s">
        <v>3333</v>
      </c>
      <c r="D319" s="697" t="s">
        <v>3440</v>
      </c>
      <c r="E319" s="697" t="s">
        <v>3441</v>
      </c>
      <c r="F319" s="701"/>
      <c r="G319" s="701"/>
      <c r="H319" s="701"/>
      <c r="I319" s="701"/>
      <c r="J319" s="701">
        <v>1</v>
      </c>
      <c r="K319" s="701">
        <v>9403</v>
      </c>
      <c r="L319" s="701"/>
      <c r="M319" s="701">
        <v>9403</v>
      </c>
      <c r="N319" s="701"/>
      <c r="O319" s="701"/>
      <c r="P319" s="726"/>
      <c r="Q319" s="702"/>
    </row>
    <row r="320" spans="1:17" ht="14.45" customHeight="1" x14ac:dyDescent="0.2">
      <c r="A320" s="696" t="s">
        <v>537</v>
      </c>
      <c r="B320" s="697" t="s">
        <v>2898</v>
      </c>
      <c r="C320" s="697" t="s">
        <v>3333</v>
      </c>
      <c r="D320" s="697" t="s">
        <v>3442</v>
      </c>
      <c r="E320" s="697" t="s">
        <v>3443</v>
      </c>
      <c r="F320" s="701">
        <v>1</v>
      </c>
      <c r="G320" s="701">
        <v>9100</v>
      </c>
      <c r="H320" s="701"/>
      <c r="I320" s="701">
        <v>9100</v>
      </c>
      <c r="J320" s="701"/>
      <c r="K320" s="701"/>
      <c r="L320" s="701"/>
      <c r="M320" s="701"/>
      <c r="N320" s="701">
        <v>1</v>
      </c>
      <c r="O320" s="701">
        <v>8452.5</v>
      </c>
      <c r="P320" s="726"/>
      <c r="Q320" s="702">
        <v>8452.5</v>
      </c>
    </row>
    <row r="321" spans="1:17" ht="14.45" customHeight="1" x14ac:dyDescent="0.2">
      <c r="A321" s="696" t="s">
        <v>537</v>
      </c>
      <c r="B321" s="697" t="s">
        <v>2898</v>
      </c>
      <c r="C321" s="697" t="s">
        <v>3333</v>
      </c>
      <c r="D321" s="697" t="s">
        <v>3444</v>
      </c>
      <c r="E321" s="697" t="s">
        <v>3445</v>
      </c>
      <c r="F321" s="701">
        <v>2</v>
      </c>
      <c r="G321" s="701">
        <v>42561.2</v>
      </c>
      <c r="H321" s="701"/>
      <c r="I321" s="701">
        <v>21280.6</v>
      </c>
      <c r="J321" s="701"/>
      <c r="K321" s="701"/>
      <c r="L321" s="701"/>
      <c r="M321" s="701"/>
      <c r="N321" s="701"/>
      <c r="O321" s="701"/>
      <c r="P321" s="726"/>
      <c r="Q321" s="702"/>
    </row>
    <row r="322" spans="1:17" ht="14.45" customHeight="1" x14ac:dyDescent="0.2">
      <c r="A322" s="696" t="s">
        <v>537</v>
      </c>
      <c r="B322" s="697" t="s">
        <v>2898</v>
      </c>
      <c r="C322" s="697" t="s">
        <v>3333</v>
      </c>
      <c r="D322" s="697" t="s">
        <v>3446</v>
      </c>
      <c r="E322" s="697" t="s">
        <v>3447</v>
      </c>
      <c r="F322" s="701">
        <v>1</v>
      </c>
      <c r="G322" s="701">
        <v>7437.74</v>
      </c>
      <c r="H322" s="701"/>
      <c r="I322" s="701">
        <v>7437.74</v>
      </c>
      <c r="J322" s="701"/>
      <c r="K322" s="701"/>
      <c r="L322" s="701"/>
      <c r="M322" s="701"/>
      <c r="N322" s="701"/>
      <c r="O322" s="701"/>
      <c r="P322" s="726"/>
      <c r="Q322" s="702"/>
    </row>
    <row r="323" spans="1:17" ht="14.45" customHeight="1" x14ac:dyDescent="0.2">
      <c r="A323" s="696" t="s">
        <v>537</v>
      </c>
      <c r="B323" s="697" t="s">
        <v>2898</v>
      </c>
      <c r="C323" s="697" t="s">
        <v>3333</v>
      </c>
      <c r="D323" s="697" t="s">
        <v>3448</v>
      </c>
      <c r="E323" s="697" t="s">
        <v>3449</v>
      </c>
      <c r="F323" s="701"/>
      <c r="G323" s="701"/>
      <c r="H323" s="701"/>
      <c r="I323" s="701"/>
      <c r="J323" s="701">
        <v>1</v>
      </c>
      <c r="K323" s="701">
        <v>294.35000000000002</v>
      </c>
      <c r="L323" s="701"/>
      <c r="M323" s="701">
        <v>294.35000000000002</v>
      </c>
      <c r="N323" s="701">
        <v>3</v>
      </c>
      <c r="O323" s="701">
        <v>883.08</v>
      </c>
      <c r="P323" s="726"/>
      <c r="Q323" s="702">
        <v>294.36</v>
      </c>
    </row>
    <row r="324" spans="1:17" ht="14.45" customHeight="1" x14ac:dyDescent="0.2">
      <c r="A324" s="696" t="s">
        <v>537</v>
      </c>
      <c r="B324" s="697" t="s">
        <v>2898</v>
      </c>
      <c r="C324" s="697" t="s">
        <v>3333</v>
      </c>
      <c r="D324" s="697" t="s">
        <v>3450</v>
      </c>
      <c r="E324" s="697" t="s">
        <v>3451</v>
      </c>
      <c r="F324" s="701">
        <v>1</v>
      </c>
      <c r="G324" s="701">
        <v>4676</v>
      </c>
      <c r="H324" s="701"/>
      <c r="I324" s="701">
        <v>4676</v>
      </c>
      <c r="J324" s="701"/>
      <c r="K324" s="701"/>
      <c r="L324" s="701"/>
      <c r="M324" s="701"/>
      <c r="N324" s="701"/>
      <c r="O324" s="701"/>
      <c r="P324" s="726"/>
      <c r="Q324" s="702"/>
    </row>
    <row r="325" spans="1:17" ht="14.45" customHeight="1" x14ac:dyDescent="0.2">
      <c r="A325" s="696" t="s">
        <v>537</v>
      </c>
      <c r="B325" s="697" t="s">
        <v>2898</v>
      </c>
      <c r="C325" s="697" t="s">
        <v>3333</v>
      </c>
      <c r="D325" s="697" t="s">
        <v>3452</v>
      </c>
      <c r="E325" s="697" t="s">
        <v>3451</v>
      </c>
      <c r="F325" s="701">
        <v>4</v>
      </c>
      <c r="G325" s="701">
        <v>2368</v>
      </c>
      <c r="H325" s="701"/>
      <c r="I325" s="701">
        <v>592</v>
      </c>
      <c r="J325" s="701"/>
      <c r="K325" s="701"/>
      <c r="L325" s="701"/>
      <c r="M325" s="701"/>
      <c r="N325" s="701"/>
      <c r="O325" s="701"/>
      <c r="P325" s="726"/>
      <c r="Q325" s="702"/>
    </row>
    <row r="326" spans="1:17" ht="14.45" customHeight="1" x14ac:dyDescent="0.2">
      <c r="A326" s="696" t="s">
        <v>537</v>
      </c>
      <c r="B326" s="697" t="s">
        <v>2898</v>
      </c>
      <c r="C326" s="697" t="s">
        <v>3333</v>
      </c>
      <c r="D326" s="697" t="s">
        <v>3453</v>
      </c>
      <c r="E326" s="697" t="s">
        <v>3454</v>
      </c>
      <c r="F326" s="701">
        <v>21</v>
      </c>
      <c r="G326" s="701">
        <v>11179.280000000002</v>
      </c>
      <c r="H326" s="701"/>
      <c r="I326" s="701">
        <v>532.34666666666681</v>
      </c>
      <c r="J326" s="701">
        <v>43</v>
      </c>
      <c r="K326" s="701">
        <v>20886.180000000015</v>
      </c>
      <c r="L326" s="701"/>
      <c r="M326" s="701">
        <v>485.72511627907011</v>
      </c>
      <c r="N326" s="701">
        <v>44</v>
      </c>
      <c r="O326" s="701">
        <v>20850.850000000017</v>
      </c>
      <c r="P326" s="726"/>
      <c r="Q326" s="702">
        <v>473.88295454545494</v>
      </c>
    </row>
    <row r="327" spans="1:17" ht="14.45" customHeight="1" x14ac:dyDescent="0.2">
      <c r="A327" s="696" t="s">
        <v>537</v>
      </c>
      <c r="B327" s="697" t="s">
        <v>2898</v>
      </c>
      <c r="C327" s="697" t="s">
        <v>3333</v>
      </c>
      <c r="D327" s="697" t="s">
        <v>3455</v>
      </c>
      <c r="E327" s="697" t="s">
        <v>3456</v>
      </c>
      <c r="F327" s="701">
        <v>1</v>
      </c>
      <c r="G327" s="701">
        <v>252.02</v>
      </c>
      <c r="H327" s="701"/>
      <c r="I327" s="701">
        <v>252.02</v>
      </c>
      <c r="J327" s="701">
        <v>0.7</v>
      </c>
      <c r="K327" s="701">
        <v>176.42</v>
      </c>
      <c r="L327" s="701"/>
      <c r="M327" s="701">
        <v>252.02857142857144</v>
      </c>
      <c r="N327" s="701">
        <v>0.6</v>
      </c>
      <c r="O327" s="701">
        <v>151.19999999999999</v>
      </c>
      <c r="P327" s="726"/>
      <c r="Q327" s="702">
        <v>252</v>
      </c>
    </row>
    <row r="328" spans="1:17" ht="14.45" customHeight="1" x14ac:dyDescent="0.2">
      <c r="A328" s="696" t="s">
        <v>537</v>
      </c>
      <c r="B328" s="697" t="s">
        <v>2898</v>
      </c>
      <c r="C328" s="697" t="s">
        <v>3333</v>
      </c>
      <c r="D328" s="697" t="s">
        <v>3457</v>
      </c>
      <c r="E328" s="697" t="s">
        <v>3456</v>
      </c>
      <c r="F328" s="701"/>
      <c r="G328" s="701"/>
      <c r="H328" s="701"/>
      <c r="I328" s="701"/>
      <c r="J328" s="701">
        <v>4</v>
      </c>
      <c r="K328" s="701">
        <v>1871.44</v>
      </c>
      <c r="L328" s="701"/>
      <c r="M328" s="701">
        <v>467.86</v>
      </c>
      <c r="N328" s="701"/>
      <c r="O328" s="701"/>
      <c r="P328" s="726"/>
      <c r="Q328" s="702"/>
    </row>
    <row r="329" spans="1:17" ht="14.45" customHeight="1" x14ac:dyDescent="0.2">
      <c r="A329" s="696" t="s">
        <v>537</v>
      </c>
      <c r="B329" s="697" t="s">
        <v>2898</v>
      </c>
      <c r="C329" s="697" t="s">
        <v>3333</v>
      </c>
      <c r="D329" s="697" t="s">
        <v>3458</v>
      </c>
      <c r="E329" s="697" t="s">
        <v>3456</v>
      </c>
      <c r="F329" s="701">
        <v>12</v>
      </c>
      <c r="G329" s="701">
        <v>20035.400000000001</v>
      </c>
      <c r="H329" s="701"/>
      <c r="I329" s="701">
        <v>1669.6166666666668</v>
      </c>
      <c r="J329" s="701">
        <v>4</v>
      </c>
      <c r="K329" s="701">
        <v>6319.96</v>
      </c>
      <c r="L329" s="701"/>
      <c r="M329" s="701">
        <v>1579.99</v>
      </c>
      <c r="N329" s="701">
        <v>14</v>
      </c>
      <c r="O329" s="701">
        <v>22119.86</v>
      </c>
      <c r="P329" s="726"/>
      <c r="Q329" s="702">
        <v>1579.99</v>
      </c>
    </row>
    <row r="330" spans="1:17" ht="14.45" customHeight="1" x14ac:dyDescent="0.2">
      <c r="A330" s="696" t="s">
        <v>537</v>
      </c>
      <c r="B330" s="697" t="s">
        <v>2898</v>
      </c>
      <c r="C330" s="697" t="s">
        <v>3333</v>
      </c>
      <c r="D330" s="697" t="s">
        <v>3459</v>
      </c>
      <c r="E330" s="697" t="s">
        <v>3460</v>
      </c>
      <c r="F330" s="701"/>
      <c r="G330" s="701"/>
      <c r="H330" s="701"/>
      <c r="I330" s="701"/>
      <c r="J330" s="701"/>
      <c r="K330" s="701"/>
      <c r="L330" s="701"/>
      <c r="M330" s="701"/>
      <c r="N330" s="701">
        <v>1</v>
      </c>
      <c r="O330" s="701">
        <v>1588.33</v>
      </c>
      <c r="P330" s="726"/>
      <c r="Q330" s="702">
        <v>1588.33</v>
      </c>
    </row>
    <row r="331" spans="1:17" ht="14.45" customHeight="1" x14ac:dyDescent="0.2">
      <c r="A331" s="696" t="s">
        <v>537</v>
      </c>
      <c r="B331" s="697" t="s">
        <v>2898</v>
      </c>
      <c r="C331" s="697" t="s">
        <v>3333</v>
      </c>
      <c r="D331" s="697" t="s">
        <v>3461</v>
      </c>
      <c r="E331" s="697" t="s">
        <v>3462</v>
      </c>
      <c r="F331" s="701">
        <v>3</v>
      </c>
      <c r="G331" s="701">
        <v>1518</v>
      </c>
      <c r="H331" s="701"/>
      <c r="I331" s="701">
        <v>506</v>
      </c>
      <c r="J331" s="701">
        <v>4</v>
      </c>
      <c r="K331" s="701">
        <v>2024</v>
      </c>
      <c r="L331" s="701"/>
      <c r="M331" s="701">
        <v>506</v>
      </c>
      <c r="N331" s="701"/>
      <c r="O331" s="701"/>
      <c r="P331" s="726"/>
      <c r="Q331" s="702"/>
    </row>
    <row r="332" spans="1:17" ht="14.45" customHeight="1" x14ac:dyDescent="0.2">
      <c r="A332" s="696" t="s">
        <v>537</v>
      </c>
      <c r="B332" s="697" t="s">
        <v>2898</v>
      </c>
      <c r="C332" s="697" t="s">
        <v>3333</v>
      </c>
      <c r="D332" s="697" t="s">
        <v>3463</v>
      </c>
      <c r="E332" s="697" t="s">
        <v>3464</v>
      </c>
      <c r="F332" s="701">
        <v>1</v>
      </c>
      <c r="G332" s="701">
        <v>7898.49</v>
      </c>
      <c r="H332" s="701"/>
      <c r="I332" s="701">
        <v>7898.49</v>
      </c>
      <c r="J332" s="701">
        <v>1</v>
      </c>
      <c r="K332" s="701">
        <v>7898.49</v>
      </c>
      <c r="L332" s="701"/>
      <c r="M332" s="701">
        <v>7898.49</v>
      </c>
      <c r="N332" s="701"/>
      <c r="O332" s="701"/>
      <c r="P332" s="726"/>
      <c r="Q332" s="702"/>
    </row>
    <row r="333" spans="1:17" ht="14.45" customHeight="1" x14ac:dyDescent="0.2">
      <c r="A333" s="696" t="s">
        <v>537</v>
      </c>
      <c r="B333" s="697" t="s">
        <v>2898</v>
      </c>
      <c r="C333" s="697" t="s">
        <v>3333</v>
      </c>
      <c r="D333" s="697" t="s">
        <v>3465</v>
      </c>
      <c r="E333" s="697" t="s">
        <v>3466</v>
      </c>
      <c r="F333" s="701">
        <v>1</v>
      </c>
      <c r="G333" s="701">
        <v>4452.8</v>
      </c>
      <c r="H333" s="701"/>
      <c r="I333" s="701">
        <v>4452.8</v>
      </c>
      <c r="J333" s="701">
        <v>2</v>
      </c>
      <c r="K333" s="701">
        <v>8905.6</v>
      </c>
      <c r="L333" s="701"/>
      <c r="M333" s="701">
        <v>4452.8</v>
      </c>
      <c r="N333" s="701"/>
      <c r="O333" s="701"/>
      <c r="P333" s="726"/>
      <c r="Q333" s="702"/>
    </row>
    <row r="334" spans="1:17" ht="14.45" customHeight="1" x14ac:dyDescent="0.2">
      <c r="A334" s="696" t="s">
        <v>537</v>
      </c>
      <c r="B334" s="697" t="s">
        <v>2898</v>
      </c>
      <c r="C334" s="697" t="s">
        <v>3333</v>
      </c>
      <c r="D334" s="697" t="s">
        <v>3467</v>
      </c>
      <c r="E334" s="697" t="s">
        <v>3468</v>
      </c>
      <c r="F334" s="701">
        <v>6</v>
      </c>
      <c r="G334" s="701">
        <v>6941.1</v>
      </c>
      <c r="H334" s="701"/>
      <c r="I334" s="701">
        <v>1156.8500000000001</v>
      </c>
      <c r="J334" s="701">
        <v>8</v>
      </c>
      <c r="K334" s="701">
        <v>9256.89</v>
      </c>
      <c r="L334" s="701"/>
      <c r="M334" s="701">
        <v>1157.1112499999999</v>
      </c>
      <c r="N334" s="701"/>
      <c r="O334" s="701"/>
      <c r="P334" s="726"/>
      <c r="Q334" s="702"/>
    </row>
    <row r="335" spans="1:17" ht="14.45" customHeight="1" x14ac:dyDescent="0.2">
      <c r="A335" s="696" t="s">
        <v>537</v>
      </c>
      <c r="B335" s="697" t="s">
        <v>2898</v>
      </c>
      <c r="C335" s="697" t="s">
        <v>3333</v>
      </c>
      <c r="D335" s="697" t="s">
        <v>3469</v>
      </c>
      <c r="E335" s="697" t="s">
        <v>3470</v>
      </c>
      <c r="F335" s="701"/>
      <c r="G335" s="701"/>
      <c r="H335" s="701"/>
      <c r="I335" s="701"/>
      <c r="J335" s="701"/>
      <c r="K335" s="701"/>
      <c r="L335" s="701"/>
      <c r="M335" s="701"/>
      <c r="N335" s="701">
        <v>1</v>
      </c>
      <c r="O335" s="701">
        <v>9112.75</v>
      </c>
      <c r="P335" s="726"/>
      <c r="Q335" s="702">
        <v>9112.75</v>
      </c>
    </row>
    <row r="336" spans="1:17" ht="14.45" customHeight="1" x14ac:dyDescent="0.2">
      <c r="A336" s="696" t="s">
        <v>537</v>
      </c>
      <c r="B336" s="697" t="s">
        <v>2898</v>
      </c>
      <c r="C336" s="697" t="s">
        <v>3333</v>
      </c>
      <c r="D336" s="697" t="s">
        <v>3471</v>
      </c>
      <c r="E336" s="697" t="s">
        <v>3472</v>
      </c>
      <c r="F336" s="701"/>
      <c r="G336" s="701"/>
      <c r="H336" s="701"/>
      <c r="I336" s="701"/>
      <c r="J336" s="701"/>
      <c r="K336" s="701"/>
      <c r="L336" s="701"/>
      <c r="M336" s="701"/>
      <c r="N336" s="701">
        <v>3</v>
      </c>
      <c r="O336" s="701">
        <v>3448.47</v>
      </c>
      <c r="P336" s="726"/>
      <c r="Q336" s="702">
        <v>1149.49</v>
      </c>
    </row>
    <row r="337" spans="1:17" ht="14.45" customHeight="1" x14ac:dyDescent="0.2">
      <c r="A337" s="696" t="s">
        <v>537</v>
      </c>
      <c r="B337" s="697" t="s">
        <v>2898</v>
      </c>
      <c r="C337" s="697" t="s">
        <v>3333</v>
      </c>
      <c r="D337" s="697" t="s">
        <v>3473</v>
      </c>
      <c r="E337" s="697" t="s">
        <v>3472</v>
      </c>
      <c r="F337" s="701"/>
      <c r="G337" s="701"/>
      <c r="H337" s="701"/>
      <c r="I337" s="701"/>
      <c r="J337" s="701"/>
      <c r="K337" s="701"/>
      <c r="L337" s="701"/>
      <c r="M337" s="701"/>
      <c r="N337" s="701">
        <v>1</v>
      </c>
      <c r="O337" s="701">
        <v>1901.72</v>
      </c>
      <c r="P337" s="726"/>
      <c r="Q337" s="702">
        <v>1901.72</v>
      </c>
    </row>
    <row r="338" spans="1:17" ht="14.45" customHeight="1" x14ac:dyDescent="0.2">
      <c r="A338" s="696" t="s">
        <v>537</v>
      </c>
      <c r="B338" s="697" t="s">
        <v>2898</v>
      </c>
      <c r="C338" s="697" t="s">
        <v>3333</v>
      </c>
      <c r="D338" s="697" t="s">
        <v>3474</v>
      </c>
      <c r="E338" s="697" t="s">
        <v>3475</v>
      </c>
      <c r="F338" s="701">
        <v>22</v>
      </c>
      <c r="G338" s="701">
        <v>2125.1999999999998</v>
      </c>
      <c r="H338" s="701"/>
      <c r="I338" s="701">
        <v>96.6</v>
      </c>
      <c r="J338" s="701">
        <v>13</v>
      </c>
      <c r="K338" s="701">
        <v>1255.8</v>
      </c>
      <c r="L338" s="701"/>
      <c r="M338" s="701">
        <v>96.6</v>
      </c>
      <c r="N338" s="701">
        <v>23</v>
      </c>
      <c r="O338" s="701">
        <v>2221.7999999999997</v>
      </c>
      <c r="P338" s="726"/>
      <c r="Q338" s="702">
        <v>96.6</v>
      </c>
    </row>
    <row r="339" spans="1:17" ht="14.45" customHeight="1" x14ac:dyDescent="0.2">
      <c r="A339" s="696" t="s">
        <v>537</v>
      </c>
      <c r="B339" s="697" t="s">
        <v>2898</v>
      </c>
      <c r="C339" s="697" t="s">
        <v>3333</v>
      </c>
      <c r="D339" s="697" t="s">
        <v>3476</v>
      </c>
      <c r="E339" s="697" t="s">
        <v>3477</v>
      </c>
      <c r="F339" s="701"/>
      <c r="G339" s="701"/>
      <c r="H339" s="701"/>
      <c r="I339" s="701"/>
      <c r="J339" s="701">
        <v>2</v>
      </c>
      <c r="K339" s="701">
        <v>4781.88</v>
      </c>
      <c r="L339" s="701"/>
      <c r="M339" s="701">
        <v>2390.94</v>
      </c>
      <c r="N339" s="701"/>
      <c r="O339" s="701"/>
      <c r="P339" s="726"/>
      <c r="Q339" s="702"/>
    </row>
    <row r="340" spans="1:17" ht="14.45" customHeight="1" x14ac:dyDescent="0.2">
      <c r="A340" s="696" t="s">
        <v>537</v>
      </c>
      <c r="B340" s="697" t="s">
        <v>2898</v>
      </c>
      <c r="C340" s="697" t="s">
        <v>3333</v>
      </c>
      <c r="D340" s="697" t="s">
        <v>3478</v>
      </c>
      <c r="E340" s="697" t="s">
        <v>3479</v>
      </c>
      <c r="F340" s="701">
        <v>3.5</v>
      </c>
      <c r="G340" s="701">
        <v>20850.97</v>
      </c>
      <c r="H340" s="701"/>
      <c r="I340" s="701">
        <v>5957.42</v>
      </c>
      <c r="J340" s="701"/>
      <c r="K340" s="701"/>
      <c r="L340" s="701"/>
      <c r="M340" s="701"/>
      <c r="N340" s="701"/>
      <c r="O340" s="701"/>
      <c r="P340" s="726"/>
      <c r="Q340" s="702"/>
    </row>
    <row r="341" spans="1:17" ht="14.45" customHeight="1" x14ac:dyDescent="0.2">
      <c r="A341" s="696" t="s">
        <v>537</v>
      </c>
      <c r="B341" s="697" t="s">
        <v>2898</v>
      </c>
      <c r="C341" s="697" t="s">
        <v>3333</v>
      </c>
      <c r="D341" s="697" t="s">
        <v>3480</v>
      </c>
      <c r="E341" s="697" t="s">
        <v>3481</v>
      </c>
      <c r="F341" s="701"/>
      <c r="G341" s="701"/>
      <c r="H341" s="701"/>
      <c r="I341" s="701"/>
      <c r="J341" s="701"/>
      <c r="K341" s="701"/>
      <c r="L341" s="701"/>
      <c r="M341" s="701"/>
      <c r="N341" s="701">
        <v>10</v>
      </c>
      <c r="O341" s="701">
        <v>6105</v>
      </c>
      <c r="P341" s="726"/>
      <c r="Q341" s="702">
        <v>610.5</v>
      </c>
    </row>
    <row r="342" spans="1:17" ht="14.45" customHeight="1" x14ac:dyDescent="0.2">
      <c r="A342" s="696" t="s">
        <v>537</v>
      </c>
      <c r="B342" s="697" t="s">
        <v>2898</v>
      </c>
      <c r="C342" s="697" t="s">
        <v>3333</v>
      </c>
      <c r="D342" s="697" t="s">
        <v>3482</v>
      </c>
      <c r="E342" s="697" t="s">
        <v>3483</v>
      </c>
      <c r="F342" s="701">
        <v>1</v>
      </c>
      <c r="G342" s="701">
        <v>10249.799999999999</v>
      </c>
      <c r="H342" s="701"/>
      <c r="I342" s="701">
        <v>10249.799999999999</v>
      </c>
      <c r="J342" s="701"/>
      <c r="K342" s="701"/>
      <c r="L342" s="701"/>
      <c r="M342" s="701"/>
      <c r="N342" s="701">
        <v>1</v>
      </c>
      <c r="O342" s="701">
        <v>10249.6</v>
      </c>
      <c r="P342" s="726"/>
      <c r="Q342" s="702">
        <v>10249.6</v>
      </c>
    </row>
    <row r="343" spans="1:17" ht="14.45" customHeight="1" x14ac:dyDescent="0.2">
      <c r="A343" s="696" t="s">
        <v>537</v>
      </c>
      <c r="B343" s="697" t="s">
        <v>2898</v>
      </c>
      <c r="C343" s="697" t="s">
        <v>3333</v>
      </c>
      <c r="D343" s="697" t="s">
        <v>3484</v>
      </c>
      <c r="E343" s="697" t="s">
        <v>3485</v>
      </c>
      <c r="F343" s="701">
        <v>1</v>
      </c>
      <c r="G343" s="701">
        <v>6755.23</v>
      </c>
      <c r="H343" s="701"/>
      <c r="I343" s="701">
        <v>6755.23</v>
      </c>
      <c r="J343" s="701"/>
      <c r="K343" s="701"/>
      <c r="L343" s="701"/>
      <c r="M343" s="701"/>
      <c r="N343" s="701"/>
      <c r="O343" s="701"/>
      <c r="P343" s="726"/>
      <c r="Q343" s="702"/>
    </row>
    <row r="344" spans="1:17" ht="14.45" customHeight="1" x14ac:dyDescent="0.2">
      <c r="A344" s="696" t="s">
        <v>537</v>
      </c>
      <c r="B344" s="697" t="s">
        <v>2898</v>
      </c>
      <c r="C344" s="697" t="s">
        <v>3333</v>
      </c>
      <c r="D344" s="697" t="s">
        <v>3486</v>
      </c>
      <c r="E344" s="697" t="s">
        <v>3487</v>
      </c>
      <c r="F344" s="701"/>
      <c r="G344" s="701"/>
      <c r="H344" s="701"/>
      <c r="I344" s="701"/>
      <c r="J344" s="701"/>
      <c r="K344" s="701"/>
      <c r="L344" s="701"/>
      <c r="M344" s="701"/>
      <c r="N344" s="701">
        <v>1</v>
      </c>
      <c r="O344" s="701">
        <v>9893.2099999999991</v>
      </c>
      <c r="P344" s="726"/>
      <c r="Q344" s="702">
        <v>9893.2099999999991</v>
      </c>
    </row>
    <row r="345" spans="1:17" ht="14.45" customHeight="1" x14ac:dyDescent="0.2">
      <c r="A345" s="696" t="s">
        <v>537</v>
      </c>
      <c r="B345" s="697" t="s">
        <v>2898</v>
      </c>
      <c r="C345" s="697" t="s">
        <v>3333</v>
      </c>
      <c r="D345" s="697" t="s">
        <v>3488</v>
      </c>
      <c r="E345" s="697" t="s">
        <v>3386</v>
      </c>
      <c r="F345" s="701"/>
      <c r="G345" s="701"/>
      <c r="H345" s="701"/>
      <c r="I345" s="701"/>
      <c r="J345" s="701"/>
      <c r="K345" s="701"/>
      <c r="L345" s="701"/>
      <c r="M345" s="701"/>
      <c r="N345" s="701">
        <v>2</v>
      </c>
      <c r="O345" s="701">
        <v>2323.66</v>
      </c>
      <c r="P345" s="726"/>
      <c r="Q345" s="702">
        <v>1161.83</v>
      </c>
    </row>
    <row r="346" spans="1:17" ht="14.45" customHeight="1" x14ac:dyDescent="0.2">
      <c r="A346" s="696" t="s">
        <v>537</v>
      </c>
      <c r="B346" s="697" t="s">
        <v>2898</v>
      </c>
      <c r="C346" s="697" t="s">
        <v>3333</v>
      </c>
      <c r="D346" s="697" t="s">
        <v>3489</v>
      </c>
      <c r="E346" s="697" t="s">
        <v>3490</v>
      </c>
      <c r="F346" s="701">
        <v>2</v>
      </c>
      <c r="G346" s="701">
        <v>437.34</v>
      </c>
      <c r="H346" s="701"/>
      <c r="I346" s="701">
        <v>218.67</v>
      </c>
      <c r="J346" s="701">
        <v>3.5</v>
      </c>
      <c r="K346" s="701">
        <v>651.63</v>
      </c>
      <c r="L346" s="701"/>
      <c r="M346" s="701">
        <v>186.18</v>
      </c>
      <c r="N346" s="701">
        <v>20</v>
      </c>
      <c r="O346" s="701">
        <v>3723.6</v>
      </c>
      <c r="P346" s="726"/>
      <c r="Q346" s="702">
        <v>186.18</v>
      </c>
    </row>
    <row r="347" spans="1:17" ht="14.45" customHeight="1" x14ac:dyDescent="0.2">
      <c r="A347" s="696" t="s">
        <v>537</v>
      </c>
      <c r="B347" s="697" t="s">
        <v>2898</v>
      </c>
      <c r="C347" s="697" t="s">
        <v>3333</v>
      </c>
      <c r="D347" s="697" t="s">
        <v>3491</v>
      </c>
      <c r="E347" s="697" t="s">
        <v>3492</v>
      </c>
      <c r="F347" s="701">
        <v>2</v>
      </c>
      <c r="G347" s="701">
        <v>3566.96</v>
      </c>
      <c r="H347" s="701"/>
      <c r="I347" s="701">
        <v>1783.48</v>
      </c>
      <c r="J347" s="701"/>
      <c r="K347" s="701"/>
      <c r="L347" s="701"/>
      <c r="M347" s="701"/>
      <c r="N347" s="701">
        <v>1</v>
      </c>
      <c r="O347" s="701">
        <v>1783.48</v>
      </c>
      <c r="P347" s="726"/>
      <c r="Q347" s="702">
        <v>1783.48</v>
      </c>
    </row>
    <row r="348" spans="1:17" ht="14.45" customHeight="1" x14ac:dyDescent="0.2">
      <c r="A348" s="696" t="s">
        <v>537</v>
      </c>
      <c r="B348" s="697" t="s">
        <v>2898</v>
      </c>
      <c r="C348" s="697" t="s">
        <v>3333</v>
      </c>
      <c r="D348" s="697" t="s">
        <v>3493</v>
      </c>
      <c r="E348" s="697" t="s">
        <v>3494</v>
      </c>
      <c r="F348" s="701">
        <v>1</v>
      </c>
      <c r="G348" s="701">
        <v>239.4</v>
      </c>
      <c r="H348" s="701"/>
      <c r="I348" s="701">
        <v>239.4</v>
      </c>
      <c r="J348" s="701"/>
      <c r="K348" s="701"/>
      <c r="L348" s="701"/>
      <c r="M348" s="701"/>
      <c r="N348" s="701"/>
      <c r="O348" s="701"/>
      <c r="P348" s="726"/>
      <c r="Q348" s="702"/>
    </row>
    <row r="349" spans="1:17" ht="14.45" customHeight="1" x14ac:dyDescent="0.2">
      <c r="A349" s="696" t="s">
        <v>537</v>
      </c>
      <c r="B349" s="697" t="s">
        <v>2898</v>
      </c>
      <c r="C349" s="697" t="s">
        <v>3333</v>
      </c>
      <c r="D349" s="697" t="s">
        <v>3495</v>
      </c>
      <c r="E349" s="697" t="s">
        <v>3496</v>
      </c>
      <c r="F349" s="701"/>
      <c r="G349" s="701"/>
      <c r="H349" s="701"/>
      <c r="I349" s="701"/>
      <c r="J349" s="701">
        <v>5</v>
      </c>
      <c r="K349" s="701">
        <v>5926.17</v>
      </c>
      <c r="L349" s="701"/>
      <c r="M349" s="701">
        <v>1185.2339999999999</v>
      </c>
      <c r="N349" s="701"/>
      <c r="O349" s="701"/>
      <c r="P349" s="726"/>
      <c r="Q349" s="702"/>
    </row>
    <row r="350" spans="1:17" ht="14.45" customHeight="1" x14ac:dyDescent="0.2">
      <c r="A350" s="696" t="s">
        <v>537</v>
      </c>
      <c r="B350" s="697" t="s">
        <v>2898</v>
      </c>
      <c r="C350" s="697" t="s">
        <v>3333</v>
      </c>
      <c r="D350" s="697" t="s">
        <v>3497</v>
      </c>
      <c r="E350" s="697" t="s">
        <v>3498</v>
      </c>
      <c r="F350" s="701"/>
      <c r="G350" s="701"/>
      <c r="H350" s="701"/>
      <c r="I350" s="701"/>
      <c r="J350" s="701">
        <v>4</v>
      </c>
      <c r="K350" s="701">
        <v>31256.639999999999</v>
      </c>
      <c r="L350" s="701"/>
      <c r="M350" s="701">
        <v>7814.16</v>
      </c>
      <c r="N350" s="701"/>
      <c r="O350" s="701"/>
      <c r="P350" s="726"/>
      <c r="Q350" s="702"/>
    </row>
    <row r="351" spans="1:17" ht="14.45" customHeight="1" x14ac:dyDescent="0.2">
      <c r="A351" s="696" t="s">
        <v>537</v>
      </c>
      <c r="B351" s="697" t="s">
        <v>2898</v>
      </c>
      <c r="C351" s="697" t="s">
        <v>3333</v>
      </c>
      <c r="D351" s="697" t="s">
        <v>3499</v>
      </c>
      <c r="E351" s="697" t="s">
        <v>3500</v>
      </c>
      <c r="F351" s="701">
        <v>2</v>
      </c>
      <c r="G351" s="701">
        <v>4259.46</v>
      </c>
      <c r="H351" s="701"/>
      <c r="I351" s="701">
        <v>2129.73</v>
      </c>
      <c r="J351" s="701">
        <v>5.7</v>
      </c>
      <c r="K351" s="701">
        <v>10378.219999999999</v>
      </c>
      <c r="L351" s="701"/>
      <c r="M351" s="701">
        <v>1820.7403508771929</v>
      </c>
      <c r="N351" s="701">
        <v>20</v>
      </c>
      <c r="O351" s="701">
        <v>36414.800000000003</v>
      </c>
      <c r="P351" s="726"/>
      <c r="Q351" s="702">
        <v>1820.7400000000002</v>
      </c>
    </row>
    <row r="352" spans="1:17" ht="14.45" customHeight="1" x14ac:dyDescent="0.2">
      <c r="A352" s="696" t="s">
        <v>537</v>
      </c>
      <c r="B352" s="697" t="s">
        <v>2898</v>
      </c>
      <c r="C352" s="697" t="s">
        <v>3333</v>
      </c>
      <c r="D352" s="697" t="s">
        <v>3501</v>
      </c>
      <c r="E352" s="697" t="s">
        <v>3500</v>
      </c>
      <c r="F352" s="701">
        <v>1</v>
      </c>
      <c r="G352" s="701">
        <v>2342.1799999999998</v>
      </c>
      <c r="H352" s="701"/>
      <c r="I352" s="701">
        <v>2342.1799999999998</v>
      </c>
      <c r="J352" s="701"/>
      <c r="K352" s="701"/>
      <c r="L352" s="701"/>
      <c r="M352" s="701"/>
      <c r="N352" s="701"/>
      <c r="O352" s="701"/>
      <c r="P352" s="726"/>
      <c r="Q352" s="702"/>
    </row>
    <row r="353" spans="1:17" ht="14.45" customHeight="1" x14ac:dyDescent="0.2">
      <c r="A353" s="696" t="s">
        <v>537</v>
      </c>
      <c r="B353" s="697" t="s">
        <v>2898</v>
      </c>
      <c r="C353" s="697" t="s">
        <v>3333</v>
      </c>
      <c r="D353" s="697" t="s">
        <v>3502</v>
      </c>
      <c r="E353" s="697" t="s">
        <v>3503</v>
      </c>
      <c r="F353" s="701"/>
      <c r="G353" s="701"/>
      <c r="H353" s="701"/>
      <c r="I353" s="701"/>
      <c r="J353" s="701"/>
      <c r="K353" s="701"/>
      <c r="L353" s="701"/>
      <c r="M353" s="701"/>
      <c r="N353" s="701">
        <v>1</v>
      </c>
      <c r="O353" s="701">
        <v>162.80000000000001</v>
      </c>
      <c r="P353" s="726"/>
      <c r="Q353" s="702">
        <v>162.80000000000001</v>
      </c>
    </row>
    <row r="354" spans="1:17" ht="14.45" customHeight="1" x14ac:dyDescent="0.2">
      <c r="A354" s="696" t="s">
        <v>537</v>
      </c>
      <c r="B354" s="697" t="s">
        <v>2898</v>
      </c>
      <c r="C354" s="697" t="s">
        <v>3333</v>
      </c>
      <c r="D354" s="697" t="s">
        <v>3504</v>
      </c>
      <c r="E354" s="697" t="s">
        <v>3505</v>
      </c>
      <c r="F354" s="701">
        <v>1.5</v>
      </c>
      <c r="G354" s="701">
        <v>8100</v>
      </c>
      <c r="H354" s="701"/>
      <c r="I354" s="701">
        <v>5400</v>
      </c>
      <c r="J354" s="701"/>
      <c r="K354" s="701"/>
      <c r="L354" s="701"/>
      <c r="M354" s="701"/>
      <c r="N354" s="701">
        <v>1</v>
      </c>
      <c r="O354" s="701">
        <v>5175</v>
      </c>
      <c r="P354" s="726"/>
      <c r="Q354" s="702">
        <v>5175</v>
      </c>
    </row>
    <row r="355" spans="1:17" ht="14.45" customHeight="1" x14ac:dyDescent="0.2">
      <c r="A355" s="696" t="s">
        <v>537</v>
      </c>
      <c r="B355" s="697" t="s">
        <v>2898</v>
      </c>
      <c r="C355" s="697" t="s">
        <v>3333</v>
      </c>
      <c r="D355" s="697" t="s">
        <v>3506</v>
      </c>
      <c r="E355" s="697" t="s">
        <v>3507</v>
      </c>
      <c r="F355" s="701">
        <v>9</v>
      </c>
      <c r="G355" s="701">
        <v>4952.7</v>
      </c>
      <c r="H355" s="701"/>
      <c r="I355" s="701">
        <v>550.29999999999995</v>
      </c>
      <c r="J355" s="701"/>
      <c r="K355" s="701"/>
      <c r="L355" s="701"/>
      <c r="M355" s="701"/>
      <c r="N355" s="701">
        <v>15</v>
      </c>
      <c r="O355" s="701">
        <v>7917.75</v>
      </c>
      <c r="P355" s="726"/>
      <c r="Q355" s="702">
        <v>527.85</v>
      </c>
    </row>
    <row r="356" spans="1:17" ht="14.45" customHeight="1" x14ac:dyDescent="0.2">
      <c r="A356" s="696" t="s">
        <v>537</v>
      </c>
      <c r="B356" s="697" t="s">
        <v>2898</v>
      </c>
      <c r="C356" s="697" t="s">
        <v>3333</v>
      </c>
      <c r="D356" s="697" t="s">
        <v>3508</v>
      </c>
      <c r="E356" s="697" t="s">
        <v>3509</v>
      </c>
      <c r="F356" s="701">
        <v>1</v>
      </c>
      <c r="G356" s="701">
        <v>4487.38</v>
      </c>
      <c r="H356" s="701"/>
      <c r="I356" s="701">
        <v>4487.38</v>
      </c>
      <c r="J356" s="701">
        <v>1</v>
      </c>
      <c r="K356" s="701">
        <v>4445.8999999999996</v>
      </c>
      <c r="L356" s="701"/>
      <c r="M356" s="701">
        <v>4445.8999999999996</v>
      </c>
      <c r="N356" s="701">
        <v>2</v>
      </c>
      <c r="O356" s="701">
        <v>8891.7999999999993</v>
      </c>
      <c r="P356" s="726"/>
      <c r="Q356" s="702">
        <v>4445.8999999999996</v>
      </c>
    </row>
    <row r="357" spans="1:17" ht="14.45" customHeight="1" x14ac:dyDescent="0.2">
      <c r="A357" s="696" t="s">
        <v>537</v>
      </c>
      <c r="B357" s="697" t="s">
        <v>2898</v>
      </c>
      <c r="C357" s="697" t="s">
        <v>3333</v>
      </c>
      <c r="D357" s="697" t="s">
        <v>3510</v>
      </c>
      <c r="E357" s="697" t="s">
        <v>3511</v>
      </c>
      <c r="F357" s="701"/>
      <c r="G357" s="701"/>
      <c r="H357" s="701"/>
      <c r="I357" s="701"/>
      <c r="J357" s="701">
        <v>1</v>
      </c>
      <c r="K357" s="701">
        <v>312.98</v>
      </c>
      <c r="L357" s="701"/>
      <c r="M357" s="701">
        <v>312.98</v>
      </c>
      <c r="N357" s="701">
        <v>1</v>
      </c>
      <c r="O357" s="701">
        <v>307.05</v>
      </c>
      <c r="P357" s="726"/>
      <c r="Q357" s="702">
        <v>307.05</v>
      </c>
    </row>
    <row r="358" spans="1:17" ht="14.45" customHeight="1" x14ac:dyDescent="0.2">
      <c r="A358" s="696" t="s">
        <v>537</v>
      </c>
      <c r="B358" s="697" t="s">
        <v>2898</v>
      </c>
      <c r="C358" s="697" t="s">
        <v>3333</v>
      </c>
      <c r="D358" s="697" t="s">
        <v>3512</v>
      </c>
      <c r="E358" s="697" t="s">
        <v>3513</v>
      </c>
      <c r="F358" s="701"/>
      <c r="G358" s="701"/>
      <c r="H358" s="701"/>
      <c r="I358" s="701"/>
      <c r="J358" s="701"/>
      <c r="K358" s="701"/>
      <c r="L358" s="701"/>
      <c r="M358" s="701"/>
      <c r="N358" s="701">
        <v>1</v>
      </c>
      <c r="O358" s="701">
        <v>1400</v>
      </c>
      <c r="P358" s="726"/>
      <c r="Q358" s="702">
        <v>1400</v>
      </c>
    </row>
    <row r="359" spans="1:17" ht="14.45" customHeight="1" x14ac:dyDescent="0.2">
      <c r="A359" s="696" t="s">
        <v>537</v>
      </c>
      <c r="B359" s="697" t="s">
        <v>2898</v>
      </c>
      <c r="C359" s="697" t="s">
        <v>3333</v>
      </c>
      <c r="D359" s="697" t="s">
        <v>3514</v>
      </c>
      <c r="E359" s="697" t="s">
        <v>3515</v>
      </c>
      <c r="F359" s="701">
        <v>32</v>
      </c>
      <c r="G359" s="701">
        <v>17142</v>
      </c>
      <c r="H359" s="701"/>
      <c r="I359" s="701">
        <v>535.6875</v>
      </c>
      <c r="J359" s="701">
        <v>41</v>
      </c>
      <c r="K359" s="701">
        <v>21684.600000000002</v>
      </c>
      <c r="L359" s="701"/>
      <c r="M359" s="701">
        <v>528.89268292682937</v>
      </c>
      <c r="N359" s="701">
        <v>37</v>
      </c>
      <c r="O359" s="701">
        <v>20831</v>
      </c>
      <c r="P359" s="726"/>
      <c r="Q359" s="702">
        <v>563</v>
      </c>
    </row>
    <row r="360" spans="1:17" ht="14.45" customHeight="1" x14ac:dyDescent="0.2">
      <c r="A360" s="696" t="s">
        <v>537</v>
      </c>
      <c r="B360" s="697" t="s">
        <v>2898</v>
      </c>
      <c r="C360" s="697" t="s">
        <v>3333</v>
      </c>
      <c r="D360" s="697" t="s">
        <v>3516</v>
      </c>
      <c r="E360" s="697" t="s">
        <v>3517</v>
      </c>
      <c r="F360" s="701">
        <v>2</v>
      </c>
      <c r="G360" s="701">
        <v>704.72</v>
      </c>
      <c r="H360" s="701"/>
      <c r="I360" s="701">
        <v>352.36</v>
      </c>
      <c r="J360" s="701">
        <v>7</v>
      </c>
      <c r="K360" s="701">
        <v>2465.96</v>
      </c>
      <c r="L360" s="701"/>
      <c r="M360" s="701">
        <v>352.28000000000003</v>
      </c>
      <c r="N360" s="701"/>
      <c r="O360" s="701"/>
      <c r="P360" s="726"/>
      <c r="Q360" s="702"/>
    </row>
    <row r="361" spans="1:17" ht="14.45" customHeight="1" x14ac:dyDescent="0.2">
      <c r="A361" s="696" t="s">
        <v>537</v>
      </c>
      <c r="B361" s="697" t="s">
        <v>2898</v>
      </c>
      <c r="C361" s="697" t="s">
        <v>3333</v>
      </c>
      <c r="D361" s="697" t="s">
        <v>3518</v>
      </c>
      <c r="E361" s="697" t="s">
        <v>3519</v>
      </c>
      <c r="F361" s="701">
        <v>1</v>
      </c>
      <c r="G361" s="701">
        <v>8710.8700000000008</v>
      </c>
      <c r="H361" s="701"/>
      <c r="I361" s="701">
        <v>8710.8700000000008</v>
      </c>
      <c r="J361" s="701"/>
      <c r="K361" s="701"/>
      <c r="L361" s="701"/>
      <c r="M361" s="701"/>
      <c r="N361" s="701"/>
      <c r="O361" s="701"/>
      <c r="P361" s="726"/>
      <c r="Q361" s="702"/>
    </row>
    <row r="362" spans="1:17" ht="14.45" customHeight="1" x14ac:dyDescent="0.2">
      <c r="A362" s="696" t="s">
        <v>537</v>
      </c>
      <c r="B362" s="697" t="s">
        <v>2898</v>
      </c>
      <c r="C362" s="697" t="s">
        <v>3333</v>
      </c>
      <c r="D362" s="697" t="s">
        <v>3520</v>
      </c>
      <c r="E362" s="697" t="s">
        <v>3427</v>
      </c>
      <c r="F362" s="701"/>
      <c r="G362" s="701"/>
      <c r="H362" s="701"/>
      <c r="I362" s="701"/>
      <c r="J362" s="701">
        <v>1</v>
      </c>
      <c r="K362" s="701">
        <v>669.63</v>
      </c>
      <c r="L362" s="701"/>
      <c r="M362" s="701">
        <v>669.63</v>
      </c>
      <c r="N362" s="701"/>
      <c r="O362" s="701"/>
      <c r="P362" s="726"/>
      <c r="Q362" s="702"/>
    </row>
    <row r="363" spans="1:17" ht="14.45" customHeight="1" x14ac:dyDescent="0.2">
      <c r="A363" s="696" t="s">
        <v>537</v>
      </c>
      <c r="B363" s="697" t="s">
        <v>2898</v>
      </c>
      <c r="C363" s="697" t="s">
        <v>3333</v>
      </c>
      <c r="D363" s="697" t="s">
        <v>3521</v>
      </c>
      <c r="E363" s="697" t="s">
        <v>3348</v>
      </c>
      <c r="F363" s="701">
        <v>1</v>
      </c>
      <c r="G363" s="701">
        <v>801.21</v>
      </c>
      <c r="H363" s="701"/>
      <c r="I363" s="701">
        <v>801.21</v>
      </c>
      <c r="J363" s="701"/>
      <c r="K363" s="701"/>
      <c r="L363" s="701"/>
      <c r="M363" s="701"/>
      <c r="N363" s="701"/>
      <c r="O363" s="701"/>
      <c r="P363" s="726"/>
      <c r="Q363" s="702"/>
    </row>
    <row r="364" spans="1:17" ht="14.45" customHeight="1" x14ac:dyDescent="0.2">
      <c r="A364" s="696" t="s">
        <v>537</v>
      </c>
      <c r="B364" s="697" t="s">
        <v>2898</v>
      </c>
      <c r="C364" s="697" t="s">
        <v>3333</v>
      </c>
      <c r="D364" s="697" t="s">
        <v>3522</v>
      </c>
      <c r="E364" s="697" t="s">
        <v>3523</v>
      </c>
      <c r="F364" s="701"/>
      <c r="G364" s="701"/>
      <c r="H364" s="701"/>
      <c r="I364" s="701"/>
      <c r="J364" s="701">
        <v>3</v>
      </c>
      <c r="K364" s="701">
        <v>2140.6799999999998</v>
      </c>
      <c r="L364" s="701"/>
      <c r="M364" s="701">
        <v>713.56</v>
      </c>
      <c r="N364" s="701">
        <v>4</v>
      </c>
      <c r="O364" s="701">
        <v>2854.24</v>
      </c>
      <c r="P364" s="726"/>
      <c r="Q364" s="702">
        <v>713.56</v>
      </c>
    </row>
    <row r="365" spans="1:17" ht="14.45" customHeight="1" x14ac:dyDescent="0.2">
      <c r="A365" s="696" t="s">
        <v>537</v>
      </c>
      <c r="B365" s="697" t="s">
        <v>2898</v>
      </c>
      <c r="C365" s="697" t="s">
        <v>3333</v>
      </c>
      <c r="D365" s="697" t="s">
        <v>3524</v>
      </c>
      <c r="E365" s="697" t="s">
        <v>3525</v>
      </c>
      <c r="F365" s="701">
        <v>28</v>
      </c>
      <c r="G365" s="701">
        <v>36814.540000000008</v>
      </c>
      <c r="H365" s="701"/>
      <c r="I365" s="701">
        <v>1314.8050000000003</v>
      </c>
      <c r="J365" s="701">
        <v>34</v>
      </c>
      <c r="K365" s="701">
        <v>31827.52</v>
      </c>
      <c r="L365" s="701"/>
      <c r="M365" s="701">
        <v>936.10352941176473</v>
      </c>
      <c r="N365" s="701">
        <v>22</v>
      </c>
      <c r="O365" s="701">
        <v>20480.260000000006</v>
      </c>
      <c r="P365" s="726"/>
      <c r="Q365" s="702">
        <v>930.92090909090939</v>
      </c>
    </row>
    <row r="366" spans="1:17" ht="14.45" customHeight="1" x14ac:dyDescent="0.2">
      <c r="A366" s="696" t="s">
        <v>537</v>
      </c>
      <c r="B366" s="697" t="s">
        <v>2898</v>
      </c>
      <c r="C366" s="697" t="s">
        <v>3333</v>
      </c>
      <c r="D366" s="697" t="s">
        <v>3526</v>
      </c>
      <c r="E366" s="697" t="s">
        <v>3527</v>
      </c>
      <c r="F366" s="701">
        <v>4.0999999999999996</v>
      </c>
      <c r="G366" s="701">
        <v>8648.9500000000007</v>
      </c>
      <c r="H366" s="701"/>
      <c r="I366" s="701">
        <v>2109.5000000000005</v>
      </c>
      <c r="J366" s="701"/>
      <c r="K366" s="701"/>
      <c r="L366" s="701"/>
      <c r="M366" s="701"/>
      <c r="N366" s="701"/>
      <c r="O366" s="701"/>
      <c r="P366" s="726"/>
      <c r="Q366" s="702"/>
    </row>
    <row r="367" spans="1:17" ht="14.45" customHeight="1" x14ac:dyDescent="0.2">
      <c r="A367" s="696" t="s">
        <v>537</v>
      </c>
      <c r="B367" s="697" t="s">
        <v>2898</v>
      </c>
      <c r="C367" s="697" t="s">
        <v>3333</v>
      </c>
      <c r="D367" s="697" t="s">
        <v>3528</v>
      </c>
      <c r="E367" s="697" t="s">
        <v>3529</v>
      </c>
      <c r="F367" s="701">
        <v>1</v>
      </c>
      <c r="G367" s="701">
        <v>1107.6199999999999</v>
      </c>
      <c r="H367" s="701"/>
      <c r="I367" s="701">
        <v>1107.6199999999999</v>
      </c>
      <c r="J367" s="701">
        <v>10</v>
      </c>
      <c r="K367" s="701">
        <v>10888.05</v>
      </c>
      <c r="L367" s="701"/>
      <c r="M367" s="701">
        <v>1088.8049999999998</v>
      </c>
      <c r="N367" s="701">
        <v>13</v>
      </c>
      <c r="O367" s="701">
        <v>14154.529999999999</v>
      </c>
      <c r="P367" s="726"/>
      <c r="Q367" s="702">
        <v>1088.81</v>
      </c>
    </row>
    <row r="368" spans="1:17" ht="14.45" customHeight="1" x14ac:dyDescent="0.2">
      <c r="A368" s="696" t="s">
        <v>537</v>
      </c>
      <c r="B368" s="697" t="s">
        <v>2898</v>
      </c>
      <c r="C368" s="697" t="s">
        <v>3333</v>
      </c>
      <c r="D368" s="697" t="s">
        <v>3530</v>
      </c>
      <c r="E368" s="697" t="s">
        <v>3505</v>
      </c>
      <c r="F368" s="701"/>
      <c r="G368" s="701"/>
      <c r="H368" s="701"/>
      <c r="I368" s="701"/>
      <c r="J368" s="701"/>
      <c r="K368" s="701"/>
      <c r="L368" s="701"/>
      <c r="M368" s="701"/>
      <c r="N368" s="701">
        <v>1</v>
      </c>
      <c r="O368" s="701">
        <v>3795</v>
      </c>
      <c r="P368" s="726"/>
      <c r="Q368" s="702">
        <v>3795</v>
      </c>
    </row>
    <row r="369" spans="1:17" ht="14.45" customHeight="1" x14ac:dyDescent="0.2">
      <c r="A369" s="696" t="s">
        <v>537</v>
      </c>
      <c r="B369" s="697" t="s">
        <v>2898</v>
      </c>
      <c r="C369" s="697" t="s">
        <v>3333</v>
      </c>
      <c r="D369" s="697" t="s">
        <v>3531</v>
      </c>
      <c r="E369" s="697" t="s">
        <v>3532</v>
      </c>
      <c r="F369" s="701">
        <v>2</v>
      </c>
      <c r="G369" s="701">
        <v>2151.5</v>
      </c>
      <c r="H369" s="701"/>
      <c r="I369" s="701">
        <v>1075.75</v>
      </c>
      <c r="J369" s="701">
        <v>9</v>
      </c>
      <c r="K369" s="701">
        <v>7460.19</v>
      </c>
      <c r="L369" s="701"/>
      <c r="M369" s="701">
        <v>828.91</v>
      </c>
      <c r="N369" s="701">
        <v>4</v>
      </c>
      <c r="O369" s="701">
        <v>3315.64</v>
      </c>
      <c r="P369" s="726"/>
      <c r="Q369" s="702">
        <v>828.91</v>
      </c>
    </row>
    <row r="370" spans="1:17" ht="14.45" customHeight="1" x14ac:dyDescent="0.2">
      <c r="A370" s="696" t="s">
        <v>537</v>
      </c>
      <c r="B370" s="697" t="s">
        <v>2898</v>
      </c>
      <c r="C370" s="697" t="s">
        <v>3333</v>
      </c>
      <c r="D370" s="697" t="s">
        <v>3533</v>
      </c>
      <c r="E370" s="697" t="s">
        <v>3534</v>
      </c>
      <c r="F370" s="701">
        <v>4</v>
      </c>
      <c r="G370" s="701">
        <v>2691.63</v>
      </c>
      <c r="H370" s="701"/>
      <c r="I370" s="701">
        <v>672.90750000000003</v>
      </c>
      <c r="J370" s="701">
        <v>20</v>
      </c>
      <c r="K370" s="701">
        <v>12896.32</v>
      </c>
      <c r="L370" s="701"/>
      <c r="M370" s="701">
        <v>644.81600000000003</v>
      </c>
      <c r="N370" s="701">
        <v>6</v>
      </c>
      <c r="O370" s="701">
        <v>3634.0400000000004</v>
      </c>
      <c r="P370" s="726"/>
      <c r="Q370" s="702">
        <v>605.6733333333334</v>
      </c>
    </row>
    <row r="371" spans="1:17" ht="14.45" customHeight="1" x14ac:dyDescent="0.2">
      <c r="A371" s="696" t="s">
        <v>537</v>
      </c>
      <c r="B371" s="697" t="s">
        <v>2898</v>
      </c>
      <c r="C371" s="697" t="s">
        <v>3333</v>
      </c>
      <c r="D371" s="697" t="s">
        <v>3535</v>
      </c>
      <c r="E371" s="697" t="s">
        <v>3536</v>
      </c>
      <c r="F371" s="701">
        <v>28.1</v>
      </c>
      <c r="G371" s="701">
        <v>43905.4</v>
      </c>
      <c r="H371" s="701"/>
      <c r="I371" s="701">
        <v>1562.4697508896797</v>
      </c>
      <c r="J371" s="701">
        <v>35</v>
      </c>
      <c r="K371" s="701">
        <v>45902.21</v>
      </c>
      <c r="L371" s="701"/>
      <c r="M371" s="701">
        <v>1311.4917142857144</v>
      </c>
      <c r="N371" s="701">
        <v>25</v>
      </c>
      <c r="O371" s="701">
        <v>32787.37000000001</v>
      </c>
      <c r="P371" s="726"/>
      <c r="Q371" s="702">
        <v>1311.4948000000004</v>
      </c>
    </row>
    <row r="372" spans="1:17" ht="14.45" customHeight="1" x14ac:dyDescent="0.2">
      <c r="A372" s="696" t="s">
        <v>537</v>
      </c>
      <c r="B372" s="697" t="s">
        <v>2898</v>
      </c>
      <c r="C372" s="697" t="s">
        <v>3333</v>
      </c>
      <c r="D372" s="697" t="s">
        <v>3537</v>
      </c>
      <c r="E372" s="697" t="s">
        <v>3538</v>
      </c>
      <c r="F372" s="701">
        <v>2</v>
      </c>
      <c r="G372" s="701">
        <v>497.46</v>
      </c>
      <c r="H372" s="701"/>
      <c r="I372" s="701">
        <v>248.73</v>
      </c>
      <c r="J372" s="701"/>
      <c r="K372" s="701"/>
      <c r="L372" s="701"/>
      <c r="M372" s="701"/>
      <c r="N372" s="701">
        <v>2</v>
      </c>
      <c r="O372" s="701">
        <v>434.98</v>
      </c>
      <c r="P372" s="726"/>
      <c r="Q372" s="702">
        <v>217.49</v>
      </c>
    </row>
    <row r="373" spans="1:17" ht="14.45" customHeight="1" x14ac:dyDescent="0.2">
      <c r="A373" s="696" t="s">
        <v>537</v>
      </c>
      <c r="B373" s="697" t="s">
        <v>2898</v>
      </c>
      <c r="C373" s="697" t="s">
        <v>3333</v>
      </c>
      <c r="D373" s="697" t="s">
        <v>3539</v>
      </c>
      <c r="E373" s="697" t="s">
        <v>3540</v>
      </c>
      <c r="F373" s="701"/>
      <c r="G373" s="701"/>
      <c r="H373" s="701"/>
      <c r="I373" s="701"/>
      <c r="J373" s="701">
        <v>1</v>
      </c>
      <c r="K373" s="701">
        <v>9592.17</v>
      </c>
      <c r="L373" s="701"/>
      <c r="M373" s="701">
        <v>9592.17</v>
      </c>
      <c r="N373" s="701"/>
      <c r="O373" s="701"/>
      <c r="P373" s="726"/>
      <c r="Q373" s="702"/>
    </row>
    <row r="374" spans="1:17" ht="14.45" customHeight="1" x14ac:dyDescent="0.2">
      <c r="A374" s="696" t="s">
        <v>537</v>
      </c>
      <c r="B374" s="697" t="s">
        <v>2898</v>
      </c>
      <c r="C374" s="697" t="s">
        <v>3333</v>
      </c>
      <c r="D374" s="697" t="s">
        <v>3541</v>
      </c>
      <c r="E374" s="697" t="s">
        <v>3542</v>
      </c>
      <c r="F374" s="701">
        <v>1</v>
      </c>
      <c r="G374" s="701">
        <v>18285</v>
      </c>
      <c r="H374" s="701"/>
      <c r="I374" s="701">
        <v>18285</v>
      </c>
      <c r="J374" s="701"/>
      <c r="K374" s="701"/>
      <c r="L374" s="701"/>
      <c r="M374" s="701"/>
      <c r="N374" s="701"/>
      <c r="O374" s="701"/>
      <c r="P374" s="726"/>
      <c r="Q374" s="702"/>
    </row>
    <row r="375" spans="1:17" ht="14.45" customHeight="1" x14ac:dyDescent="0.2">
      <c r="A375" s="696" t="s">
        <v>537</v>
      </c>
      <c r="B375" s="697" t="s">
        <v>2898</v>
      </c>
      <c r="C375" s="697" t="s">
        <v>3333</v>
      </c>
      <c r="D375" s="697" t="s">
        <v>3543</v>
      </c>
      <c r="E375" s="697" t="s">
        <v>3407</v>
      </c>
      <c r="F375" s="701"/>
      <c r="G375" s="701"/>
      <c r="H375" s="701"/>
      <c r="I375" s="701"/>
      <c r="J375" s="701"/>
      <c r="K375" s="701"/>
      <c r="L375" s="701"/>
      <c r="M375" s="701"/>
      <c r="N375" s="701">
        <v>2</v>
      </c>
      <c r="O375" s="701">
        <v>32066</v>
      </c>
      <c r="P375" s="726"/>
      <c r="Q375" s="702">
        <v>16033</v>
      </c>
    </row>
    <row r="376" spans="1:17" ht="14.45" customHeight="1" x14ac:dyDescent="0.2">
      <c r="A376" s="696" t="s">
        <v>537</v>
      </c>
      <c r="B376" s="697" t="s">
        <v>2898</v>
      </c>
      <c r="C376" s="697" t="s">
        <v>3333</v>
      </c>
      <c r="D376" s="697" t="s">
        <v>3544</v>
      </c>
      <c r="E376" s="697" t="s">
        <v>3545</v>
      </c>
      <c r="F376" s="701">
        <v>1.3</v>
      </c>
      <c r="G376" s="701">
        <v>87.1</v>
      </c>
      <c r="H376" s="701"/>
      <c r="I376" s="701">
        <v>67</v>
      </c>
      <c r="J376" s="701">
        <v>1.2</v>
      </c>
      <c r="K376" s="701">
        <v>80.400000000000006</v>
      </c>
      <c r="L376" s="701"/>
      <c r="M376" s="701">
        <v>67.000000000000014</v>
      </c>
      <c r="N376" s="701">
        <v>0.7</v>
      </c>
      <c r="O376" s="701">
        <v>46.9</v>
      </c>
      <c r="P376" s="726"/>
      <c r="Q376" s="702">
        <v>67</v>
      </c>
    </row>
    <row r="377" spans="1:17" ht="14.45" customHeight="1" x14ac:dyDescent="0.2">
      <c r="A377" s="696" t="s">
        <v>537</v>
      </c>
      <c r="B377" s="697" t="s">
        <v>2898</v>
      </c>
      <c r="C377" s="697" t="s">
        <v>3333</v>
      </c>
      <c r="D377" s="697" t="s">
        <v>3546</v>
      </c>
      <c r="E377" s="697" t="s">
        <v>3547</v>
      </c>
      <c r="F377" s="701"/>
      <c r="G377" s="701"/>
      <c r="H377" s="701"/>
      <c r="I377" s="701"/>
      <c r="J377" s="701">
        <v>1</v>
      </c>
      <c r="K377" s="701">
        <v>4867.66</v>
      </c>
      <c r="L377" s="701"/>
      <c r="M377" s="701">
        <v>4867.66</v>
      </c>
      <c r="N377" s="701"/>
      <c r="O377" s="701"/>
      <c r="P377" s="726"/>
      <c r="Q377" s="702"/>
    </row>
    <row r="378" spans="1:17" ht="14.45" customHeight="1" x14ac:dyDescent="0.2">
      <c r="A378" s="696" t="s">
        <v>537</v>
      </c>
      <c r="B378" s="697" t="s">
        <v>2898</v>
      </c>
      <c r="C378" s="697" t="s">
        <v>3333</v>
      </c>
      <c r="D378" s="697" t="s">
        <v>3548</v>
      </c>
      <c r="E378" s="697" t="s">
        <v>3549</v>
      </c>
      <c r="F378" s="701">
        <v>2</v>
      </c>
      <c r="G378" s="701">
        <v>8948.34</v>
      </c>
      <c r="H378" s="701"/>
      <c r="I378" s="701">
        <v>4474.17</v>
      </c>
      <c r="J378" s="701"/>
      <c r="K378" s="701"/>
      <c r="L378" s="701"/>
      <c r="M378" s="701"/>
      <c r="N378" s="701"/>
      <c r="O378" s="701"/>
      <c r="P378" s="726"/>
      <c r="Q378" s="702"/>
    </row>
    <row r="379" spans="1:17" ht="14.45" customHeight="1" x14ac:dyDescent="0.2">
      <c r="A379" s="696" t="s">
        <v>537</v>
      </c>
      <c r="B379" s="697" t="s">
        <v>2898</v>
      </c>
      <c r="C379" s="697" t="s">
        <v>3333</v>
      </c>
      <c r="D379" s="697" t="s">
        <v>3550</v>
      </c>
      <c r="E379" s="697" t="s">
        <v>3551</v>
      </c>
      <c r="F379" s="701">
        <v>1</v>
      </c>
      <c r="G379" s="701">
        <v>2665.66</v>
      </c>
      <c r="H379" s="701"/>
      <c r="I379" s="701">
        <v>2665.66</v>
      </c>
      <c r="J379" s="701"/>
      <c r="K379" s="701"/>
      <c r="L379" s="701"/>
      <c r="M379" s="701"/>
      <c r="N379" s="701"/>
      <c r="O379" s="701"/>
      <c r="P379" s="726"/>
      <c r="Q379" s="702"/>
    </row>
    <row r="380" spans="1:17" ht="14.45" customHeight="1" x14ac:dyDescent="0.2">
      <c r="A380" s="696" t="s">
        <v>537</v>
      </c>
      <c r="B380" s="697" t="s">
        <v>2898</v>
      </c>
      <c r="C380" s="697" t="s">
        <v>3333</v>
      </c>
      <c r="D380" s="697" t="s">
        <v>3552</v>
      </c>
      <c r="E380" s="697" t="s">
        <v>3553</v>
      </c>
      <c r="F380" s="701"/>
      <c r="G380" s="701"/>
      <c r="H380" s="701"/>
      <c r="I380" s="701"/>
      <c r="J380" s="701"/>
      <c r="K380" s="701"/>
      <c r="L380" s="701"/>
      <c r="M380" s="701"/>
      <c r="N380" s="701">
        <v>1</v>
      </c>
      <c r="O380" s="701">
        <v>4490</v>
      </c>
      <c r="P380" s="726"/>
      <c r="Q380" s="702">
        <v>4490</v>
      </c>
    </row>
    <row r="381" spans="1:17" ht="14.45" customHeight="1" x14ac:dyDescent="0.2">
      <c r="A381" s="696" t="s">
        <v>537</v>
      </c>
      <c r="B381" s="697" t="s">
        <v>2898</v>
      </c>
      <c r="C381" s="697" t="s">
        <v>3333</v>
      </c>
      <c r="D381" s="697" t="s">
        <v>3554</v>
      </c>
      <c r="E381" s="697" t="s">
        <v>3555</v>
      </c>
      <c r="F381" s="701"/>
      <c r="G381" s="701"/>
      <c r="H381" s="701"/>
      <c r="I381" s="701"/>
      <c r="J381" s="701"/>
      <c r="K381" s="701"/>
      <c r="L381" s="701"/>
      <c r="M381" s="701"/>
      <c r="N381" s="701">
        <v>1</v>
      </c>
      <c r="O381" s="701">
        <v>158.62</v>
      </c>
      <c r="P381" s="726"/>
      <c r="Q381" s="702">
        <v>158.62</v>
      </c>
    </row>
    <row r="382" spans="1:17" ht="14.45" customHeight="1" x14ac:dyDescent="0.2">
      <c r="A382" s="696" t="s">
        <v>537</v>
      </c>
      <c r="B382" s="697" t="s">
        <v>2898</v>
      </c>
      <c r="C382" s="697" t="s">
        <v>3333</v>
      </c>
      <c r="D382" s="697" t="s">
        <v>3556</v>
      </c>
      <c r="E382" s="697" t="s">
        <v>3557</v>
      </c>
      <c r="F382" s="701"/>
      <c r="G382" s="701"/>
      <c r="H382" s="701"/>
      <c r="I382" s="701"/>
      <c r="J382" s="701">
        <v>1</v>
      </c>
      <c r="K382" s="701">
        <v>344.85</v>
      </c>
      <c r="L382" s="701"/>
      <c r="M382" s="701">
        <v>344.85</v>
      </c>
      <c r="N382" s="701"/>
      <c r="O382" s="701"/>
      <c r="P382" s="726"/>
      <c r="Q382" s="702"/>
    </row>
    <row r="383" spans="1:17" ht="14.45" customHeight="1" x14ac:dyDescent="0.2">
      <c r="A383" s="696" t="s">
        <v>537</v>
      </c>
      <c r="B383" s="697" t="s">
        <v>2898</v>
      </c>
      <c r="C383" s="697" t="s">
        <v>3333</v>
      </c>
      <c r="D383" s="697" t="s">
        <v>3558</v>
      </c>
      <c r="E383" s="697" t="s">
        <v>3559</v>
      </c>
      <c r="F383" s="701"/>
      <c r="G383" s="701"/>
      <c r="H383" s="701"/>
      <c r="I383" s="701"/>
      <c r="J383" s="701">
        <v>1</v>
      </c>
      <c r="K383" s="701">
        <v>5902.87</v>
      </c>
      <c r="L383" s="701"/>
      <c r="M383" s="701">
        <v>5902.87</v>
      </c>
      <c r="N383" s="701">
        <v>3</v>
      </c>
      <c r="O383" s="701">
        <v>17708.61</v>
      </c>
      <c r="P383" s="726"/>
      <c r="Q383" s="702">
        <v>5902.87</v>
      </c>
    </row>
    <row r="384" spans="1:17" ht="14.45" customHeight="1" x14ac:dyDescent="0.2">
      <c r="A384" s="696" t="s">
        <v>537</v>
      </c>
      <c r="B384" s="697" t="s">
        <v>2898</v>
      </c>
      <c r="C384" s="697" t="s">
        <v>3333</v>
      </c>
      <c r="D384" s="697" t="s">
        <v>3560</v>
      </c>
      <c r="E384" s="697" t="s">
        <v>3561</v>
      </c>
      <c r="F384" s="701"/>
      <c r="G384" s="701"/>
      <c r="H384" s="701"/>
      <c r="I384" s="701"/>
      <c r="J384" s="701">
        <v>1</v>
      </c>
      <c r="K384" s="701">
        <v>12135</v>
      </c>
      <c r="L384" s="701"/>
      <c r="M384" s="701">
        <v>12135</v>
      </c>
      <c r="N384" s="701"/>
      <c r="O384" s="701"/>
      <c r="P384" s="726"/>
      <c r="Q384" s="702"/>
    </row>
    <row r="385" spans="1:17" ht="14.45" customHeight="1" x14ac:dyDescent="0.2">
      <c r="A385" s="696" t="s">
        <v>537</v>
      </c>
      <c r="B385" s="697" t="s">
        <v>2898</v>
      </c>
      <c r="C385" s="697" t="s">
        <v>3333</v>
      </c>
      <c r="D385" s="697" t="s">
        <v>3562</v>
      </c>
      <c r="E385" s="697" t="s">
        <v>3563</v>
      </c>
      <c r="F385" s="701">
        <v>1</v>
      </c>
      <c r="G385" s="701">
        <v>749.27</v>
      </c>
      <c r="H385" s="701"/>
      <c r="I385" s="701">
        <v>749.27</v>
      </c>
      <c r="J385" s="701">
        <v>6</v>
      </c>
      <c r="K385" s="701">
        <v>4495.62</v>
      </c>
      <c r="L385" s="701"/>
      <c r="M385" s="701">
        <v>749.27</v>
      </c>
      <c r="N385" s="701">
        <v>6</v>
      </c>
      <c r="O385" s="701">
        <v>4495.62</v>
      </c>
      <c r="P385" s="726"/>
      <c r="Q385" s="702">
        <v>749.27</v>
      </c>
    </row>
    <row r="386" spans="1:17" ht="14.45" customHeight="1" x14ac:dyDescent="0.2">
      <c r="A386" s="696" t="s">
        <v>537</v>
      </c>
      <c r="B386" s="697" t="s">
        <v>2898</v>
      </c>
      <c r="C386" s="697" t="s">
        <v>3333</v>
      </c>
      <c r="D386" s="697" t="s">
        <v>3564</v>
      </c>
      <c r="E386" s="697" t="s">
        <v>3565</v>
      </c>
      <c r="F386" s="701">
        <v>4</v>
      </c>
      <c r="G386" s="701">
        <v>2208</v>
      </c>
      <c r="H386" s="701"/>
      <c r="I386" s="701">
        <v>552</v>
      </c>
      <c r="J386" s="701">
        <v>6</v>
      </c>
      <c r="K386" s="701">
        <v>10005</v>
      </c>
      <c r="L386" s="701"/>
      <c r="M386" s="701">
        <v>1667.5</v>
      </c>
      <c r="N386" s="701"/>
      <c r="O386" s="701"/>
      <c r="P386" s="726"/>
      <c r="Q386" s="702"/>
    </row>
    <row r="387" spans="1:17" ht="14.45" customHeight="1" x14ac:dyDescent="0.2">
      <c r="A387" s="696" t="s">
        <v>537</v>
      </c>
      <c r="B387" s="697" t="s">
        <v>2898</v>
      </c>
      <c r="C387" s="697" t="s">
        <v>3333</v>
      </c>
      <c r="D387" s="697" t="s">
        <v>3566</v>
      </c>
      <c r="E387" s="697" t="s">
        <v>3567</v>
      </c>
      <c r="F387" s="701">
        <v>12</v>
      </c>
      <c r="G387" s="701">
        <v>14754.96</v>
      </c>
      <c r="H387" s="701"/>
      <c r="I387" s="701">
        <v>1229.58</v>
      </c>
      <c r="J387" s="701">
        <v>20</v>
      </c>
      <c r="K387" s="701">
        <v>22179.919999999998</v>
      </c>
      <c r="L387" s="701"/>
      <c r="M387" s="701">
        <v>1108.9959999999999</v>
      </c>
      <c r="N387" s="701"/>
      <c r="O387" s="701"/>
      <c r="P387" s="726"/>
      <c r="Q387" s="702"/>
    </row>
    <row r="388" spans="1:17" ht="14.45" customHeight="1" x14ac:dyDescent="0.2">
      <c r="A388" s="696" t="s">
        <v>537</v>
      </c>
      <c r="B388" s="697" t="s">
        <v>2898</v>
      </c>
      <c r="C388" s="697" t="s">
        <v>3333</v>
      </c>
      <c r="D388" s="697" t="s">
        <v>3568</v>
      </c>
      <c r="E388" s="697" t="s">
        <v>3567</v>
      </c>
      <c r="F388" s="701">
        <v>12</v>
      </c>
      <c r="G388" s="701">
        <v>62102.64</v>
      </c>
      <c r="H388" s="701"/>
      <c r="I388" s="701">
        <v>5175.22</v>
      </c>
      <c r="J388" s="701">
        <v>20</v>
      </c>
      <c r="K388" s="701">
        <v>120388</v>
      </c>
      <c r="L388" s="701"/>
      <c r="M388" s="701">
        <v>6019.4</v>
      </c>
      <c r="N388" s="701"/>
      <c r="O388" s="701"/>
      <c r="P388" s="726"/>
      <c r="Q388" s="702"/>
    </row>
    <row r="389" spans="1:17" ht="14.45" customHeight="1" x14ac:dyDescent="0.2">
      <c r="A389" s="696" t="s">
        <v>537</v>
      </c>
      <c r="B389" s="697" t="s">
        <v>2898</v>
      </c>
      <c r="C389" s="697" t="s">
        <v>3333</v>
      </c>
      <c r="D389" s="697" t="s">
        <v>3569</v>
      </c>
      <c r="E389" s="697" t="s">
        <v>3511</v>
      </c>
      <c r="F389" s="701">
        <v>8</v>
      </c>
      <c r="G389" s="701">
        <v>2165.2799999999997</v>
      </c>
      <c r="H389" s="701"/>
      <c r="I389" s="701">
        <v>270.65999999999997</v>
      </c>
      <c r="J389" s="701">
        <v>8</v>
      </c>
      <c r="K389" s="701">
        <v>1419.44</v>
      </c>
      <c r="L389" s="701"/>
      <c r="M389" s="701">
        <v>177.43</v>
      </c>
      <c r="N389" s="701">
        <v>11</v>
      </c>
      <c r="O389" s="701">
        <v>2626.36</v>
      </c>
      <c r="P389" s="726"/>
      <c r="Q389" s="702">
        <v>238.76000000000002</v>
      </c>
    </row>
    <row r="390" spans="1:17" ht="14.45" customHeight="1" x14ac:dyDescent="0.2">
      <c r="A390" s="696" t="s">
        <v>537</v>
      </c>
      <c r="B390" s="697" t="s">
        <v>2898</v>
      </c>
      <c r="C390" s="697" t="s">
        <v>3333</v>
      </c>
      <c r="D390" s="697" t="s">
        <v>3570</v>
      </c>
      <c r="E390" s="697" t="s">
        <v>3567</v>
      </c>
      <c r="F390" s="701">
        <v>2</v>
      </c>
      <c r="G390" s="701">
        <v>11040</v>
      </c>
      <c r="H390" s="701"/>
      <c r="I390" s="701">
        <v>5520</v>
      </c>
      <c r="J390" s="701">
        <v>6</v>
      </c>
      <c r="K390" s="701">
        <v>33120</v>
      </c>
      <c r="L390" s="701"/>
      <c r="M390" s="701">
        <v>5520</v>
      </c>
      <c r="N390" s="701"/>
      <c r="O390" s="701"/>
      <c r="P390" s="726"/>
      <c r="Q390" s="702"/>
    </row>
    <row r="391" spans="1:17" ht="14.45" customHeight="1" x14ac:dyDescent="0.2">
      <c r="A391" s="696" t="s">
        <v>537</v>
      </c>
      <c r="B391" s="697" t="s">
        <v>2898</v>
      </c>
      <c r="C391" s="697" t="s">
        <v>3333</v>
      </c>
      <c r="D391" s="697" t="s">
        <v>3571</v>
      </c>
      <c r="E391" s="697" t="s">
        <v>3567</v>
      </c>
      <c r="F391" s="701">
        <v>1</v>
      </c>
      <c r="G391" s="701">
        <v>1920.5</v>
      </c>
      <c r="H391" s="701"/>
      <c r="I391" s="701">
        <v>1920.5</v>
      </c>
      <c r="J391" s="701">
        <v>3</v>
      </c>
      <c r="K391" s="701">
        <v>5761.5</v>
      </c>
      <c r="L391" s="701"/>
      <c r="M391" s="701">
        <v>1920.5</v>
      </c>
      <c r="N391" s="701"/>
      <c r="O391" s="701"/>
      <c r="P391" s="726"/>
      <c r="Q391" s="702"/>
    </row>
    <row r="392" spans="1:17" ht="14.45" customHeight="1" x14ac:dyDescent="0.2">
      <c r="A392" s="696" t="s">
        <v>537</v>
      </c>
      <c r="B392" s="697" t="s">
        <v>2898</v>
      </c>
      <c r="C392" s="697" t="s">
        <v>3333</v>
      </c>
      <c r="D392" s="697" t="s">
        <v>3572</v>
      </c>
      <c r="E392" s="697" t="s">
        <v>3573</v>
      </c>
      <c r="F392" s="701">
        <v>1</v>
      </c>
      <c r="G392" s="701">
        <v>595.39</v>
      </c>
      <c r="H392" s="701"/>
      <c r="I392" s="701">
        <v>595.39</v>
      </c>
      <c r="J392" s="701"/>
      <c r="K392" s="701"/>
      <c r="L392" s="701"/>
      <c r="M392" s="701"/>
      <c r="N392" s="701"/>
      <c r="O392" s="701"/>
      <c r="P392" s="726"/>
      <c r="Q392" s="702"/>
    </row>
    <row r="393" spans="1:17" ht="14.45" customHeight="1" x14ac:dyDescent="0.2">
      <c r="A393" s="696" t="s">
        <v>537</v>
      </c>
      <c r="B393" s="697" t="s">
        <v>2898</v>
      </c>
      <c r="C393" s="697" t="s">
        <v>3333</v>
      </c>
      <c r="D393" s="697" t="s">
        <v>3574</v>
      </c>
      <c r="E393" s="697" t="s">
        <v>3511</v>
      </c>
      <c r="F393" s="701">
        <v>2</v>
      </c>
      <c r="G393" s="701">
        <v>1341.37</v>
      </c>
      <c r="H393" s="701"/>
      <c r="I393" s="701">
        <v>670.68499999999995</v>
      </c>
      <c r="J393" s="701">
        <v>1</v>
      </c>
      <c r="K393" s="701">
        <v>486.64</v>
      </c>
      <c r="L393" s="701"/>
      <c r="M393" s="701">
        <v>486.64</v>
      </c>
      <c r="N393" s="701">
        <v>1</v>
      </c>
      <c r="O393" s="701">
        <v>374.9</v>
      </c>
      <c r="P393" s="726"/>
      <c r="Q393" s="702">
        <v>374.9</v>
      </c>
    </row>
    <row r="394" spans="1:17" ht="14.45" customHeight="1" x14ac:dyDescent="0.2">
      <c r="A394" s="696" t="s">
        <v>537</v>
      </c>
      <c r="B394" s="697" t="s">
        <v>2898</v>
      </c>
      <c r="C394" s="697" t="s">
        <v>3333</v>
      </c>
      <c r="D394" s="697" t="s">
        <v>3575</v>
      </c>
      <c r="E394" s="697" t="s">
        <v>3576</v>
      </c>
      <c r="F394" s="701">
        <v>0</v>
      </c>
      <c r="G394" s="701">
        <v>0</v>
      </c>
      <c r="H394" s="701"/>
      <c r="I394" s="701"/>
      <c r="J394" s="701"/>
      <c r="K394" s="701"/>
      <c r="L394" s="701"/>
      <c r="M394" s="701"/>
      <c r="N394" s="701">
        <v>2</v>
      </c>
      <c r="O394" s="701">
        <v>452.2</v>
      </c>
      <c r="P394" s="726"/>
      <c r="Q394" s="702">
        <v>226.1</v>
      </c>
    </row>
    <row r="395" spans="1:17" ht="14.45" customHeight="1" x14ac:dyDescent="0.2">
      <c r="A395" s="696" t="s">
        <v>537</v>
      </c>
      <c r="B395" s="697" t="s">
        <v>2898</v>
      </c>
      <c r="C395" s="697" t="s">
        <v>3333</v>
      </c>
      <c r="D395" s="697" t="s">
        <v>3577</v>
      </c>
      <c r="E395" s="697" t="s">
        <v>3578</v>
      </c>
      <c r="F395" s="701">
        <v>2</v>
      </c>
      <c r="G395" s="701">
        <v>4605.3999999999996</v>
      </c>
      <c r="H395" s="701"/>
      <c r="I395" s="701">
        <v>2302.6999999999998</v>
      </c>
      <c r="J395" s="701"/>
      <c r="K395" s="701"/>
      <c r="L395" s="701"/>
      <c r="M395" s="701"/>
      <c r="N395" s="701"/>
      <c r="O395" s="701"/>
      <c r="P395" s="726"/>
      <c r="Q395" s="702"/>
    </row>
    <row r="396" spans="1:17" ht="14.45" customHeight="1" x14ac:dyDescent="0.2">
      <c r="A396" s="696" t="s">
        <v>537</v>
      </c>
      <c r="B396" s="697" t="s">
        <v>2898</v>
      </c>
      <c r="C396" s="697" t="s">
        <v>3333</v>
      </c>
      <c r="D396" s="697" t="s">
        <v>3579</v>
      </c>
      <c r="E396" s="697" t="s">
        <v>3580</v>
      </c>
      <c r="F396" s="701">
        <v>5</v>
      </c>
      <c r="G396" s="701">
        <v>1547.35</v>
      </c>
      <c r="H396" s="701"/>
      <c r="I396" s="701">
        <v>309.46999999999997</v>
      </c>
      <c r="J396" s="701"/>
      <c r="K396" s="701"/>
      <c r="L396" s="701"/>
      <c r="M396" s="701"/>
      <c r="N396" s="701">
        <v>4</v>
      </c>
      <c r="O396" s="701">
        <v>1319.92</v>
      </c>
      <c r="P396" s="726"/>
      <c r="Q396" s="702">
        <v>329.98</v>
      </c>
    </row>
    <row r="397" spans="1:17" ht="14.45" customHeight="1" x14ac:dyDescent="0.2">
      <c r="A397" s="696" t="s">
        <v>537</v>
      </c>
      <c r="B397" s="697" t="s">
        <v>2898</v>
      </c>
      <c r="C397" s="697" t="s">
        <v>3333</v>
      </c>
      <c r="D397" s="697" t="s">
        <v>3581</v>
      </c>
      <c r="E397" s="697" t="s">
        <v>3511</v>
      </c>
      <c r="F397" s="701"/>
      <c r="G397" s="701"/>
      <c r="H397" s="701"/>
      <c r="I397" s="701"/>
      <c r="J397" s="701"/>
      <c r="K397" s="701"/>
      <c r="L397" s="701"/>
      <c r="M397" s="701"/>
      <c r="N397" s="701">
        <v>2</v>
      </c>
      <c r="O397" s="701">
        <v>677.5</v>
      </c>
      <c r="P397" s="726"/>
      <c r="Q397" s="702">
        <v>338.75</v>
      </c>
    </row>
    <row r="398" spans="1:17" ht="14.45" customHeight="1" x14ac:dyDescent="0.2">
      <c r="A398" s="696" t="s">
        <v>537</v>
      </c>
      <c r="B398" s="697" t="s">
        <v>2898</v>
      </c>
      <c r="C398" s="697" t="s">
        <v>3333</v>
      </c>
      <c r="D398" s="697" t="s">
        <v>3582</v>
      </c>
      <c r="E398" s="697" t="s">
        <v>3580</v>
      </c>
      <c r="F398" s="701"/>
      <c r="G398" s="701"/>
      <c r="H398" s="701"/>
      <c r="I398" s="701"/>
      <c r="J398" s="701"/>
      <c r="K398" s="701"/>
      <c r="L398" s="701"/>
      <c r="M398" s="701"/>
      <c r="N398" s="701">
        <v>8</v>
      </c>
      <c r="O398" s="701">
        <v>1407.6</v>
      </c>
      <c r="P398" s="726"/>
      <c r="Q398" s="702">
        <v>175.95</v>
      </c>
    </row>
    <row r="399" spans="1:17" ht="14.45" customHeight="1" x14ac:dyDescent="0.2">
      <c r="A399" s="696" t="s">
        <v>537</v>
      </c>
      <c r="B399" s="697" t="s">
        <v>2898</v>
      </c>
      <c r="C399" s="697" t="s">
        <v>3333</v>
      </c>
      <c r="D399" s="697" t="s">
        <v>3583</v>
      </c>
      <c r="E399" s="697" t="s">
        <v>3580</v>
      </c>
      <c r="F399" s="701"/>
      <c r="G399" s="701"/>
      <c r="H399" s="701"/>
      <c r="I399" s="701"/>
      <c r="J399" s="701"/>
      <c r="K399" s="701"/>
      <c r="L399" s="701"/>
      <c r="M399" s="701"/>
      <c r="N399" s="701">
        <v>33</v>
      </c>
      <c r="O399" s="701">
        <v>8630.16</v>
      </c>
      <c r="P399" s="726"/>
      <c r="Q399" s="702">
        <v>261.52</v>
      </c>
    </row>
    <row r="400" spans="1:17" ht="14.45" customHeight="1" x14ac:dyDescent="0.2">
      <c r="A400" s="696" t="s">
        <v>537</v>
      </c>
      <c r="B400" s="697" t="s">
        <v>2898</v>
      </c>
      <c r="C400" s="697" t="s">
        <v>3333</v>
      </c>
      <c r="D400" s="697" t="s">
        <v>3584</v>
      </c>
      <c r="E400" s="697" t="s">
        <v>3585</v>
      </c>
      <c r="F400" s="701"/>
      <c r="G400" s="701"/>
      <c r="H400" s="701"/>
      <c r="I400" s="701"/>
      <c r="J400" s="701">
        <v>2</v>
      </c>
      <c r="K400" s="701">
        <v>1173</v>
      </c>
      <c r="L400" s="701"/>
      <c r="M400" s="701">
        <v>586.5</v>
      </c>
      <c r="N400" s="701"/>
      <c r="O400" s="701"/>
      <c r="P400" s="726"/>
      <c r="Q400" s="702"/>
    </row>
    <row r="401" spans="1:17" ht="14.45" customHeight="1" x14ac:dyDescent="0.2">
      <c r="A401" s="696" t="s">
        <v>537</v>
      </c>
      <c r="B401" s="697" t="s">
        <v>2898</v>
      </c>
      <c r="C401" s="697" t="s">
        <v>3333</v>
      </c>
      <c r="D401" s="697" t="s">
        <v>3586</v>
      </c>
      <c r="E401" s="697" t="s">
        <v>3587</v>
      </c>
      <c r="F401" s="701">
        <v>1</v>
      </c>
      <c r="G401" s="701">
        <v>9430</v>
      </c>
      <c r="H401" s="701"/>
      <c r="I401" s="701">
        <v>9430</v>
      </c>
      <c r="J401" s="701">
        <v>18</v>
      </c>
      <c r="K401" s="701">
        <v>169740</v>
      </c>
      <c r="L401" s="701"/>
      <c r="M401" s="701">
        <v>9430</v>
      </c>
      <c r="N401" s="701">
        <v>6</v>
      </c>
      <c r="O401" s="701">
        <v>56580</v>
      </c>
      <c r="P401" s="726"/>
      <c r="Q401" s="702">
        <v>9430</v>
      </c>
    </row>
    <row r="402" spans="1:17" ht="14.45" customHeight="1" x14ac:dyDescent="0.2">
      <c r="A402" s="696" t="s">
        <v>537</v>
      </c>
      <c r="B402" s="697" t="s">
        <v>2898</v>
      </c>
      <c r="C402" s="697" t="s">
        <v>3333</v>
      </c>
      <c r="D402" s="697" t="s">
        <v>3588</v>
      </c>
      <c r="E402" s="697" t="s">
        <v>3589</v>
      </c>
      <c r="F402" s="701"/>
      <c r="G402" s="701"/>
      <c r="H402" s="701"/>
      <c r="I402" s="701"/>
      <c r="J402" s="701"/>
      <c r="K402" s="701"/>
      <c r="L402" s="701"/>
      <c r="M402" s="701"/>
      <c r="N402" s="701">
        <v>1</v>
      </c>
      <c r="O402" s="701">
        <v>490</v>
      </c>
      <c r="P402" s="726"/>
      <c r="Q402" s="702">
        <v>490</v>
      </c>
    </row>
    <row r="403" spans="1:17" ht="14.45" customHeight="1" x14ac:dyDescent="0.2">
      <c r="A403" s="696" t="s">
        <v>537</v>
      </c>
      <c r="B403" s="697" t="s">
        <v>2898</v>
      </c>
      <c r="C403" s="697" t="s">
        <v>3333</v>
      </c>
      <c r="D403" s="697" t="s">
        <v>3590</v>
      </c>
      <c r="E403" s="697" t="s">
        <v>3389</v>
      </c>
      <c r="F403" s="701">
        <v>2</v>
      </c>
      <c r="G403" s="701">
        <v>3814.2</v>
      </c>
      <c r="H403" s="701"/>
      <c r="I403" s="701">
        <v>1907.1</v>
      </c>
      <c r="J403" s="701"/>
      <c r="K403" s="701"/>
      <c r="L403" s="701"/>
      <c r="M403" s="701"/>
      <c r="N403" s="701"/>
      <c r="O403" s="701"/>
      <c r="P403" s="726"/>
      <c r="Q403" s="702"/>
    </row>
    <row r="404" spans="1:17" ht="14.45" customHeight="1" x14ac:dyDescent="0.2">
      <c r="A404" s="696" t="s">
        <v>537</v>
      </c>
      <c r="B404" s="697" t="s">
        <v>2898</v>
      </c>
      <c r="C404" s="697" t="s">
        <v>3333</v>
      </c>
      <c r="D404" s="697" t="s">
        <v>3591</v>
      </c>
      <c r="E404" s="697" t="s">
        <v>3592</v>
      </c>
      <c r="F404" s="701"/>
      <c r="G404" s="701"/>
      <c r="H404" s="701"/>
      <c r="I404" s="701"/>
      <c r="J404" s="701">
        <v>1</v>
      </c>
      <c r="K404" s="701">
        <v>2389.9899999999998</v>
      </c>
      <c r="L404" s="701"/>
      <c r="M404" s="701">
        <v>2389.9899999999998</v>
      </c>
      <c r="N404" s="701"/>
      <c r="O404" s="701"/>
      <c r="P404" s="726"/>
      <c r="Q404" s="702"/>
    </row>
    <row r="405" spans="1:17" ht="14.45" customHeight="1" x14ac:dyDescent="0.2">
      <c r="A405" s="696" t="s">
        <v>537</v>
      </c>
      <c r="B405" s="697" t="s">
        <v>2898</v>
      </c>
      <c r="C405" s="697" t="s">
        <v>3333</v>
      </c>
      <c r="D405" s="697" t="s">
        <v>3593</v>
      </c>
      <c r="E405" s="697" t="s">
        <v>3594</v>
      </c>
      <c r="F405" s="701">
        <v>0.1</v>
      </c>
      <c r="G405" s="701">
        <v>550.19000000000005</v>
      </c>
      <c r="H405" s="701"/>
      <c r="I405" s="701">
        <v>5501.9000000000005</v>
      </c>
      <c r="J405" s="701"/>
      <c r="K405" s="701"/>
      <c r="L405" s="701"/>
      <c r="M405" s="701"/>
      <c r="N405" s="701"/>
      <c r="O405" s="701"/>
      <c r="P405" s="726"/>
      <c r="Q405" s="702"/>
    </row>
    <row r="406" spans="1:17" ht="14.45" customHeight="1" x14ac:dyDescent="0.2">
      <c r="A406" s="696" t="s">
        <v>537</v>
      </c>
      <c r="B406" s="697" t="s">
        <v>2898</v>
      </c>
      <c r="C406" s="697" t="s">
        <v>3333</v>
      </c>
      <c r="D406" s="697" t="s">
        <v>3595</v>
      </c>
      <c r="E406" s="697" t="s">
        <v>3397</v>
      </c>
      <c r="F406" s="701"/>
      <c r="G406" s="701"/>
      <c r="H406" s="701"/>
      <c r="I406" s="701"/>
      <c r="J406" s="701"/>
      <c r="K406" s="701"/>
      <c r="L406" s="701"/>
      <c r="M406" s="701"/>
      <c r="N406" s="701">
        <v>1</v>
      </c>
      <c r="O406" s="701">
        <v>9885.42</v>
      </c>
      <c r="P406" s="726"/>
      <c r="Q406" s="702">
        <v>9885.42</v>
      </c>
    </row>
    <row r="407" spans="1:17" ht="14.45" customHeight="1" x14ac:dyDescent="0.2">
      <c r="A407" s="696" t="s">
        <v>537</v>
      </c>
      <c r="B407" s="697" t="s">
        <v>2898</v>
      </c>
      <c r="C407" s="697" t="s">
        <v>3333</v>
      </c>
      <c r="D407" s="697" t="s">
        <v>3596</v>
      </c>
      <c r="E407" s="697" t="s">
        <v>3597</v>
      </c>
      <c r="F407" s="701">
        <v>2</v>
      </c>
      <c r="G407" s="701">
        <v>1284</v>
      </c>
      <c r="H407" s="701"/>
      <c r="I407" s="701">
        <v>642</v>
      </c>
      <c r="J407" s="701">
        <v>2</v>
      </c>
      <c r="K407" s="701">
        <v>1282.5999999999999</v>
      </c>
      <c r="L407" s="701"/>
      <c r="M407" s="701">
        <v>641.29999999999995</v>
      </c>
      <c r="N407" s="701"/>
      <c r="O407" s="701"/>
      <c r="P407" s="726"/>
      <c r="Q407" s="702"/>
    </row>
    <row r="408" spans="1:17" ht="14.45" customHeight="1" x14ac:dyDescent="0.2">
      <c r="A408" s="696" t="s">
        <v>537</v>
      </c>
      <c r="B408" s="697" t="s">
        <v>2898</v>
      </c>
      <c r="C408" s="697" t="s">
        <v>3333</v>
      </c>
      <c r="D408" s="697" t="s">
        <v>3598</v>
      </c>
      <c r="E408" s="697" t="s">
        <v>3599</v>
      </c>
      <c r="F408" s="701"/>
      <c r="G408" s="701"/>
      <c r="H408" s="701"/>
      <c r="I408" s="701"/>
      <c r="J408" s="701">
        <v>1</v>
      </c>
      <c r="K408" s="701">
        <v>176.77</v>
      </c>
      <c r="L408" s="701"/>
      <c r="M408" s="701">
        <v>176.77</v>
      </c>
      <c r="N408" s="701"/>
      <c r="O408" s="701"/>
      <c r="P408" s="726"/>
      <c r="Q408" s="702"/>
    </row>
    <row r="409" spans="1:17" ht="14.45" customHeight="1" x14ac:dyDescent="0.2">
      <c r="A409" s="696" t="s">
        <v>537</v>
      </c>
      <c r="B409" s="697" t="s">
        <v>2898</v>
      </c>
      <c r="C409" s="697" t="s">
        <v>3333</v>
      </c>
      <c r="D409" s="697" t="s">
        <v>3600</v>
      </c>
      <c r="E409" s="697" t="s">
        <v>3511</v>
      </c>
      <c r="F409" s="701"/>
      <c r="G409" s="701"/>
      <c r="H409" s="701"/>
      <c r="I409" s="701"/>
      <c r="J409" s="701"/>
      <c r="K409" s="701"/>
      <c r="L409" s="701"/>
      <c r="M409" s="701"/>
      <c r="N409" s="701">
        <v>1</v>
      </c>
      <c r="O409" s="701">
        <v>312.98</v>
      </c>
      <c r="P409" s="726"/>
      <c r="Q409" s="702">
        <v>312.98</v>
      </c>
    </row>
    <row r="410" spans="1:17" ht="14.45" customHeight="1" x14ac:dyDescent="0.2">
      <c r="A410" s="696" t="s">
        <v>537</v>
      </c>
      <c r="B410" s="697" t="s">
        <v>2898</v>
      </c>
      <c r="C410" s="697" t="s">
        <v>3333</v>
      </c>
      <c r="D410" s="697" t="s">
        <v>3601</v>
      </c>
      <c r="E410" s="697" t="s">
        <v>3602</v>
      </c>
      <c r="F410" s="701"/>
      <c r="G410" s="701"/>
      <c r="H410" s="701"/>
      <c r="I410" s="701"/>
      <c r="J410" s="701">
        <v>1</v>
      </c>
      <c r="K410" s="701">
        <v>9154.3799999999992</v>
      </c>
      <c r="L410" s="701"/>
      <c r="M410" s="701">
        <v>9154.3799999999992</v>
      </c>
      <c r="N410" s="701"/>
      <c r="O410" s="701"/>
      <c r="P410" s="726"/>
      <c r="Q410" s="702"/>
    </row>
    <row r="411" spans="1:17" ht="14.45" customHeight="1" x14ac:dyDescent="0.2">
      <c r="A411" s="696" t="s">
        <v>537</v>
      </c>
      <c r="B411" s="697" t="s">
        <v>2898</v>
      </c>
      <c r="C411" s="697" t="s">
        <v>3333</v>
      </c>
      <c r="D411" s="697" t="s">
        <v>3603</v>
      </c>
      <c r="E411" s="697" t="s">
        <v>3604</v>
      </c>
      <c r="F411" s="701"/>
      <c r="G411" s="701"/>
      <c r="H411" s="701"/>
      <c r="I411" s="701"/>
      <c r="J411" s="701">
        <v>1</v>
      </c>
      <c r="K411" s="701">
        <v>5846.29</v>
      </c>
      <c r="L411" s="701"/>
      <c r="M411" s="701">
        <v>5846.29</v>
      </c>
      <c r="N411" s="701"/>
      <c r="O411" s="701"/>
      <c r="P411" s="726"/>
      <c r="Q411" s="702"/>
    </row>
    <row r="412" spans="1:17" ht="14.45" customHeight="1" x14ac:dyDescent="0.2">
      <c r="A412" s="696" t="s">
        <v>537</v>
      </c>
      <c r="B412" s="697" t="s">
        <v>2898</v>
      </c>
      <c r="C412" s="697" t="s">
        <v>3333</v>
      </c>
      <c r="D412" s="697" t="s">
        <v>3605</v>
      </c>
      <c r="E412" s="697" t="s">
        <v>3606</v>
      </c>
      <c r="F412" s="701">
        <v>3</v>
      </c>
      <c r="G412" s="701">
        <v>417.78</v>
      </c>
      <c r="H412" s="701"/>
      <c r="I412" s="701">
        <v>139.26</v>
      </c>
      <c r="J412" s="701"/>
      <c r="K412" s="701"/>
      <c r="L412" s="701"/>
      <c r="M412" s="701"/>
      <c r="N412" s="701"/>
      <c r="O412" s="701"/>
      <c r="P412" s="726"/>
      <c r="Q412" s="702"/>
    </row>
    <row r="413" spans="1:17" ht="14.45" customHeight="1" x14ac:dyDescent="0.2">
      <c r="A413" s="696" t="s">
        <v>537</v>
      </c>
      <c r="B413" s="697" t="s">
        <v>2898</v>
      </c>
      <c r="C413" s="697" t="s">
        <v>3333</v>
      </c>
      <c r="D413" s="697" t="s">
        <v>3607</v>
      </c>
      <c r="E413" s="697" t="s">
        <v>3608</v>
      </c>
      <c r="F413" s="701"/>
      <c r="G413" s="701"/>
      <c r="H413" s="701"/>
      <c r="I413" s="701"/>
      <c r="J413" s="701"/>
      <c r="K413" s="701"/>
      <c r="L413" s="701"/>
      <c r="M413" s="701"/>
      <c r="N413" s="701">
        <v>1</v>
      </c>
      <c r="O413" s="701">
        <v>5900.7</v>
      </c>
      <c r="P413" s="726"/>
      <c r="Q413" s="702">
        <v>5900.7</v>
      </c>
    </row>
    <row r="414" spans="1:17" ht="14.45" customHeight="1" x14ac:dyDescent="0.2">
      <c r="A414" s="696" t="s">
        <v>537</v>
      </c>
      <c r="B414" s="697" t="s">
        <v>2898</v>
      </c>
      <c r="C414" s="697" t="s">
        <v>3333</v>
      </c>
      <c r="D414" s="697" t="s">
        <v>3609</v>
      </c>
      <c r="E414" s="697" t="s">
        <v>3389</v>
      </c>
      <c r="F414" s="701">
        <v>3</v>
      </c>
      <c r="G414" s="701">
        <v>4447.53</v>
      </c>
      <c r="H414" s="701"/>
      <c r="I414" s="701">
        <v>1482.51</v>
      </c>
      <c r="J414" s="701"/>
      <c r="K414" s="701"/>
      <c r="L414" s="701"/>
      <c r="M414" s="701"/>
      <c r="N414" s="701"/>
      <c r="O414" s="701"/>
      <c r="P414" s="726"/>
      <c r="Q414" s="702"/>
    </row>
    <row r="415" spans="1:17" ht="14.45" customHeight="1" x14ac:dyDescent="0.2">
      <c r="A415" s="696" t="s">
        <v>537</v>
      </c>
      <c r="B415" s="697" t="s">
        <v>2898</v>
      </c>
      <c r="C415" s="697" t="s">
        <v>3333</v>
      </c>
      <c r="D415" s="697" t="s">
        <v>3610</v>
      </c>
      <c r="E415" s="697" t="s">
        <v>3611</v>
      </c>
      <c r="F415" s="701"/>
      <c r="G415" s="701"/>
      <c r="H415" s="701"/>
      <c r="I415" s="701"/>
      <c r="J415" s="701">
        <v>3</v>
      </c>
      <c r="K415" s="701">
        <v>320.43</v>
      </c>
      <c r="L415" s="701"/>
      <c r="M415" s="701">
        <v>106.81</v>
      </c>
      <c r="N415" s="701"/>
      <c r="O415" s="701"/>
      <c r="P415" s="726"/>
      <c r="Q415" s="702"/>
    </row>
    <row r="416" spans="1:17" ht="14.45" customHeight="1" x14ac:dyDescent="0.2">
      <c r="A416" s="696" t="s">
        <v>537</v>
      </c>
      <c r="B416" s="697" t="s">
        <v>2898</v>
      </c>
      <c r="C416" s="697" t="s">
        <v>3333</v>
      </c>
      <c r="D416" s="697" t="s">
        <v>3612</v>
      </c>
      <c r="E416" s="697" t="s">
        <v>3613</v>
      </c>
      <c r="F416" s="701"/>
      <c r="G416" s="701"/>
      <c r="H416" s="701"/>
      <c r="I416" s="701"/>
      <c r="J416" s="701">
        <v>1</v>
      </c>
      <c r="K416" s="701">
        <v>3125.04</v>
      </c>
      <c r="L416" s="701"/>
      <c r="M416" s="701">
        <v>3125.04</v>
      </c>
      <c r="N416" s="701">
        <v>2</v>
      </c>
      <c r="O416" s="701">
        <v>6250.08</v>
      </c>
      <c r="P416" s="726"/>
      <c r="Q416" s="702">
        <v>3125.04</v>
      </c>
    </row>
    <row r="417" spans="1:17" ht="14.45" customHeight="1" x14ac:dyDescent="0.2">
      <c r="A417" s="696" t="s">
        <v>537</v>
      </c>
      <c r="B417" s="697" t="s">
        <v>2898</v>
      </c>
      <c r="C417" s="697" t="s">
        <v>3333</v>
      </c>
      <c r="D417" s="697" t="s">
        <v>3614</v>
      </c>
      <c r="E417" s="697" t="s">
        <v>3511</v>
      </c>
      <c r="F417" s="701"/>
      <c r="G417" s="701"/>
      <c r="H417" s="701"/>
      <c r="I417" s="701"/>
      <c r="J417" s="701"/>
      <c r="K417" s="701"/>
      <c r="L417" s="701"/>
      <c r="M417" s="701"/>
      <c r="N417" s="701">
        <v>1</v>
      </c>
      <c r="O417" s="701">
        <v>299.51</v>
      </c>
      <c r="P417" s="726"/>
      <c r="Q417" s="702">
        <v>299.51</v>
      </c>
    </row>
    <row r="418" spans="1:17" ht="14.45" customHeight="1" x14ac:dyDescent="0.2">
      <c r="A418" s="696" t="s">
        <v>537</v>
      </c>
      <c r="B418" s="697" t="s">
        <v>2898</v>
      </c>
      <c r="C418" s="697" t="s">
        <v>3333</v>
      </c>
      <c r="D418" s="697" t="s">
        <v>3615</v>
      </c>
      <c r="E418" s="697" t="s">
        <v>3616</v>
      </c>
      <c r="F418" s="701"/>
      <c r="G418" s="701"/>
      <c r="H418" s="701"/>
      <c r="I418" s="701"/>
      <c r="J418" s="701">
        <v>1</v>
      </c>
      <c r="K418" s="701">
        <v>170.7</v>
      </c>
      <c r="L418" s="701"/>
      <c r="M418" s="701">
        <v>170.7</v>
      </c>
      <c r="N418" s="701"/>
      <c r="O418" s="701"/>
      <c r="P418" s="726"/>
      <c r="Q418" s="702"/>
    </row>
    <row r="419" spans="1:17" ht="14.45" customHeight="1" x14ac:dyDescent="0.2">
      <c r="A419" s="696" t="s">
        <v>537</v>
      </c>
      <c r="B419" s="697" t="s">
        <v>2898</v>
      </c>
      <c r="C419" s="697" t="s">
        <v>3333</v>
      </c>
      <c r="D419" s="697" t="s">
        <v>3617</v>
      </c>
      <c r="E419" s="697" t="s">
        <v>3618</v>
      </c>
      <c r="F419" s="701"/>
      <c r="G419" s="701"/>
      <c r="H419" s="701"/>
      <c r="I419" s="701"/>
      <c r="J419" s="701"/>
      <c r="K419" s="701"/>
      <c r="L419" s="701"/>
      <c r="M419" s="701"/>
      <c r="N419" s="701">
        <v>12</v>
      </c>
      <c r="O419" s="701">
        <v>2032.8000000000002</v>
      </c>
      <c r="P419" s="726"/>
      <c r="Q419" s="702">
        <v>169.4</v>
      </c>
    </row>
    <row r="420" spans="1:17" ht="14.45" customHeight="1" x14ac:dyDescent="0.2">
      <c r="A420" s="696" t="s">
        <v>537</v>
      </c>
      <c r="B420" s="697" t="s">
        <v>2898</v>
      </c>
      <c r="C420" s="697" t="s">
        <v>3333</v>
      </c>
      <c r="D420" s="697" t="s">
        <v>3619</v>
      </c>
      <c r="E420" s="697" t="s">
        <v>3620</v>
      </c>
      <c r="F420" s="701"/>
      <c r="G420" s="701"/>
      <c r="H420" s="701"/>
      <c r="I420" s="701"/>
      <c r="J420" s="701">
        <v>1</v>
      </c>
      <c r="K420" s="701">
        <v>363.91</v>
      </c>
      <c r="L420" s="701"/>
      <c r="M420" s="701">
        <v>363.91</v>
      </c>
      <c r="N420" s="701"/>
      <c r="O420" s="701"/>
      <c r="P420" s="726"/>
      <c r="Q420" s="702"/>
    </row>
    <row r="421" spans="1:17" ht="14.45" customHeight="1" x14ac:dyDescent="0.2">
      <c r="A421" s="696" t="s">
        <v>537</v>
      </c>
      <c r="B421" s="697" t="s">
        <v>2898</v>
      </c>
      <c r="C421" s="697" t="s">
        <v>3333</v>
      </c>
      <c r="D421" s="697" t="s">
        <v>3621</v>
      </c>
      <c r="E421" s="697" t="s">
        <v>3454</v>
      </c>
      <c r="F421" s="701"/>
      <c r="G421" s="701"/>
      <c r="H421" s="701"/>
      <c r="I421" s="701"/>
      <c r="J421" s="701"/>
      <c r="K421" s="701"/>
      <c r="L421" s="701"/>
      <c r="M421" s="701"/>
      <c r="N421" s="701">
        <v>1</v>
      </c>
      <c r="O421" s="701">
        <v>713</v>
      </c>
      <c r="P421" s="726"/>
      <c r="Q421" s="702">
        <v>713</v>
      </c>
    </row>
    <row r="422" spans="1:17" ht="14.45" customHeight="1" x14ac:dyDescent="0.2">
      <c r="A422" s="696" t="s">
        <v>537</v>
      </c>
      <c r="B422" s="697" t="s">
        <v>2898</v>
      </c>
      <c r="C422" s="697" t="s">
        <v>3333</v>
      </c>
      <c r="D422" s="697" t="s">
        <v>3622</v>
      </c>
      <c r="E422" s="697" t="s">
        <v>3623</v>
      </c>
      <c r="F422" s="701"/>
      <c r="G422" s="701"/>
      <c r="H422" s="701"/>
      <c r="I422" s="701"/>
      <c r="J422" s="701"/>
      <c r="K422" s="701"/>
      <c r="L422" s="701"/>
      <c r="M422" s="701"/>
      <c r="N422" s="701">
        <v>2</v>
      </c>
      <c r="O422" s="701">
        <v>10469.34</v>
      </c>
      <c r="P422" s="726"/>
      <c r="Q422" s="702">
        <v>5234.67</v>
      </c>
    </row>
    <row r="423" spans="1:17" ht="14.45" customHeight="1" x14ac:dyDescent="0.2">
      <c r="A423" s="696" t="s">
        <v>537</v>
      </c>
      <c r="B423" s="697" t="s">
        <v>2898</v>
      </c>
      <c r="C423" s="697" t="s">
        <v>3333</v>
      </c>
      <c r="D423" s="697" t="s">
        <v>3624</v>
      </c>
      <c r="E423" s="697" t="s">
        <v>3580</v>
      </c>
      <c r="F423" s="701"/>
      <c r="G423" s="701"/>
      <c r="H423" s="701"/>
      <c r="I423" s="701"/>
      <c r="J423" s="701"/>
      <c r="K423" s="701"/>
      <c r="L423" s="701"/>
      <c r="M423" s="701"/>
      <c r="N423" s="701">
        <v>1</v>
      </c>
      <c r="O423" s="701">
        <v>261.52999999999997</v>
      </c>
      <c r="P423" s="726"/>
      <c r="Q423" s="702">
        <v>261.52999999999997</v>
      </c>
    </row>
    <row r="424" spans="1:17" ht="14.45" customHeight="1" x14ac:dyDescent="0.2">
      <c r="A424" s="696" t="s">
        <v>537</v>
      </c>
      <c r="B424" s="697" t="s">
        <v>2898</v>
      </c>
      <c r="C424" s="697" t="s">
        <v>3333</v>
      </c>
      <c r="D424" s="697" t="s">
        <v>3625</v>
      </c>
      <c r="E424" s="697" t="s">
        <v>3626</v>
      </c>
      <c r="F424" s="701"/>
      <c r="G424" s="701"/>
      <c r="H424" s="701"/>
      <c r="I424" s="701"/>
      <c r="J424" s="701"/>
      <c r="K424" s="701"/>
      <c r="L424" s="701"/>
      <c r="M424" s="701"/>
      <c r="N424" s="701">
        <v>1</v>
      </c>
      <c r="O424" s="701">
        <v>2666</v>
      </c>
      <c r="P424" s="726"/>
      <c r="Q424" s="702">
        <v>2666</v>
      </c>
    </row>
    <row r="425" spans="1:17" ht="14.45" customHeight="1" x14ac:dyDescent="0.2">
      <c r="A425" s="696" t="s">
        <v>537</v>
      </c>
      <c r="B425" s="697" t="s">
        <v>2898</v>
      </c>
      <c r="C425" s="697" t="s">
        <v>3333</v>
      </c>
      <c r="D425" s="697" t="s">
        <v>3627</v>
      </c>
      <c r="E425" s="697" t="s">
        <v>3628</v>
      </c>
      <c r="F425" s="701"/>
      <c r="G425" s="701"/>
      <c r="H425" s="701"/>
      <c r="I425" s="701"/>
      <c r="J425" s="701"/>
      <c r="K425" s="701"/>
      <c r="L425" s="701"/>
      <c r="M425" s="701"/>
      <c r="N425" s="701">
        <v>1</v>
      </c>
      <c r="O425" s="701">
        <v>968</v>
      </c>
      <c r="P425" s="726"/>
      <c r="Q425" s="702">
        <v>968</v>
      </c>
    </row>
    <row r="426" spans="1:17" ht="14.45" customHeight="1" x14ac:dyDescent="0.2">
      <c r="A426" s="696" t="s">
        <v>537</v>
      </c>
      <c r="B426" s="697" t="s">
        <v>2898</v>
      </c>
      <c r="C426" s="697" t="s">
        <v>3333</v>
      </c>
      <c r="D426" s="697" t="s">
        <v>3629</v>
      </c>
      <c r="E426" s="697" t="s">
        <v>3511</v>
      </c>
      <c r="F426" s="701"/>
      <c r="G426" s="701"/>
      <c r="H426" s="701"/>
      <c r="I426" s="701"/>
      <c r="J426" s="701"/>
      <c r="K426" s="701"/>
      <c r="L426" s="701"/>
      <c r="M426" s="701"/>
      <c r="N426" s="701">
        <v>1</v>
      </c>
      <c r="O426" s="701">
        <v>551.16</v>
      </c>
      <c r="P426" s="726"/>
      <c r="Q426" s="702">
        <v>551.16</v>
      </c>
    </row>
    <row r="427" spans="1:17" ht="14.45" customHeight="1" x14ac:dyDescent="0.2">
      <c r="A427" s="696" t="s">
        <v>537</v>
      </c>
      <c r="B427" s="697" t="s">
        <v>2898</v>
      </c>
      <c r="C427" s="697" t="s">
        <v>3333</v>
      </c>
      <c r="D427" s="697" t="s">
        <v>3630</v>
      </c>
      <c r="E427" s="697" t="s">
        <v>3631</v>
      </c>
      <c r="F427" s="701"/>
      <c r="G427" s="701"/>
      <c r="H427" s="701"/>
      <c r="I427" s="701"/>
      <c r="J427" s="701"/>
      <c r="K427" s="701"/>
      <c r="L427" s="701"/>
      <c r="M427" s="701"/>
      <c r="N427" s="701">
        <v>6</v>
      </c>
      <c r="O427" s="701">
        <v>121477.8</v>
      </c>
      <c r="P427" s="726"/>
      <c r="Q427" s="702">
        <v>20246.3</v>
      </c>
    </row>
    <row r="428" spans="1:17" ht="14.45" customHeight="1" x14ac:dyDescent="0.2">
      <c r="A428" s="696" t="s">
        <v>537</v>
      </c>
      <c r="B428" s="697" t="s">
        <v>2898</v>
      </c>
      <c r="C428" s="697" t="s">
        <v>3333</v>
      </c>
      <c r="D428" s="697" t="s">
        <v>3632</v>
      </c>
      <c r="E428" s="697" t="s">
        <v>3633</v>
      </c>
      <c r="F428" s="701"/>
      <c r="G428" s="701"/>
      <c r="H428" s="701"/>
      <c r="I428" s="701"/>
      <c r="J428" s="701"/>
      <c r="K428" s="701"/>
      <c r="L428" s="701"/>
      <c r="M428" s="701"/>
      <c r="N428" s="701">
        <v>5</v>
      </c>
      <c r="O428" s="701">
        <v>2092.25</v>
      </c>
      <c r="P428" s="726"/>
      <c r="Q428" s="702">
        <v>418.45</v>
      </c>
    </row>
    <row r="429" spans="1:17" ht="14.45" customHeight="1" x14ac:dyDescent="0.2">
      <c r="A429" s="696" t="s">
        <v>537</v>
      </c>
      <c r="B429" s="697" t="s">
        <v>2898</v>
      </c>
      <c r="C429" s="697" t="s">
        <v>3333</v>
      </c>
      <c r="D429" s="697" t="s">
        <v>3634</v>
      </c>
      <c r="E429" s="697" t="s">
        <v>3635</v>
      </c>
      <c r="F429" s="701"/>
      <c r="G429" s="701"/>
      <c r="H429" s="701"/>
      <c r="I429" s="701"/>
      <c r="J429" s="701"/>
      <c r="K429" s="701"/>
      <c r="L429" s="701"/>
      <c r="M429" s="701"/>
      <c r="N429" s="701">
        <v>0.5</v>
      </c>
      <c r="O429" s="701">
        <v>1720.35</v>
      </c>
      <c r="P429" s="726"/>
      <c r="Q429" s="702">
        <v>3440.7</v>
      </c>
    </row>
    <row r="430" spans="1:17" ht="14.45" customHeight="1" x14ac:dyDescent="0.2">
      <c r="A430" s="696" t="s">
        <v>537</v>
      </c>
      <c r="B430" s="697" t="s">
        <v>2898</v>
      </c>
      <c r="C430" s="697" t="s">
        <v>3333</v>
      </c>
      <c r="D430" s="697" t="s">
        <v>3636</v>
      </c>
      <c r="E430" s="697" t="s">
        <v>3635</v>
      </c>
      <c r="F430" s="701"/>
      <c r="G430" s="701"/>
      <c r="H430" s="701"/>
      <c r="I430" s="701"/>
      <c r="J430" s="701"/>
      <c r="K430" s="701"/>
      <c r="L430" s="701"/>
      <c r="M430" s="701"/>
      <c r="N430" s="701">
        <v>1</v>
      </c>
      <c r="O430" s="701">
        <v>726.37</v>
      </c>
      <c r="P430" s="726"/>
      <c r="Q430" s="702">
        <v>726.37</v>
      </c>
    </row>
    <row r="431" spans="1:17" ht="14.45" customHeight="1" x14ac:dyDescent="0.2">
      <c r="A431" s="696" t="s">
        <v>537</v>
      </c>
      <c r="B431" s="697" t="s">
        <v>2898</v>
      </c>
      <c r="C431" s="697" t="s">
        <v>3333</v>
      </c>
      <c r="D431" s="697" t="s">
        <v>3637</v>
      </c>
      <c r="E431" s="697" t="s">
        <v>3638</v>
      </c>
      <c r="F431" s="701"/>
      <c r="G431" s="701"/>
      <c r="H431" s="701"/>
      <c r="I431" s="701"/>
      <c r="J431" s="701"/>
      <c r="K431" s="701"/>
      <c r="L431" s="701"/>
      <c r="M431" s="701"/>
      <c r="N431" s="701">
        <v>1</v>
      </c>
      <c r="O431" s="701">
        <v>403.15</v>
      </c>
      <c r="P431" s="726"/>
      <c r="Q431" s="702">
        <v>403.15</v>
      </c>
    </row>
    <row r="432" spans="1:17" ht="14.45" customHeight="1" x14ac:dyDescent="0.2">
      <c r="A432" s="696" t="s">
        <v>537</v>
      </c>
      <c r="B432" s="697" t="s">
        <v>2898</v>
      </c>
      <c r="C432" s="697" t="s">
        <v>3333</v>
      </c>
      <c r="D432" s="697" t="s">
        <v>3639</v>
      </c>
      <c r="E432" s="697" t="s">
        <v>3638</v>
      </c>
      <c r="F432" s="701"/>
      <c r="G432" s="701"/>
      <c r="H432" s="701"/>
      <c r="I432" s="701"/>
      <c r="J432" s="701"/>
      <c r="K432" s="701"/>
      <c r="L432" s="701"/>
      <c r="M432" s="701"/>
      <c r="N432" s="701">
        <v>1</v>
      </c>
      <c r="O432" s="701">
        <v>312.97000000000003</v>
      </c>
      <c r="P432" s="726"/>
      <c r="Q432" s="702">
        <v>312.97000000000003</v>
      </c>
    </row>
    <row r="433" spans="1:17" ht="14.45" customHeight="1" x14ac:dyDescent="0.2">
      <c r="A433" s="696" t="s">
        <v>537</v>
      </c>
      <c r="B433" s="697" t="s">
        <v>2898</v>
      </c>
      <c r="C433" s="697" t="s">
        <v>3333</v>
      </c>
      <c r="D433" s="697" t="s">
        <v>3640</v>
      </c>
      <c r="E433" s="697" t="s">
        <v>3641</v>
      </c>
      <c r="F433" s="701"/>
      <c r="G433" s="701"/>
      <c r="H433" s="701"/>
      <c r="I433" s="701"/>
      <c r="J433" s="701"/>
      <c r="K433" s="701"/>
      <c r="L433" s="701"/>
      <c r="M433" s="701"/>
      <c r="N433" s="701">
        <v>1</v>
      </c>
      <c r="O433" s="701">
        <v>1450</v>
      </c>
      <c r="P433" s="726"/>
      <c r="Q433" s="702">
        <v>1450</v>
      </c>
    </row>
    <row r="434" spans="1:17" ht="14.45" customHeight="1" x14ac:dyDescent="0.2">
      <c r="A434" s="696" t="s">
        <v>537</v>
      </c>
      <c r="B434" s="697" t="s">
        <v>2898</v>
      </c>
      <c r="C434" s="697" t="s">
        <v>3333</v>
      </c>
      <c r="D434" s="697" t="s">
        <v>3642</v>
      </c>
      <c r="E434" s="697" t="s">
        <v>3638</v>
      </c>
      <c r="F434" s="701">
        <v>1</v>
      </c>
      <c r="G434" s="701">
        <v>236.29</v>
      </c>
      <c r="H434" s="701"/>
      <c r="I434" s="701">
        <v>236.29</v>
      </c>
      <c r="J434" s="701"/>
      <c r="K434" s="701"/>
      <c r="L434" s="701"/>
      <c r="M434" s="701"/>
      <c r="N434" s="701"/>
      <c r="O434" s="701"/>
      <c r="P434" s="726"/>
      <c r="Q434" s="702"/>
    </row>
    <row r="435" spans="1:17" ht="14.45" customHeight="1" x14ac:dyDescent="0.2">
      <c r="A435" s="696" t="s">
        <v>537</v>
      </c>
      <c r="B435" s="697" t="s">
        <v>2898</v>
      </c>
      <c r="C435" s="697" t="s">
        <v>2899</v>
      </c>
      <c r="D435" s="697" t="s">
        <v>3643</v>
      </c>
      <c r="E435" s="697" t="s">
        <v>3644</v>
      </c>
      <c r="F435" s="701">
        <v>4</v>
      </c>
      <c r="G435" s="701">
        <v>127896</v>
      </c>
      <c r="H435" s="701"/>
      <c r="I435" s="701">
        <v>31974</v>
      </c>
      <c r="J435" s="701">
        <v>49</v>
      </c>
      <c r="K435" s="701">
        <v>1566824</v>
      </c>
      <c r="L435" s="701"/>
      <c r="M435" s="701">
        <v>31976</v>
      </c>
      <c r="N435" s="701">
        <v>70</v>
      </c>
      <c r="O435" s="701">
        <v>2238530</v>
      </c>
      <c r="P435" s="726"/>
      <c r="Q435" s="702">
        <v>31979</v>
      </c>
    </row>
    <row r="436" spans="1:17" ht="14.45" customHeight="1" x14ac:dyDescent="0.2">
      <c r="A436" s="696" t="s">
        <v>537</v>
      </c>
      <c r="B436" s="697" t="s">
        <v>2898</v>
      </c>
      <c r="C436" s="697" t="s">
        <v>2899</v>
      </c>
      <c r="D436" s="697" t="s">
        <v>3645</v>
      </c>
      <c r="E436" s="697" t="s">
        <v>3646</v>
      </c>
      <c r="F436" s="701">
        <v>2905</v>
      </c>
      <c r="G436" s="701">
        <v>34576446</v>
      </c>
      <c r="H436" s="701"/>
      <c r="I436" s="701">
        <v>11902.391049913942</v>
      </c>
      <c r="J436" s="701">
        <v>2339</v>
      </c>
      <c r="K436" s="701">
        <v>27850091</v>
      </c>
      <c r="L436" s="701"/>
      <c r="M436" s="701">
        <v>11906.836682342882</v>
      </c>
      <c r="N436" s="701">
        <v>1873</v>
      </c>
      <c r="O436" s="701">
        <v>22307409</v>
      </c>
      <c r="P436" s="726"/>
      <c r="Q436" s="702">
        <v>11909.988788040577</v>
      </c>
    </row>
    <row r="437" spans="1:17" ht="14.45" customHeight="1" x14ac:dyDescent="0.2">
      <c r="A437" s="696" t="s">
        <v>537</v>
      </c>
      <c r="B437" s="697" t="s">
        <v>2898</v>
      </c>
      <c r="C437" s="697" t="s">
        <v>2899</v>
      </c>
      <c r="D437" s="697" t="s">
        <v>3647</v>
      </c>
      <c r="E437" s="697" t="s">
        <v>3648</v>
      </c>
      <c r="F437" s="701"/>
      <c r="G437" s="701"/>
      <c r="H437" s="701"/>
      <c r="I437" s="701"/>
      <c r="J437" s="701"/>
      <c r="K437" s="701"/>
      <c r="L437" s="701"/>
      <c r="M437" s="701"/>
      <c r="N437" s="701">
        <v>1</v>
      </c>
      <c r="O437" s="701">
        <v>91</v>
      </c>
      <c r="P437" s="726"/>
      <c r="Q437" s="702">
        <v>91</v>
      </c>
    </row>
    <row r="438" spans="1:17" ht="14.45" customHeight="1" x14ac:dyDescent="0.2">
      <c r="A438" s="696" t="s">
        <v>537</v>
      </c>
      <c r="B438" s="697" t="s">
        <v>2898</v>
      </c>
      <c r="C438" s="697" t="s">
        <v>2899</v>
      </c>
      <c r="D438" s="697" t="s">
        <v>3649</v>
      </c>
      <c r="E438" s="697" t="s">
        <v>3650</v>
      </c>
      <c r="F438" s="701"/>
      <c r="G438" s="701"/>
      <c r="H438" s="701"/>
      <c r="I438" s="701"/>
      <c r="J438" s="701">
        <v>5</v>
      </c>
      <c r="K438" s="701">
        <v>3820</v>
      </c>
      <c r="L438" s="701"/>
      <c r="M438" s="701">
        <v>764</v>
      </c>
      <c r="N438" s="701">
        <v>1</v>
      </c>
      <c r="O438" s="701">
        <v>822</v>
      </c>
      <c r="P438" s="726"/>
      <c r="Q438" s="702">
        <v>822</v>
      </c>
    </row>
    <row r="439" spans="1:17" ht="14.45" customHeight="1" x14ac:dyDescent="0.2">
      <c r="A439" s="696" t="s">
        <v>537</v>
      </c>
      <c r="B439" s="697" t="s">
        <v>2898</v>
      </c>
      <c r="C439" s="697" t="s">
        <v>2899</v>
      </c>
      <c r="D439" s="697" t="s">
        <v>3651</v>
      </c>
      <c r="E439" s="697" t="s">
        <v>3652</v>
      </c>
      <c r="F439" s="701">
        <v>3</v>
      </c>
      <c r="G439" s="701">
        <v>1101</v>
      </c>
      <c r="H439" s="701"/>
      <c r="I439" s="701">
        <v>367</v>
      </c>
      <c r="J439" s="701">
        <v>1</v>
      </c>
      <c r="K439" s="701">
        <v>370</v>
      </c>
      <c r="L439" s="701"/>
      <c r="M439" s="701">
        <v>370</v>
      </c>
      <c r="N439" s="701">
        <v>2</v>
      </c>
      <c r="O439" s="701">
        <v>784</v>
      </c>
      <c r="P439" s="726"/>
      <c r="Q439" s="702">
        <v>392</v>
      </c>
    </row>
    <row r="440" spans="1:17" ht="14.45" customHeight="1" x14ac:dyDescent="0.2">
      <c r="A440" s="696" t="s">
        <v>537</v>
      </c>
      <c r="B440" s="697" t="s">
        <v>2898</v>
      </c>
      <c r="C440" s="697" t="s">
        <v>2899</v>
      </c>
      <c r="D440" s="697" t="s">
        <v>3653</v>
      </c>
      <c r="E440" s="697" t="s">
        <v>3654</v>
      </c>
      <c r="F440" s="701">
        <v>1</v>
      </c>
      <c r="G440" s="701">
        <v>375</v>
      </c>
      <c r="H440" s="701"/>
      <c r="I440" s="701">
        <v>375</v>
      </c>
      <c r="J440" s="701">
        <v>1</v>
      </c>
      <c r="K440" s="701">
        <v>378</v>
      </c>
      <c r="L440" s="701"/>
      <c r="M440" s="701">
        <v>378</v>
      </c>
      <c r="N440" s="701"/>
      <c r="O440" s="701"/>
      <c r="P440" s="726"/>
      <c r="Q440" s="702"/>
    </row>
    <row r="441" spans="1:17" ht="14.45" customHeight="1" x14ac:dyDescent="0.2">
      <c r="A441" s="696" t="s">
        <v>537</v>
      </c>
      <c r="B441" s="697" t="s">
        <v>2898</v>
      </c>
      <c r="C441" s="697" t="s">
        <v>2899</v>
      </c>
      <c r="D441" s="697" t="s">
        <v>3655</v>
      </c>
      <c r="E441" s="697" t="s">
        <v>3656</v>
      </c>
      <c r="F441" s="701">
        <v>1</v>
      </c>
      <c r="G441" s="701">
        <v>989</v>
      </c>
      <c r="H441" s="701"/>
      <c r="I441" s="701">
        <v>989</v>
      </c>
      <c r="J441" s="701">
        <v>1</v>
      </c>
      <c r="K441" s="701">
        <v>995</v>
      </c>
      <c r="L441" s="701"/>
      <c r="M441" s="701">
        <v>995</v>
      </c>
      <c r="N441" s="701"/>
      <c r="O441" s="701"/>
      <c r="P441" s="726"/>
      <c r="Q441" s="702"/>
    </row>
    <row r="442" spans="1:17" ht="14.45" customHeight="1" x14ac:dyDescent="0.2">
      <c r="A442" s="696" t="s">
        <v>537</v>
      </c>
      <c r="B442" s="697" t="s">
        <v>2898</v>
      </c>
      <c r="C442" s="697" t="s">
        <v>2899</v>
      </c>
      <c r="D442" s="697" t="s">
        <v>3657</v>
      </c>
      <c r="E442" s="697" t="s">
        <v>3658</v>
      </c>
      <c r="F442" s="701"/>
      <c r="G442" s="701"/>
      <c r="H442" s="701"/>
      <c r="I442" s="701"/>
      <c r="J442" s="701"/>
      <c r="K442" s="701"/>
      <c r="L442" s="701"/>
      <c r="M442" s="701"/>
      <c r="N442" s="701">
        <v>3</v>
      </c>
      <c r="O442" s="701">
        <v>1248</v>
      </c>
      <c r="P442" s="726"/>
      <c r="Q442" s="702">
        <v>416</v>
      </c>
    </row>
    <row r="443" spans="1:17" ht="14.45" customHeight="1" x14ac:dyDescent="0.2">
      <c r="A443" s="696" t="s">
        <v>537</v>
      </c>
      <c r="B443" s="697" t="s">
        <v>2898</v>
      </c>
      <c r="C443" s="697" t="s">
        <v>2899</v>
      </c>
      <c r="D443" s="697" t="s">
        <v>3659</v>
      </c>
      <c r="E443" s="697" t="s">
        <v>3660</v>
      </c>
      <c r="F443" s="701"/>
      <c r="G443" s="701"/>
      <c r="H443" s="701"/>
      <c r="I443" s="701"/>
      <c r="J443" s="701">
        <v>2</v>
      </c>
      <c r="K443" s="701">
        <v>876</v>
      </c>
      <c r="L443" s="701"/>
      <c r="M443" s="701">
        <v>438</v>
      </c>
      <c r="N443" s="701">
        <v>3</v>
      </c>
      <c r="O443" s="701">
        <v>1338</v>
      </c>
      <c r="P443" s="726"/>
      <c r="Q443" s="702">
        <v>446</v>
      </c>
    </row>
    <row r="444" spans="1:17" ht="14.45" customHeight="1" x14ac:dyDescent="0.2">
      <c r="A444" s="696" t="s">
        <v>537</v>
      </c>
      <c r="B444" s="697" t="s">
        <v>2898</v>
      </c>
      <c r="C444" s="697" t="s">
        <v>2899</v>
      </c>
      <c r="D444" s="697" t="s">
        <v>3661</v>
      </c>
      <c r="E444" s="697" t="s">
        <v>3662</v>
      </c>
      <c r="F444" s="701">
        <v>2071</v>
      </c>
      <c r="G444" s="701">
        <v>811822</v>
      </c>
      <c r="H444" s="701"/>
      <c r="I444" s="701">
        <v>391.99517141477548</v>
      </c>
      <c r="J444" s="701">
        <v>1744</v>
      </c>
      <c r="K444" s="701">
        <v>685361</v>
      </c>
      <c r="L444" s="701"/>
      <c r="M444" s="701">
        <v>392.98222477064218</v>
      </c>
      <c r="N444" s="701">
        <v>1368</v>
      </c>
      <c r="O444" s="701">
        <v>548520</v>
      </c>
      <c r="P444" s="726"/>
      <c r="Q444" s="702">
        <v>400.96491228070175</v>
      </c>
    </row>
    <row r="445" spans="1:17" ht="14.45" customHeight="1" x14ac:dyDescent="0.2">
      <c r="A445" s="696" t="s">
        <v>537</v>
      </c>
      <c r="B445" s="697" t="s">
        <v>2898</v>
      </c>
      <c r="C445" s="697" t="s">
        <v>2899</v>
      </c>
      <c r="D445" s="697" t="s">
        <v>2905</v>
      </c>
      <c r="E445" s="697" t="s">
        <v>2906</v>
      </c>
      <c r="F445" s="701">
        <v>0</v>
      </c>
      <c r="G445" s="701">
        <v>0</v>
      </c>
      <c r="H445" s="701"/>
      <c r="I445" s="701"/>
      <c r="J445" s="701">
        <v>7</v>
      </c>
      <c r="K445" s="701">
        <v>4459</v>
      </c>
      <c r="L445" s="701"/>
      <c r="M445" s="701">
        <v>637</v>
      </c>
      <c r="N445" s="701">
        <v>1</v>
      </c>
      <c r="O445" s="701">
        <v>654</v>
      </c>
      <c r="P445" s="726"/>
      <c r="Q445" s="702">
        <v>654</v>
      </c>
    </row>
    <row r="446" spans="1:17" ht="14.45" customHeight="1" x14ac:dyDescent="0.2">
      <c r="A446" s="696" t="s">
        <v>537</v>
      </c>
      <c r="B446" s="697" t="s">
        <v>2898</v>
      </c>
      <c r="C446" s="697" t="s">
        <v>2899</v>
      </c>
      <c r="D446" s="697" t="s">
        <v>3663</v>
      </c>
      <c r="E446" s="697" t="s">
        <v>3664</v>
      </c>
      <c r="F446" s="701">
        <v>1</v>
      </c>
      <c r="G446" s="701">
        <v>39</v>
      </c>
      <c r="H446" s="701"/>
      <c r="I446" s="701">
        <v>39</v>
      </c>
      <c r="J446" s="701">
        <v>12</v>
      </c>
      <c r="K446" s="701">
        <v>468</v>
      </c>
      <c r="L446" s="701"/>
      <c r="M446" s="701">
        <v>39</v>
      </c>
      <c r="N446" s="701">
        <v>1</v>
      </c>
      <c r="O446" s="701">
        <v>39</v>
      </c>
      <c r="P446" s="726"/>
      <c r="Q446" s="702">
        <v>39</v>
      </c>
    </row>
    <row r="447" spans="1:17" ht="14.45" customHeight="1" x14ac:dyDescent="0.2">
      <c r="A447" s="696" t="s">
        <v>537</v>
      </c>
      <c r="B447" s="697" t="s">
        <v>2898</v>
      </c>
      <c r="C447" s="697" t="s">
        <v>2899</v>
      </c>
      <c r="D447" s="697" t="s">
        <v>3665</v>
      </c>
      <c r="E447" s="697" t="s">
        <v>3666</v>
      </c>
      <c r="F447" s="701"/>
      <c r="G447" s="701"/>
      <c r="H447" s="701"/>
      <c r="I447" s="701"/>
      <c r="J447" s="701">
        <v>6</v>
      </c>
      <c r="K447" s="701">
        <v>10230</v>
      </c>
      <c r="L447" s="701"/>
      <c r="M447" s="701">
        <v>1705</v>
      </c>
      <c r="N447" s="701">
        <v>1</v>
      </c>
      <c r="O447" s="701">
        <v>1720</v>
      </c>
      <c r="P447" s="726"/>
      <c r="Q447" s="702">
        <v>1720</v>
      </c>
    </row>
    <row r="448" spans="1:17" ht="14.45" customHeight="1" x14ac:dyDescent="0.2">
      <c r="A448" s="696" t="s">
        <v>537</v>
      </c>
      <c r="B448" s="697" t="s">
        <v>2898</v>
      </c>
      <c r="C448" s="697" t="s">
        <v>2899</v>
      </c>
      <c r="D448" s="697" t="s">
        <v>3667</v>
      </c>
      <c r="E448" s="697" t="s">
        <v>3668</v>
      </c>
      <c r="F448" s="701">
        <v>1</v>
      </c>
      <c r="G448" s="701">
        <v>724</v>
      </c>
      <c r="H448" s="701"/>
      <c r="I448" s="701">
        <v>724</v>
      </c>
      <c r="J448" s="701"/>
      <c r="K448" s="701"/>
      <c r="L448" s="701"/>
      <c r="M448" s="701"/>
      <c r="N448" s="701"/>
      <c r="O448" s="701"/>
      <c r="P448" s="726"/>
      <c r="Q448" s="702"/>
    </row>
    <row r="449" spans="1:17" ht="14.45" customHeight="1" x14ac:dyDescent="0.2">
      <c r="A449" s="696" t="s">
        <v>537</v>
      </c>
      <c r="B449" s="697" t="s">
        <v>2898</v>
      </c>
      <c r="C449" s="697" t="s">
        <v>2899</v>
      </c>
      <c r="D449" s="697" t="s">
        <v>3669</v>
      </c>
      <c r="E449" s="697" t="s">
        <v>3670</v>
      </c>
      <c r="F449" s="701">
        <v>1129</v>
      </c>
      <c r="G449" s="701">
        <v>286766</v>
      </c>
      <c r="H449" s="701"/>
      <c r="I449" s="701">
        <v>254</v>
      </c>
      <c r="J449" s="701">
        <v>941</v>
      </c>
      <c r="K449" s="701">
        <v>239955</v>
      </c>
      <c r="L449" s="701"/>
      <c r="M449" s="701">
        <v>255</v>
      </c>
      <c r="N449" s="701">
        <v>742</v>
      </c>
      <c r="O449" s="701">
        <v>204030</v>
      </c>
      <c r="P449" s="726"/>
      <c r="Q449" s="702">
        <v>274.97304582210245</v>
      </c>
    </row>
    <row r="450" spans="1:17" ht="14.45" customHeight="1" x14ac:dyDescent="0.2">
      <c r="A450" s="696" t="s">
        <v>537</v>
      </c>
      <c r="B450" s="697" t="s">
        <v>2898</v>
      </c>
      <c r="C450" s="697" t="s">
        <v>2899</v>
      </c>
      <c r="D450" s="697" t="s">
        <v>2919</v>
      </c>
      <c r="E450" s="697" t="s">
        <v>2920</v>
      </c>
      <c r="F450" s="701">
        <v>1</v>
      </c>
      <c r="G450" s="701">
        <v>2161</v>
      </c>
      <c r="H450" s="701"/>
      <c r="I450" s="701">
        <v>2161</v>
      </c>
      <c r="J450" s="701"/>
      <c r="K450" s="701"/>
      <c r="L450" s="701"/>
      <c r="M450" s="701"/>
      <c r="N450" s="701"/>
      <c r="O450" s="701"/>
      <c r="P450" s="726"/>
      <c r="Q450" s="702"/>
    </row>
    <row r="451" spans="1:17" ht="14.45" customHeight="1" x14ac:dyDescent="0.2">
      <c r="A451" s="696" t="s">
        <v>537</v>
      </c>
      <c r="B451" s="697" t="s">
        <v>2898</v>
      </c>
      <c r="C451" s="697" t="s">
        <v>2899</v>
      </c>
      <c r="D451" s="697" t="s">
        <v>2933</v>
      </c>
      <c r="E451" s="697" t="s">
        <v>2934</v>
      </c>
      <c r="F451" s="701"/>
      <c r="G451" s="701"/>
      <c r="H451" s="701"/>
      <c r="I451" s="701"/>
      <c r="J451" s="701">
        <v>1</v>
      </c>
      <c r="K451" s="701">
        <v>852</v>
      </c>
      <c r="L451" s="701"/>
      <c r="M451" s="701">
        <v>852</v>
      </c>
      <c r="N451" s="701">
        <v>1</v>
      </c>
      <c r="O451" s="701">
        <v>888</v>
      </c>
      <c r="P451" s="726"/>
      <c r="Q451" s="702">
        <v>888</v>
      </c>
    </row>
    <row r="452" spans="1:17" ht="14.45" customHeight="1" x14ac:dyDescent="0.2">
      <c r="A452" s="696" t="s">
        <v>537</v>
      </c>
      <c r="B452" s="697" t="s">
        <v>2898</v>
      </c>
      <c r="C452" s="697" t="s">
        <v>2899</v>
      </c>
      <c r="D452" s="697" t="s">
        <v>3671</v>
      </c>
      <c r="E452" s="697" t="s">
        <v>3672</v>
      </c>
      <c r="F452" s="701"/>
      <c r="G452" s="701"/>
      <c r="H452" s="701"/>
      <c r="I452" s="701"/>
      <c r="J452" s="701">
        <v>2</v>
      </c>
      <c r="K452" s="701">
        <v>11622</v>
      </c>
      <c r="L452" s="701"/>
      <c r="M452" s="701">
        <v>5811</v>
      </c>
      <c r="N452" s="701"/>
      <c r="O452" s="701"/>
      <c r="P452" s="726"/>
      <c r="Q452" s="702"/>
    </row>
    <row r="453" spans="1:17" ht="14.45" customHeight="1" x14ac:dyDescent="0.2">
      <c r="A453" s="696" t="s">
        <v>537</v>
      </c>
      <c r="B453" s="697" t="s">
        <v>2898</v>
      </c>
      <c r="C453" s="697" t="s">
        <v>2899</v>
      </c>
      <c r="D453" s="697" t="s">
        <v>3673</v>
      </c>
      <c r="E453" s="697" t="s">
        <v>3674</v>
      </c>
      <c r="F453" s="701"/>
      <c r="G453" s="701"/>
      <c r="H453" s="701"/>
      <c r="I453" s="701"/>
      <c r="J453" s="701"/>
      <c r="K453" s="701"/>
      <c r="L453" s="701"/>
      <c r="M453" s="701"/>
      <c r="N453" s="701">
        <v>3</v>
      </c>
      <c r="O453" s="701">
        <v>7554</v>
      </c>
      <c r="P453" s="726"/>
      <c r="Q453" s="702">
        <v>2518</v>
      </c>
    </row>
    <row r="454" spans="1:17" ht="14.45" customHeight="1" x14ac:dyDescent="0.2">
      <c r="A454" s="696" t="s">
        <v>537</v>
      </c>
      <c r="B454" s="697" t="s">
        <v>2898</v>
      </c>
      <c r="C454" s="697" t="s">
        <v>2899</v>
      </c>
      <c r="D454" s="697" t="s">
        <v>3675</v>
      </c>
      <c r="E454" s="697" t="s">
        <v>3676</v>
      </c>
      <c r="F454" s="701">
        <v>12</v>
      </c>
      <c r="G454" s="701">
        <v>2112</v>
      </c>
      <c r="H454" s="701"/>
      <c r="I454" s="701">
        <v>176</v>
      </c>
      <c r="J454" s="701">
        <v>20</v>
      </c>
      <c r="K454" s="701">
        <v>3540</v>
      </c>
      <c r="L454" s="701"/>
      <c r="M454" s="701">
        <v>177</v>
      </c>
      <c r="N454" s="701">
        <v>3</v>
      </c>
      <c r="O454" s="701">
        <v>537</v>
      </c>
      <c r="P454" s="726"/>
      <c r="Q454" s="702">
        <v>179</v>
      </c>
    </row>
    <row r="455" spans="1:17" ht="14.45" customHeight="1" x14ac:dyDescent="0.2">
      <c r="A455" s="696" t="s">
        <v>537</v>
      </c>
      <c r="B455" s="697" t="s">
        <v>2898</v>
      </c>
      <c r="C455" s="697" t="s">
        <v>2899</v>
      </c>
      <c r="D455" s="697" t="s">
        <v>3677</v>
      </c>
      <c r="E455" s="697" t="s">
        <v>3678</v>
      </c>
      <c r="F455" s="701">
        <v>1</v>
      </c>
      <c r="G455" s="701">
        <v>1409</v>
      </c>
      <c r="H455" s="701"/>
      <c r="I455" s="701">
        <v>1409</v>
      </c>
      <c r="J455" s="701"/>
      <c r="K455" s="701"/>
      <c r="L455" s="701"/>
      <c r="M455" s="701"/>
      <c r="N455" s="701">
        <v>1</v>
      </c>
      <c r="O455" s="701">
        <v>1458</v>
      </c>
      <c r="P455" s="726"/>
      <c r="Q455" s="702">
        <v>1458</v>
      </c>
    </row>
    <row r="456" spans="1:17" ht="14.45" customHeight="1" x14ac:dyDescent="0.2">
      <c r="A456" s="696" t="s">
        <v>537</v>
      </c>
      <c r="B456" s="697" t="s">
        <v>2898</v>
      </c>
      <c r="C456" s="697" t="s">
        <v>2899</v>
      </c>
      <c r="D456" s="697" t="s">
        <v>3679</v>
      </c>
      <c r="E456" s="697" t="s">
        <v>3680</v>
      </c>
      <c r="F456" s="701">
        <v>2</v>
      </c>
      <c r="G456" s="701">
        <v>2080</v>
      </c>
      <c r="H456" s="701"/>
      <c r="I456" s="701">
        <v>1040</v>
      </c>
      <c r="J456" s="701">
        <v>2</v>
      </c>
      <c r="K456" s="701">
        <v>2090</v>
      </c>
      <c r="L456" s="701"/>
      <c r="M456" s="701">
        <v>1045</v>
      </c>
      <c r="N456" s="701">
        <v>2</v>
      </c>
      <c r="O456" s="701">
        <v>2146</v>
      </c>
      <c r="P456" s="726"/>
      <c r="Q456" s="702">
        <v>1073</v>
      </c>
    </row>
    <row r="457" spans="1:17" ht="14.45" customHeight="1" x14ac:dyDescent="0.2">
      <c r="A457" s="696" t="s">
        <v>537</v>
      </c>
      <c r="B457" s="697" t="s">
        <v>2898</v>
      </c>
      <c r="C457" s="697" t="s">
        <v>2899</v>
      </c>
      <c r="D457" s="697" t="s">
        <v>3681</v>
      </c>
      <c r="E457" s="697" t="s">
        <v>3682</v>
      </c>
      <c r="F457" s="701">
        <v>3</v>
      </c>
      <c r="G457" s="701">
        <v>6336</v>
      </c>
      <c r="H457" s="701"/>
      <c r="I457" s="701">
        <v>2112</v>
      </c>
      <c r="J457" s="701"/>
      <c r="K457" s="701"/>
      <c r="L457" s="701"/>
      <c r="M457" s="701"/>
      <c r="N457" s="701"/>
      <c r="O457" s="701"/>
      <c r="P457" s="726"/>
      <c r="Q457" s="702"/>
    </row>
    <row r="458" spans="1:17" ht="14.45" customHeight="1" x14ac:dyDescent="0.2">
      <c r="A458" s="696" t="s">
        <v>537</v>
      </c>
      <c r="B458" s="697" t="s">
        <v>2898</v>
      </c>
      <c r="C458" s="697" t="s">
        <v>2899</v>
      </c>
      <c r="D458" s="697" t="s">
        <v>3683</v>
      </c>
      <c r="E458" s="697" t="s">
        <v>3684</v>
      </c>
      <c r="F458" s="701"/>
      <c r="G458" s="701"/>
      <c r="H458" s="701"/>
      <c r="I458" s="701"/>
      <c r="J458" s="701"/>
      <c r="K458" s="701"/>
      <c r="L458" s="701"/>
      <c r="M458" s="701"/>
      <c r="N458" s="701">
        <v>2</v>
      </c>
      <c r="O458" s="701">
        <v>15910</v>
      </c>
      <c r="P458" s="726"/>
      <c r="Q458" s="702">
        <v>7955</v>
      </c>
    </row>
    <row r="459" spans="1:17" ht="14.45" customHeight="1" x14ac:dyDescent="0.2">
      <c r="A459" s="696" t="s">
        <v>537</v>
      </c>
      <c r="B459" s="697" t="s">
        <v>2898</v>
      </c>
      <c r="C459" s="697" t="s">
        <v>2899</v>
      </c>
      <c r="D459" s="697" t="s">
        <v>3685</v>
      </c>
      <c r="E459" s="697" t="s">
        <v>3686</v>
      </c>
      <c r="F459" s="701"/>
      <c r="G459" s="701"/>
      <c r="H459" s="701"/>
      <c r="I459" s="701"/>
      <c r="J459" s="701">
        <v>2</v>
      </c>
      <c r="K459" s="701">
        <v>11424</v>
      </c>
      <c r="L459" s="701"/>
      <c r="M459" s="701">
        <v>5712</v>
      </c>
      <c r="N459" s="701"/>
      <c r="O459" s="701"/>
      <c r="P459" s="726"/>
      <c r="Q459" s="702"/>
    </row>
    <row r="460" spans="1:17" ht="14.45" customHeight="1" x14ac:dyDescent="0.2">
      <c r="A460" s="696" t="s">
        <v>537</v>
      </c>
      <c r="B460" s="697" t="s">
        <v>2898</v>
      </c>
      <c r="C460" s="697" t="s">
        <v>2899</v>
      </c>
      <c r="D460" s="697" t="s">
        <v>3687</v>
      </c>
      <c r="E460" s="697" t="s">
        <v>3688</v>
      </c>
      <c r="F460" s="701">
        <v>1</v>
      </c>
      <c r="G460" s="701">
        <v>1159</v>
      </c>
      <c r="H460" s="701"/>
      <c r="I460" s="701">
        <v>1159</v>
      </c>
      <c r="J460" s="701"/>
      <c r="K460" s="701"/>
      <c r="L460" s="701"/>
      <c r="M460" s="701"/>
      <c r="N460" s="701"/>
      <c r="O460" s="701"/>
      <c r="P460" s="726"/>
      <c r="Q460" s="702"/>
    </row>
    <row r="461" spans="1:17" ht="14.45" customHeight="1" x14ac:dyDescent="0.2">
      <c r="A461" s="696" t="s">
        <v>537</v>
      </c>
      <c r="B461" s="697" t="s">
        <v>2898</v>
      </c>
      <c r="C461" s="697" t="s">
        <v>2899</v>
      </c>
      <c r="D461" s="697" t="s">
        <v>3689</v>
      </c>
      <c r="E461" s="697" t="s">
        <v>3690</v>
      </c>
      <c r="F461" s="701"/>
      <c r="G461" s="701"/>
      <c r="H461" s="701"/>
      <c r="I461" s="701"/>
      <c r="J461" s="701"/>
      <c r="K461" s="701"/>
      <c r="L461" s="701"/>
      <c r="M461" s="701"/>
      <c r="N461" s="701">
        <v>1</v>
      </c>
      <c r="O461" s="701">
        <v>765</v>
      </c>
      <c r="P461" s="726"/>
      <c r="Q461" s="702">
        <v>765</v>
      </c>
    </row>
    <row r="462" spans="1:17" ht="14.45" customHeight="1" x14ac:dyDescent="0.2">
      <c r="A462" s="696" t="s">
        <v>537</v>
      </c>
      <c r="B462" s="697" t="s">
        <v>2898</v>
      </c>
      <c r="C462" s="697" t="s">
        <v>2899</v>
      </c>
      <c r="D462" s="697" t="s">
        <v>3691</v>
      </c>
      <c r="E462" s="697" t="s">
        <v>3692</v>
      </c>
      <c r="F462" s="701">
        <v>6</v>
      </c>
      <c r="G462" s="701">
        <v>23196</v>
      </c>
      <c r="H462" s="701"/>
      <c r="I462" s="701">
        <v>3866</v>
      </c>
      <c r="J462" s="701">
        <v>8</v>
      </c>
      <c r="K462" s="701">
        <v>31160</v>
      </c>
      <c r="L462" s="701"/>
      <c r="M462" s="701">
        <v>3895</v>
      </c>
      <c r="N462" s="701"/>
      <c r="O462" s="701"/>
      <c r="P462" s="726"/>
      <c r="Q462" s="702"/>
    </row>
    <row r="463" spans="1:17" ht="14.45" customHeight="1" x14ac:dyDescent="0.2">
      <c r="A463" s="696" t="s">
        <v>537</v>
      </c>
      <c r="B463" s="697" t="s">
        <v>2898</v>
      </c>
      <c r="C463" s="697" t="s">
        <v>2899</v>
      </c>
      <c r="D463" s="697" t="s">
        <v>3693</v>
      </c>
      <c r="E463" s="697" t="s">
        <v>3694</v>
      </c>
      <c r="F463" s="701">
        <v>1</v>
      </c>
      <c r="G463" s="701">
        <v>1611</v>
      </c>
      <c r="H463" s="701"/>
      <c r="I463" s="701">
        <v>1611</v>
      </c>
      <c r="J463" s="701">
        <v>1</v>
      </c>
      <c r="K463" s="701">
        <v>1623</v>
      </c>
      <c r="L463" s="701"/>
      <c r="M463" s="701">
        <v>1623</v>
      </c>
      <c r="N463" s="701"/>
      <c r="O463" s="701"/>
      <c r="P463" s="726"/>
      <c r="Q463" s="702"/>
    </row>
    <row r="464" spans="1:17" ht="14.45" customHeight="1" x14ac:dyDescent="0.2">
      <c r="A464" s="696" t="s">
        <v>537</v>
      </c>
      <c r="B464" s="697" t="s">
        <v>2898</v>
      </c>
      <c r="C464" s="697" t="s">
        <v>2899</v>
      </c>
      <c r="D464" s="697" t="s">
        <v>3695</v>
      </c>
      <c r="E464" s="697" t="s">
        <v>3696</v>
      </c>
      <c r="F464" s="701">
        <v>1</v>
      </c>
      <c r="G464" s="701">
        <v>2900</v>
      </c>
      <c r="H464" s="701"/>
      <c r="I464" s="701">
        <v>2900</v>
      </c>
      <c r="J464" s="701"/>
      <c r="K464" s="701"/>
      <c r="L464" s="701"/>
      <c r="M464" s="701"/>
      <c r="N464" s="701"/>
      <c r="O464" s="701"/>
      <c r="P464" s="726"/>
      <c r="Q464" s="702"/>
    </row>
    <row r="465" spans="1:17" ht="14.45" customHeight="1" x14ac:dyDescent="0.2">
      <c r="A465" s="696" t="s">
        <v>537</v>
      </c>
      <c r="B465" s="697" t="s">
        <v>2898</v>
      </c>
      <c r="C465" s="697" t="s">
        <v>2899</v>
      </c>
      <c r="D465" s="697" t="s">
        <v>3697</v>
      </c>
      <c r="E465" s="697" t="s">
        <v>3698</v>
      </c>
      <c r="F465" s="701">
        <v>1</v>
      </c>
      <c r="G465" s="701">
        <v>1208</v>
      </c>
      <c r="H465" s="701"/>
      <c r="I465" s="701">
        <v>1208</v>
      </c>
      <c r="J465" s="701"/>
      <c r="K465" s="701"/>
      <c r="L465" s="701"/>
      <c r="M465" s="701"/>
      <c r="N465" s="701"/>
      <c r="O465" s="701"/>
      <c r="P465" s="726"/>
      <c r="Q465" s="702"/>
    </row>
    <row r="466" spans="1:17" ht="14.45" customHeight="1" x14ac:dyDescent="0.2">
      <c r="A466" s="696" t="s">
        <v>537</v>
      </c>
      <c r="B466" s="697" t="s">
        <v>2898</v>
      </c>
      <c r="C466" s="697" t="s">
        <v>2899</v>
      </c>
      <c r="D466" s="697" t="s">
        <v>3699</v>
      </c>
      <c r="E466" s="697" t="s">
        <v>3700</v>
      </c>
      <c r="F466" s="701">
        <v>2</v>
      </c>
      <c r="G466" s="701">
        <v>8034</v>
      </c>
      <c r="H466" s="701"/>
      <c r="I466" s="701">
        <v>4017</v>
      </c>
      <c r="J466" s="701">
        <v>3</v>
      </c>
      <c r="K466" s="701">
        <v>12123</v>
      </c>
      <c r="L466" s="701"/>
      <c r="M466" s="701">
        <v>4041</v>
      </c>
      <c r="N466" s="701"/>
      <c r="O466" s="701"/>
      <c r="P466" s="726"/>
      <c r="Q466" s="702"/>
    </row>
    <row r="467" spans="1:17" ht="14.45" customHeight="1" x14ac:dyDescent="0.2">
      <c r="A467" s="696" t="s">
        <v>537</v>
      </c>
      <c r="B467" s="697" t="s">
        <v>2898</v>
      </c>
      <c r="C467" s="697" t="s">
        <v>2899</v>
      </c>
      <c r="D467" s="697" t="s">
        <v>3701</v>
      </c>
      <c r="E467" s="697" t="s">
        <v>3702</v>
      </c>
      <c r="F467" s="701"/>
      <c r="G467" s="701"/>
      <c r="H467" s="701"/>
      <c r="I467" s="701"/>
      <c r="J467" s="701">
        <v>1</v>
      </c>
      <c r="K467" s="701">
        <v>942</v>
      </c>
      <c r="L467" s="701"/>
      <c r="M467" s="701">
        <v>942</v>
      </c>
      <c r="N467" s="701"/>
      <c r="O467" s="701"/>
      <c r="P467" s="726"/>
      <c r="Q467" s="702"/>
    </row>
    <row r="468" spans="1:17" ht="14.45" customHeight="1" x14ac:dyDescent="0.2">
      <c r="A468" s="696" t="s">
        <v>537</v>
      </c>
      <c r="B468" s="697" t="s">
        <v>2898</v>
      </c>
      <c r="C468" s="697" t="s">
        <v>2899</v>
      </c>
      <c r="D468" s="697" t="s">
        <v>3703</v>
      </c>
      <c r="E468" s="697" t="s">
        <v>3704</v>
      </c>
      <c r="F468" s="701">
        <v>1</v>
      </c>
      <c r="G468" s="701">
        <v>60</v>
      </c>
      <c r="H468" s="701"/>
      <c r="I468" s="701">
        <v>60</v>
      </c>
      <c r="J468" s="701"/>
      <c r="K468" s="701"/>
      <c r="L468" s="701"/>
      <c r="M468" s="701"/>
      <c r="N468" s="701"/>
      <c r="O468" s="701"/>
      <c r="P468" s="726"/>
      <c r="Q468" s="702"/>
    </row>
    <row r="469" spans="1:17" ht="14.45" customHeight="1" x14ac:dyDescent="0.2">
      <c r="A469" s="696" t="s">
        <v>537</v>
      </c>
      <c r="B469" s="697" t="s">
        <v>2898</v>
      </c>
      <c r="C469" s="697" t="s">
        <v>2899</v>
      </c>
      <c r="D469" s="697" t="s">
        <v>3705</v>
      </c>
      <c r="E469" s="697" t="s">
        <v>3706</v>
      </c>
      <c r="F469" s="701"/>
      <c r="G469" s="701"/>
      <c r="H469" s="701"/>
      <c r="I469" s="701"/>
      <c r="J469" s="701"/>
      <c r="K469" s="701"/>
      <c r="L469" s="701"/>
      <c r="M469" s="701"/>
      <c r="N469" s="701">
        <v>1</v>
      </c>
      <c r="O469" s="701">
        <v>459</v>
      </c>
      <c r="P469" s="726"/>
      <c r="Q469" s="702">
        <v>459</v>
      </c>
    </row>
    <row r="470" spans="1:17" ht="14.45" customHeight="1" x14ac:dyDescent="0.2">
      <c r="A470" s="696" t="s">
        <v>537</v>
      </c>
      <c r="B470" s="697" t="s">
        <v>2898</v>
      </c>
      <c r="C470" s="697" t="s">
        <v>2899</v>
      </c>
      <c r="D470" s="697" t="s">
        <v>3707</v>
      </c>
      <c r="E470" s="697" t="s">
        <v>3708</v>
      </c>
      <c r="F470" s="701">
        <v>1</v>
      </c>
      <c r="G470" s="701">
        <v>268</v>
      </c>
      <c r="H470" s="701"/>
      <c r="I470" s="701">
        <v>268</v>
      </c>
      <c r="J470" s="701"/>
      <c r="K470" s="701"/>
      <c r="L470" s="701"/>
      <c r="M470" s="701"/>
      <c r="N470" s="701">
        <v>1</v>
      </c>
      <c r="O470" s="701">
        <v>284</v>
      </c>
      <c r="P470" s="726"/>
      <c r="Q470" s="702">
        <v>284</v>
      </c>
    </row>
    <row r="471" spans="1:17" ht="14.45" customHeight="1" x14ac:dyDescent="0.2">
      <c r="A471" s="696" t="s">
        <v>537</v>
      </c>
      <c r="B471" s="697" t="s">
        <v>2898</v>
      </c>
      <c r="C471" s="697" t="s">
        <v>2899</v>
      </c>
      <c r="D471" s="697" t="s">
        <v>3709</v>
      </c>
      <c r="E471" s="697" t="s">
        <v>3710</v>
      </c>
      <c r="F471" s="701">
        <v>1</v>
      </c>
      <c r="G471" s="701">
        <v>139</v>
      </c>
      <c r="H471" s="701"/>
      <c r="I471" s="701">
        <v>139</v>
      </c>
      <c r="J471" s="701"/>
      <c r="K471" s="701"/>
      <c r="L471" s="701"/>
      <c r="M471" s="701"/>
      <c r="N471" s="701"/>
      <c r="O471" s="701"/>
      <c r="P471" s="726"/>
      <c r="Q471" s="702"/>
    </row>
    <row r="472" spans="1:17" ht="14.45" customHeight="1" x14ac:dyDescent="0.2">
      <c r="A472" s="696" t="s">
        <v>537</v>
      </c>
      <c r="B472" s="697" t="s">
        <v>2898</v>
      </c>
      <c r="C472" s="697" t="s">
        <v>2899</v>
      </c>
      <c r="D472" s="697" t="s">
        <v>3711</v>
      </c>
      <c r="E472" s="697" t="s">
        <v>3712</v>
      </c>
      <c r="F472" s="701"/>
      <c r="G472" s="701"/>
      <c r="H472" s="701"/>
      <c r="I472" s="701"/>
      <c r="J472" s="701"/>
      <c r="K472" s="701"/>
      <c r="L472" s="701"/>
      <c r="M472" s="701"/>
      <c r="N472" s="701">
        <v>1</v>
      </c>
      <c r="O472" s="701">
        <v>1736</v>
      </c>
      <c r="P472" s="726"/>
      <c r="Q472" s="702">
        <v>1736</v>
      </c>
    </row>
    <row r="473" spans="1:17" ht="14.45" customHeight="1" x14ac:dyDescent="0.2">
      <c r="A473" s="696" t="s">
        <v>537</v>
      </c>
      <c r="B473" s="697" t="s">
        <v>2898</v>
      </c>
      <c r="C473" s="697" t="s">
        <v>2899</v>
      </c>
      <c r="D473" s="697" t="s">
        <v>3713</v>
      </c>
      <c r="E473" s="697" t="s">
        <v>3714</v>
      </c>
      <c r="F473" s="701"/>
      <c r="G473" s="701"/>
      <c r="H473" s="701"/>
      <c r="I473" s="701"/>
      <c r="J473" s="701"/>
      <c r="K473" s="701"/>
      <c r="L473" s="701"/>
      <c r="M473" s="701"/>
      <c r="N473" s="701">
        <v>1</v>
      </c>
      <c r="O473" s="701">
        <v>2110</v>
      </c>
      <c r="P473" s="726"/>
      <c r="Q473" s="702">
        <v>2110</v>
      </c>
    </row>
    <row r="474" spans="1:17" ht="14.45" customHeight="1" x14ac:dyDescent="0.2">
      <c r="A474" s="696" t="s">
        <v>537</v>
      </c>
      <c r="B474" s="697" t="s">
        <v>2898</v>
      </c>
      <c r="C474" s="697" t="s">
        <v>2899</v>
      </c>
      <c r="D474" s="697" t="s">
        <v>3715</v>
      </c>
      <c r="E474" s="697" t="s">
        <v>3716</v>
      </c>
      <c r="F474" s="701"/>
      <c r="G474" s="701"/>
      <c r="H474" s="701"/>
      <c r="I474" s="701"/>
      <c r="J474" s="701"/>
      <c r="K474" s="701"/>
      <c r="L474" s="701"/>
      <c r="M474" s="701"/>
      <c r="N474" s="701">
        <v>1</v>
      </c>
      <c r="O474" s="701">
        <v>3507</v>
      </c>
      <c r="P474" s="726"/>
      <c r="Q474" s="702">
        <v>3507</v>
      </c>
    </row>
    <row r="475" spans="1:17" ht="14.45" customHeight="1" x14ac:dyDescent="0.2">
      <c r="A475" s="696" t="s">
        <v>537</v>
      </c>
      <c r="B475" s="697" t="s">
        <v>2898</v>
      </c>
      <c r="C475" s="697" t="s">
        <v>2899</v>
      </c>
      <c r="D475" s="697" t="s">
        <v>2941</v>
      </c>
      <c r="E475" s="697" t="s">
        <v>2942</v>
      </c>
      <c r="F475" s="701">
        <v>9</v>
      </c>
      <c r="G475" s="701">
        <v>7614</v>
      </c>
      <c r="H475" s="701"/>
      <c r="I475" s="701">
        <v>846</v>
      </c>
      <c r="J475" s="701">
        <v>9</v>
      </c>
      <c r="K475" s="701">
        <v>7668</v>
      </c>
      <c r="L475" s="701"/>
      <c r="M475" s="701">
        <v>852</v>
      </c>
      <c r="N475" s="701">
        <v>14</v>
      </c>
      <c r="O475" s="701">
        <v>12306</v>
      </c>
      <c r="P475" s="726"/>
      <c r="Q475" s="702">
        <v>879</v>
      </c>
    </row>
    <row r="476" spans="1:17" ht="14.45" customHeight="1" x14ac:dyDescent="0.2">
      <c r="A476" s="696" t="s">
        <v>537</v>
      </c>
      <c r="B476" s="697" t="s">
        <v>2898</v>
      </c>
      <c r="C476" s="697" t="s">
        <v>2899</v>
      </c>
      <c r="D476" s="697" t="s">
        <v>3717</v>
      </c>
      <c r="E476" s="697" t="s">
        <v>3718</v>
      </c>
      <c r="F476" s="701"/>
      <c r="G476" s="701"/>
      <c r="H476" s="701"/>
      <c r="I476" s="701"/>
      <c r="J476" s="701">
        <v>1</v>
      </c>
      <c r="K476" s="701">
        <v>2536</v>
      </c>
      <c r="L476" s="701"/>
      <c r="M476" s="701">
        <v>2536</v>
      </c>
      <c r="N476" s="701"/>
      <c r="O476" s="701"/>
      <c r="P476" s="726"/>
      <c r="Q476" s="702"/>
    </row>
    <row r="477" spans="1:17" ht="14.45" customHeight="1" x14ac:dyDescent="0.2">
      <c r="A477" s="696" t="s">
        <v>537</v>
      </c>
      <c r="B477" s="697" t="s">
        <v>2898</v>
      </c>
      <c r="C477" s="697" t="s">
        <v>2899</v>
      </c>
      <c r="D477" s="697" t="s">
        <v>3719</v>
      </c>
      <c r="E477" s="697" t="s">
        <v>3720</v>
      </c>
      <c r="F477" s="701"/>
      <c r="G477" s="701"/>
      <c r="H477" s="701"/>
      <c r="I477" s="701"/>
      <c r="J477" s="701"/>
      <c r="K477" s="701"/>
      <c r="L477" s="701"/>
      <c r="M477" s="701"/>
      <c r="N477" s="701">
        <v>1</v>
      </c>
      <c r="O477" s="701">
        <v>3813</v>
      </c>
      <c r="P477" s="726"/>
      <c r="Q477" s="702">
        <v>3813</v>
      </c>
    </row>
    <row r="478" spans="1:17" ht="14.45" customHeight="1" x14ac:dyDescent="0.2">
      <c r="A478" s="696" t="s">
        <v>537</v>
      </c>
      <c r="B478" s="697" t="s">
        <v>2898</v>
      </c>
      <c r="C478" s="697" t="s">
        <v>2899</v>
      </c>
      <c r="D478" s="697" t="s">
        <v>3721</v>
      </c>
      <c r="E478" s="697" t="s">
        <v>3722</v>
      </c>
      <c r="F478" s="701">
        <v>1</v>
      </c>
      <c r="G478" s="701">
        <v>5255</v>
      </c>
      <c r="H478" s="701"/>
      <c r="I478" s="701">
        <v>5255</v>
      </c>
      <c r="J478" s="701"/>
      <c r="K478" s="701"/>
      <c r="L478" s="701"/>
      <c r="M478" s="701"/>
      <c r="N478" s="701"/>
      <c r="O478" s="701"/>
      <c r="P478" s="726"/>
      <c r="Q478" s="702"/>
    </row>
    <row r="479" spans="1:17" ht="14.45" customHeight="1" x14ac:dyDescent="0.2">
      <c r="A479" s="696" t="s">
        <v>537</v>
      </c>
      <c r="B479" s="697" t="s">
        <v>2898</v>
      </c>
      <c r="C479" s="697" t="s">
        <v>2899</v>
      </c>
      <c r="D479" s="697" t="s">
        <v>3723</v>
      </c>
      <c r="E479" s="697" t="s">
        <v>3724</v>
      </c>
      <c r="F479" s="701"/>
      <c r="G479" s="701"/>
      <c r="H479" s="701"/>
      <c r="I479" s="701"/>
      <c r="J479" s="701"/>
      <c r="K479" s="701"/>
      <c r="L479" s="701"/>
      <c r="M479" s="701"/>
      <c r="N479" s="701">
        <v>1</v>
      </c>
      <c r="O479" s="701">
        <v>641</v>
      </c>
      <c r="P479" s="726"/>
      <c r="Q479" s="702">
        <v>641</v>
      </c>
    </row>
    <row r="480" spans="1:17" ht="14.45" customHeight="1" x14ac:dyDescent="0.2">
      <c r="A480" s="696" t="s">
        <v>537</v>
      </c>
      <c r="B480" s="697" t="s">
        <v>2898</v>
      </c>
      <c r="C480" s="697" t="s">
        <v>2899</v>
      </c>
      <c r="D480" s="697" t="s">
        <v>3725</v>
      </c>
      <c r="E480" s="697" t="s">
        <v>3726</v>
      </c>
      <c r="F480" s="701"/>
      <c r="G480" s="701"/>
      <c r="H480" s="701"/>
      <c r="I480" s="701"/>
      <c r="J480" s="701">
        <v>1</v>
      </c>
      <c r="K480" s="701">
        <v>1138</v>
      </c>
      <c r="L480" s="701"/>
      <c r="M480" s="701">
        <v>1138</v>
      </c>
      <c r="N480" s="701"/>
      <c r="O480" s="701"/>
      <c r="P480" s="726"/>
      <c r="Q480" s="702"/>
    </row>
    <row r="481" spans="1:17" ht="14.45" customHeight="1" x14ac:dyDescent="0.2">
      <c r="A481" s="696" t="s">
        <v>537</v>
      </c>
      <c r="B481" s="697" t="s">
        <v>2898</v>
      </c>
      <c r="C481" s="697" t="s">
        <v>2899</v>
      </c>
      <c r="D481" s="697" t="s">
        <v>3727</v>
      </c>
      <c r="E481" s="697" t="s">
        <v>3728</v>
      </c>
      <c r="F481" s="701"/>
      <c r="G481" s="701"/>
      <c r="H481" s="701"/>
      <c r="I481" s="701"/>
      <c r="J481" s="701">
        <v>1</v>
      </c>
      <c r="K481" s="701">
        <v>1979</v>
      </c>
      <c r="L481" s="701"/>
      <c r="M481" s="701">
        <v>1979</v>
      </c>
      <c r="N481" s="701"/>
      <c r="O481" s="701"/>
      <c r="P481" s="726"/>
      <c r="Q481" s="702"/>
    </row>
    <row r="482" spans="1:17" ht="14.45" customHeight="1" x14ac:dyDescent="0.2">
      <c r="A482" s="696" t="s">
        <v>537</v>
      </c>
      <c r="B482" s="697" t="s">
        <v>2898</v>
      </c>
      <c r="C482" s="697" t="s">
        <v>2899</v>
      </c>
      <c r="D482" s="697" t="s">
        <v>3729</v>
      </c>
      <c r="E482" s="697" t="s">
        <v>3730</v>
      </c>
      <c r="F482" s="701">
        <v>1</v>
      </c>
      <c r="G482" s="701">
        <v>226</v>
      </c>
      <c r="H482" s="701"/>
      <c r="I482" s="701">
        <v>226</v>
      </c>
      <c r="J482" s="701"/>
      <c r="K482" s="701"/>
      <c r="L482" s="701"/>
      <c r="M482" s="701"/>
      <c r="N482" s="701"/>
      <c r="O482" s="701"/>
      <c r="P482" s="726"/>
      <c r="Q482" s="702"/>
    </row>
    <row r="483" spans="1:17" ht="14.45" customHeight="1" x14ac:dyDescent="0.2">
      <c r="A483" s="696" t="s">
        <v>537</v>
      </c>
      <c r="B483" s="697" t="s">
        <v>2898</v>
      </c>
      <c r="C483" s="697" t="s">
        <v>2899</v>
      </c>
      <c r="D483" s="697" t="s">
        <v>3731</v>
      </c>
      <c r="E483" s="697" t="s">
        <v>3732</v>
      </c>
      <c r="F483" s="701">
        <v>1</v>
      </c>
      <c r="G483" s="701">
        <v>694</v>
      </c>
      <c r="H483" s="701"/>
      <c r="I483" s="701">
        <v>694</v>
      </c>
      <c r="J483" s="701"/>
      <c r="K483" s="701"/>
      <c r="L483" s="701"/>
      <c r="M483" s="701"/>
      <c r="N483" s="701"/>
      <c r="O483" s="701"/>
      <c r="P483" s="726"/>
      <c r="Q483" s="702"/>
    </row>
    <row r="484" spans="1:17" ht="14.45" customHeight="1" x14ac:dyDescent="0.2">
      <c r="A484" s="696" t="s">
        <v>537</v>
      </c>
      <c r="B484" s="697" t="s">
        <v>2898</v>
      </c>
      <c r="C484" s="697" t="s">
        <v>2899</v>
      </c>
      <c r="D484" s="697" t="s">
        <v>3733</v>
      </c>
      <c r="E484" s="697" t="s">
        <v>3734</v>
      </c>
      <c r="F484" s="701"/>
      <c r="G484" s="701"/>
      <c r="H484" s="701"/>
      <c r="I484" s="701"/>
      <c r="J484" s="701"/>
      <c r="K484" s="701"/>
      <c r="L484" s="701"/>
      <c r="M484" s="701"/>
      <c r="N484" s="701">
        <v>1</v>
      </c>
      <c r="O484" s="701">
        <v>6620</v>
      </c>
      <c r="P484" s="726"/>
      <c r="Q484" s="702">
        <v>6620</v>
      </c>
    </row>
    <row r="485" spans="1:17" ht="14.45" customHeight="1" x14ac:dyDescent="0.2">
      <c r="A485" s="696" t="s">
        <v>537</v>
      </c>
      <c r="B485" s="697" t="s">
        <v>2898</v>
      </c>
      <c r="C485" s="697" t="s">
        <v>2899</v>
      </c>
      <c r="D485" s="697" t="s">
        <v>3735</v>
      </c>
      <c r="E485" s="697" t="s">
        <v>3736</v>
      </c>
      <c r="F485" s="701"/>
      <c r="G485" s="701"/>
      <c r="H485" s="701"/>
      <c r="I485" s="701"/>
      <c r="J485" s="701">
        <v>1</v>
      </c>
      <c r="K485" s="701">
        <v>720</v>
      </c>
      <c r="L485" s="701"/>
      <c r="M485" s="701">
        <v>720</v>
      </c>
      <c r="N485" s="701"/>
      <c r="O485" s="701"/>
      <c r="P485" s="726"/>
      <c r="Q485" s="702"/>
    </row>
    <row r="486" spans="1:17" ht="14.45" customHeight="1" x14ac:dyDescent="0.2">
      <c r="A486" s="696" t="s">
        <v>537</v>
      </c>
      <c r="B486" s="697" t="s">
        <v>2898</v>
      </c>
      <c r="C486" s="697" t="s">
        <v>2899</v>
      </c>
      <c r="D486" s="697" t="s">
        <v>3737</v>
      </c>
      <c r="E486" s="697" t="s">
        <v>3738</v>
      </c>
      <c r="F486" s="701">
        <v>1</v>
      </c>
      <c r="G486" s="701">
        <v>1801</v>
      </c>
      <c r="H486" s="701"/>
      <c r="I486" s="701">
        <v>1801</v>
      </c>
      <c r="J486" s="701"/>
      <c r="K486" s="701"/>
      <c r="L486" s="701"/>
      <c r="M486" s="701"/>
      <c r="N486" s="701"/>
      <c r="O486" s="701"/>
      <c r="P486" s="726"/>
      <c r="Q486" s="702"/>
    </row>
    <row r="487" spans="1:17" ht="14.45" customHeight="1" x14ac:dyDescent="0.2">
      <c r="A487" s="696" t="s">
        <v>537</v>
      </c>
      <c r="B487" s="697" t="s">
        <v>2898</v>
      </c>
      <c r="C487" s="697" t="s">
        <v>2899</v>
      </c>
      <c r="D487" s="697" t="s">
        <v>3739</v>
      </c>
      <c r="E487" s="697" t="s">
        <v>3740</v>
      </c>
      <c r="F487" s="701"/>
      <c r="G487" s="701"/>
      <c r="H487" s="701"/>
      <c r="I487" s="701"/>
      <c r="J487" s="701">
        <v>2</v>
      </c>
      <c r="K487" s="701">
        <v>8150</v>
      </c>
      <c r="L487" s="701"/>
      <c r="M487" s="701">
        <v>4075</v>
      </c>
      <c r="N487" s="701"/>
      <c r="O487" s="701"/>
      <c r="P487" s="726"/>
      <c r="Q487" s="702"/>
    </row>
    <row r="488" spans="1:17" ht="14.45" customHeight="1" x14ac:dyDescent="0.2">
      <c r="A488" s="696" t="s">
        <v>537</v>
      </c>
      <c r="B488" s="697" t="s">
        <v>2898</v>
      </c>
      <c r="C488" s="697" t="s">
        <v>2899</v>
      </c>
      <c r="D488" s="697" t="s">
        <v>3741</v>
      </c>
      <c r="E488" s="697" t="s">
        <v>3742</v>
      </c>
      <c r="F488" s="701"/>
      <c r="G488" s="701"/>
      <c r="H488" s="701"/>
      <c r="I488" s="701"/>
      <c r="J488" s="701">
        <v>4</v>
      </c>
      <c r="K488" s="701">
        <v>37280</v>
      </c>
      <c r="L488" s="701"/>
      <c r="M488" s="701">
        <v>9320</v>
      </c>
      <c r="N488" s="701">
        <v>25</v>
      </c>
      <c r="O488" s="701">
        <v>233000</v>
      </c>
      <c r="P488" s="726"/>
      <c r="Q488" s="702">
        <v>9320</v>
      </c>
    </row>
    <row r="489" spans="1:17" ht="14.45" customHeight="1" x14ac:dyDescent="0.2">
      <c r="A489" s="696" t="s">
        <v>537</v>
      </c>
      <c r="B489" s="697" t="s">
        <v>2898</v>
      </c>
      <c r="C489" s="697" t="s">
        <v>2899</v>
      </c>
      <c r="D489" s="697" t="s">
        <v>3743</v>
      </c>
      <c r="E489" s="697" t="s">
        <v>3744</v>
      </c>
      <c r="F489" s="701"/>
      <c r="G489" s="701"/>
      <c r="H489" s="701"/>
      <c r="I489" s="701"/>
      <c r="J489" s="701">
        <v>1</v>
      </c>
      <c r="K489" s="701">
        <v>268</v>
      </c>
      <c r="L489" s="701"/>
      <c r="M489" s="701">
        <v>268</v>
      </c>
      <c r="N489" s="701"/>
      <c r="O489" s="701"/>
      <c r="P489" s="726"/>
      <c r="Q489" s="702"/>
    </row>
    <row r="490" spans="1:17" ht="14.45" customHeight="1" x14ac:dyDescent="0.2">
      <c r="A490" s="696" t="s">
        <v>537</v>
      </c>
      <c r="B490" s="697" t="s">
        <v>2898</v>
      </c>
      <c r="C490" s="697" t="s">
        <v>2899</v>
      </c>
      <c r="D490" s="697" t="s">
        <v>3745</v>
      </c>
      <c r="E490" s="697" t="s">
        <v>3746</v>
      </c>
      <c r="F490" s="701">
        <v>0</v>
      </c>
      <c r="G490" s="701">
        <v>0</v>
      </c>
      <c r="H490" s="701"/>
      <c r="I490" s="701"/>
      <c r="J490" s="701">
        <v>0</v>
      </c>
      <c r="K490" s="701">
        <v>0</v>
      </c>
      <c r="L490" s="701"/>
      <c r="M490" s="701"/>
      <c r="N490" s="701">
        <v>0</v>
      </c>
      <c r="O490" s="701">
        <v>0</v>
      </c>
      <c r="P490" s="726"/>
      <c r="Q490" s="702"/>
    </row>
    <row r="491" spans="1:17" ht="14.45" customHeight="1" x14ac:dyDescent="0.2">
      <c r="A491" s="696" t="s">
        <v>537</v>
      </c>
      <c r="B491" s="697" t="s">
        <v>2898</v>
      </c>
      <c r="C491" s="697" t="s">
        <v>2899</v>
      </c>
      <c r="D491" s="697" t="s">
        <v>3747</v>
      </c>
      <c r="E491" s="697" t="s">
        <v>3748</v>
      </c>
      <c r="F491" s="701">
        <v>1065</v>
      </c>
      <c r="G491" s="701">
        <v>0</v>
      </c>
      <c r="H491" s="701"/>
      <c r="I491" s="701">
        <v>0</v>
      </c>
      <c r="J491" s="701">
        <v>1039</v>
      </c>
      <c r="K491" s="701">
        <v>0</v>
      </c>
      <c r="L491" s="701"/>
      <c r="M491" s="701">
        <v>0</v>
      </c>
      <c r="N491" s="701">
        <v>966</v>
      </c>
      <c r="O491" s="701">
        <v>0</v>
      </c>
      <c r="P491" s="726"/>
      <c r="Q491" s="702">
        <v>0</v>
      </c>
    </row>
    <row r="492" spans="1:17" ht="14.45" customHeight="1" x14ac:dyDescent="0.2">
      <c r="A492" s="696" t="s">
        <v>537</v>
      </c>
      <c r="B492" s="697" t="s">
        <v>2898</v>
      </c>
      <c r="C492" s="697" t="s">
        <v>2899</v>
      </c>
      <c r="D492" s="697" t="s">
        <v>3749</v>
      </c>
      <c r="E492" s="697" t="s">
        <v>3750</v>
      </c>
      <c r="F492" s="701">
        <v>19</v>
      </c>
      <c r="G492" s="701">
        <v>0</v>
      </c>
      <c r="H492" s="701"/>
      <c r="I492" s="701">
        <v>0</v>
      </c>
      <c r="J492" s="701">
        <v>219</v>
      </c>
      <c r="K492" s="701">
        <v>0</v>
      </c>
      <c r="L492" s="701"/>
      <c r="M492" s="701">
        <v>0</v>
      </c>
      <c r="N492" s="701">
        <v>200</v>
      </c>
      <c r="O492" s="701">
        <v>0</v>
      </c>
      <c r="P492" s="726"/>
      <c r="Q492" s="702">
        <v>0</v>
      </c>
    </row>
    <row r="493" spans="1:17" ht="14.45" customHeight="1" x14ac:dyDescent="0.2">
      <c r="A493" s="696" t="s">
        <v>537</v>
      </c>
      <c r="B493" s="697" t="s">
        <v>2898</v>
      </c>
      <c r="C493" s="697" t="s">
        <v>2899</v>
      </c>
      <c r="D493" s="697" t="s">
        <v>3751</v>
      </c>
      <c r="E493" s="697" t="s">
        <v>2901</v>
      </c>
      <c r="F493" s="701">
        <v>77</v>
      </c>
      <c r="G493" s="701">
        <v>0</v>
      </c>
      <c r="H493" s="701"/>
      <c r="I493" s="701">
        <v>0</v>
      </c>
      <c r="J493" s="701">
        <v>96</v>
      </c>
      <c r="K493" s="701">
        <v>0</v>
      </c>
      <c r="L493" s="701"/>
      <c r="M493" s="701">
        <v>0</v>
      </c>
      <c r="N493" s="701">
        <v>60</v>
      </c>
      <c r="O493" s="701">
        <v>0</v>
      </c>
      <c r="P493" s="726"/>
      <c r="Q493" s="702">
        <v>0</v>
      </c>
    </row>
    <row r="494" spans="1:17" ht="14.45" customHeight="1" x14ac:dyDescent="0.2">
      <c r="A494" s="696" t="s">
        <v>537</v>
      </c>
      <c r="B494" s="697" t="s">
        <v>2898</v>
      </c>
      <c r="C494" s="697" t="s">
        <v>2899</v>
      </c>
      <c r="D494" s="697" t="s">
        <v>3752</v>
      </c>
      <c r="E494" s="697" t="s">
        <v>3753</v>
      </c>
      <c r="F494" s="701">
        <v>20</v>
      </c>
      <c r="G494" s="701">
        <v>0</v>
      </c>
      <c r="H494" s="701"/>
      <c r="I494" s="701">
        <v>0</v>
      </c>
      <c r="J494" s="701">
        <v>8</v>
      </c>
      <c r="K494" s="701">
        <v>0</v>
      </c>
      <c r="L494" s="701"/>
      <c r="M494" s="701">
        <v>0</v>
      </c>
      <c r="N494" s="701">
        <v>8</v>
      </c>
      <c r="O494" s="701">
        <v>0</v>
      </c>
      <c r="P494" s="726"/>
      <c r="Q494" s="702">
        <v>0</v>
      </c>
    </row>
    <row r="495" spans="1:17" ht="14.45" customHeight="1" x14ac:dyDescent="0.2">
      <c r="A495" s="696" t="s">
        <v>537</v>
      </c>
      <c r="B495" s="697" t="s">
        <v>2898</v>
      </c>
      <c r="C495" s="697" t="s">
        <v>2899</v>
      </c>
      <c r="D495" s="697" t="s">
        <v>3754</v>
      </c>
      <c r="E495" s="697" t="s">
        <v>2901</v>
      </c>
      <c r="F495" s="701"/>
      <c r="G495" s="701"/>
      <c r="H495" s="701"/>
      <c r="I495" s="701"/>
      <c r="J495" s="701"/>
      <c r="K495" s="701"/>
      <c r="L495" s="701"/>
      <c r="M495" s="701"/>
      <c r="N495" s="701">
        <v>2</v>
      </c>
      <c r="O495" s="701">
        <v>0</v>
      </c>
      <c r="P495" s="726"/>
      <c r="Q495" s="702">
        <v>0</v>
      </c>
    </row>
    <row r="496" spans="1:17" ht="14.45" customHeight="1" x14ac:dyDescent="0.2">
      <c r="A496" s="696" t="s">
        <v>537</v>
      </c>
      <c r="B496" s="697" t="s">
        <v>2898</v>
      </c>
      <c r="C496" s="697" t="s">
        <v>2899</v>
      </c>
      <c r="D496" s="697" t="s">
        <v>3755</v>
      </c>
      <c r="E496" s="697" t="s">
        <v>3756</v>
      </c>
      <c r="F496" s="701">
        <v>1</v>
      </c>
      <c r="G496" s="701">
        <v>87</v>
      </c>
      <c r="H496" s="701"/>
      <c r="I496" s="701">
        <v>87</v>
      </c>
      <c r="J496" s="701"/>
      <c r="K496" s="701"/>
      <c r="L496" s="701"/>
      <c r="M496" s="701"/>
      <c r="N496" s="701">
        <v>2</v>
      </c>
      <c r="O496" s="701">
        <v>186</v>
      </c>
      <c r="P496" s="726"/>
      <c r="Q496" s="702">
        <v>93</v>
      </c>
    </row>
    <row r="497" spans="1:17" ht="14.45" customHeight="1" x14ac:dyDescent="0.2">
      <c r="A497" s="696" t="s">
        <v>537</v>
      </c>
      <c r="B497" s="697" t="s">
        <v>2898</v>
      </c>
      <c r="C497" s="697" t="s">
        <v>2899</v>
      </c>
      <c r="D497" s="697" t="s">
        <v>3757</v>
      </c>
      <c r="E497" s="697" t="s">
        <v>3758</v>
      </c>
      <c r="F497" s="701">
        <v>1</v>
      </c>
      <c r="G497" s="701">
        <v>5594</v>
      </c>
      <c r="H497" s="701"/>
      <c r="I497" s="701">
        <v>5594</v>
      </c>
      <c r="J497" s="701"/>
      <c r="K497" s="701"/>
      <c r="L497" s="701"/>
      <c r="M497" s="701"/>
      <c r="N497" s="701"/>
      <c r="O497" s="701"/>
      <c r="P497" s="726"/>
      <c r="Q497" s="702"/>
    </row>
    <row r="498" spans="1:17" ht="14.45" customHeight="1" x14ac:dyDescent="0.2">
      <c r="A498" s="696" t="s">
        <v>537</v>
      </c>
      <c r="B498" s="697" t="s">
        <v>2898</v>
      </c>
      <c r="C498" s="697" t="s">
        <v>2899</v>
      </c>
      <c r="D498" s="697" t="s">
        <v>3759</v>
      </c>
      <c r="E498" s="697" t="s">
        <v>2901</v>
      </c>
      <c r="F498" s="701">
        <v>37</v>
      </c>
      <c r="G498" s="701">
        <v>0</v>
      </c>
      <c r="H498" s="701"/>
      <c r="I498" s="701">
        <v>0</v>
      </c>
      <c r="J498" s="701">
        <v>50</v>
      </c>
      <c r="K498" s="701">
        <v>0</v>
      </c>
      <c r="L498" s="701"/>
      <c r="M498" s="701">
        <v>0</v>
      </c>
      <c r="N498" s="701">
        <v>55</v>
      </c>
      <c r="O498" s="701">
        <v>0</v>
      </c>
      <c r="P498" s="726"/>
      <c r="Q498" s="702">
        <v>0</v>
      </c>
    </row>
    <row r="499" spans="1:17" ht="14.45" customHeight="1" x14ac:dyDescent="0.2">
      <c r="A499" s="696" t="s">
        <v>537</v>
      </c>
      <c r="B499" s="697" t="s">
        <v>2898</v>
      </c>
      <c r="C499" s="697" t="s">
        <v>2899</v>
      </c>
      <c r="D499" s="697" t="s">
        <v>3760</v>
      </c>
      <c r="E499" s="697" t="s">
        <v>3761</v>
      </c>
      <c r="F499" s="701">
        <v>3</v>
      </c>
      <c r="G499" s="701">
        <v>342</v>
      </c>
      <c r="H499" s="701"/>
      <c r="I499" s="701">
        <v>114</v>
      </c>
      <c r="J499" s="701"/>
      <c r="K499" s="701"/>
      <c r="L499" s="701"/>
      <c r="M499" s="701"/>
      <c r="N499" s="701">
        <v>10</v>
      </c>
      <c r="O499" s="701">
        <v>1200</v>
      </c>
      <c r="P499" s="726"/>
      <c r="Q499" s="702">
        <v>120</v>
      </c>
    </row>
    <row r="500" spans="1:17" ht="14.45" customHeight="1" x14ac:dyDescent="0.2">
      <c r="A500" s="696" t="s">
        <v>537</v>
      </c>
      <c r="B500" s="697" t="s">
        <v>2898</v>
      </c>
      <c r="C500" s="697" t="s">
        <v>2899</v>
      </c>
      <c r="D500" s="697" t="s">
        <v>3762</v>
      </c>
      <c r="E500" s="697" t="s">
        <v>3763</v>
      </c>
      <c r="F500" s="701">
        <v>7</v>
      </c>
      <c r="G500" s="701">
        <v>9366</v>
      </c>
      <c r="H500" s="701"/>
      <c r="I500" s="701">
        <v>1338</v>
      </c>
      <c r="J500" s="701">
        <v>6</v>
      </c>
      <c r="K500" s="701">
        <v>8082</v>
      </c>
      <c r="L500" s="701"/>
      <c r="M500" s="701">
        <v>1347</v>
      </c>
      <c r="N500" s="701"/>
      <c r="O500" s="701"/>
      <c r="P500" s="726"/>
      <c r="Q500" s="702"/>
    </row>
    <row r="501" spans="1:17" ht="14.45" customHeight="1" x14ac:dyDescent="0.2">
      <c r="A501" s="696" t="s">
        <v>537</v>
      </c>
      <c r="B501" s="697" t="s">
        <v>2898</v>
      </c>
      <c r="C501" s="697" t="s">
        <v>2899</v>
      </c>
      <c r="D501" s="697" t="s">
        <v>2989</v>
      </c>
      <c r="E501" s="697" t="s">
        <v>2990</v>
      </c>
      <c r="F501" s="701"/>
      <c r="G501" s="701"/>
      <c r="H501" s="701"/>
      <c r="I501" s="701"/>
      <c r="J501" s="701"/>
      <c r="K501" s="701"/>
      <c r="L501" s="701"/>
      <c r="M501" s="701"/>
      <c r="N501" s="701">
        <v>2</v>
      </c>
      <c r="O501" s="701">
        <v>1430</v>
      </c>
      <c r="P501" s="726"/>
      <c r="Q501" s="702">
        <v>715</v>
      </c>
    </row>
    <row r="502" spans="1:17" ht="14.45" customHeight="1" x14ac:dyDescent="0.2">
      <c r="A502" s="696" t="s">
        <v>537</v>
      </c>
      <c r="B502" s="697" t="s">
        <v>2898</v>
      </c>
      <c r="C502" s="697" t="s">
        <v>2899</v>
      </c>
      <c r="D502" s="697" t="s">
        <v>3764</v>
      </c>
      <c r="E502" s="697" t="s">
        <v>3765</v>
      </c>
      <c r="F502" s="701">
        <v>31</v>
      </c>
      <c r="G502" s="701">
        <v>169948</v>
      </c>
      <c r="H502" s="701"/>
      <c r="I502" s="701">
        <v>5482.1935483870966</v>
      </c>
      <c r="J502" s="701">
        <v>30</v>
      </c>
      <c r="K502" s="701">
        <v>164578</v>
      </c>
      <c r="L502" s="701"/>
      <c r="M502" s="701">
        <v>5485.9333333333334</v>
      </c>
      <c r="N502" s="701">
        <v>22</v>
      </c>
      <c r="O502" s="701">
        <v>120758</v>
      </c>
      <c r="P502" s="726"/>
      <c r="Q502" s="702">
        <v>5489</v>
      </c>
    </row>
    <row r="503" spans="1:17" ht="14.45" customHeight="1" x14ac:dyDescent="0.2">
      <c r="A503" s="696" t="s">
        <v>537</v>
      </c>
      <c r="B503" s="697" t="s">
        <v>2898</v>
      </c>
      <c r="C503" s="697" t="s">
        <v>2899</v>
      </c>
      <c r="D503" s="697" t="s">
        <v>3766</v>
      </c>
      <c r="E503" s="697" t="s">
        <v>3767</v>
      </c>
      <c r="F503" s="701">
        <v>2</v>
      </c>
      <c r="G503" s="701">
        <v>0</v>
      </c>
      <c r="H503" s="701"/>
      <c r="I503" s="701">
        <v>0</v>
      </c>
      <c r="J503" s="701">
        <v>2</v>
      </c>
      <c r="K503" s="701">
        <v>0</v>
      </c>
      <c r="L503" s="701"/>
      <c r="M503" s="701">
        <v>0</v>
      </c>
      <c r="N503" s="701">
        <v>2</v>
      </c>
      <c r="O503" s="701">
        <v>0</v>
      </c>
      <c r="P503" s="726"/>
      <c r="Q503" s="702">
        <v>0</v>
      </c>
    </row>
    <row r="504" spans="1:17" ht="14.45" customHeight="1" x14ac:dyDescent="0.2">
      <c r="A504" s="696" t="s">
        <v>537</v>
      </c>
      <c r="B504" s="697" t="s">
        <v>2898</v>
      </c>
      <c r="C504" s="697" t="s">
        <v>2899</v>
      </c>
      <c r="D504" s="697" t="s">
        <v>3768</v>
      </c>
      <c r="E504" s="697" t="s">
        <v>3769</v>
      </c>
      <c r="F504" s="701">
        <v>145</v>
      </c>
      <c r="G504" s="701">
        <v>3476104</v>
      </c>
      <c r="H504" s="701"/>
      <c r="I504" s="701">
        <v>23973.131034482758</v>
      </c>
      <c r="J504" s="701">
        <v>528</v>
      </c>
      <c r="K504" s="701">
        <v>12659280</v>
      </c>
      <c r="L504" s="701"/>
      <c r="M504" s="701">
        <v>23975.909090909092</v>
      </c>
      <c r="N504" s="701">
        <v>570</v>
      </c>
      <c r="O504" s="701">
        <v>13667997</v>
      </c>
      <c r="P504" s="726"/>
      <c r="Q504" s="702">
        <v>23978.942105263159</v>
      </c>
    </row>
    <row r="505" spans="1:17" ht="14.45" customHeight="1" x14ac:dyDescent="0.2">
      <c r="A505" s="696" t="s">
        <v>537</v>
      </c>
      <c r="B505" s="697" t="s">
        <v>2898</v>
      </c>
      <c r="C505" s="697" t="s">
        <v>2899</v>
      </c>
      <c r="D505" s="697" t="s">
        <v>3770</v>
      </c>
      <c r="E505" s="697" t="s">
        <v>3771</v>
      </c>
      <c r="F505" s="701">
        <v>318</v>
      </c>
      <c r="G505" s="701">
        <v>2124805</v>
      </c>
      <c r="H505" s="701"/>
      <c r="I505" s="701">
        <v>6681.7767295597487</v>
      </c>
      <c r="J505" s="701">
        <v>283</v>
      </c>
      <c r="K505" s="701">
        <v>1892108</v>
      </c>
      <c r="L505" s="701"/>
      <c r="M505" s="701">
        <v>6685.8939929328626</v>
      </c>
      <c r="N505" s="701">
        <v>202</v>
      </c>
      <c r="O505" s="701">
        <v>1351178</v>
      </c>
      <c r="P505" s="726"/>
      <c r="Q505" s="702">
        <v>6689</v>
      </c>
    </row>
    <row r="506" spans="1:17" ht="14.45" customHeight="1" x14ac:dyDescent="0.2">
      <c r="A506" s="696" t="s">
        <v>537</v>
      </c>
      <c r="B506" s="697" t="s">
        <v>2898</v>
      </c>
      <c r="C506" s="697" t="s">
        <v>2899</v>
      </c>
      <c r="D506" s="697" t="s">
        <v>3772</v>
      </c>
      <c r="E506" s="697" t="s">
        <v>3773</v>
      </c>
      <c r="F506" s="701">
        <v>1</v>
      </c>
      <c r="G506" s="701">
        <v>870</v>
      </c>
      <c r="H506" s="701"/>
      <c r="I506" s="701">
        <v>870</v>
      </c>
      <c r="J506" s="701"/>
      <c r="K506" s="701"/>
      <c r="L506" s="701"/>
      <c r="M506" s="701"/>
      <c r="N506" s="701"/>
      <c r="O506" s="701"/>
      <c r="P506" s="726"/>
      <c r="Q506" s="702"/>
    </row>
    <row r="507" spans="1:17" ht="14.45" customHeight="1" x14ac:dyDescent="0.2">
      <c r="A507" s="696" t="s">
        <v>537</v>
      </c>
      <c r="B507" s="697" t="s">
        <v>2898</v>
      </c>
      <c r="C507" s="697" t="s">
        <v>2899</v>
      </c>
      <c r="D507" s="697" t="s">
        <v>3774</v>
      </c>
      <c r="E507" s="697" t="s">
        <v>3775</v>
      </c>
      <c r="F507" s="701">
        <v>2</v>
      </c>
      <c r="G507" s="701">
        <v>966</v>
      </c>
      <c r="H507" s="701"/>
      <c r="I507" s="701">
        <v>483</v>
      </c>
      <c r="J507" s="701"/>
      <c r="K507" s="701"/>
      <c r="L507" s="701"/>
      <c r="M507" s="701"/>
      <c r="N507" s="701"/>
      <c r="O507" s="701"/>
      <c r="P507" s="726"/>
      <c r="Q507" s="702"/>
    </row>
    <row r="508" spans="1:17" ht="14.45" customHeight="1" x14ac:dyDescent="0.2">
      <c r="A508" s="696" t="s">
        <v>537</v>
      </c>
      <c r="B508" s="697" t="s">
        <v>2898</v>
      </c>
      <c r="C508" s="697" t="s">
        <v>2899</v>
      </c>
      <c r="D508" s="697" t="s">
        <v>3776</v>
      </c>
      <c r="E508" s="697" t="s">
        <v>3777</v>
      </c>
      <c r="F508" s="701">
        <v>1</v>
      </c>
      <c r="G508" s="701">
        <v>4650</v>
      </c>
      <c r="H508" s="701"/>
      <c r="I508" s="701">
        <v>4650</v>
      </c>
      <c r="J508" s="701"/>
      <c r="K508" s="701"/>
      <c r="L508" s="701"/>
      <c r="M508" s="701"/>
      <c r="N508" s="701"/>
      <c r="O508" s="701"/>
      <c r="P508" s="726"/>
      <c r="Q508" s="702"/>
    </row>
    <row r="509" spans="1:17" ht="14.45" customHeight="1" x14ac:dyDescent="0.2">
      <c r="A509" s="696" t="s">
        <v>537</v>
      </c>
      <c r="B509" s="697" t="s">
        <v>2898</v>
      </c>
      <c r="C509" s="697" t="s">
        <v>2899</v>
      </c>
      <c r="D509" s="697" t="s">
        <v>3778</v>
      </c>
      <c r="E509" s="697" t="s">
        <v>3779</v>
      </c>
      <c r="F509" s="701">
        <v>2</v>
      </c>
      <c r="G509" s="701">
        <v>1190</v>
      </c>
      <c r="H509" s="701"/>
      <c r="I509" s="701">
        <v>595</v>
      </c>
      <c r="J509" s="701"/>
      <c r="K509" s="701"/>
      <c r="L509" s="701"/>
      <c r="M509" s="701"/>
      <c r="N509" s="701"/>
      <c r="O509" s="701"/>
      <c r="P509" s="726"/>
      <c r="Q509" s="702"/>
    </row>
    <row r="510" spans="1:17" ht="14.45" customHeight="1" x14ac:dyDescent="0.2">
      <c r="A510" s="696" t="s">
        <v>537</v>
      </c>
      <c r="B510" s="697" t="s">
        <v>2898</v>
      </c>
      <c r="C510" s="697" t="s">
        <v>2899</v>
      </c>
      <c r="D510" s="697" t="s">
        <v>2997</v>
      </c>
      <c r="E510" s="697" t="s">
        <v>2998</v>
      </c>
      <c r="F510" s="701">
        <v>1</v>
      </c>
      <c r="G510" s="701">
        <v>448</v>
      </c>
      <c r="H510" s="701"/>
      <c r="I510" s="701">
        <v>448</v>
      </c>
      <c r="J510" s="701"/>
      <c r="K510" s="701"/>
      <c r="L510" s="701"/>
      <c r="M510" s="701"/>
      <c r="N510" s="701"/>
      <c r="O510" s="701"/>
      <c r="P510" s="726"/>
      <c r="Q510" s="702"/>
    </row>
    <row r="511" spans="1:17" ht="14.45" customHeight="1" x14ac:dyDescent="0.2">
      <c r="A511" s="696" t="s">
        <v>537</v>
      </c>
      <c r="B511" s="697" t="s">
        <v>2898</v>
      </c>
      <c r="C511" s="697" t="s">
        <v>2899</v>
      </c>
      <c r="D511" s="697" t="s">
        <v>3780</v>
      </c>
      <c r="E511" s="697" t="s">
        <v>3781</v>
      </c>
      <c r="F511" s="701"/>
      <c r="G511" s="701"/>
      <c r="H511" s="701"/>
      <c r="I511" s="701"/>
      <c r="J511" s="701">
        <v>2</v>
      </c>
      <c r="K511" s="701">
        <v>8322</v>
      </c>
      <c r="L511" s="701"/>
      <c r="M511" s="701">
        <v>4161</v>
      </c>
      <c r="N511" s="701"/>
      <c r="O511" s="701"/>
      <c r="P511" s="726"/>
      <c r="Q511" s="702"/>
    </row>
    <row r="512" spans="1:17" ht="14.45" customHeight="1" x14ac:dyDescent="0.2">
      <c r="A512" s="696" t="s">
        <v>537</v>
      </c>
      <c r="B512" s="697" t="s">
        <v>2898</v>
      </c>
      <c r="C512" s="697" t="s">
        <v>2899</v>
      </c>
      <c r="D512" s="697" t="s">
        <v>2900</v>
      </c>
      <c r="E512" s="697" t="s">
        <v>2901</v>
      </c>
      <c r="F512" s="701">
        <v>11</v>
      </c>
      <c r="G512" s="701">
        <v>0</v>
      </c>
      <c r="H512" s="701"/>
      <c r="I512" s="701">
        <v>0</v>
      </c>
      <c r="J512" s="701">
        <v>27</v>
      </c>
      <c r="K512" s="701">
        <v>0</v>
      </c>
      <c r="L512" s="701"/>
      <c r="M512" s="701">
        <v>0</v>
      </c>
      <c r="N512" s="701">
        <v>26</v>
      </c>
      <c r="O512" s="701">
        <v>0</v>
      </c>
      <c r="P512" s="726"/>
      <c r="Q512" s="702">
        <v>0</v>
      </c>
    </row>
    <row r="513" spans="1:17" ht="14.45" customHeight="1" x14ac:dyDescent="0.2">
      <c r="A513" s="696" t="s">
        <v>537</v>
      </c>
      <c r="B513" s="697" t="s">
        <v>2898</v>
      </c>
      <c r="C513" s="697" t="s">
        <v>2899</v>
      </c>
      <c r="D513" s="697" t="s">
        <v>3782</v>
      </c>
      <c r="E513" s="697" t="s">
        <v>3783</v>
      </c>
      <c r="F513" s="701">
        <v>4</v>
      </c>
      <c r="G513" s="701">
        <v>3080</v>
      </c>
      <c r="H513" s="701"/>
      <c r="I513" s="701">
        <v>770</v>
      </c>
      <c r="J513" s="701"/>
      <c r="K513" s="701"/>
      <c r="L513" s="701"/>
      <c r="M513" s="701"/>
      <c r="N513" s="701"/>
      <c r="O513" s="701"/>
      <c r="P513" s="726"/>
      <c r="Q513" s="702"/>
    </row>
    <row r="514" spans="1:17" ht="14.45" customHeight="1" x14ac:dyDescent="0.2">
      <c r="A514" s="696" t="s">
        <v>537</v>
      </c>
      <c r="B514" s="697" t="s">
        <v>2898</v>
      </c>
      <c r="C514" s="697" t="s">
        <v>2899</v>
      </c>
      <c r="D514" s="697" t="s">
        <v>3784</v>
      </c>
      <c r="E514" s="697" t="s">
        <v>3785</v>
      </c>
      <c r="F514" s="701">
        <v>1</v>
      </c>
      <c r="G514" s="701">
        <v>1069</v>
      </c>
      <c r="H514" s="701"/>
      <c r="I514" s="701">
        <v>1069</v>
      </c>
      <c r="J514" s="701"/>
      <c r="K514" s="701"/>
      <c r="L514" s="701"/>
      <c r="M514" s="701"/>
      <c r="N514" s="701"/>
      <c r="O514" s="701"/>
      <c r="P514" s="726"/>
      <c r="Q514" s="702"/>
    </row>
    <row r="515" spans="1:17" ht="14.45" customHeight="1" x14ac:dyDescent="0.2">
      <c r="A515" s="696" t="s">
        <v>537</v>
      </c>
      <c r="B515" s="697" t="s">
        <v>2898</v>
      </c>
      <c r="C515" s="697" t="s">
        <v>2899</v>
      </c>
      <c r="D515" s="697" t="s">
        <v>2999</v>
      </c>
      <c r="E515" s="697" t="s">
        <v>3000</v>
      </c>
      <c r="F515" s="701">
        <v>1</v>
      </c>
      <c r="G515" s="701">
        <v>871</v>
      </c>
      <c r="H515" s="701"/>
      <c r="I515" s="701">
        <v>871</v>
      </c>
      <c r="J515" s="701"/>
      <c r="K515" s="701"/>
      <c r="L515" s="701"/>
      <c r="M515" s="701"/>
      <c r="N515" s="701">
        <v>3</v>
      </c>
      <c r="O515" s="701">
        <v>2619</v>
      </c>
      <c r="P515" s="726"/>
      <c r="Q515" s="702">
        <v>873</v>
      </c>
    </row>
    <row r="516" spans="1:17" ht="14.45" customHeight="1" x14ac:dyDescent="0.2">
      <c r="A516" s="696" t="s">
        <v>537</v>
      </c>
      <c r="B516" s="697" t="s">
        <v>2898</v>
      </c>
      <c r="C516" s="697" t="s">
        <v>2899</v>
      </c>
      <c r="D516" s="697" t="s">
        <v>3786</v>
      </c>
      <c r="E516" s="697" t="s">
        <v>3787</v>
      </c>
      <c r="F516" s="701">
        <v>1</v>
      </c>
      <c r="G516" s="701">
        <v>6169</v>
      </c>
      <c r="H516" s="701"/>
      <c r="I516" s="701">
        <v>6169</v>
      </c>
      <c r="J516" s="701"/>
      <c r="K516" s="701"/>
      <c r="L516" s="701"/>
      <c r="M516" s="701"/>
      <c r="N516" s="701">
        <v>1</v>
      </c>
      <c r="O516" s="701">
        <v>6599</v>
      </c>
      <c r="P516" s="726"/>
      <c r="Q516" s="702">
        <v>6599</v>
      </c>
    </row>
    <row r="517" spans="1:17" ht="14.45" customHeight="1" x14ac:dyDescent="0.2">
      <c r="A517" s="696" t="s">
        <v>537</v>
      </c>
      <c r="B517" s="697" t="s">
        <v>2898</v>
      </c>
      <c r="C517" s="697" t="s">
        <v>2899</v>
      </c>
      <c r="D517" s="697" t="s">
        <v>3788</v>
      </c>
      <c r="E517" s="697" t="s">
        <v>3789</v>
      </c>
      <c r="F517" s="701">
        <v>34</v>
      </c>
      <c r="G517" s="701">
        <v>951084</v>
      </c>
      <c r="H517" s="701"/>
      <c r="I517" s="701">
        <v>27973.058823529413</v>
      </c>
      <c r="J517" s="701">
        <v>197</v>
      </c>
      <c r="K517" s="701">
        <v>5511256</v>
      </c>
      <c r="L517" s="701"/>
      <c r="M517" s="701">
        <v>27975.91878172589</v>
      </c>
      <c r="N517" s="701">
        <v>278</v>
      </c>
      <c r="O517" s="701">
        <v>7778150</v>
      </c>
      <c r="P517" s="726"/>
      <c r="Q517" s="702">
        <v>27978.956834532375</v>
      </c>
    </row>
    <row r="518" spans="1:17" ht="14.45" customHeight="1" x14ac:dyDescent="0.2">
      <c r="A518" s="696" t="s">
        <v>537</v>
      </c>
      <c r="B518" s="697" t="s">
        <v>2898</v>
      </c>
      <c r="C518" s="697" t="s">
        <v>2899</v>
      </c>
      <c r="D518" s="697" t="s">
        <v>3790</v>
      </c>
      <c r="E518" s="697" t="s">
        <v>3791</v>
      </c>
      <c r="F518" s="701">
        <v>594</v>
      </c>
      <c r="G518" s="701">
        <v>223342</v>
      </c>
      <c r="H518" s="701"/>
      <c r="I518" s="701">
        <v>375.99663299663302</v>
      </c>
      <c r="J518" s="701">
        <v>529</v>
      </c>
      <c r="K518" s="701">
        <v>200485</v>
      </c>
      <c r="L518" s="701"/>
      <c r="M518" s="701">
        <v>378.98865784499054</v>
      </c>
      <c r="N518" s="701">
        <v>373</v>
      </c>
      <c r="O518" s="701">
        <v>152097</v>
      </c>
      <c r="P518" s="726"/>
      <c r="Q518" s="702">
        <v>407.7667560321716</v>
      </c>
    </row>
    <row r="519" spans="1:17" ht="14.45" customHeight="1" x14ac:dyDescent="0.2">
      <c r="A519" s="696" t="s">
        <v>537</v>
      </c>
      <c r="B519" s="697" t="s">
        <v>2898</v>
      </c>
      <c r="C519" s="697" t="s">
        <v>2899</v>
      </c>
      <c r="D519" s="697" t="s">
        <v>3792</v>
      </c>
      <c r="E519" s="697" t="s">
        <v>3793</v>
      </c>
      <c r="F519" s="701">
        <v>3</v>
      </c>
      <c r="G519" s="701">
        <v>1089</v>
      </c>
      <c r="H519" s="701"/>
      <c r="I519" s="701">
        <v>363</v>
      </c>
      <c r="J519" s="701">
        <v>6</v>
      </c>
      <c r="K519" s="701">
        <v>2196</v>
      </c>
      <c r="L519" s="701"/>
      <c r="M519" s="701">
        <v>366</v>
      </c>
      <c r="N519" s="701"/>
      <c r="O519" s="701"/>
      <c r="P519" s="726"/>
      <c r="Q519" s="702"/>
    </row>
    <row r="520" spans="1:17" ht="14.45" customHeight="1" x14ac:dyDescent="0.2">
      <c r="A520" s="696" t="s">
        <v>537</v>
      </c>
      <c r="B520" s="697" t="s">
        <v>2898</v>
      </c>
      <c r="C520" s="697" t="s">
        <v>2899</v>
      </c>
      <c r="D520" s="697" t="s">
        <v>3007</v>
      </c>
      <c r="E520" s="697" t="s">
        <v>3008</v>
      </c>
      <c r="F520" s="701">
        <v>2</v>
      </c>
      <c r="G520" s="701">
        <v>752</v>
      </c>
      <c r="H520" s="701"/>
      <c r="I520" s="701">
        <v>376</v>
      </c>
      <c r="J520" s="701"/>
      <c r="K520" s="701"/>
      <c r="L520" s="701"/>
      <c r="M520" s="701"/>
      <c r="N520" s="701"/>
      <c r="O520" s="701"/>
      <c r="P520" s="726"/>
      <c r="Q520" s="702"/>
    </row>
    <row r="521" spans="1:17" ht="14.45" customHeight="1" x14ac:dyDescent="0.2">
      <c r="A521" s="696" t="s">
        <v>537</v>
      </c>
      <c r="B521" s="697" t="s">
        <v>2898</v>
      </c>
      <c r="C521" s="697" t="s">
        <v>2899</v>
      </c>
      <c r="D521" s="697" t="s">
        <v>3794</v>
      </c>
      <c r="E521" s="697" t="s">
        <v>3795</v>
      </c>
      <c r="F521" s="701"/>
      <c r="G521" s="701"/>
      <c r="H521" s="701"/>
      <c r="I521" s="701"/>
      <c r="J521" s="701">
        <v>1</v>
      </c>
      <c r="K521" s="701">
        <v>993</v>
      </c>
      <c r="L521" s="701"/>
      <c r="M521" s="701">
        <v>993</v>
      </c>
      <c r="N521" s="701"/>
      <c r="O521" s="701"/>
      <c r="P521" s="726"/>
      <c r="Q521" s="702"/>
    </row>
    <row r="522" spans="1:17" ht="14.45" customHeight="1" x14ac:dyDescent="0.2">
      <c r="A522" s="696" t="s">
        <v>537</v>
      </c>
      <c r="B522" s="697" t="s">
        <v>2898</v>
      </c>
      <c r="C522" s="697" t="s">
        <v>2899</v>
      </c>
      <c r="D522" s="697" t="s">
        <v>3796</v>
      </c>
      <c r="E522" s="697" t="s">
        <v>3797</v>
      </c>
      <c r="F522" s="701">
        <v>1</v>
      </c>
      <c r="G522" s="701">
        <v>1550</v>
      </c>
      <c r="H522" s="701"/>
      <c r="I522" s="701">
        <v>1550</v>
      </c>
      <c r="J522" s="701"/>
      <c r="K522" s="701"/>
      <c r="L522" s="701"/>
      <c r="M522" s="701"/>
      <c r="N522" s="701">
        <v>1</v>
      </c>
      <c r="O522" s="701">
        <v>1570</v>
      </c>
      <c r="P522" s="726"/>
      <c r="Q522" s="702">
        <v>1570</v>
      </c>
    </row>
    <row r="523" spans="1:17" ht="14.45" customHeight="1" x14ac:dyDescent="0.2">
      <c r="A523" s="696" t="s">
        <v>537</v>
      </c>
      <c r="B523" s="697" t="s">
        <v>2898</v>
      </c>
      <c r="C523" s="697" t="s">
        <v>2899</v>
      </c>
      <c r="D523" s="697" t="s">
        <v>3798</v>
      </c>
      <c r="E523" s="697" t="s">
        <v>3799</v>
      </c>
      <c r="F523" s="701">
        <v>5</v>
      </c>
      <c r="G523" s="701">
        <v>775</v>
      </c>
      <c r="H523" s="701"/>
      <c r="I523" s="701">
        <v>155</v>
      </c>
      <c r="J523" s="701"/>
      <c r="K523" s="701"/>
      <c r="L523" s="701"/>
      <c r="M523" s="701"/>
      <c r="N523" s="701"/>
      <c r="O523" s="701"/>
      <c r="P523" s="726"/>
      <c r="Q523" s="702"/>
    </row>
    <row r="524" spans="1:17" ht="14.45" customHeight="1" x14ac:dyDescent="0.2">
      <c r="A524" s="696" t="s">
        <v>537</v>
      </c>
      <c r="B524" s="697" t="s">
        <v>2898</v>
      </c>
      <c r="C524" s="697" t="s">
        <v>2899</v>
      </c>
      <c r="D524" s="697" t="s">
        <v>3017</v>
      </c>
      <c r="E524" s="697" t="s">
        <v>3018</v>
      </c>
      <c r="F524" s="701"/>
      <c r="G524" s="701"/>
      <c r="H524" s="701"/>
      <c r="I524" s="701"/>
      <c r="J524" s="701"/>
      <c r="K524" s="701"/>
      <c r="L524" s="701"/>
      <c r="M524" s="701"/>
      <c r="N524" s="701">
        <v>2</v>
      </c>
      <c r="O524" s="701">
        <v>816</v>
      </c>
      <c r="P524" s="726"/>
      <c r="Q524" s="702">
        <v>408</v>
      </c>
    </row>
    <row r="525" spans="1:17" ht="14.45" customHeight="1" x14ac:dyDescent="0.2">
      <c r="A525" s="696" t="s">
        <v>537</v>
      </c>
      <c r="B525" s="697" t="s">
        <v>2898</v>
      </c>
      <c r="C525" s="697" t="s">
        <v>2899</v>
      </c>
      <c r="D525" s="697" t="s">
        <v>3800</v>
      </c>
      <c r="E525" s="697" t="s">
        <v>3801</v>
      </c>
      <c r="F525" s="701">
        <v>2</v>
      </c>
      <c r="G525" s="701">
        <v>88</v>
      </c>
      <c r="H525" s="701"/>
      <c r="I525" s="701">
        <v>44</v>
      </c>
      <c r="J525" s="701">
        <v>2</v>
      </c>
      <c r="K525" s="701">
        <v>90</v>
      </c>
      <c r="L525" s="701"/>
      <c r="M525" s="701">
        <v>45</v>
      </c>
      <c r="N525" s="701">
        <v>1</v>
      </c>
      <c r="O525" s="701">
        <v>46</v>
      </c>
      <c r="P525" s="726"/>
      <c r="Q525" s="702">
        <v>46</v>
      </c>
    </row>
    <row r="526" spans="1:17" ht="14.45" customHeight="1" x14ac:dyDescent="0.2">
      <c r="A526" s="696" t="s">
        <v>537</v>
      </c>
      <c r="B526" s="697" t="s">
        <v>2898</v>
      </c>
      <c r="C526" s="697" t="s">
        <v>2899</v>
      </c>
      <c r="D526" s="697" t="s">
        <v>3802</v>
      </c>
      <c r="E526" s="697" t="s">
        <v>3803</v>
      </c>
      <c r="F526" s="701">
        <v>14</v>
      </c>
      <c r="G526" s="701">
        <v>16226</v>
      </c>
      <c r="H526" s="701"/>
      <c r="I526" s="701">
        <v>1159</v>
      </c>
      <c r="J526" s="701">
        <v>40</v>
      </c>
      <c r="K526" s="701">
        <v>46560</v>
      </c>
      <c r="L526" s="701"/>
      <c r="M526" s="701">
        <v>1164</v>
      </c>
      <c r="N526" s="701">
        <v>30</v>
      </c>
      <c r="O526" s="701">
        <v>36150</v>
      </c>
      <c r="P526" s="726"/>
      <c r="Q526" s="702">
        <v>1205</v>
      </c>
    </row>
    <row r="527" spans="1:17" ht="14.45" customHeight="1" x14ac:dyDescent="0.2">
      <c r="A527" s="696" t="s">
        <v>537</v>
      </c>
      <c r="B527" s="697" t="s">
        <v>2898</v>
      </c>
      <c r="C527" s="697" t="s">
        <v>2899</v>
      </c>
      <c r="D527" s="697" t="s">
        <v>3804</v>
      </c>
      <c r="E527" s="697" t="s">
        <v>3805</v>
      </c>
      <c r="F527" s="701"/>
      <c r="G527" s="701"/>
      <c r="H527" s="701"/>
      <c r="I527" s="701"/>
      <c r="J527" s="701">
        <v>2</v>
      </c>
      <c r="K527" s="701">
        <v>5096</v>
      </c>
      <c r="L527" s="701"/>
      <c r="M527" s="701">
        <v>2548</v>
      </c>
      <c r="N527" s="701"/>
      <c r="O527" s="701"/>
      <c r="P527" s="726"/>
      <c r="Q527" s="702"/>
    </row>
    <row r="528" spans="1:17" ht="14.45" customHeight="1" x14ac:dyDescent="0.2">
      <c r="A528" s="696" t="s">
        <v>537</v>
      </c>
      <c r="B528" s="697" t="s">
        <v>2898</v>
      </c>
      <c r="C528" s="697" t="s">
        <v>2899</v>
      </c>
      <c r="D528" s="697" t="s">
        <v>3806</v>
      </c>
      <c r="E528" s="697" t="s">
        <v>3807</v>
      </c>
      <c r="F528" s="701">
        <v>1</v>
      </c>
      <c r="G528" s="701">
        <v>1518</v>
      </c>
      <c r="H528" s="701"/>
      <c r="I528" s="701">
        <v>1518</v>
      </c>
      <c r="J528" s="701"/>
      <c r="K528" s="701"/>
      <c r="L528" s="701"/>
      <c r="M528" s="701"/>
      <c r="N528" s="701">
        <v>1</v>
      </c>
      <c r="O528" s="701">
        <v>1603</v>
      </c>
      <c r="P528" s="726"/>
      <c r="Q528" s="702">
        <v>1603</v>
      </c>
    </row>
    <row r="529" spans="1:17" ht="14.45" customHeight="1" x14ac:dyDescent="0.2">
      <c r="A529" s="696" t="s">
        <v>537</v>
      </c>
      <c r="B529" s="697" t="s">
        <v>2898</v>
      </c>
      <c r="C529" s="697" t="s">
        <v>2899</v>
      </c>
      <c r="D529" s="697" t="s">
        <v>3808</v>
      </c>
      <c r="E529" s="697" t="s">
        <v>3809</v>
      </c>
      <c r="F529" s="701">
        <v>2</v>
      </c>
      <c r="G529" s="701">
        <v>624</v>
      </c>
      <c r="H529" s="701"/>
      <c r="I529" s="701">
        <v>312</v>
      </c>
      <c r="J529" s="701"/>
      <c r="K529" s="701"/>
      <c r="L529" s="701"/>
      <c r="M529" s="701"/>
      <c r="N529" s="701"/>
      <c r="O529" s="701"/>
      <c r="P529" s="726"/>
      <c r="Q529" s="702"/>
    </row>
    <row r="530" spans="1:17" ht="14.45" customHeight="1" x14ac:dyDescent="0.2">
      <c r="A530" s="696" t="s">
        <v>537</v>
      </c>
      <c r="B530" s="697" t="s">
        <v>2898</v>
      </c>
      <c r="C530" s="697" t="s">
        <v>2899</v>
      </c>
      <c r="D530" s="697" t="s">
        <v>3810</v>
      </c>
      <c r="E530" s="697" t="s">
        <v>3811</v>
      </c>
      <c r="F530" s="701">
        <v>1</v>
      </c>
      <c r="G530" s="701">
        <v>364</v>
      </c>
      <c r="H530" s="701"/>
      <c r="I530" s="701">
        <v>364</v>
      </c>
      <c r="J530" s="701"/>
      <c r="K530" s="701"/>
      <c r="L530" s="701"/>
      <c r="M530" s="701"/>
      <c r="N530" s="701"/>
      <c r="O530" s="701"/>
      <c r="P530" s="726"/>
      <c r="Q530" s="702"/>
    </row>
    <row r="531" spans="1:17" ht="14.45" customHeight="1" x14ac:dyDescent="0.2">
      <c r="A531" s="696" t="s">
        <v>537</v>
      </c>
      <c r="B531" s="697" t="s">
        <v>2898</v>
      </c>
      <c r="C531" s="697" t="s">
        <v>2899</v>
      </c>
      <c r="D531" s="697" t="s">
        <v>3812</v>
      </c>
      <c r="E531" s="697" t="s">
        <v>3813</v>
      </c>
      <c r="F531" s="701">
        <v>1</v>
      </c>
      <c r="G531" s="701">
        <v>725</v>
      </c>
      <c r="H531" s="701"/>
      <c r="I531" s="701">
        <v>725</v>
      </c>
      <c r="J531" s="701">
        <v>6</v>
      </c>
      <c r="K531" s="701">
        <v>4392</v>
      </c>
      <c r="L531" s="701"/>
      <c r="M531" s="701">
        <v>732</v>
      </c>
      <c r="N531" s="701"/>
      <c r="O531" s="701"/>
      <c r="P531" s="726"/>
      <c r="Q531" s="702"/>
    </row>
    <row r="532" spans="1:17" ht="14.45" customHeight="1" x14ac:dyDescent="0.2">
      <c r="A532" s="696" t="s">
        <v>537</v>
      </c>
      <c r="B532" s="697" t="s">
        <v>2898</v>
      </c>
      <c r="C532" s="697" t="s">
        <v>2899</v>
      </c>
      <c r="D532" s="697" t="s">
        <v>3814</v>
      </c>
      <c r="E532" s="697" t="s">
        <v>3815</v>
      </c>
      <c r="F532" s="701">
        <v>1</v>
      </c>
      <c r="G532" s="701">
        <v>1852</v>
      </c>
      <c r="H532" s="701"/>
      <c r="I532" s="701">
        <v>1852</v>
      </c>
      <c r="J532" s="701"/>
      <c r="K532" s="701"/>
      <c r="L532" s="701"/>
      <c r="M532" s="701"/>
      <c r="N532" s="701">
        <v>3</v>
      </c>
      <c r="O532" s="701">
        <v>5808</v>
      </c>
      <c r="P532" s="726"/>
      <c r="Q532" s="702">
        <v>1936</v>
      </c>
    </row>
    <row r="533" spans="1:17" ht="14.45" customHeight="1" x14ac:dyDescent="0.2">
      <c r="A533" s="696" t="s">
        <v>537</v>
      </c>
      <c r="B533" s="697" t="s">
        <v>2898</v>
      </c>
      <c r="C533" s="697" t="s">
        <v>2899</v>
      </c>
      <c r="D533" s="697" t="s">
        <v>3816</v>
      </c>
      <c r="E533" s="697" t="s">
        <v>3817</v>
      </c>
      <c r="F533" s="701">
        <v>14</v>
      </c>
      <c r="G533" s="701">
        <v>0</v>
      </c>
      <c r="H533" s="701"/>
      <c r="I533" s="701">
        <v>0</v>
      </c>
      <c r="J533" s="701">
        <v>13</v>
      </c>
      <c r="K533" s="701">
        <v>0</v>
      </c>
      <c r="L533" s="701"/>
      <c r="M533" s="701">
        <v>0</v>
      </c>
      <c r="N533" s="701">
        <v>10</v>
      </c>
      <c r="O533" s="701">
        <v>0</v>
      </c>
      <c r="P533" s="726"/>
      <c r="Q533" s="702">
        <v>0</v>
      </c>
    </row>
    <row r="534" spans="1:17" ht="14.45" customHeight="1" x14ac:dyDescent="0.2">
      <c r="A534" s="696" t="s">
        <v>537</v>
      </c>
      <c r="B534" s="697" t="s">
        <v>2898</v>
      </c>
      <c r="C534" s="697" t="s">
        <v>2899</v>
      </c>
      <c r="D534" s="697" t="s">
        <v>3818</v>
      </c>
      <c r="E534" s="697" t="s">
        <v>3819</v>
      </c>
      <c r="F534" s="701">
        <v>2</v>
      </c>
      <c r="G534" s="701">
        <v>2920</v>
      </c>
      <c r="H534" s="701"/>
      <c r="I534" s="701">
        <v>1460</v>
      </c>
      <c r="J534" s="701">
        <v>4</v>
      </c>
      <c r="K534" s="701">
        <v>5880</v>
      </c>
      <c r="L534" s="701"/>
      <c r="M534" s="701">
        <v>1470</v>
      </c>
      <c r="N534" s="701"/>
      <c r="O534" s="701"/>
      <c r="P534" s="726"/>
      <c r="Q534" s="702"/>
    </row>
    <row r="535" spans="1:17" ht="14.45" customHeight="1" x14ac:dyDescent="0.2">
      <c r="A535" s="696" t="s">
        <v>537</v>
      </c>
      <c r="B535" s="697" t="s">
        <v>2898</v>
      </c>
      <c r="C535" s="697" t="s">
        <v>2899</v>
      </c>
      <c r="D535" s="697" t="s">
        <v>3820</v>
      </c>
      <c r="E535" s="697" t="s">
        <v>3821</v>
      </c>
      <c r="F535" s="701"/>
      <c r="G535" s="701"/>
      <c r="H535" s="701"/>
      <c r="I535" s="701"/>
      <c r="J535" s="701"/>
      <c r="K535" s="701"/>
      <c r="L535" s="701"/>
      <c r="M535" s="701"/>
      <c r="N535" s="701">
        <v>1</v>
      </c>
      <c r="O535" s="701">
        <v>219</v>
      </c>
      <c r="P535" s="726"/>
      <c r="Q535" s="702">
        <v>219</v>
      </c>
    </row>
    <row r="536" spans="1:17" ht="14.45" customHeight="1" x14ac:dyDescent="0.2">
      <c r="A536" s="696" t="s">
        <v>537</v>
      </c>
      <c r="B536" s="697" t="s">
        <v>2898</v>
      </c>
      <c r="C536" s="697" t="s">
        <v>2899</v>
      </c>
      <c r="D536" s="697" t="s">
        <v>3184</v>
      </c>
      <c r="E536" s="697" t="s">
        <v>3185</v>
      </c>
      <c r="F536" s="701"/>
      <c r="G536" s="701"/>
      <c r="H536" s="701"/>
      <c r="I536" s="701"/>
      <c r="J536" s="701"/>
      <c r="K536" s="701"/>
      <c r="L536" s="701"/>
      <c r="M536" s="701"/>
      <c r="N536" s="701">
        <v>1</v>
      </c>
      <c r="O536" s="701">
        <v>1444</v>
      </c>
      <c r="P536" s="726"/>
      <c r="Q536" s="702">
        <v>1444</v>
      </c>
    </row>
    <row r="537" spans="1:17" ht="14.45" customHeight="1" x14ac:dyDescent="0.2">
      <c r="A537" s="696" t="s">
        <v>537</v>
      </c>
      <c r="B537" s="697" t="s">
        <v>2898</v>
      </c>
      <c r="C537" s="697" t="s">
        <v>2899</v>
      </c>
      <c r="D537" s="697" t="s">
        <v>3822</v>
      </c>
      <c r="E537" s="697" t="s">
        <v>3823</v>
      </c>
      <c r="F537" s="701">
        <v>4</v>
      </c>
      <c r="G537" s="701">
        <v>10384</v>
      </c>
      <c r="H537" s="701"/>
      <c r="I537" s="701">
        <v>2596</v>
      </c>
      <c r="J537" s="701">
        <v>2</v>
      </c>
      <c r="K537" s="701">
        <v>5234</v>
      </c>
      <c r="L537" s="701"/>
      <c r="M537" s="701">
        <v>2617</v>
      </c>
      <c r="N537" s="701">
        <v>5</v>
      </c>
      <c r="O537" s="701">
        <v>13810</v>
      </c>
      <c r="P537" s="726"/>
      <c r="Q537" s="702">
        <v>2762</v>
      </c>
    </row>
    <row r="538" spans="1:17" ht="14.45" customHeight="1" x14ac:dyDescent="0.2">
      <c r="A538" s="696" t="s">
        <v>537</v>
      </c>
      <c r="B538" s="697" t="s">
        <v>2898</v>
      </c>
      <c r="C538" s="697" t="s">
        <v>2899</v>
      </c>
      <c r="D538" s="697" t="s">
        <v>3824</v>
      </c>
      <c r="E538" s="697" t="s">
        <v>3825</v>
      </c>
      <c r="F538" s="701"/>
      <c r="G538" s="701"/>
      <c r="H538" s="701"/>
      <c r="I538" s="701"/>
      <c r="J538" s="701"/>
      <c r="K538" s="701"/>
      <c r="L538" s="701"/>
      <c r="M538" s="701"/>
      <c r="N538" s="701">
        <v>1</v>
      </c>
      <c r="O538" s="701">
        <v>646</v>
      </c>
      <c r="P538" s="726"/>
      <c r="Q538" s="702">
        <v>646</v>
      </c>
    </row>
    <row r="539" spans="1:17" ht="14.45" customHeight="1" x14ac:dyDescent="0.2">
      <c r="A539" s="696" t="s">
        <v>537</v>
      </c>
      <c r="B539" s="697" t="s">
        <v>2898</v>
      </c>
      <c r="C539" s="697" t="s">
        <v>2899</v>
      </c>
      <c r="D539" s="697" t="s">
        <v>3826</v>
      </c>
      <c r="E539" s="697" t="s">
        <v>3827</v>
      </c>
      <c r="F539" s="701"/>
      <c r="G539" s="701"/>
      <c r="H539" s="701"/>
      <c r="I539" s="701"/>
      <c r="J539" s="701">
        <v>1</v>
      </c>
      <c r="K539" s="701">
        <v>6428</v>
      </c>
      <c r="L539" s="701"/>
      <c r="M539" s="701">
        <v>6428</v>
      </c>
      <c r="N539" s="701"/>
      <c r="O539" s="701"/>
      <c r="P539" s="726"/>
      <c r="Q539" s="702"/>
    </row>
    <row r="540" spans="1:17" ht="14.45" customHeight="1" x14ac:dyDescent="0.2">
      <c r="A540" s="696" t="s">
        <v>537</v>
      </c>
      <c r="B540" s="697" t="s">
        <v>2898</v>
      </c>
      <c r="C540" s="697" t="s">
        <v>2899</v>
      </c>
      <c r="D540" s="697" t="s">
        <v>3828</v>
      </c>
      <c r="E540" s="697" t="s">
        <v>3829</v>
      </c>
      <c r="F540" s="701"/>
      <c r="G540" s="701"/>
      <c r="H540" s="701"/>
      <c r="I540" s="701"/>
      <c r="J540" s="701"/>
      <c r="K540" s="701"/>
      <c r="L540" s="701"/>
      <c r="M540" s="701"/>
      <c r="N540" s="701">
        <v>2</v>
      </c>
      <c r="O540" s="701">
        <v>2908</v>
      </c>
      <c r="P540" s="726"/>
      <c r="Q540" s="702">
        <v>1454</v>
      </c>
    </row>
    <row r="541" spans="1:17" ht="14.45" customHeight="1" x14ac:dyDescent="0.2">
      <c r="A541" s="696" t="s">
        <v>537</v>
      </c>
      <c r="B541" s="697" t="s">
        <v>2898</v>
      </c>
      <c r="C541" s="697" t="s">
        <v>2899</v>
      </c>
      <c r="D541" s="697" t="s">
        <v>3830</v>
      </c>
      <c r="E541" s="697" t="s">
        <v>3831</v>
      </c>
      <c r="F541" s="701">
        <v>2</v>
      </c>
      <c r="G541" s="701">
        <v>630</v>
      </c>
      <c r="H541" s="701"/>
      <c r="I541" s="701">
        <v>315</v>
      </c>
      <c r="J541" s="701"/>
      <c r="K541" s="701"/>
      <c r="L541" s="701"/>
      <c r="M541" s="701"/>
      <c r="N541" s="701"/>
      <c r="O541" s="701"/>
      <c r="P541" s="726"/>
      <c r="Q541" s="702"/>
    </row>
    <row r="542" spans="1:17" ht="14.45" customHeight="1" x14ac:dyDescent="0.2">
      <c r="A542" s="696" t="s">
        <v>537</v>
      </c>
      <c r="B542" s="697" t="s">
        <v>2898</v>
      </c>
      <c r="C542" s="697" t="s">
        <v>2899</v>
      </c>
      <c r="D542" s="697" t="s">
        <v>3832</v>
      </c>
      <c r="E542" s="697" t="s">
        <v>3833</v>
      </c>
      <c r="F542" s="701"/>
      <c r="G542" s="701"/>
      <c r="H542" s="701"/>
      <c r="I542" s="701"/>
      <c r="J542" s="701">
        <v>2</v>
      </c>
      <c r="K542" s="701">
        <v>9382</v>
      </c>
      <c r="L542" s="701"/>
      <c r="M542" s="701">
        <v>4691</v>
      </c>
      <c r="N542" s="701"/>
      <c r="O542" s="701"/>
      <c r="P542" s="726"/>
      <c r="Q542" s="702"/>
    </row>
    <row r="543" spans="1:17" ht="14.45" customHeight="1" x14ac:dyDescent="0.2">
      <c r="A543" s="696" t="s">
        <v>537</v>
      </c>
      <c r="B543" s="697" t="s">
        <v>2898</v>
      </c>
      <c r="C543" s="697" t="s">
        <v>2899</v>
      </c>
      <c r="D543" s="697" t="s">
        <v>3834</v>
      </c>
      <c r="E543" s="697" t="s">
        <v>3835</v>
      </c>
      <c r="F543" s="701">
        <v>2</v>
      </c>
      <c r="G543" s="701">
        <v>8988</v>
      </c>
      <c r="H543" s="701"/>
      <c r="I543" s="701">
        <v>4494</v>
      </c>
      <c r="J543" s="701"/>
      <c r="K543" s="701"/>
      <c r="L543" s="701"/>
      <c r="M543" s="701"/>
      <c r="N543" s="701">
        <v>1</v>
      </c>
      <c r="O543" s="701">
        <v>4744</v>
      </c>
      <c r="P543" s="726"/>
      <c r="Q543" s="702">
        <v>4744</v>
      </c>
    </row>
    <row r="544" spans="1:17" ht="14.45" customHeight="1" x14ac:dyDescent="0.2">
      <c r="A544" s="696" t="s">
        <v>537</v>
      </c>
      <c r="B544" s="697" t="s">
        <v>2898</v>
      </c>
      <c r="C544" s="697" t="s">
        <v>2899</v>
      </c>
      <c r="D544" s="697" t="s">
        <v>3836</v>
      </c>
      <c r="E544" s="697" t="s">
        <v>3837</v>
      </c>
      <c r="F544" s="701"/>
      <c r="G544" s="701"/>
      <c r="H544" s="701"/>
      <c r="I544" s="701"/>
      <c r="J544" s="701"/>
      <c r="K544" s="701"/>
      <c r="L544" s="701"/>
      <c r="M544" s="701"/>
      <c r="N544" s="701">
        <v>1</v>
      </c>
      <c r="O544" s="701">
        <v>704</v>
      </c>
      <c r="P544" s="726"/>
      <c r="Q544" s="702">
        <v>704</v>
      </c>
    </row>
    <row r="545" spans="1:17" ht="14.45" customHeight="1" x14ac:dyDescent="0.2">
      <c r="A545" s="696" t="s">
        <v>537</v>
      </c>
      <c r="B545" s="697" t="s">
        <v>2898</v>
      </c>
      <c r="C545" s="697" t="s">
        <v>2899</v>
      </c>
      <c r="D545" s="697" t="s">
        <v>3188</v>
      </c>
      <c r="E545" s="697" t="s">
        <v>3189</v>
      </c>
      <c r="F545" s="701">
        <v>1</v>
      </c>
      <c r="G545" s="701">
        <v>1584</v>
      </c>
      <c r="H545" s="701"/>
      <c r="I545" s="701">
        <v>1584</v>
      </c>
      <c r="J545" s="701"/>
      <c r="K545" s="701"/>
      <c r="L545" s="701"/>
      <c r="M545" s="701"/>
      <c r="N545" s="701">
        <v>1</v>
      </c>
      <c r="O545" s="701">
        <v>1631</v>
      </c>
      <c r="P545" s="726"/>
      <c r="Q545" s="702">
        <v>1631</v>
      </c>
    </row>
    <row r="546" spans="1:17" ht="14.45" customHeight="1" x14ac:dyDescent="0.2">
      <c r="A546" s="696" t="s">
        <v>537</v>
      </c>
      <c r="B546" s="697" t="s">
        <v>2898</v>
      </c>
      <c r="C546" s="697" t="s">
        <v>2899</v>
      </c>
      <c r="D546" s="697" t="s">
        <v>3838</v>
      </c>
      <c r="E546" s="697" t="s">
        <v>3839</v>
      </c>
      <c r="F546" s="701"/>
      <c r="G546" s="701"/>
      <c r="H546" s="701"/>
      <c r="I546" s="701"/>
      <c r="J546" s="701">
        <v>1</v>
      </c>
      <c r="K546" s="701">
        <v>1585</v>
      </c>
      <c r="L546" s="701"/>
      <c r="M546" s="701">
        <v>1585</v>
      </c>
      <c r="N546" s="701">
        <v>1</v>
      </c>
      <c r="O546" s="701">
        <v>1682</v>
      </c>
      <c r="P546" s="726"/>
      <c r="Q546" s="702">
        <v>1682</v>
      </c>
    </row>
    <row r="547" spans="1:17" ht="14.45" customHeight="1" x14ac:dyDescent="0.2">
      <c r="A547" s="696" t="s">
        <v>537</v>
      </c>
      <c r="B547" s="697" t="s">
        <v>2898</v>
      </c>
      <c r="C547" s="697" t="s">
        <v>2899</v>
      </c>
      <c r="D547" s="697" t="s">
        <v>3840</v>
      </c>
      <c r="E547" s="697" t="s">
        <v>3841</v>
      </c>
      <c r="F547" s="701"/>
      <c r="G547" s="701"/>
      <c r="H547" s="701"/>
      <c r="I547" s="701"/>
      <c r="J547" s="701"/>
      <c r="K547" s="701"/>
      <c r="L547" s="701"/>
      <c r="M547" s="701"/>
      <c r="N547" s="701">
        <v>1</v>
      </c>
      <c r="O547" s="701">
        <v>3537</v>
      </c>
      <c r="P547" s="726"/>
      <c r="Q547" s="702">
        <v>3537</v>
      </c>
    </row>
    <row r="548" spans="1:17" ht="14.45" customHeight="1" x14ac:dyDescent="0.2">
      <c r="A548" s="696" t="s">
        <v>537</v>
      </c>
      <c r="B548" s="697" t="s">
        <v>2898</v>
      </c>
      <c r="C548" s="697" t="s">
        <v>2899</v>
      </c>
      <c r="D548" s="697" t="s">
        <v>3842</v>
      </c>
      <c r="E548" s="697" t="s">
        <v>2901</v>
      </c>
      <c r="F548" s="701">
        <v>2</v>
      </c>
      <c r="G548" s="701">
        <v>0</v>
      </c>
      <c r="H548" s="701"/>
      <c r="I548" s="701">
        <v>0</v>
      </c>
      <c r="J548" s="701">
        <v>8</v>
      </c>
      <c r="K548" s="701">
        <v>0</v>
      </c>
      <c r="L548" s="701"/>
      <c r="M548" s="701">
        <v>0</v>
      </c>
      <c r="N548" s="701">
        <v>14</v>
      </c>
      <c r="O548" s="701">
        <v>0</v>
      </c>
      <c r="P548" s="726"/>
      <c r="Q548" s="702">
        <v>0</v>
      </c>
    </row>
    <row r="549" spans="1:17" ht="14.45" customHeight="1" x14ac:dyDescent="0.2">
      <c r="A549" s="696" t="s">
        <v>537</v>
      </c>
      <c r="B549" s="697" t="s">
        <v>2898</v>
      </c>
      <c r="C549" s="697" t="s">
        <v>2899</v>
      </c>
      <c r="D549" s="697" t="s">
        <v>3843</v>
      </c>
      <c r="E549" s="697" t="s">
        <v>3844</v>
      </c>
      <c r="F549" s="701">
        <v>2</v>
      </c>
      <c r="G549" s="701">
        <v>10530</v>
      </c>
      <c r="H549" s="701"/>
      <c r="I549" s="701">
        <v>5265</v>
      </c>
      <c r="J549" s="701"/>
      <c r="K549" s="701"/>
      <c r="L549" s="701"/>
      <c r="M549" s="701"/>
      <c r="N549" s="701"/>
      <c r="O549" s="701"/>
      <c r="P549" s="726"/>
      <c r="Q549" s="702"/>
    </row>
    <row r="550" spans="1:17" ht="14.45" customHeight="1" x14ac:dyDescent="0.2">
      <c r="A550" s="696" t="s">
        <v>537</v>
      </c>
      <c r="B550" s="697" t="s">
        <v>2898</v>
      </c>
      <c r="C550" s="697" t="s">
        <v>2899</v>
      </c>
      <c r="D550" s="697" t="s">
        <v>3845</v>
      </c>
      <c r="E550" s="697" t="s">
        <v>3846</v>
      </c>
      <c r="F550" s="701">
        <v>1</v>
      </c>
      <c r="G550" s="701">
        <v>1878</v>
      </c>
      <c r="H550" s="701"/>
      <c r="I550" s="701">
        <v>1878</v>
      </c>
      <c r="J550" s="701"/>
      <c r="K550" s="701"/>
      <c r="L550" s="701"/>
      <c r="M550" s="701"/>
      <c r="N550" s="701"/>
      <c r="O550" s="701"/>
      <c r="P550" s="726"/>
      <c r="Q550" s="702"/>
    </row>
    <row r="551" spans="1:17" ht="14.45" customHeight="1" x14ac:dyDescent="0.2">
      <c r="A551" s="696" t="s">
        <v>537</v>
      </c>
      <c r="B551" s="697" t="s">
        <v>2898</v>
      </c>
      <c r="C551" s="697" t="s">
        <v>2899</v>
      </c>
      <c r="D551" s="697" t="s">
        <v>3847</v>
      </c>
      <c r="E551" s="697" t="s">
        <v>3848</v>
      </c>
      <c r="F551" s="701"/>
      <c r="G551" s="701"/>
      <c r="H551" s="701"/>
      <c r="I551" s="701"/>
      <c r="J551" s="701"/>
      <c r="K551" s="701"/>
      <c r="L551" s="701"/>
      <c r="M551" s="701"/>
      <c r="N551" s="701">
        <v>1</v>
      </c>
      <c r="O551" s="701">
        <v>276</v>
      </c>
      <c r="P551" s="726"/>
      <c r="Q551" s="702">
        <v>276</v>
      </c>
    </row>
    <row r="552" spans="1:17" ht="14.45" customHeight="1" x14ac:dyDescent="0.2">
      <c r="A552" s="696" t="s">
        <v>537</v>
      </c>
      <c r="B552" s="697" t="s">
        <v>2898</v>
      </c>
      <c r="C552" s="697" t="s">
        <v>2899</v>
      </c>
      <c r="D552" s="697" t="s">
        <v>3849</v>
      </c>
      <c r="E552" s="697" t="s">
        <v>3850</v>
      </c>
      <c r="F552" s="701"/>
      <c r="G552" s="701"/>
      <c r="H552" s="701"/>
      <c r="I552" s="701"/>
      <c r="J552" s="701">
        <v>2</v>
      </c>
      <c r="K552" s="701">
        <v>6354</v>
      </c>
      <c r="L552" s="701"/>
      <c r="M552" s="701">
        <v>3177</v>
      </c>
      <c r="N552" s="701"/>
      <c r="O552" s="701"/>
      <c r="P552" s="726"/>
      <c r="Q552" s="702"/>
    </row>
    <row r="553" spans="1:17" ht="14.45" customHeight="1" x14ac:dyDescent="0.2">
      <c r="A553" s="696" t="s">
        <v>537</v>
      </c>
      <c r="B553" s="697" t="s">
        <v>2898</v>
      </c>
      <c r="C553" s="697" t="s">
        <v>2899</v>
      </c>
      <c r="D553" s="697" t="s">
        <v>3851</v>
      </c>
      <c r="E553" s="697" t="s">
        <v>3852</v>
      </c>
      <c r="F553" s="701"/>
      <c r="G553" s="701"/>
      <c r="H553" s="701"/>
      <c r="I553" s="701"/>
      <c r="J553" s="701"/>
      <c r="K553" s="701"/>
      <c r="L553" s="701"/>
      <c r="M553" s="701"/>
      <c r="N553" s="701">
        <v>1</v>
      </c>
      <c r="O553" s="701">
        <v>2493</v>
      </c>
      <c r="P553" s="726"/>
      <c r="Q553" s="702">
        <v>2493</v>
      </c>
    </row>
    <row r="554" spans="1:17" ht="14.45" customHeight="1" x14ac:dyDescent="0.2">
      <c r="A554" s="696" t="s">
        <v>537</v>
      </c>
      <c r="B554" s="697" t="s">
        <v>2898</v>
      </c>
      <c r="C554" s="697" t="s">
        <v>2899</v>
      </c>
      <c r="D554" s="697" t="s">
        <v>3853</v>
      </c>
      <c r="E554" s="697" t="s">
        <v>3854</v>
      </c>
      <c r="F554" s="701">
        <v>1</v>
      </c>
      <c r="G554" s="701">
        <v>2525</v>
      </c>
      <c r="H554" s="701"/>
      <c r="I554" s="701">
        <v>2525</v>
      </c>
      <c r="J554" s="701"/>
      <c r="K554" s="701"/>
      <c r="L554" s="701"/>
      <c r="M554" s="701"/>
      <c r="N554" s="701"/>
      <c r="O554" s="701"/>
      <c r="P554" s="726"/>
      <c r="Q554" s="702"/>
    </row>
    <row r="555" spans="1:17" ht="14.45" customHeight="1" x14ac:dyDescent="0.2">
      <c r="A555" s="696" t="s">
        <v>537</v>
      </c>
      <c r="B555" s="697" t="s">
        <v>2898</v>
      </c>
      <c r="C555" s="697" t="s">
        <v>2899</v>
      </c>
      <c r="D555" s="697" t="s">
        <v>3855</v>
      </c>
      <c r="E555" s="697" t="s">
        <v>3856</v>
      </c>
      <c r="F555" s="701">
        <v>1</v>
      </c>
      <c r="G555" s="701">
        <v>135</v>
      </c>
      <c r="H555" s="701"/>
      <c r="I555" s="701">
        <v>135</v>
      </c>
      <c r="J555" s="701"/>
      <c r="K555" s="701"/>
      <c r="L555" s="701"/>
      <c r="M555" s="701"/>
      <c r="N555" s="701"/>
      <c r="O555" s="701"/>
      <c r="P555" s="726"/>
      <c r="Q555" s="702"/>
    </row>
    <row r="556" spans="1:17" ht="14.45" customHeight="1" x14ac:dyDescent="0.2">
      <c r="A556" s="696" t="s">
        <v>537</v>
      </c>
      <c r="B556" s="697" t="s">
        <v>2898</v>
      </c>
      <c r="C556" s="697" t="s">
        <v>2899</v>
      </c>
      <c r="D556" s="697" t="s">
        <v>3857</v>
      </c>
      <c r="E556" s="697" t="s">
        <v>3858</v>
      </c>
      <c r="F556" s="701"/>
      <c r="G556" s="701"/>
      <c r="H556" s="701"/>
      <c r="I556" s="701"/>
      <c r="J556" s="701">
        <v>1</v>
      </c>
      <c r="K556" s="701">
        <v>2789</v>
      </c>
      <c r="L556" s="701"/>
      <c r="M556" s="701">
        <v>2789</v>
      </c>
      <c r="N556" s="701"/>
      <c r="O556" s="701"/>
      <c r="P556" s="726"/>
      <c r="Q556" s="702"/>
    </row>
    <row r="557" spans="1:17" ht="14.45" customHeight="1" x14ac:dyDescent="0.2">
      <c r="A557" s="696" t="s">
        <v>537</v>
      </c>
      <c r="B557" s="697" t="s">
        <v>2898</v>
      </c>
      <c r="C557" s="697" t="s">
        <v>2899</v>
      </c>
      <c r="D557" s="697" t="s">
        <v>3859</v>
      </c>
      <c r="E557" s="697" t="s">
        <v>3860</v>
      </c>
      <c r="F557" s="701">
        <v>6</v>
      </c>
      <c r="G557" s="701">
        <v>1938</v>
      </c>
      <c r="H557" s="701"/>
      <c r="I557" s="701">
        <v>323</v>
      </c>
      <c r="J557" s="701">
        <v>8</v>
      </c>
      <c r="K557" s="701">
        <v>2592</v>
      </c>
      <c r="L557" s="701"/>
      <c r="M557" s="701">
        <v>324</v>
      </c>
      <c r="N557" s="701"/>
      <c r="O557" s="701"/>
      <c r="P557" s="726"/>
      <c r="Q557" s="702"/>
    </row>
    <row r="558" spans="1:17" ht="14.45" customHeight="1" x14ac:dyDescent="0.2">
      <c r="A558" s="696" t="s">
        <v>537</v>
      </c>
      <c r="B558" s="697" t="s">
        <v>2898</v>
      </c>
      <c r="C558" s="697" t="s">
        <v>2899</v>
      </c>
      <c r="D558" s="697" t="s">
        <v>3113</v>
      </c>
      <c r="E558" s="697" t="s">
        <v>3114</v>
      </c>
      <c r="F558" s="701"/>
      <c r="G558" s="701"/>
      <c r="H558" s="701"/>
      <c r="I558" s="701"/>
      <c r="J558" s="701"/>
      <c r="K558" s="701"/>
      <c r="L558" s="701"/>
      <c r="M558" s="701"/>
      <c r="N558" s="701">
        <v>1</v>
      </c>
      <c r="O558" s="701">
        <v>0</v>
      </c>
      <c r="P558" s="726"/>
      <c r="Q558" s="702">
        <v>0</v>
      </c>
    </row>
    <row r="559" spans="1:17" ht="14.45" customHeight="1" x14ac:dyDescent="0.2">
      <c r="A559" s="696" t="s">
        <v>537</v>
      </c>
      <c r="B559" s="697" t="s">
        <v>2898</v>
      </c>
      <c r="C559" s="697" t="s">
        <v>2899</v>
      </c>
      <c r="D559" s="697" t="s">
        <v>3861</v>
      </c>
      <c r="E559" s="697" t="s">
        <v>3862</v>
      </c>
      <c r="F559" s="701">
        <v>1</v>
      </c>
      <c r="G559" s="701">
        <v>0</v>
      </c>
      <c r="H559" s="701"/>
      <c r="I559" s="701">
        <v>0</v>
      </c>
      <c r="J559" s="701"/>
      <c r="K559" s="701"/>
      <c r="L559" s="701"/>
      <c r="M559" s="701"/>
      <c r="N559" s="701"/>
      <c r="O559" s="701"/>
      <c r="P559" s="726"/>
      <c r="Q559" s="702"/>
    </row>
    <row r="560" spans="1:17" ht="14.45" customHeight="1" x14ac:dyDescent="0.2">
      <c r="A560" s="696" t="s">
        <v>537</v>
      </c>
      <c r="B560" s="697" t="s">
        <v>2898</v>
      </c>
      <c r="C560" s="697" t="s">
        <v>2899</v>
      </c>
      <c r="D560" s="697" t="s">
        <v>3863</v>
      </c>
      <c r="E560" s="697" t="s">
        <v>3864</v>
      </c>
      <c r="F560" s="701"/>
      <c r="G560" s="701"/>
      <c r="H560" s="701"/>
      <c r="I560" s="701"/>
      <c r="J560" s="701">
        <v>385</v>
      </c>
      <c r="K560" s="701">
        <v>0</v>
      </c>
      <c r="L560" s="701"/>
      <c r="M560" s="701">
        <v>0</v>
      </c>
      <c r="N560" s="701">
        <v>143</v>
      </c>
      <c r="O560" s="701">
        <v>0</v>
      </c>
      <c r="P560" s="726"/>
      <c r="Q560" s="702">
        <v>0</v>
      </c>
    </row>
    <row r="561" spans="1:17" ht="14.45" customHeight="1" x14ac:dyDescent="0.2">
      <c r="A561" s="696" t="s">
        <v>537</v>
      </c>
      <c r="B561" s="697" t="s">
        <v>2898</v>
      </c>
      <c r="C561" s="697" t="s">
        <v>2899</v>
      </c>
      <c r="D561" s="697" t="s">
        <v>3865</v>
      </c>
      <c r="E561" s="697" t="s">
        <v>3866</v>
      </c>
      <c r="F561" s="701"/>
      <c r="G561" s="701"/>
      <c r="H561" s="701"/>
      <c r="I561" s="701"/>
      <c r="J561" s="701"/>
      <c r="K561" s="701"/>
      <c r="L561" s="701"/>
      <c r="M561" s="701"/>
      <c r="N561" s="701">
        <v>9</v>
      </c>
      <c r="O561" s="701">
        <v>0</v>
      </c>
      <c r="P561" s="726"/>
      <c r="Q561" s="702">
        <v>0</v>
      </c>
    </row>
    <row r="562" spans="1:17" ht="14.45" customHeight="1" x14ac:dyDescent="0.2">
      <c r="A562" s="696" t="s">
        <v>537</v>
      </c>
      <c r="B562" s="697" t="s">
        <v>2898</v>
      </c>
      <c r="C562" s="697" t="s">
        <v>2899</v>
      </c>
      <c r="D562" s="697" t="s">
        <v>3867</v>
      </c>
      <c r="E562" s="697" t="s">
        <v>3868</v>
      </c>
      <c r="F562" s="701"/>
      <c r="G562" s="701"/>
      <c r="H562" s="701"/>
      <c r="I562" s="701"/>
      <c r="J562" s="701"/>
      <c r="K562" s="701"/>
      <c r="L562" s="701"/>
      <c r="M562" s="701"/>
      <c r="N562" s="701">
        <v>1</v>
      </c>
      <c r="O562" s="701">
        <v>200</v>
      </c>
      <c r="P562" s="726"/>
      <c r="Q562" s="702">
        <v>200</v>
      </c>
    </row>
    <row r="563" spans="1:17" ht="14.45" customHeight="1" x14ac:dyDescent="0.2">
      <c r="A563" s="696" t="s">
        <v>537</v>
      </c>
      <c r="B563" s="697" t="s">
        <v>2898</v>
      </c>
      <c r="C563" s="697" t="s">
        <v>2899</v>
      </c>
      <c r="D563" s="697" t="s">
        <v>3869</v>
      </c>
      <c r="E563" s="697" t="s">
        <v>3870</v>
      </c>
      <c r="F563" s="701">
        <v>1</v>
      </c>
      <c r="G563" s="701">
        <v>5860</v>
      </c>
      <c r="H563" s="701"/>
      <c r="I563" s="701">
        <v>5860</v>
      </c>
      <c r="J563" s="701"/>
      <c r="K563" s="701"/>
      <c r="L563" s="701"/>
      <c r="M563" s="701"/>
      <c r="N563" s="701"/>
      <c r="O563" s="701"/>
      <c r="P563" s="726"/>
      <c r="Q563" s="702"/>
    </row>
    <row r="564" spans="1:17" ht="14.45" customHeight="1" x14ac:dyDescent="0.2">
      <c r="A564" s="696" t="s">
        <v>537</v>
      </c>
      <c r="B564" s="697" t="s">
        <v>3871</v>
      </c>
      <c r="C564" s="697" t="s">
        <v>2899</v>
      </c>
      <c r="D564" s="697" t="s">
        <v>2941</v>
      </c>
      <c r="E564" s="697" t="s">
        <v>2942</v>
      </c>
      <c r="F564" s="701"/>
      <c r="G564" s="701"/>
      <c r="H564" s="701"/>
      <c r="I564" s="701"/>
      <c r="J564" s="701">
        <v>5</v>
      </c>
      <c r="K564" s="701">
        <v>4260</v>
      </c>
      <c r="L564" s="701"/>
      <c r="M564" s="701">
        <v>852</v>
      </c>
      <c r="N564" s="701"/>
      <c r="O564" s="701"/>
      <c r="P564" s="726"/>
      <c r="Q564" s="702"/>
    </row>
    <row r="565" spans="1:17" ht="14.45" customHeight="1" x14ac:dyDescent="0.2">
      <c r="A565" s="696" t="s">
        <v>537</v>
      </c>
      <c r="B565" s="697" t="s">
        <v>3871</v>
      </c>
      <c r="C565" s="697" t="s">
        <v>2899</v>
      </c>
      <c r="D565" s="697" t="s">
        <v>3717</v>
      </c>
      <c r="E565" s="697" t="s">
        <v>3718</v>
      </c>
      <c r="F565" s="701"/>
      <c r="G565" s="701"/>
      <c r="H565" s="701"/>
      <c r="I565" s="701"/>
      <c r="J565" s="701">
        <v>1</v>
      </c>
      <c r="K565" s="701">
        <v>2536</v>
      </c>
      <c r="L565" s="701"/>
      <c r="M565" s="701">
        <v>2536</v>
      </c>
      <c r="N565" s="701"/>
      <c r="O565" s="701"/>
      <c r="P565" s="726"/>
      <c r="Q565" s="702"/>
    </row>
    <row r="566" spans="1:17" ht="14.45" customHeight="1" x14ac:dyDescent="0.2">
      <c r="A566" s="696" t="s">
        <v>537</v>
      </c>
      <c r="B566" s="697" t="s">
        <v>3871</v>
      </c>
      <c r="C566" s="697" t="s">
        <v>2899</v>
      </c>
      <c r="D566" s="697" t="s">
        <v>3719</v>
      </c>
      <c r="E566" s="697" t="s">
        <v>3720</v>
      </c>
      <c r="F566" s="701"/>
      <c r="G566" s="701"/>
      <c r="H566" s="701"/>
      <c r="I566" s="701"/>
      <c r="J566" s="701">
        <v>2</v>
      </c>
      <c r="K566" s="701">
        <v>7204</v>
      </c>
      <c r="L566" s="701"/>
      <c r="M566" s="701">
        <v>3602</v>
      </c>
      <c r="N566" s="701"/>
      <c r="O566" s="701"/>
      <c r="P566" s="726"/>
      <c r="Q566" s="702"/>
    </row>
    <row r="567" spans="1:17" ht="14.45" customHeight="1" x14ac:dyDescent="0.2">
      <c r="A567" s="696" t="s">
        <v>537</v>
      </c>
      <c r="B567" s="697" t="s">
        <v>3871</v>
      </c>
      <c r="C567" s="697" t="s">
        <v>2899</v>
      </c>
      <c r="D567" s="697" t="s">
        <v>3872</v>
      </c>
      <c r="E567" s="697" t="s">
        <v>3873</v>
      </c>
      <c r="F567" s="701"/>
      <c r="G567" s="701"/>
      <c r="H567" s="701"/>
      <c r="I567" s="701"/>
      <c r="J567" s="701">
        <v>3</v>
      </c>
      <c r="K567" s="701">
        <v>1248</v>
      </c>
      <c r="L567" s="701"/>
      <c r="M567" s="701">
        <v>416</v>
      </c>
      <c r="N567" s="701"/>
      <c r="O567" s="701"/>
      <c r="P567" s="726"/>
      <c r="Q567" s="702"/>
    </row>
    <row r="568" spans="1:17" ht="14.45" customHeight="1" x14ac:dyDescent="0.2">
      <c r="A568" s="696" t="s">
        <v>537</v>
      </c>
      <c r="B568" s="697" t="s">
        <v>3871</v>
      </c>
      <c r="C568" s="697" t="s">
        <v>2899</v>
      </c>
      <c r="D568" s="697" t="s">
        <v>3760</v>
      </c>
      <c r="E568" s="697" t="s">
        <v>3761</v>
      </c>
      <c r="F568" s="701"/>
      <c r="G568" s="701"/>
      <c r="H568" s="701"/>
      <c r="I568" s="701"/>
      <c r="J568" s="701">
        <v>19</v>
      </c>
      <c r="K568" s="701">
        <v>2185</v>
      </c>
      <c r="L568" s="701"/>
      <c r="M568" s="701">
        <v>115</v>
      </c>
      <c r="N568" s="701"/>
      <c r="O568" s="701"/>
      <c r="P568" s="726"/>
      <c r="Q568" s="702"/>
    </row>
    <row r="569" spans="1:17" ht="14.45" customHeight="1" x14ac:dyDescent="0.2">
      <c r="A569" s="696" t="s">
        <v>537</v>
      </c>
      <c r="B569" s="697" t="s">
        <v>3871</v>
      </c>
      <c r="C569" s="697" t="s">
        <v>2899</v>
      </c>
      <c r="D569" s="697" t="s">
        <v>3786</v>
      </c>
      <c r="E569" s="697" t="s">
        <v>3787</v>
      </c>
      <c r="F569" s="701"/>
      <c r="G569" s="701"/>
      <c r="H569" s="701"/>
      <c r="I569" s="701"/>
      <c r="J569" s="701">
        <v>2</v>
      </c>
      <c r="K569" s="701">
        <v>12428</v>
      </c>
      <c r="L569" s="701"/>
      <c r="M569" s="701">
        <v>6214</v>
      </c>
      <c r="N569" s="701"/>
      <c r="O569" s="701"/>
      <c r="P569" s="726"/>
      <c r="Q569" s="702"/>
    </row>
    <row r="570" spans="1:17" ht="14.45" customHeight="1" thickBot="1" x14ac:dyDescent="0.25">
      <c r="A570" s="703" t="s">
        <v>537</v>
      </c>
      <c r="B570" s="704" t="s">
        <v>3871</v>
      </c>
      <c r="C570" s="704" t="s">
        <v>2899</v>
      </c>
      <c r="D570" s="704" t="s">
        <v>3874</v>
      </c>
      <c r="E570" s="704" t="s">
        <v>3875</v>
      </c>
      <c r="F570" s="708"/>
      <c r="G570" s="708"/>
      <c r="H570" s="708"/>
      <c r="I570" s="708"/>
      <c r="J570" s="708">
        <v>1</v>
      </c>
      <c r="K570" s="708">
        <v>5692</v>
      </c>
      <c r="L570" s="708"/>
      <c r="M570" s="708">
        <v>5692</v>
      </c>
      <c r="N570" s="708"/>
      <c r="O570" s="708"/>
      <c r="P570" s="716"/>
      <c r="Q570" s="709"/>
    </row>
  </sheetData>
  <autoFilter ref="A5:Q5" xr:uid="{00000000-0009-0000-0000-000027000000}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 xr:uid="{563CC8B5-6FA7-4D97-9A2B-F875489DDDB1}"/>
  </hyperlinks>
  <pageMargins left="0.25" right="0.25" top="0.75" bottom="0.75" header="0.3" footer="0.3"/>
  <pageSetup paperSize="9" fitToHeight="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 codeName="List22">
    <tabColor theme="5" tint="0.39997558519241921"/>
    <pageSetUpPr fitToPage="1"/>
  </sheetPr>
  <dimension ref="A1:R59"/>
  <sheetViews>
    <sheetView showGridLines="0" showRowColHeaders="0" zoomScaleNormal="100" workbookViewId="0">
      <selection sqref="A1:Q1"/>
    </sheetView>
  </sheetViews>
  <sheetFormatPr defaultColWidth="9.28515625" defaultRowHeight="14.45" customHeight="1" outlineLevelRow="1" outlineLevelCol="1" x14ac:dyDescent="0.2"/>
  <cols>
    <col min="1" max="1" width="29.140625" style="332" customWidth="1"/>
    <col min="2" max="2" width="7.85546875" style="332" hidden="1" customWidth="1" outlineLevel="1"/>
    <col min="3" max="3" width="7.85546875" style="332" customWidth="1" collapsed="1"/>
    <col min="4" max="4" width="7.85546875" style="332" customWidth="1"/>
    <col min="5" max="5" width="7.85546875" style="332" hidden="1" customWidth="1" outlineLevel="1"/>
    <col min="6" max="6" width="7.85546875" style="340" customWidth="1" collapsed="1"/>
    <col min="7" max="7" width="7.85546875" style="332" hidden="1" customWidth="1" outlineLevel="1"/>
    <col min="8" max="8" width="7.85546875" style="332" customWidth="1" collapsed="1"/>
    <col min="9" max="9" width="7.85546875" style="332" customWidth="1"/>
    <col min="10" max="10" width="7.85546875" style="332" hidden="1" customWidth="1" outlineLevel="1"/>
    <col min="11" max="11" width="7.85546875" style="341" customWidth="1" collapsed="1"/>
    <col min="12" max="13" width="7.85546875" style="332" hidden="1" customWidth="1"/>
    <col min="14" max="15" width="7.85546875" style="332" customWidth="1"/>
    <col min="16" max="16" width="9.28515625" style="332" hidden="1" customWidth="1" outlineLevel="1"/>
    <col min="17" max="17" width="9.5703125" style="332" hidden="1" customWidth="1" outlineLevel="1"/>
    <col min="18" max="18" width="9.28515625" style="332" collapsed="1"/>
    <col min="19" max="16384" width="9.28515625" style="332"/>
  </cols>
  <sheetData>
    <row r="1" spans="1:17" ht="18.600000000000001" customHeight="1" thickBot="1" x14ac:dyDescent="0.35">
      <c r="A1" s="612" t="s">
        <v>121</v>
      </c>
      <c r="B1" s="612"/>
      <c r="C1" s="612"/>
      <c r="D1" s="612"/>
      <c r="E1" s="612"/>
      <c r="F1" s="612"/>
      <c r="G1" s="612"/>
      <c r="H1" s="612"/>
      <c r="I1" s="612"/>
      <c r="J1" s="612"/>
      <c r="K1" s="612"/>
      <c r="L1" s="612"/>
      <c r="M1" s="612"/>
      <c r="N1" s="612"/>
      <c r="O1" s="612"/>
      <c r="P1" s="612"/>
      <c r="Q1" s="612"/>
    </row>
    <row r="2" spans="1:17" ht="14.45" customHeight="1" thickBot="1" x14ac:dyDescent="0.25">
      <c r="A2" s="350" t="s">
        <v>305</v>
      </c>
      <c r="B2" s="414"/>
      <c r="C2" s="414"/>
      <c r="D2" s="414"/>
      <c r="E2" s="414"/>
      <c r="F2" s="414"/>
      <c r="G2" s="414"/>
      <c r="H2" s="414"/>
      <c r="I2" s="414"/>
      <c r="J2" s="414"/>
      <c r="K2" s="414"/>
      <c r="L2" s="414"/>
      <c r="M2" s="414"/>
      <c r="N2" s="414"/>
      <c r="O2" s="414"/>
    </row>
    <row r="3" spans="1:17" ht="14.45" customHeight="1" thickBot="1" x14ac:dyDescent="0.25">
      <c r="A3" s="634" t="s">
        <v>56</v>
      </c>
      <c r="B3" s="593" t="s">
        <v>57</v>
      </c>
      <c r="C3" s="594"/>
      <c r="D3" s="594"/>
      <c r="E3" s="595"/>
      <c r="F3" s="596"/>
      <c r="G3" s="593" t="s">
        <v>217</v>
      </c>
      <c r="H3" s="594"/>
      <c r="I3" s="594"/>
      <c r="J3" s="595"/>
      <c r="K3" s="596"/>
      <c r="L3" s="107"/>
      <c r="M3" s="108"/>
      <c r="N3" s="107"/>
      <c r="O3" s="109"/>
    </row>
    <row r="4" spans="1:17" ht="14.45" customHeight="1" thickBot="1" x14ac:dyDescent="0.25">
      <c r="A4" s="635"/>
      <c r="B4" s="110">
        <v>2019</v>
      </c>
      <c r="C4" s="111">
        <v>2020</v>
      </c>
      <c r="D4" s="111">
        <v>2021</v>
      </c>
      <c r="E4" s="397" t="s">
        <v>301</v>
      </c>
      <c r="F4" s="398" t="s">
        <v>2</v>
      </c>
      <c r="G4" s="110">
        <v>2019</v>
      </c>
      <c r="H4" s="111">
        <v>2020</v>
      </c>
      <c r="I4" s="111">
        <v>2021</v>
      </c>
      <c r="J4" s="491" t="s">
        <v>301</v>
      </c>
      <c r="K4" s="112" t="s">
        <v>2</v>
      </c>
      <c r="L4" s="107"/>
      <c r="M4" s="107"/>
      <c r="N4" s="113" t="s">
        <v>58</v>
      </c>
      <c r="O4" s="114" t="s">
        <v>59</v>
      </c>
      <c r="P4" s="113" t="s">
        <v>302</v>
      </c>
      <c r="Q4" s="114" t="s">
        <v>303</v>
      </c>
    </row>
    <row r="5" spans="1:17" ht="14.45" hidden="1" customHeight="1" outlineLevel="1" x14ac:dyDescent="0.2">
      <c r="A5" s="419" t="s">
        <v>152</v>
      </c>
      <c r="B5" s="105">
        <v>251.35599999999999</v>
      </c>
      <c r="C5" s="100">
        <v>346.80500000000001</v>
      </c>
      <c r="D5" s="100">
        <v>436.65100000000001</v>
      </c>
      <c r="E5" s="403">
        <f>IF(OR(D5=0,B5=0),"",D5/B5)</f>
        <v>1.7371815273954074</v>
      </c>
      <c r="F5" s="115">
        <f>IF(OR(D5=0,C5=0),"",D5/C5)</f>
        <v>1.2590677758394486</v>
      </c>
      <c r="G5" s="116">
        <v>32</v>
      </c>
      <c r="H5" s="100">
        <v>35</v>
      </c>
      <c r="I5" s="100">
        <v>42</v>
      </c>
      <c r="J5" s="403">
        <f>IF(OR(I5=0,G5=0),"",I5/G5)</f>
        <v>1.3125</v>
      </c>
      <c r="K5" s="117">
        <f>IF(OR(I5=0,H5=0),"",I5/H5)</f>
        <v>1.2</v>
      </c>
      <c r="L5" s="107"/>
      <c r="M5" s="107"/>
      <c r="N5" s="7">
        <f>D5-C5</f>
        <v>89.846000000000004</v>
      </c>
      <c r="O5" s="8">
        <f>I5-H5</f>
        <v>7</v>
      </c>
      <c r="P5" s="7">
        <f>D5-B5</f>
        <v>185.29500000000002</v>
      </c>
      <c r="Q5" s="8">
        <f>I5-G5</f>
        <v>10</v>
      </c>
    </row>
    <row r="6" spans="1:17" ht="14.45" hidden="1" customHeight="1" outlineLevel="1" x14ac:dyDescent="0.2">
      <c r="A6" s="420" t="s">
        <v>153</v>
      </c>
      <c r="B6" s="106">
        <v>43.012</v>
      </c>
      <c r="C6" s="99">
        <v>102.253</v>
      </c>
      <c r="D6" s="99">
        <v>120.464</v>
      </c>
      <c r="E6" s="403">
        <f t="shared" ref="E6:E12" si="0">IF(OR(D6=0,B6=0),"",D6/B6)</f>
        <v>2.8007067795033942</v>
      </c>
      <c r="F6" s="115">
        <f t="shared" ref="F6:F12" si="1">IF(OR(D6=0,C6=0),"",D6/C6)</f>
        <v>1.1780974641330817</v>
      </c>
      <c r="G6" s="119">
        <v>6</v>
      </c>
      <c r="H6" s="99">
        <v>10</v>
      </c>
      <c r="I6" s="99">
        <v>14</v>
      </c>
      <c r="J6" s="404">
        <f t="shared" ref="J6:J12" si="2">IF(OR(I6=0,G6=0),"",I6/G6)</f>
        <v>2.3333333333333335</v>
      </c>
      <c r="K6" s="120">
        <f t="shared" ref="K6:K12" si="3">IF(OR(I6=0,H6=0),"",I6/H6)</f>
        <v>1.4</v>
      </c>
      <c r="L6" s="107"/>
      <c r="M6" s="107"/>
      <c r="N6" s="5">
        <f t="shared" ref="N6:N13" si="4">D6-C6</f>
        <v>18.210999999999999</v>
      </c>
      <c r="O6" s="6">
        <f t="shared" ref="O6:O13" si="5">I6-H6</f>
        <v>4</v>
      </c>
      <c r="P6" s="5">
        <f t="shared" ref="P6:P13" si="6">D6-B6</f>
        <v>77.451999999999998</v>
      </c>
      <c r="Q6" s="6">
        <f t="shared" ref="Q6:Q13" si="7">I6-G6</f>
        <v>8</v>
      </c>
    </row>
    <row r="7" spans="1:17" ht="14.45" hidden="1" customHeight="1" outlineLevel="1" x14ac:dyDescent="0.2">
      <c r="A7" s="420" t="s">
        <v>154</v>
      </c>
      <c r="B7" s="106">
        <v>78.875</v>
      </c>
      <c r="C7" s="99">
        <v>111.81100000000001</v>
      </c>
      <c r="D7" s="99">
        <v>187.327</v>
      </c>
      <c r="E7" s="403">
        <f t="shared" si="0"/>
        <v>2.374985736925515</v>
      </c>
      <c r="F7" s="115">
        <f t="shared" si="1"/>
        <v>1.6753897201527577</v>
      </c>
      <c r="G7" s="119">
        <v>12</v>
      </c>
      <c r="H7" s="99">
        <v>14</v>
      </c>
      <c r="I7" s="99">
        <v>19</v>
      </c>
      <c r="J7" s="404">
        <f t="shared" si="2"/>
        <v>1.5833333333333333</v>
      </c>
      <c r="K7" s="120">
        <f t="shared" si="3"/>
        <v>1.3571428571428572</v>
      </c>
      <c r="L7" s="107"/>
      <c r="M7" s="107"/>
      <c r="N7" s="5">
        <f t="shared" si="4"/>
        <v>75.515999999999991</v>
      </c>
      <c r="O7" s="6">
        <f t="shared" si="5"/>
        <v>5</v>
      </c>
      <c r="P7" s="5">
        <f t="shared" si="6"/>
        <v>108.452</v>
      </c>
      <c r="Q7" s="6">
        <f t="shared" si="7"/>
        <v>7</v>
      </c>
    </row>
    <row r="8" spans="1:17" ht="14.45" hidden="1" customHeight="1" outlineLevel="1" x14ac:dyDescent="0.2">
      <c r="A8" s="420" t="s">
        <v>155</v>
      </c>
      <c r="B8" s="106">
        <v>2.0819999999999999</v>
      </c>
      <c r="C8" s="99">
        <v>25.297000000000001</v>
      </c>
      <c r="D8" s="99">
        <v>0</v>
      </c>
      <c r="E8" s="403" t="str">
        <f t="shared" si="0"/>
        <v/>
      </c>
      <c r="F8" s="115" t="str">
        <f t="shared" si="1"/>
        <v/>
      </c>
      <c r="G8" s="119">
        <v>1</v>
      </c>
      <c r="H8" s="99">
        <v>3</v>
      </c>
      <c r="I8" s="99">
        <v>0</v>
      </c>
      <c r="J8" s="404" t="str">
        <f t="shared" si="2"/>
        <v/>
      </c>
      <c r="K8" s="120" t="str">
        <f t="shared" si="3"/>
        <v/>
      </c>
      <c r="L8" s="107"/>
      <c r="M8" s="107"/>
      <c r="N8" s="5">
        <f t="shared" si="4"/>
        <v>-25.297000000000001</v>
      </c>
      <c r="O8" s="6">
        <f t="shared" si="5"/>
        <v>-3</v>
      </c>
      <c r="P8" s="5">
        <f t="shared" si="6"/>
        <v>-2.0819999999999999</v>
      </c>
      <c r="Q8" s="6">
        <f t="shared" si="7"/>
        <v>-1</v>
      </c>
    </row>
    <row r="9" spans="1:17" ht="14.45" hidden="1" customHeight="1" outlineLevel="1" x14ac:dyDescent="0.2">
      <c r="A9" s="420" t="s">
        <v>156</v>
      </c>
      <c r="B9" s="106">
        <v>0</v>
      </c>
      <c r="C9" s="99">
        <v>0</v>
      </c>
      <c r="D9" s="99">
        <v>0</v>
      </c>
      <c r="E9" s="403" t="str">
        <f t="shared" si="0"/>
        <v/>
      </c>
      <c r="F9" s="115" t="str">
        <f t="shared" si="1"/>
        <v/>
      </c>
      <c r="G9" s="119">
        <v>0</v>
      </c>
      <c r="H9" s="99">
        <v>0</v>
      </c>
      <c r="I9" s="99">
        <v>0</v>
      </c>
      <c r="J9" s="404" t="str">
        <f t="shared" si="2"/>
        <v/>
      </c>
      <c r="K9" s="120" t="str">
        <f t="shared" si="3"/>
        <v/>
      </c>
      <c r="L9" s="107"/>
      <c r="M9" s="107"/>
      <c r="N9" s="5">
        <f t="shared" si="4"/>
        <v>0</v>
      </c>
      <c r="O9" s="6">
        <f t="shared" si="5"/>
        <v>0</v>
      </c>
      <c r="P9" s="5">
        <f t="shared" si="6"/>
        <v>0</v>
      </c>
      <c r="Q9" s="6">
        <f t="shared" si="7"/>
        <v>0</v>
      </c>
    </row>
    <row r="10" spans="1:17" ht="14.45" hidden="1" customHeight="1" outlineLevel="1" x14ac:dyDescent="0.2">
      <c r="A10" s="420" t="s">
        <v>157</v>
      </c>
      <c r="B10" s="106">
        <v>58.222000000000001</v>
      </c>
      <c r="C10" s="99">
        <v>72.471999999999994</v>
      </c>
      <c r="D10" s="99">
        <v>46.17</v>
      </c>
      <c r="E10" s="403">
        <f t="shared" si="0"/>
        <v>0.79299920992064854</v>
      </c>
      <c r="F10" s="115">
        <f t="shared" si="1"/>
        <v>0.63707362843580972</v>
      </c>
      <c r="G10" s="119">
        <v>8</v>
      </c>
      <c r="H10" s="99">
        <v>8</v>
      </c>
      <c r="I10" s="99">
        <v>5</v>
      </c>
      <c r="J10" s="404">
        <f t="shared" si="2"/>
        <v>0.625</v>
      </c>
      <c r="K10" s="120">
        <f t="shared" si="3"/>
        <v>0.625</v>
      </c>
      <c r="L10" s="107"/>
      <c r="M10" s="107"/>
      <c r="N10" s="5">
        <f t="shared" si="4"/>
        <v>-26.301999999999992</v>
      </c>
      <c r="O10" s="6">
        <f t="shared" si="5"/>
        <v>-3</v>
      </c>
      <c r="P10" s="5">
        <f t="shared" si="6"/>
        <v>-12.052</v>
      </c>
      <c r="Q10" s="6">
        <f t="shared" si="7"/>
        <v>-3</v>
      </c>
    </row>
    <row r="11" spans="1:17" ht="14.45" hidden="1" customHeight="1" outlineLevel="1" x14ac:dyDescent="0.2">
      <c r="A11" s="420" t="s">
        <v>158</v>
      </c>
      <c r="B11" s="106">
        <v>6.8390000000000004</v>
      </c>
      <c r="C11" s="99">
        <v>2.0059999999999998</v>
      </c>
      <c r="D11" s="99">
        <v>0</v>
      </c>
      <c r="E11" s="403" t="str">
        <f t="shared" si="0"/>
        <v/>
      </c>
      <c r="F11" s="115" t="str">
        <f t="shared" si="1"/>
        <v/>
      </c>
      <c r="G11" s="119">
        <v>3</v>
      </c>
      <c r="H11" s="99">
        <v>2</v>
      </c>
      <c r="I11" s="99">
        <v>0</v>
      </c>
      <c r="J11" s="404" t="str">
        <f t="shared" si="2"/>
        <v/>
      </c>
      <c r="K11" s="120" t="str">
        <f t="shared" si="3"/>
        <v/>
      </c>
      <c r="L11" s="107"/>
      <c r="M11" s="107"/>
      <c r="N11" s="5">
        <f t="shared" si="4"/>
        <v>-2.0059999999999998</v>
      </c>
      <c r="O11" s="6">
        <f t="shared" si="5"/>
        <v>-2</v>
      </c>
      <c r="P11" s="5">
        <f t="shared" si="6"/>
        <v>-6.8390000000000004</v>
      </c>
      <c r="Q11" s="6">
        <f t="shared" si="7"/>
        <v>-3</v>
      </c>
    </row>
    <row r="12" spans="1:17" ht="14.45" hidden="1" customHeight="1" outlineLevel="1" thickBot="1" x14ac:dyDescent="0.25">
      <c r="A12" s="421" t="s">
        <v>186</v>
      </c>
      <c r="B12" s="224">
        <v>0</v>
      </c>
      <c r="C12" s="225">
        <v>0</v>
      </c>
      <c r="D12" s="225">
        <v>0</v>
      </c>
      <c r="E12" s="403" t="str">
        <f t="shared" si="0"/>
        <v/>
      </c>
      <c r="F12" s="115" t="str">
        <f t="shared" si="1"/>
        <v/>
      </c>
      <c r="G12" s="227">
        <v>0</v>
      </c>
      <c r="H12" s="225">
        <v>0</v>
      </c>
      <c r="I12" s="225">
        <v>0</v>
      </c>
      <c r="J12" s="405" t="str">
        <f t="shared" si="2"/>
        <v/>
      </c>
      <c r="K12" s="228" t="str">
        <f t="shared" si="3"/>
        <v/>
      </c>
      <c r="L12" s="107"/>
      <c r="M12" s="107"/>
      <c r="N12" s="229">
        <f t="shared" si="4"/>
        <v>0</v>
      </c>
      <c r="O12" s="230">
        <f t="shared" si="5"/>
        <v>0</v>
      </c>
      <c r="P12" s="229">
        <f t="shared" si="6"/>
        <v>0</v>
      </c>
      <c r="Q12" s="230">
        <f t="shared" si="7"/>
        <v>0</v>
      </c>
    </row>
    <row r="13" spans="1:17" ht="14.45" customHeight="1" collapsed="1" thickBot="1" x14ac:dyDescent="0.25">
      <c r="A13" s="103" t="s">
        <v>3</v>
      </c>
      <c r="B13" s="101">
        <f>SUM(B5:B12)</f>
        <v>440.38599999999997</v>
      </c>
      <c r="C13" s="102">
        <f>SUM(C5:C12)</f>
        <v>660.64400000000001</v>
      </c>
      <c r="D13" s="102">
        <f>SUM(D5:D12)</f>
        <v>790.61199999999997</v>
      </c>
      <c r="E13" s="399">
        <f>IF(OR(D13=0,B13=0),0,D13/B13)</f>
        <v>1.7952705126865978</v>
      </c>
      <c r="F13" s="121">
        <f>IF(OR(D13=0,C13=0),0,D13/C13)</f>
        <v>1.1967292520631383</v>
      </c>
      <c r="G13" s="122">
        <f>SUM(G5:G12)</f>
        <v>62</v>
      </c>
      <c r="H13" s="102">
        <f>SUM(H5:H12)</f>
        <v>72</v>
      </c>
      <c r="I13" s="102">
        <f>SUM(I5:I12)</f>
        <v>80</v>
      </c>
      <c r="J13" s="399">
        <f>IF(OR(I13=0,G13=0),0,I13/G13)</f>
        <v>1.2903225806451613</v>
      </c>
      <c r="K13" s="123">
        <f>IF(OR(I13=0,H13=0),0,I13/H13)</f>
        <v>1.1111111111111112</v>
      </c>
      <c r="L13" s="107"/>
      <c r="M13" s="107"/>
      <c r="N13" s="113">
        <f t="shared" si="4"/>
        <v>129.96799999999996</v>
      </c>
      <c r="O13" s="124">
        <f t="shared" si="5"/>
        <v>8</v>
      </c>
      <c r="P13" s="113">
        <f t="shared" si="6"/>
        <v>350.226</v>
      </c>
      <c r="Q13" s="124">
        <f t="shared" si="7"/>
        <v>18</v>
      </c>
    </row>
    <row r="14" spans="1:17" ht="14.45" customHeight="1" x14ac:dyDescent="0.2">
      <c r="A14" s="125"/>
      <c r="B14" s="613"/>
      <c r="C14" s="613"/>
      <c r="D14" s="613"/>
      <c r="E14" s="636"/>
      <c r="F14" s="613"/>
      <c r="G14" s="613"/>
      <c r="H14" s="613"/>
      <c r="I14" s="613"/>
      <c r="J14" s="636"/>
      <c r="K14" s="613"/>
      <c r="L14" s="107"/>
      <c r="M14" s="107"/>
      <c r="N14" s="107"/>
      <c r="O14" s="109"/>
      <c r="P14" s="107"/>
      <c r="Q14" s="109"/>
    </row>
    <row r="15" spans="1:17" ht="14.45" customHeight="1" thickBot="1" x14ac:dyDescent="0.25">
      <c r="A15" s="125"/>
      <c r="B15" s="333"/>
      <c r="C15" s="334"/>
      <c r="D15" s="334"/>
      <c r="E15" s="334"/>
      <c r="F15" s="334"/>
      <c r="G15" s="333"/>
      <c r="H15" s="334"/>
      <c r="I15" s="334"/>
      <c r="J15" s="334"/>
      <c r="K15" s="334"/>
      <c r="L15" s="107"/>
      <c r="M15" s="107"/>
      <c r="N15" s="107"/>
      <c r="O15" s="109"/>
      <c r="P15" s="107"/>
      <c r="Q15" s="109"/>
    </row>
    <row r="16" spans="1:17" ht="14.45" customHeight="1" thickBot="1" x14ac:dyDescent="0.25">
      <c r="A16" s="637" t="s">
        <v>234</v>
      </c>
      <c r="B16" s="639" t="s">
        <v>57</v>
      </c>
      <c r="C16" s="640"/>
      <c r="D16" s="640"/>
      <c r="E16" s="641"/>
      <c r="F16" s="642"/>
      <c r="G16" s="639" t="s">
        <v>217</v>
      </c>
      <c r="H16" s="640"/>
      <c r="I16" s="640"/>
      <c r="J16" s="641"/>
      <c r="K16" s="642"/>
      <c r="L16" s="630" t="s">
        <v>162</v>
      </c>
      <c r="M16" s="631"/>
      <c r="N16" s="141"/>
      <c r="O16" s="141"/>
      <c r="P16" s="141"/>
      <c r="Q16" s="141"/>
    </row>
    <row r="17" spans="1:17" ht="14.45" customHeight="1" thickBot="1" x14ac:dyDescent="0.25">
      <c r="A17" s="638"/>
      <c r="B17" s="126">
        <v>2019</v>
      </c>
      <c r="C17" s="127">
        <v>2020</v>
      </c>
      <c r="D17" s="127">
        <v>2021</v>
      </c>
      <c r="E17" s="487" t="s">
        <v>301</v>
      </c>
      <c r="F17" s="128" t="s">
        <v>2</v>
      </c>
      <c r="G17" s="126">
        <v>2019</v>
      </c>
      <c r="H17" s="127">
        <v>2020</v>
      </c>
      <c r="I17" s="127">
        <v>2021</v>
      </c>
      <c r="J17" s="487" t="s">
        <v>301</v>
      </c>
      <c r="K17" s="128" t="s">
        <v>2</v>
      </c>
      <c r="L17" s="632" t="s">
        <v>163</v>
      </c>
      <c r="M17" s="633"/>
      <c r="N17" s="129" t="s">
        <v>58</v>
      </c>
      <c r="O17" s="130" t="s">
        <v>59</v>
      </c>
      <c r="P17" s="129" t="s">
        <v>302</v>
      </c>
      <c r="Q17" s="130" t="s">
        <v>303</v>
      </c>
    </row>
    <row r="18" spans="1:17" ht="14.45" hidden="1" customHeight="1" outlineLevel="1" x14ac:dyDescent="0.2">
      <c r="A18" s="419" t="s">
        <v>152</v>
      </c>
      <c r="B18" s="105">
        <v>251.35599999999999</v>
      </c>
      <c r="C18" s="100">
        <v>346.80500000000001</v>
      </c>
      <c r="D18" s="100">
        <v>436.65100000000001</v>
      </c>
      <c r="E18" s="403">
        <f>IF(OR(D18=0,B18=0),"",D18/B18)</f>
        <v>1.7371815273954074</v>
      </c>
      <c r="F18" s="115">
        <f>IF(OR(D18=0,C18=0),"",D18/C18)</f>
        <v>1.2590677758394486</v>
      </c>
      <c r="G18" s="105">
        <v>32</v>
      </c>
      <c r="H18" s="100">
        <v>35</v>
      </c>
      <c r="I18" s="100">
        <v>42</v>
      </c>
      <c r="J18" s="403">
        <f>IF(OR(I18=0,G18=0),"",I18/G18)</f>
        <v>1.3125</v>
      </c>
      <c r="K18" s="117">
        <f>IF(OR(I18=0,H18=0),"",I18/H18)</f>
        <v>1.2</v>
      </c>
      <c r="L18" s="628">
        <v>0.91871999999999998</v>
      </c>
      <c r="M18" s="629"/>
      <c r="N18" s="131">
        <f t="shared" ref="N18:N26" si="8">D18-C18</f>
        <v>89.846000000000004</v>
      </c>
      <c r="O18" s="132">
        <f t="shared" ref="O18:O26" si="9">I18-H18</f>
        <v>7</v>
      </c>
      <c r="P18" s="131">
        <f t="shared" ref="P18:P26" si="10">D18-B18</f>
        <v>185.29500000000002</v>
      </c>
      <c r="Q18" s="132">
        <f t="shared" ref="Q18:Q26" si="11">I18-G18</f>
        <v>10</v>
      </c>
    </row>
    <row r="19" spans="1:17" ht="14.45" hidden="1" customHeight="1" outlineLevel="1" x14ac:dyDescent="0.2">
      <c r="A19" s="420" t="s">
        <v>153</v>
      </c>
      <c r="B19" s="106">
        <v>43.012</v>
      </c>
      <c r="C19" s="99">
        <v>102.253</v>
      </c>
      <c r="D19" s="99">
        <v>120.464</v>
      </c>
      <c r="E19" s="404">
        <f t="shared" ref="E19:E25" si="12">IF(OR(D19=0,B19=0),"",D19/B19)</f>
        <v>2.8007067795033942</v>
      </c>
      <c r="F19" s="118">
        <f t="shared" ref="F19:F25" si="13">IF(OR(D19=0,C19=0),"",D19/C19)</f>
        <v>1.1780974641330817</v>
      </c>
      <c r="G19" s="106">
        <v>6</v>
      </c>
      <c r="H19" s="99">
        <v>10</v>
      </c>
      <c r="I19" s="99">
        <v>14</v>
      </c>
      <c r="J19" s="404">
        <f t="shared" ref="J19:J25" si="14">IF(OR(I19=0,G19=0),"",I19/G19)</f>
        <v>2.3333333333333335</v>
      </c>
      <c r="K19" s="120">
        <f t="shared" ref="K19:K25" si="15">IF(OR(I19=0,H19=0),"",I19/H19)</f>
        <v>1.4</v>
      </c>
      <c r="L19" s="628">
        <v>0.99456</v>
      </c>
      <c r="M19" s="629"/>
      <c r="N19" s="133">
        <f t="shared" si="8"/>
        <v>18.210999999999999</v>
      </c>
      <c r="O19" s="134">
        <f t="shared" si="9"/>
        <v>4</v>
      </c>
      <c r="P19" s="133">
        <f t="shared" si="10"/>
        <v>77.451999999999998</v>
      </c>
      <c r="Q19" s="134">
        <f t="shared" si="11"/>
        <v>8</v>
      </c>
    </row>
    <row r="20" spans="1:17" ht="14.45" hidden="1" customHeight="1" outlineLevel="1" x14ac:dyDescent="0.2">
      <c r="A20" s="420" t="s">
        <v>154</v>
      </c>
      <c r="B20" s="106">
        <v>78.875</v>
      </c>
      <c r="C20" s="99">
        <v>111.81100000000001</v>
      </c>
      <c r="D20" s="99">
        <v>187.327</v>
      </c>
      <c r="E20" s="404">
        <f t="shared" si="12"/>
        <v>2.374985736925515</v>
      </c>
      <c r="F20" s="118">
        <f t="shared" si="13"/>
        <v>1.6753897201527577</v>
      </c>
      <c r="G20" s="106">
        <v>12</v>
      </c>
      <c r="H20" s="99">
        <v>14</v>
      </c>
      <c r="I20" s="99">
        <v>19</v>
      </c>
      <c r="J20" s="404">
        <f t="shared" si="14"/>
        <v>1.5833333333333333</v>
      </c>
      <c r="K20" s="120">
        <f t="shared" si="15"/>
        <v>1.3571428571428572</v>
      </c>
      <c r="L20" s="628">
        <v>0.96671999999999991</v>
      </c>
      <c r="M20" s="629"/>
      <c r="N20" s="133">
        <f t="shared" si="8"/>
        <v>75.515999999999991</v>
      </c>
      <c r="O20" s="134">
        <f t="shared" si="9"/>
        <v>5</v>
      </c>
      <c r="P20" s="133">
        <f t="shared" si="10"/>
        <v>108.452</v>
      </c>
      <c r="Q20" s="134">
        <f t="shared" si="11"/>
        <v>7</v>
      </c>
    </row>
    <row r="21" spans="1:17" ht="14.45" hidden="1" customHeight="1" outlineLevel="1" x14ac:dyDescent="0.2">
      <c r="A21" s="420" t="s">
        <v>155</v>
      </c>
      <c r="B21" s="106">
        <v>2.0819999999999999</v>
      </c>
      <c r="C21" s="99">
        <v>25.297000000000001</v>
      </c>
      <c r="D21" s="99">
        <v>0</v>
      </c>
      <c r="E21" s="404" t="str">
        <f t="shared" si="12"/>
        <v/>
      </c>
      <c r="F21" s="118" t="str">
        <f t="shared" si="13"/>
        <v/>
      </c>
      <c r="G21" s="106">
        <v>1</v>
      </c>
      <c r="H21" s="99">
        <v>3</v>
      </c>
      <c r="I21" s="99">
        <v>0</v>
      </c>
      <c r="J21" s="404" t="str">
        <f t="shared" si="14"/>
        <v/>
      </c>
      <c r="K21" s="120" t="str">
        <f t="shared" si="15"/>
        <v/>
      </c>
      <c r="L21" s="628">
        <v>1.11744</v>
      </c>
      <c r="M21" s="629"/>
      <c r="N21" s="133">
        <f t="shared" si="8"/>
        <v>-25.297000000000001</v>
      </c>
      <c r="O21" s="134">
        <f t="shared" si="9"/>
        <v>-3</v>
      </c>
      <c r="P21" s="133">
        <f t="shared" si="10"/>
        <v>-2.0819999999999999</v>
      </c>
      <c r="Q21" s="134">
        <f t="shared" si="11"/>
        <v>-1</v>
      </c>
    </row>
    <row r="22" spans="1:17" ht="14.45" hidden="1" customHeight="1" outlineLevel="1" x14ac:dyDescent="0.2">
      <c r="A22" s="420" t="s">
        <v>156</v>
      </c>
      <c r="B22" s="106">
        <v>0</v>
      </c>
      <c r="C22" s="99">
        <v>0</v>
      </c>
      <c r="D22" s="99">
        <v>0</v>
      </c>
      <c r="E22" s="404" t="str">
        <f t="shared" si="12"/>
        <v/>
      </c>
      <c r="F22" s="118" t="str">
        <f t="shared" si="13"/>
        <v/>
      </c>
      <c r="G22" s="106">
        <v>0</v>
      </c>
      <c r="H22" s="99">
        <v>0</v>
      </c>
      <c r="I22" s="99">
        <v>0</v>
      </c>
      <c r="J22" s="404" t="str">
        <f t="shared" si="14"/>
        <v/>
      </c>
      <c r="K22" s="120" t="str">
        <f t="shared" si="15"/>
        <v/>
      </c>
      <c r="L22" s="628">
        <v>0.96</v>
      </c>
      <c r="M22" s="629"/>
      <c r="N22" s="133">
        <f t="shared" si="8"/>
        <v>0</v>
      </c>
      <c r="O22" s="134">
        <f t="shared" si="9"/>
        <v>0</v>
      </c>
      <c r="P22" s="133">
        <f t="shared" si="10"/>
        <v>0</v>
      </c>
      <c r="Q22" s="134">
        <f t="shared" si="11"/>
        <v>0</v>
      </c>
    </row>
    <row r="23" spans="1:17" ht="14.45" hidden="1" customHeight="1" outlineLevel="1" x14ac:dyDescent="0.2">
      <c r="A23" s="420" t="s">
        <v>157</v>
      </c>
      <c r="B23" s="106">
        <v>58.222000000000001</v>
      </c>
      <c r="C23" s="99">
        <v>72.471999999999994</v>
      </c>
      <c r="D23" s="99">
        <v>46.17</v>
      </c>
      <c r="E23" s="404">
        <f t="shared" si="12"/>
        <v>0.79299920992064854</v>
      </c>
      <c r="F23" s="118">
        <f t="shared" si="13"/>
        <v>0.63707362843580972</v>
      </c>
      <c r="G23" s="106">
        <v>8</v>
      </c>
      <c r="H23" s="99">
        <v>8</v>
      </c>
      <c r="I23" s="99">
        <v>5</v>
      </c>
      <c r="J23" s="404">
        <f t="shared" si="14"/>
        <v>0.625</v>
      </c>
      <c r="K23" s="120">
        <f t="shared" si="15"/>
        <v>0.625</v>
      </c>
      <c r="L23" s="628">
        <v>0.98495999999999995</v>
      </c>
      <c r="M23" s="629"/>
      <c r="N23" s="133">
        <f t="shared" si="8"/>
        <v>-26.301999999999992</v>
      </c>
      <c r="O23" s="134">
        <f t="shared" si="9"/>
        <v>-3</v>
      </c>
      <c r="P23" s="133">
        <f t="shared" si="10"/>
        <v>-12.052</v>
      </c>
      <c r="Q23" s="134">
        <f t="shared" si="11"/>
        <v>-3</v>
      </c>
    </row>
    <row r="24" spans="1:17" ht="14.45" hidden="1" customHeight="1" outlineLevel="1" x14ac:dyDescent="0.2">
      <c r="A24" s="420" t="s">
        <v>158</v>
      </c>
      <c r="B24" s="106">
        <v>6.8390000000000004</v>
      </c>
      <c r="C24" s="99">
        <v>2.0059999999999998</v>
      </c>
      <c r="D24" s="99">
        <v>0</v>
      </c>
      <c r="E24" s="404" t="str">
        <f t="shared" si="12"/>
        <v/>
      </c>
      <c r="F24" s="118" t="str">
        <f t="shared" si="13"/>
        <v/>
      </c>
      <c r="G24" s="106">
        <v>3</v>
      </c>
      <c r="H24" s="99">
        <v>2</v>
      </c>
      <c r="I24" s="99">
        <v>0</v>
      </c>
      <c r="J24" s="404" t="str">
        <f t="shared" si="14"/>
        <v/>
      </c>
      <c r="K24" s="120" t="str">
        <f t="shared" si="15"/>
        <v/>
      </c>
      <c r="L24" s="628">
        <v>1.0147199999999998</v>
      </c>
      <c r="M24" s="629"/>
      <c r="N24" s="133">
        <f t="shared" si="8"/>
        <v>-2.0059999999999998</v>
      </c>
      <c r="O24" s="134">
        <f t="shared" si="9"/>
        <v>-2</v>
      </c>
      <c r="P24" s="133">
        <f t="shared" si="10"/>
        <v>-6.8390000000000004</v>
      </c>
      <c r="Q24" s="134">
        <f t="shared" si="11"/>
        <v>-3</v>
      </c>
    </row>
    <row r="25" spans="1:17" ht="14.45" hidden="1" customHeight="1" outlineLevel="1" thickBot="1" x14ac:dyDescent="0.25">
      <c r="A25" s="421" t="s">
        <v>186</v>
      </c>
      <c r="B25" s="224">
        <v>0</v>
      </c>
      <c r="C25" s="225">
        <v>0</v>
      </c>
      <c r="D25" s="225">
        <v>0</v>
      </c>
      <c r="E25" s="405" t="str">
        <f t="shared" si="12"/>
        <v/>
      </c>
      <c r="F25" s="226" t="str">
        <f t="shared" si="13"/>
        <v/>
      </c>
      <c r="G25" s="224">
        <v>0</v>
      </c>
      <c r="H25" s="225">
        <v>0</v>
      </c>
      <c r="I25" s="225">
        <v>0</v>
      </c>
      <c r="J25" s="405" t="str">
        <f t="shared" si="14"/>
        <v/>
      </c>
      <c r="K25" s="228" t="str">
        <f t="shared" si="15"/>
        <v/>
      </c>
      <c r="L25" s="335"/>
      <c r="M25" s="336"/>
      <c r="N25" s="231">
        <f t="shared" si="8"/>
        <v>0</v>
      </c>
      <c r="O25" s="232">
        <f t="shared" si="9"/>
        <v>0</v>
      </c>
      <c r="P25" s="231">
        <f t="shared" si="10"/>
        <v>0</v>
      </c>
      <c r="Q25" s="232">
        <f t="shared" si="11"/>
        <v>0</v>
      </c>
    </row>
    <row r="26" spans="1:17" ht="14.45" customHeight="1" collapsed="1" thickBot="1" x14ac:dyDescent="0.25">
      <c r="A26" s="424" t="s">
        <v>3</v>
      </c>
      <c r="B26" s="135">
        <f>SUM(B18:B25)</f>
        <v>440.38599999999997</v>
      </c>
      <c r="C26" s="136">
        <f>SUM(C18:C25)</f>
        <v>660.64400000000001</v>
      </c>
      <c r="D26" s="136">
        <f>SUM(D18:D25)</f>
        <v>790.61199999999997</v>
      </c>
      <c r="E26" s="400">
        <f>IF(OR(D26=0,B26=0),0,D26/B26)</f>
        <v>1.7952705126865978</v>
      </c>
      <c r="F26" s="137">
        <f>IF(OR(D26=0,C26=0),0,D26/C26)</f>
        <v>1.1967292520631383</v>
      </c>
      <c r="G26" s="135">
        <f>SUM(G18:G25)</f>
        <v>62</v>
      </c>
      <c r="H26" s="136">
        <f>SUM(H18:H25)</f>
        <v>72</v>
      </c>
      <c r="I26" s="136">
        <f>SUM(I18:I25)</f>
        <v>80</v>
      </c>
      <c r="J26" s="400">
        <f>IF(OR(I26=0,G26=0),0,I26/G26)</f>
        <v>1.2903225806451613</v>
      </c>
      <c r="K26" s="138">
        <f>IF(OR(I26=0,H26=0),0,I26/H26)</f>
        <v>1.1111111111111112</v>
      </c>
      <c r="L26" s="107"/>
      <c r="M26" s="107"/>
      <c r="N26" s="129">
        <f t="shared" si="8"/>
        <v>129.96799999999996</v>
      </c>
      <c r="O26" s="139">
        <f t="shared" si="9"/>
        <v>8</v>
      </c>
      <c r="P26" s="129">
        <f t="shared" si="10"/>
        <v>350.226</v>
      </c>
      <c r="Q26" s="139">
        <f t="shared" si="11"/>
        <v>18</v>
      </c>
    </row>
    <row r="27" spans="1:17" ht="14.45" customHeight="1" x14ac:dyDescent="0.2">
      <c r="A27" s="140"/>
      <c r="B27" s="613" t="s">
        <v>184</v>
      </c>
      <c r="C27" s="614"/>
      <c r="D27" s="614"/>
      <c r="E27" s="615"/>
      <c r="F27" s="614"/>
      <c r="G27" s="613" t="s">
        <v>185</v>
      </c>
      <c r="H27" s="614"/>
      <c r="I27" s="614"/>
      <c r="J27" s="615"/>
      <c r="K27" s="614"/>
      <c r="L27" s="141"/>
      <c r="M27" s="141"/>
      <c r="N27" s="141"/>
      <c r="O27" s="142"/>
      <c r="P27" s="141"/>
      <c r="Q27" s="142"/>
    </row>
    <row r="28" spans="1:17" ht="14.45" customHeight="1" thickBot="1" x14ac:dyDescent="0.25">
      <c r="A28" s="140"/>
      <c r="B28" s="333"/>
      <c r="C28" s="334"/>
      <c r="D28" s="334"/>
      <c r="E28" s="334"/>
      <c r="F28" s="334"/>
      <c r="G28" s="333"/>
      <c r="H28" s="334"/>
      <c r="I28" s="334"/>
      <c r="J28" s="334"/>
      <c r="K28" s="334"/>
      <c r="L28" s="141"/>
      <c r="M28" s="141"/>
      <c r="N28" s="141"/>
      <c r="O28" s="142"/>
      <c r="P28" s="141"/>
      <c r="Q28" s="142"/>
    </row>
    <row r="29" spans="1:17" ht="14.45" customHeight="1" thickBot="1" x14ac:dyDescent="0.25">
      <c r="A29" s="622" t="s">
        <v>235</v>
      </c>
      <c r="B29" s="624" t="s">
        <v>57</v>
      </c>
      <c r="C29" s="625"/>
      <c r="D29" s="625"/>
      <c r="E29" s="626"/>
      <c r="F29" s="627"/>
      <c r="G29" s="625" t="s">
        <v>217</v>
      </c>
      <c r="H29" s="625"/>
      <c r="I29" s="625"/>
      <c r="J29" s="626"/>
      <c r="K29" s="627"/>
      <c r="L29" s="141"/>
      <c r="M29" s="141"/>
      <c r="N29" s="141"/>
      <c r="O29" s="142"/>
      <c r="P29" s="141"/>
      <c r="Q29" s="142"/>
    </row>
    <row r="30" spans="1:17" ht="14.45" customHeight="1" thickBot="1" x14ac:dyDescent="0.25">
      <c r="A30" s="623"/>
      <c r="B30" s="143">
        <v>2019</v>
      </c>
      <c r="C30" s="144">
        <v>2020</v>
      </c>
      <c r="D30" s="144">
        <v>2021</v>
      </c>
      <c r="E30" s="488" t="s">
        <v>301</v>
      </c>
      <c r="F30" s="145" t="s">
        <v>2</v>
      </c>
      <c r="G30" s="144">
        <v>2019</v>
      </c>
      <c r="H30" s="144">
        <v>2020</v>
      </c>
      <c r="I30" s="144">
        <v>2021</v>
      </c>
      <c r="J30" s="144" t="s">
        <v>301</v>
      </c>
      <c r="K30" s="145" t="s">
        <v>2</v>
      </c>
      <c r="L30" s="141"/>
      <c r="M30" s="141"/>
      <c r="N30" s="146" t="s">
        <v>58</v>
      </c>
      <c r="O30" s="147" t="s">
        <v>59</v>
      </c>
      <c r="P30" s="146" t="s">
        <v>302</v>
      </c>
      <c r="Q30" s="147" t="s">
        <v>303</v>
      </c>
    </row>
    <row r="31" spans="1:17" ht="14.45" hidden="1" customHeight="1" outlineLevel="1" x14ac:dyDescent="0.2">
      <c r="A31" s="419" t="s">
        <v>152</v>
      </c>
      <c r="B31" s="105">
        <v>0</v>
      </c>
      <c r="C31" s="100">
        <v>0</v>
      </c>
      <c r="D31" s="100">
        <v>0</v>
      </c>
      <c r="E31" s="403" t="str">
        <f>IF(OR(D31=0,B31=0),"",D31/B31)</f>
        <v/>
      </c>
      <c r="F31" s="115" t="str">
        <f>IF(OR(D31=0,C31=0),"",D31/C31)</f>
        <v/>
      </c>
      <c r="G31" s="116">
        <v>0</v>
      </c>
      <c r="H31" s="100">
        <v>0</v>
      </c>
      <c r="I31" s="100">
        <v>0</v>
      </c>
      <c r="J31" s="403" t="str">
        <f>IF(OR(I31=0,G31=0),"",I31/G31)</f>
        <v/>
      </c>
      <c r="K31" s="117" t="str">
        <f>IF(OR(I31=0,H31=0),"",I31/H31)</f>
        <v/>
      </c>
      <c r="L31" s="141"/>
      <c r="M31" s="141"/>
      <c r="N31" s="131">
        <f t="shared" ref="N31:N39" si="16">D31-C31</f>
        <v>0</v>
      </c>
      <c r="O31" s="132">
        <f t="shared" ref="O31:O39" si="17">I31-H31</f>
        <v>0</v>
      </c>
      <c r="P31" s="131">
        <f t="shared" ref="P31:P39" si="18">D31-B31</f>
        <v>0</v>
      </c>
      <c r="Q31" s="132">
        <f t="shared" ref="Q31:Q39" si="19">I31-G31</f>
        <v>0</v>
      </c>
    </row>
    <row r="32" spans="1:17" ht="14.45" hidden="1" customHeight="1" outlineLevel="1" x14ac:dyDescent="0.2">
      <c r="A32" s="420" t="s">
        <v>153</v>
      </c>
      <c r="B32" s="106">
        <v>0</v>
      </c>
      <c r="C32" s="99">
        <v>0</v>
      </c>
      <c r="D32" s="99">
        <v>0</v>
      </c>
      <c r="E32" s="404" t="str">
        <f t="shared" ref="E32:E38" si="20">IF(OR(D32=0,B32=0),"",D32/B32)</f>
        <v/>
      </c>
      <c r="F32" s="118" t="str">
        <f t="shared" ref="F32:F38" si="21">IF(OR(D32=0,C32=0),"",D32/C32)</f>
        <v/>
      </c>
      <c r="G32" s="119">
        <v>0</v>
      </c>
      <c r="H32" s="99">
        <v>0</v>
      </c>
      <c r="I32" s="99">
        <v>0</v>
      </c>
      <c r="J32" s="404" t="str">
        <f t="shared" ref="J32:J38" si="22">IF(OR(I32=0,G32=0),"",I32/G32)</f>
        <v/>
      </c>
      <c r="K32" s="120" t="str">
        <f t="shared" ref="K32:K38" si="23">IF(OR(I32=0,H32=0),"",I32/H32)</f>
        <v/>
      </c>
      <c r="L32" s="141"/>
      <c r="M32" s="141"/>
      <c r="N32" s="133">
        <f t="shared" si="16"/>
        <v>0</v>
      </c>
      <c r="O32" s="134">
        <f t="shared" si="17"/>
        <v>0</v>
      </c>
      <c r="P32" s="133">
        <f t="shared" si="18"/>
        <v>0</v>
      </c>
      <c r="Q32" s="134">
        <f t="shared" si="19"/>
        <v>0</v>
      </c>
    </row>
    <row r="33" spans="1:17" ht="14.45" hidden="1" customHeight="1" outlineLevel="1" x14ac:dyDescent="0.2">
      <c r="A33" s="420" t="s">
        <v>154</v>
      </c>
      <c r="B33" s="106">
        <v>0</v>
      </c>
      <c r="C33" s="99">
        <v>0</v>
      </c>
      <c r="D33" s="99">
        <v>0</v>
      </c>
      <c r="E33" s="404" t="str">
        <f t="shared" si="20"/>
        <v/>
      </c>
      <c r="F33" s="118" t="str">
        <f t="shared" si="21"/>
        <v/>
      </c>
      <c r="G33" s="119">
        <v>0</v>
      </c>
      <c r="H33" s="99">
        <v>0</v>
      </c>
      <c r="I33" s="99">
        <v>0</v>
      </c>
      <c r="J33" s="404" t="str">
        <f t="shared" si="22"/>
        <v/>
      </c>
      <c r="K33" s="120" t="str">
        <f t="shared" si="23"/>
        <v/>
      </c>
      <c r="L33" s="141"/>
      <c r="M33" s="141"/>
      <c r="N33" s="133">
        <f t="shared" si="16"/>
        <v>0</v>
      </c>
      <c r="O33" s="134">
        <f t="shared" si="17"/>
        <v>0</v>
      </c>
      <c r="P33" s="133">
        <f t="shared" si="18"/>
        <v>0</v>
      </c>
      <c r="Q33" s="134">
        <f t="shared" si="19"/>
        <v>0</v>
      </c>
    </row>
    <row r="34" spans="1:17" ht="14.45" hidden="1" customHeight="1" outlineLevel="1" x14ac:dyDescent="0.2">
      <c r="A34" s="420" t="s">
        <v>155</v>
      </c>
      <c r="B34" s="106">
        <v>0</v>
      </c>
      <c r="C34" s="99">
        <v>0</v>
      </c>
      <c r="D34" s="99">
        <v>0</v>
      </c>
      <c r="E34" s="404" t="str">
        <f t="shared" si="20"/>
        <v/>
      </c>
      <c r="F34" s="118" t="str">
        <f t="shared" si="21"/>
        <v/>
      </c>
      <c r="G34" s="119">
        <v>0</v>
      </c>
      <c r="H34" s="99">
        <v>0</v>
      </c>
      <c r="I34" s="99">
        <v>0</v>
      </c>
      <c r="J34" s="404" t="str">
        <f t="shared" si="22"/>
        <v/>
      </c>
      <c r="K34" s="120" t="str">
        <f t="shared" si="23"/>
        <v/>
      </c>
      <c r="L34" s="141"/>
      <c r="M34" s="141"/>
      <c r="N34" s="133">
        <f t="shared" si="16"/>
        <v>0</v>
      </c>
      <c r="O34" s="134">
        <f t="shared" si="17"/>
        <v>0</v>
      </c>
      <c r="P34" s="133">
        <f t="shared" si="18"/>
        <v>0</v>
      </c>
      <c r="Q34" s="134">
        <f t="shared" si="19"/>
        <v>0</v>
      </c>
    </row>
    <row r="35" spans="1:17" ht="14.45" hidden="1" customHeight="1" outlineLevel="1" x14ac:dyDescent="0.2">
      <c r="A35" s="420" t="s">
        <v>156</v>
      </c>
      <c r="B35" s="106">
        <v>0</v>
      </c>
      <c r="C35" s="99">
        <v>0</v>
      </c>
      <c r="D35" s="99">
        <v>0</v>
      </c>
      <c r="E35" s="404" t="str">
        <f t="shared" si="20"/>
        <v/>
      </c>
      <c r="F35" s="118" t="str">
        <f t="shared" si="21"/>
        <v/>
      </c>
      <c r="G35" s="119">
        <v>0</v>
      </c>
      <c r="H35" s="99">
        <v>0</v>
      </c>
      <c r="I35" s="99">
        <v>0</v>
      </c>
      <c r="J35" s="404" t="str">
        <f t="shared" si="22"/>
        <v/>
      </c>
      <c r="K35" s="120" t="str">
        <f t="shared" si="23"/>
        <v/>
      </c>
      <c r="L35" s="141"/>
      <c r="M35" s="141"/>
      <c r="N35" s="133">
        <f t="shared" si="16"/>
        <v>0</v>
      </c>
      <c r="O35" s="134">
        <f t="shared" si="17"/>
        <v>0</v>
      </c>
      <c r="P35" s="133">
        <f t="shared" si="18"/>
        <v>0</v>
      </c>
      <c r="Q35" s="134">
        <f t="shared" si="19"/>
        <v>0</v>
      </c>
    </row>
    <row r="36" spans="1:17" ht="14.45" hidden="1" customHeight="1" outlineLevel="1" x14ac:dyDescent="0.2">
      <c r="A36" s="420" t="s">
        <v>157</v>
      </c>
      <c r="B36" s="106">
        <v>0</v>
      </c>
      <c r="C36" s="99">
        <v>0</v>
      </c>
      <c r="D36" s="99">
        <v>0</v>
      </c>
      <c r="E36" s="404" t="str">
        <f t="shared" si="20"/>
        <v/>
      </c>
      <c r="F36" s="118" t="str">
        <f t="shared" si="21"/>
        <v/>
      </c>
      <c r="G36" s="119">
        <v>0</v>
      </c>
      <c r="H36" s="99">
        <v>0</v>
      </c>
      <c r="I36" s="99">
        <v>0</v>
      </c>
      <c r="J36" s="404" t="str">
        <f t="shared" si="22"/>
        <v/>
      </c>
      <c r="K36" s="120" t="str">
        <f t="shared" si="23"/>
        <v/>
      </c>
      <c r="L36" s="141"/>
      <c r="M36" s="141"/>
      <c r="N36" s="133">
        <f t="shared" si="16"/>
        <v>0</v>
      </c>
      <c r="O36" s="134">
        <f t="shared" si="17"/>
        <v>0</v>
      </c>
      <c r="P36" s="133">
        <f t="shared" si="18"/>
        <v>0</v>
      </c>
      <c r="Q36" s="134">
        <f t="shared" si="19"/>
        <v>0</v>
      </c>
    </row>
    <row r="37" spans="1:17" ht="14.45" hidden="1" customHeight="1" outlineLevel="1" x14ac:dyDescent="0.2">
      <c r="A37" s="420" t="s">
        <v>158</v>
      </c>
      <c r="B37" s="106">
        <v>0</v>
      </c>
      <c r="C37" s="99">
        <v>0</v>
      </c>
      <c r="D37" s="99">
        <v>0</v>
      </c>
      <c r="E37" s="404" t="str">
        <f t="shared" si="20"/>
        <v/>
      </c>
      <c r="F37" s="118" t="str">
        <f t="shared" si="21"/>
        <v/>
      </c>
      <c r="G37" s="119">
        <v>0</v>
      </c>
      <c r="H37" s="99">
        <v>0</v>
      </c>
      <c r="I37" s="99">
        <v>0</v>
      </c>
      <c r="J37" s="404" t="str">
        <f t="shared" si="22"/>
        <v/>
      </c>
      <c r="K37" s="120" t="str">
        <f t="shared" si="23"/>
        <v/>
      </c>
      <c r="L37" s="141"/>
      <c r="M37" s="141"/>
      <c r="N37" s="133">
        <f t="shared" si="16"/>
        <v>0</v>
      </c>
      <c r="O37" s="134">
        <f t="shared" si="17"/>
        <v>0</v>
      </c>
      <c r="P37" s="133">
        <f t="shared" si="18"/>
        <v>0</v>
      </c>
      <c r="Q37" s="134">
        <f t="shared" si="19"/>
        <v>0</v>
      </c>
    </row>
    <row r="38" spans="1:17" ht="14.45" hidden="1" customHeight="1" outlineLevel="1" thickBot="1" x14ac:dyDescent="0.25">
      <c r="A38" s="421" t="s">
        <v>186</v>
      </c>
      <c r="B38" s="224">
        <v>0</v>
      </c>
      <c r="C38" s="225">
        <v>0</v>
      </c>
      <c r="D38" s="225">
        <v>0</v>
      </c>
      <c r="E38" s="405" t="str">
        <f t="shared" si="20"/>
        <v/>
      </c>
      <c r="F38" s="226" t="str">
        <f t="shared" si="21"/>
        <v/>
      </c>
      <c r="G38" s="227">
        <v>0</v>
      </c>
      <c r="H38" s="225">
        <v>0</v>
      </c>
      <c r="I38" s="225">
        <v>0</v>
      </c>
      <c r="J38" s="405" t="str">
        <f t="shared" si="22"/>
        <v/>
      </c>
      <c r="K38" s="228" t="str">
        <f t="shared" si="23"/>
        <v/>
      </c>
      <c r="L38" s="141"/>
      <c r="M38" s="141"/>
      <c r="N38" s="231">
        <f t="shared" si="16"/>
        <v>0</v>
      </c>
      <c r="O38" s="232">
        <f t="shared" si="17"/>
        <v>0</v>
      </c>
      <c r="P38" s="231">
        <f t="shared" si="18"/>
        <v>0</v>
      </c>
      <c r="Q38" s="232">
        <f t="shared" si="19"/>
        <v>0</v>
      </c>
    </row>
    <row r="39" spans="1:17" ht="14.45" customHeight="1" collapsed="1" thickBot="1" x14ac:dyDescent="0.25">
      <c r="A39" s="423" t="s">
        <v>3</v>
      </c>
      <c r="B39" s="104">
        <f>SUM(B31:B38)</f>
        <v>0</v>
      </c>
      <c r="C39" s="148">
        <f>SUM(C31:C38)</f>
        <v>0</v>
      </c>
      <c r="D39" s="148">
        <f>SUM(D31:D38)</f>
        <v>0</v>
      </c>
      <c r="E39" s="401">
        <f>IF(OR(D39=0,B39=0),0,D39/B39)</f>
        <v>0</v>
      </c>
      <c r="F39" s="149">
        <f>IF(OR(D39=0,C39=0),0,D39/C39)</f>
        <v>0</v>
      </c>
      <c r="G39" s="150">
        <f>SUM(G31:G38)</f>
        <v>0</v>
      </c>
      <c r="H39" s="148">
        <f>SUM(H31:H38)</f>
        <v>0</v>
      </c>
      <c r="I39" s="148">
        <f>SUM(I31:I38)</f>
        <v>0</v>
      </c>
      <c r="J39" s="401">
        <f>IF(OR(I39=0,G39=0),0,I39/G39)</f>
        <v>0</v>
      </c>
      <c r="K39" s="151">
        <f>IF(OR(I39=0,H39=0),0,I39/H39)</f>
        <v>0</v>
      </c>
      <c r="L39" s="141"/>
      <c r="M39" s="141"/>
      <c r="N39" s="146">
        <f t="shared" si="16"/>
        <v>0</v>
      </c>
      <c r="O39" s="152">
        <f t="shared" si="17"/>
        <v>0</v>
      </c>
      <c r="P39" s="146">
        <f t="shared" si="18"/>
        <v>0</v>
      </c>
      <c r="Q39" s="152">
        <f t="shared" si="19"/>
        <v>0</v>
      </c>
    </row>
    <row r="40" spans="1:17" ht="14.45" customHeight="1" x14ac:dyDescent="0.2">
      <c r="A40" s="337"/>
      <c r="B40" s="337"/>
      <c r="C40" s="337"/>
      <c r="D40" s="337"/>
      <c r="E40" s="337"/>
      <c r="F40" s="338"/>
      <c r="G40" s="337"/>
      <c r="H40" s="337"/>
      <c r="I40" s="337"/>
      <c r="J40" s="337"/>
      <c r="K40" s="339"/>
      <c r="L40" s="337"/>
      <c r="M40" s="337"/>
      <c r="N40" s="337"/>
      <c r="O40" s="337"/>
      <c r="P40" s="337"/>
      <c r="Q40" s="337"/>
    </row>
    <row r="41" spans="1:17" ht="14.45" customHeight="1" thickBot="1" x14ac:dyDescent="0.25">
      <c r="A41" s="337"/>
      <c r="B41" s="337"/>
      <c r="C41" s="337"/>
      <c r="D41" s="337"/>
      <c r="E41" s="337"/>
      <c r="F41" s="338"/>
      <c r="G41" s="337"/>
      <c r="H41" s="337"/>
      <c r="I41" s="337"/>
      <c r="J41" s="337"/>
      <c r="K41" s="339"/>
      <c r="L41" s="337"/>
      <c r="M41" s="337"/>
      <c r="N41" s="337"/>
      <c r="O41" s="337"/>
      <c r="P41" s="337"/>
      <c r="Q41" s="337"/>
    </row>
    <row r="42" spans="1:17" ht="14.45" customHeight="1" thickBot="1" x14ac:dyDescent="0.25">
      <c r="A42" s="616" t="s">
        <v>236</v>
      </c>
      <c r="B42" s="618" t="s">
        <v>57</v>
      </c>
      <c r="C42" s="619"/>
      <c r="D42" s="619"/>
      <c r="E42" s="620"/>
      <c r="F42" s="621"/>
      <c r="G42" s="619" t="s">
        <v>217</v>
      </c>
      <c r="H42" s="619"/>
      <c r="I42" s="619"/>
      <c r="J42" s="620"/>
      <c r="K42" s="621"/>
      <c r="L42" s="141"/>
      <c r="M42" s="141"/>
      <c r="N42" s="141"/>
      <c r="O42" s="142"/>
      <c r="P42" s="141"/>
      <c r="Q42" s="142"/>
    </row>
    <row r="43" spans="1:17" ht="14.45" customHeight="1" thickBot="1" x14ac:dyDescent="0.25">
      <c r="A43" s="617"/>
      <c r="B43" s="386">
        <v>2019</v>
      </c>
      <c r="C43" s="387">
        <v>2020</v>
      </c>
      <c r="D43" s="387">
        <v>2021</v>
      </c>
      <c r="E43" s="489" t="s">
        <v>301</v>
      </c>
      <c r="F43" s="388" t="s">
        <v>2</v>
      </c>
      <c r="G43" s="387">
        <v>2019</v>
      </c>
      <c r="H43" s="387">
        <v>2020</v>
      </c>
      <c r="I43" s="387">
        <v>2021</v>
      </c>
      <c r="J43" s="387" t="s">
        <v>301</v>
      </c>
      <c r="K43" s="388" t="s">
        <v>2</v>
      </c>
      <c r="L43" s="141"/>
      <c r="M43" s="141"/>
      <c r="N43" s="394" t="s">
        <v>58</v>
      </c>
      <c r="O43" s="396" t="s">
        <v>59</v>
      </c>
      <c r="P43" s="394" t="s">
        <v>302</v>
      </c>
      <c r="Q43" s="396" t="s">
        <v>303</v>
      </c>
    </row>
    <row r="44" spans="1:17" ht="14.45" hidden="1" customHeight="1" outlineLevel="1" x14ac:dyDescent="0.2">
      <c r="A44" s="419" t="s">
        <v>152</v>
      </c>
      <c r="B44" s="105">
        <v>0</v>
      </c>
      <c r="C44" s="100">
        <v>0</v>
      </c>
      <c r="D44" s="100">
        <v>0</v>
      </c>
      <c r="E44" s="403" t="str">
        <f>IF(OR(D44=0,B44=0),"",D44/B44)</f>
        <v/>
      </c>
      <c r="F44" s="115" t="str">
        <f>IF(OR(D44=0,C44=0),"",D44/C44)</f>
        <v/>
      </c>
      <c r="G44" s="116">
        <v>0</v>
      </c>
      <c r="H44" s="100">
        <v>0</v>
      </c>
      <c r="I44" s="100">
        <v>0</v>
      </c>
      <c r="J44" s="403" t="str">
        <f>IF(OR(I44=0,G44=0),"",I44/G44)</f>
        <v/>
      </c>
      <c r="K44" s="117" t="str">
        <f>IF(OR(I44=0,H44=0),"",I44/H44)</f>
        <v/>
      </c>
      <c r="L44" s="141"/>
      <c r="M44" s="141"/>
      <c r="N44" s="131">
        <f t="shared" ref="N44:N52" si="24">D44-C44</f>
        <v>0</v>
      </c>
      <c r="O44" s="132">
        <f t="shared" ref="O44:O52" si="25">I44-H44</f>
        <v>0</v>
      </c>
      <c r="P44" s="131">
        <f t="shared" ref="P44:P52" si="26">D44-B44</f>
        <v>0</v>
      </c>
      <c r="Q44" s="132">
        <f t="shared" ref="Q44:Q52" si="27">I44-G44</f>
        <v>0</v>
      </c>
    </row>
    <row r="45" spans="1:17" ht="14.45" hidden="1" customHeight="1" outlineLevel="1" x14ac:dyDescent="0.2">
      <c r="A45" s="420" t="s">
        <v>153</v>
      </c>
      <c r="B45" s="106">
        <v>0</v>
      </c>
      <c r="C45" s="99">
        <v>0</v>
      </c>
      <c r="D45" s="99">
        <v>0</v>
      </c>
      <c r="E45" s="404" t="str">
        <f t="shared" ref="E45:E51" si="28">IF(OR(D45=0,B45=0),"",D45/B45)</f>
        <v/>
      </c>
      <c r="F45" s="118" t="str">
        <f t="shared" ref="F45:F51" si="29">IF(OR(D45=0,C45=0),"",D45/C45)</f>
        <v/>
      </c>
      <c r="G45" s="119">
        <v>0</v>
      </c>
      <c r="H45" s="99">
        <v>0</v>
      </c>
      <c r="I45" s="99">
        <v>0</v>
      </c>
      <c r="J45" s="404" t="str">
        <f t="shared" ref="J45:J51" si="30">IF(OR(I45=0,G45=0),"",I45/G45)</f>
        <v/>
      </c>
      <c r="K45" s="120" t="str">
        <f t="shared" ref="K45:K51" si="31">IF(OR(I45=0,H45=0),"",I45/H45)</f>
        <v/>
      </c>
      <c r="L45" s="141"/>
      <c r="M45" s="141"/>
      <c r="N45" s="133">
        <f t="shared" si="24"/>
        <v>0</v>
      </c>
      <c r="O45" s="134">
        <f t="shared" si="25"/>
        <v>0</v>
      </c>
      <c r="P45" s="133">
        <f t="shared" si="26"/>
        <v>0</v>
      </c>
      <c r="Q45" s="134">
        <f t="shared" si="27"/>
        <v>0</v>
      </c>
    </row>
    <row r="46" spans="1:17" ht="14.45" hidden="1" customHeight="1" outlineLevel="1" x14ac:dyDescent="0.2">
      <c r="A46" s="420" t="s">
        <v>154</v>
      </c>
      <c r="B46" s="106">
        <v>0</v>
      </c>
      <c r="C46" s="99">
        <v>0</v>
      </c>
      <c r="D46" s="99">
        <v>0</v>
      </c>
      <c r="E46" s="404" t="str">
        <f t="shared" si="28"/>
        <v/>
      </c>
      <c r="F46" s="118" t="str">
        <f t="shared" si="29"/>
        <v/>
      </c>
      <c r="G46" s="119">
        <v>0</v>
      </c>
      <c r="H46" s="99">
        <v>0</v>
      </c>
      <c r="I46" s="99">
        <v>0</v>
      </c>
      <c r="J46" s="404" t="str">
        <f t="shared" si="30"/>
        <v/>
      </c>
      <c r="K46" s="120" t="str">
        <f t="shared" si="31"/>
        <v/>
      </c>
      <c r="L46" s="141"/>
      <c r="M46" s="141"/>
      <c r="N46" s="133">
        <f t="shared" si="24"/>
        <v>0</v>
      </c>
      <c r="O46" s="134">
        <f t="shared" si="25"/>
        <v>0</v>
      </c>
      <c r="P46" s="133">
        <f t="shared" si="26"/>
        <v>0</v>
      </c>
      <c r="Q46" s="134">
        <f t="shared" si="27"/>
        <v>0</v>
      </c>
    </row>
    <row r="47" spans="1:17" ht="14.45" hidden="1" customHeight="1" outlineLevel="1" x14ac:dyDescent="0.2">
      <c r="A47" s="420" t="s">
        <v>155</v>
      </c>
      <c r="B47" s="106">
        <v>0</v>
      </c>
      <c r="C47" s="99">
        <v>0</v>
      </c>
      <c r="D47" s="99">
        <v>0</v>
      </c>
      <c r="E47" s="404" t="str">
        <f t="shared" si="28"/>
        <v/>
      </c>
      <c r="F47" s="118" t="str">
        <f t="shared" si="29"/>
        <v/>
      </c>
      <c r="G47" s="119">
        <v>0</v>
      </c>
      <c r="H47" s="99">
        <v>0</v>
      </c>
      <c r="I47" s="99">
        <v>0</v>
      </c>
      <c r="J47" s="404" t="str">
        <f t="shared" si="30"/>
        <v/>
      </c>
      <c r="K47" s="120" t="str">
        <f t="shared" si="31"/>
        <v/>
      </c>
      <c r="L47" s="141"/>
      <c r="M47" s="141"/>
      <c r="N47" s="133">
        <f t="shared" si="24"/>
        <v>0</v>
      </c>
      <c r="O47" s="134">
        <f t="shared" si="25"/>
        <v>0</v>
      </c>
      <c r="P47" s="133">
        <f t="shared" si="26"/>
        <v>0</v>
      </c>
      <c r="Q47" s="134">
        <f t="shared" si="27"/>
        <v>0</v>
      </c>
    </row>
    <row r="48" spans="1:17" ht="14.45" hidden="1" customHeight="1" outlineLevel="1" x14ac:dyDescent="0.2">
      <c r="A48" s="420" t="s">
        <v>156</v>
      </c>
      <c r="B48" s="106">
        <v>0</v>
      </c>
      <c r="C48" s="99">
        <v>0</v>
      </c>
      <c r="D48" s="99">
        <v>0</v>
      </c>
      <c r="E48" s="404" t="str">
        <f t="shared" si="28"/>
        <v/>
      </c>
      <c r="F48" s="118" t="str">
        <f t="shared" si="29"/>
        <v/>
      </c>
      <c r="G48" s="119">
        <v>0</v>
      </c>
      <c r="H48" s="99">
        <v>0</v>
      </c>
      <c r="I48" s="99">
        <v>0</v>
      </c>
      <c r="J48" s="404" t="str">
        <f t="shared" si="30"/>
        <v/>
      </c>
      <c r="K48" s="120" t="str">
        <f t="shared" si="31"/>
        <v/>
      </c>
      <c r="L48" s="141"/>
      <c r="M48" s="141"/>
      <c r="N48" s="133">
        <f t="shared" si="24"/>
        <v>0</v>
      </c>
      <c r="O48" s="134">
        <f t="shared" si="25"/>
        <v>0</v>
      </c>
      <c r="P48" s="133">
        <f t="shared" si="26"/>
        <v>0</v>
      </c>
      <c r="Q48" s="134">
        <f t="shared" si="27"/>
        <v>0</v>
      </c>
    </row>
    <row r="49" spans="1:17" ht="14.45" hidden="1" customHeight="1" outlineLevel="1" x14ac:dyDescent="0.2">
      <c r="A49" s="420" t="s">
        <v>157</v>
      </c>
      <c r="B49" s="106">
        <v>0</v>
      </c>
      <c r="C49" s="99">
        <v>0</v>
      </c>
      <c r="D49" s="99">
        <v>0</v>
      </c>
      <c r="E49" s="404" t="str">
        <f t="shared" si="28"/>
        <v/>
      </c>
      <c r="F49" s="118" t="str">
        <f t="shared" si="29"/>
        <v/>
      </c>
      <c r="G49" s="119">
        <v>0</v>
      </c>
      <c r="H49" s="99">
        <v>0</v>
      </c>
      <c r="I49" s="99">
        <v>0</v>
      </c>
      <c r="J49" s="404" t="str">
        <f t="shared" si="30"/>
        <v/>
      </c>
      <c r="K49" s="120" t="str">
        <f t="shared" si="31"/>
        <v/>
      </c>
      <c r="L49" s="141"/>
      <c r="M49" s="141"/>
      <c r="N49" s="133">
        <f t="shared" si="24"/>
        <v>0</v>
      </c>
      <c r="O49" s="134">
        <f t="shared" si="25"/>
        <v>0</v>
      </c>
      <c r="P49" s="133">
        <f t="shared" si="26"/>
        <v>0</v>
      </c>
      <c r="Q49" s="134">
        <f t="shared" si="27"/>
        <v>0</v>
      </c>
    </row>
    <row r="50" spans="1:17" ht="14.45" hidden="1" customHeight="1" outlineLevel="1" x14ac:dyDescent="0.2">
      <c r="A50" s="420" t="s">
        <v>158</v>
      </c>
      <c r="B50" s="106">
        <v>0</v>
      </c>
      <c r="C50" s="99">
        <v>0</v>
      </c>
      <c r="D50" s="99">
        <v>0</v>
      </c>
      <c r="E50" s="404" t="str">
        <f t="shared" si="28"/>
        <v/>
      </c>
      <c r="F50" s="118" t="str">
        <f t="shared" si="29"/>
        <v/>
      </c>
      <c r="G50" s="119">
        <v>0</v>
      </c>
      <c r="H50" s="99">
        <v>0</v>
      </c>
      <c r="I50" s="99">
        <v>0</v>
      </c>
      <c r="J50" s="404" t="str">
        <f t="shared" si="30"/>
        <v/>
      </c>
      <c r="K50" s="120" t="str">
        <f t="shared" si="31"/>
        <v/>
      </c>
      <c r="L50" s="141"/>
      <c r="M50" s="141"/>
      <c r="N50" s="133">
        <f t="shared" si="24"/>
        <v>0</v>
      </c>
      <c r="O50" s="134">
        <f t="shared" si="25"/>
        <v>0</v>
      </c>
      <c r="P50" s="133">
        <f t="shared" si="26"/>
        <v>0</v>
      </c>
      <c r="Q50" s="134">
        <f t="shared" si="27"/>
        <v>0</v>
      </c>
    </row>
    <row r="51" spans="1:17" ht="14.45" hidden="1" customHeight="1" outlineLevel="1" thickBot="1" x14ac:dyDescent="0.25">
      <c r="A51" s="421" t="s">
        <v>186</v>
      </c>
      <c r="B51" s="224">
        <v>0</v>
      </c>
      <c r="C51" s="225">
        <v>0</v>
      </c>
      <c r="D51" s="225">
        <v>0</v>
      </c>
      <c r="E51" s="405" t="str">
        <f t="shared" si="28"/>
        <v/>
      </c>
      <c r="F51" s="226" t="str">
        <f t="shared" si="29"/>
        <v/>
      </c>
      <c r="G51" s="227">
        <v>0</v>
      </c>
      <c r="H51" s="225">
        <v>0</v>
      </c>
      <c r="I51" s="225">
        <v>0</v>
      </c>
      <c r="J51" s="405" t="str">
        <f t="shared" si="30"/>
        <v/>
      </c>
      <c r="K51" s="228" t="str">
        <f t="shared" si="31"/>
        <v/>
      </c>
      <c r="L51" s="141"/>
      <c r="M51" s="141"/>
      <c r="N51" s="231">
        <f t="shared" si="24"/>
        <v>0</v>
      </c>
      <c r="O51" s="232">
        <f t="shared" si="25"/>
        <v>0</v>
      </c>
      <c r="P51" s="231">
        <f t="shared" si="26"/>
        <v>0</v>
      </c>
      <c r="Q51" s="232">
        <f t="shared" si="27"/>
        <v>0</v>
      </c>
    </row>
    <row r="52" spans="1:17" ht="14.45" customHeight="1" collapsed="1" thickBot="1" x14ac:dyDescent="0.25">
      <c r="A52" s="422" t="s">
        <v>3</v>
      </c>
      <c r="B52" s="389">
        <f>SUM(B44:B51)</f>
        <v>0</v>
      </c>
      <c r="C52" s="390">
        <f>SUM(C44:C51)</f>
        <v>0</v>
      </c>
      <c r="D52" s="390">
        <f>SUM(D44:D51)</f>
        <v>0</v>
      </c>
      <c r="E52" s="402">
        <f>IF(OR(D52=0,B52=0),0,D52/B52)</f>
        <v>0</v>
      </c>
      <c r="F52" s="391">
        <f>IF(OR(D52=0,C52=0),0,D52/C52)</f>
        <v>0</v>
      </c>
      <c r="G52" s="392">
        <f>SUM(G44:G51)</f>
        <v>0</v>
      </c>
      <c r="H52" s="390">
        <f>SUM(H44:H51)</f>
        <v>0</v>
      </c>
      <c r="I52" s="390">
        <f>SUM(I44:I51)</f>
        <v>0</v>
      </c>
      <c r="J52" s="402">
        <f>IF(OR(I52=0,G52=0),0,I52/G52)</f>
        <v>0</v>
      </c>
      <c r="K52" s="393">
        <f>IF(OR(I52=0,H52=0),0,I52/H52)</f>
        <v>0</v>
      </c>
      <c r="L52" s="141"/>
      <c r="M52" s="141"/>
      <c r="N52" s="394">
        <f t="shared" si="24"/>
        <v>0</v>
      </c>
      <c r="O52" s="395">
        <f t="shared" si="25"/>
        <v>0</v>
      </c>
      <c r="P52" s="394">
        <f t="shared" si="26"/>
        <v>0</v>
      </c>
      <c r="Q52" s="395">
        <f t="shared" si="27"/>
        <v>0</v>
      </c>
    </row>
    <row r="53" spans="1:17" ht="14.45" customHeight="1" x14ac:dyDescent="0.2">
      <c r="A53" s="337"/>
      <c r="B53" s="337"/>
      <c r="C53" s="337"/>
      <c r="D53" s="337"/>
      <c r="E53" s="337"/>
      <c r="F53" s="338"/>
      <c r="G53" s="337"/>
      <c r="H53" s="337"/>
      <c r="I53" s="337"/>
      <c r="J53" s="337"/>
      <c r="K53" s="339"/>
      <c r="L53" s="337"/>
      <c r="M53" s="337"/>
      <c r="N53" s="337"/>
      <c r="O53" s="337"/>
    </row>
    <row r="54" spans="1:17" ht="14.45" customHeight="1" x14ac:dyDescent="0.2">
      <c r="A54" s="241" t="s">
        <v>233</v>
      </c>
      <c r="B54" s="337"/>
      <c r="C54" s="337"/>
      <c r="D54" s="337"/>
      <c r="E54" s="337"/>
      <c r="F54" s="338"/>
      <c r="G54" s="337"/>
      <c r="H54" s="337"/>
      <c r="I54" s="337"/>
      <c r="J54" s="337"/>
      <c r="K54" s="339"/>
      <c r="L54" s="337"/>
      <c r="M54" s="337"/>
      <c r="N54" s="337"/>
      <c r="O54" s="337"/>
    </row>
    <row r="55" spans="1:17" ht="14.45" customHeight="1" x14ac:dyDescent="0.2">
      <c r="A55" s="364" t="s">
        <v>273</v>
      </c>
    </row>
    <row r="56" spans="1:17" ht="14.45" customHeight="1" x14ac:dyDescent="0.2">
      <c r="A56" s="365" t="s">
        <v>274</v>
      </c>
    </row>
    <row r="57" spans="1:17" ht="14.45" customHeight="1" x14ac:dyDescent="0.2">
      <c r="A57" s="364" t="s">
        <v>275</v>
      </c>
    </row>
    <row r="58" spans="1:17" ht="14.45" customHeight="1" x14ac:dyDescent="0.2">
      <c r="A58" s="365" t="s">
        <v>276</v>
      </c>
    </row>
    <row r="59" spans="1:17" ht="14.45" customHeight="1" x14ac:dyDescent="0.2">
      <c r="A59" s="365" t="s">
        <v>239</v>
      </c>
    </row>
  </sheetData>
  <mergeCells count="26">
    <mergeCell ref="L17:M17"/>
    <mergeCell ref="L18:M18"/>
    <mergeCell ref="A3:A4"/>
    <mergeCell ref="B3:F3"/>
    <mergeCell ref="G3:K3"/>
    <mergeCell ref="B14:F14"/>
    <mergeCell ref="G14:K14"/>
    <mergeCell ref="A16:A17"/>
    <mergeCell ref="B16:F16"/>
    <mergeCell ref="G16:K16"/>
    <mergeCell ref="A1:Q1"/>
    <mergeCell ref="B27:F27"/>
    <mergeCell ref="G27:K27"/>
    <mergeCell ref="A42:A43"/>
    <mergeCell ref="B42:F42"/>
    <mergeCell ref="G42:K42"/>
    <mergeCell ref="A29:A30"/>
    <mergeCell ref="B29:F29"/>
    <mergeCell ref="G29:K29"/>
    <mergeCell ref="L24:M24"/>
    <mergeCell ref="L19:M19"/>
    <mergeCell ref="L20:M20"/>
    <mergeCell ref="L21:M21"/>
    <mergeCell ref="L22:M22"/>
    <mergeCell ref="L23:M23"/>
    <mergeCell ref="L16:M16"/>
  </mergeCells>
  <conditionalFormatting sqref="E18:F26">
    <cfRule type="cellIs" dxfId="20" priority="22" stopIfTrue="1" operator="lessThan">
      <formula>1</formula>
    </cfRule>
  </conditionalFormatting>
  <conditionalFormatting sqref="J18:K26">
    <cfRule type="cellIs" dxfId="19" priority="21" stopIfTrue="1" operator="lessThan">
      <formula>0.95</formula>
    </cfRule>
  </conditionalFormatting>
  <conditionalFormatting sqref="N5:O13 N18:O26 N31:O39 N44:O52">
    <cfRule type="cellIs" dxfId="18" priority="20" stopIfTrue="1" operator="lessThan">
      <formula>0</formula>
    </cfRule>
  </conditionalFormatting>
  <conditionalFormatting sqref="I44:I51">
    <cfRule type="dataBar" priority="9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{3618E70B-ADFA-46AD-A9D8-C8FF58F74EFB}</x14:id>
        </ext>
      </extLst>
    </cfRule>
  </conditionalFormatting>
  <conditionalFormatting sqref="D44:D51">
    <cfRule type="dataBar" priority="8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{7F2004AB-4FA4-4720-93C9-312F953BBD90}</x14:id>
        </ext>
      </extLst>
    </cfRule>
  </conditionalFormatting>
  <conditionalFormatting sqref="I31:I38">
    <cfRule type="dataBar" priority="7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{3D075FD4-A7D0-4807-A53E-05C1BA105099}</x14:id>
        </ext>
      </extLst>
    </cfRule>
  </conditionalFormatting>
  <conditionalFormatting sqref="D31:D38">
    <cfRule type="dataBar" priority="6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{19BACB92-4D18-4752-8A25-B7256041DD23}</x14:id>
        </ext>
      </extLst>
    </cfRule>
  </conditionalFormatting>
  <conditionalFormatting sqref="I18:I25">
    <cfRule type="dataBar" priority="5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{A336E448-B8FF-4106-92FC-06D3F5AC9706}</x14:id>
        </ext>
      </extLst>
    </cfRule>
  </conditionalFormatting>
  <conditionalFormatting sqref="D18:D25">
    <cfRule type="dataBar" priority="4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{525EC3E1-9598-4710-8BDC-78E58F1A50D3}</x14:id>
        </ext>
      </extLst>
    </cfRule>
  </conditionalFormatting>
  <conditionalFormatting sqref="I5:I12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{0C99497D-F730-4E0E-A893-E49B929B09C7}</x14:id>
        </ext>
      </extLst>
    </cfRule>
  </conditionalFormatting>
  <conditionalFormatting sqref="D5:D12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{3706E862-9666-4A40-A239-77AD32F9ED0C}</x14:id>
        </ext>
      </extLst>
    </cfRule>
  </conditionalFormatting>
  <conditionalFormatting sqref="P5:Q13 P18:Q26 P31:Q39 P44:Q52">
    <cfRule type="cellIs" dxfId="17" priority="1" stopIfTrue="1" operator="lessThan">
      <formula>0</formula>
    </cfRule>
  </conditionalFormatting>
  <hyperlinks>
    <hyperlink ref="A2" location="Obsah!A1" display="Zpět na Obsah  KL 01  1.-4.měsíc" xr:uid="{AE68A9D0-5658-4EB7-8355-10F2259CBD68}"/>
  </hyperlinks>
  <pageMargins left="0.25" right="0.25" top="0.75" bottom="0.75" header="0.3" footer="0.3"/>
  <pageSetup paperSize="9" scale="93" fitToHeight="0" orientation="portrait" r:id="rId1"/>
  <headerFooter alignWithMargins="0">
    <oddFooter>&amp;L&amp;F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618E70B-ADFA-46AD-A9D8-C8FF58F74EFB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I44:I51</xm:sqref>
        </x14:conditionalFormatting>
        <x14:conditionalFormatting xmlns:xm="http://schemas.microsoft.com/office/excel/2006/main">
          <x14:cfRule type="dataBar" id="{7F2004AB-4FA4-4720-93C9-312F953BBD9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D44:D51</xm:sqref>
        </x14:conditionalFormatting>
        <x14:conditionalFormatting xmlns:xm="http://schemas.microsoft.com/office/excel/2006/main">
          <x14:cfRule type="dataBar" id="{3D075FD4-A7D0-4807-A53E-05C1BA10509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I31:I38</xm:sqref>
        </x14:conditionalFormatting>
        <x14:conditionalFormatting xmlns:xm="http://schemas.microsoft.com/office/excel/2006/main">
          <x14:cfRule type="dataBar" id="{19BACB92-4D18-4752-8A25-B7256041DD2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D31:D38</xm:sqref>
        </x14:conditionalFormatting>
        <x14:conditionalFormatting xmlns:xm="http://schemas.microsoft.com/office/excel/2006/main">
          <x14:cfRule type="dataBar" id="{A336E448-B8FF-4106-92FC-06D3F5AC970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I18:I25</xm:sqref>
        </x14:conditionalFormatting>
        <x14:conditionalFormatting xmlns:xm="http://schemas.microsoft.com/office/excel/2006/main">
          <x14:cfRule type="dataBar" id="{525EC3E1-9598-4710-8BDC-78E58F1A50D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D18:D25</xm:sqref>
        </x14:conditionalFormatting>
        <x14:conditionalFormatting xmlns:xm="http://schemas.microsoft.com/office/excel/2006/main">
          <x14:cfRule type="dataBar" id="{0C99497D-F730-4E0E-A893-E49B929B09C7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I5:I12</xm:sqref>
        </x14:conditionalFormatting>
        <x14:conditionalFormatting xmlns:xm="http://schemas.microsoft.com/office/excel/2006/main">
          <x14:cfRule type="dataBar" id="{3706E862-9666-4A40-A239-77AD32F9ED0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D5:D12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 codeName="List23">
    <tabColor theme="0" tint="-0.249977111117893"/>
    <pageSetUpPr fitToPage="1"/>
  </sheetPr>
  <dimension ref="A1:M45"/>
  <sheetViews>
    <sheetView showGridLines="0" showRowColHeaders="0" zoomScaleNormal="100" workbookViewId="0">
      <selection sqref="A1:M1"/>
    </sheetView>
  </sheetViews>
  <sheetFormatPr defaultColWidth="8.85546875" defaultRowHeight="14.45" customHeight="1" x14ac:dyDescent="0.2"/>
  <cols>
    <col min="1" max="1" width="5.42578125" style="73" bestFit="1" customWidth="1"/>
    <col min="2" max="3" width="7.7109375" style="188" customWidth="1"/>
    <col min="4" max="5" width="7.7109375" style="73" customWidth="1"/>
    <col min="6" max="6" width="14.85546875" style="73" bestFit="1" customWidth="1"/>
    <col min="7" max="7" width="2" style="73" bestFit="1" customWidth="1"/>
    <col min="8" max="8" width="5.28515625" style="73" bestFit="1" customWidth="1"/>
    <col min="9" max="9" width="7.7109375" style="73" bestFit="1" customWidth="1"/>
    <col min="10" max="10" width="6.85546875" style="73" bestFit="1" customWidth="1"/>
    <col min="11" max="11" width="17.28515625" style="73" bestFit="1" customWidth="1"/>
    <col min="12" max="13" width="19.7109375" style="73" bestFit="1" customWidth="1"/>
    <col min="14" max="16384" width="8.85546875" style="73"/>
  </cols>
  <sheetData>
    <row r="1" spans="1:13" ht="18.600000000000001" customHeight="1" thickBot="1" x14ac:dyDescent="0.35">
      <c r="A1" s="527" t="s">
        <v>101</v>
      </c>
      <c r="B1" s="590"/>
      <c r="C1" s="590"/>
      <c r="D1" s="590"/>
      <c r="E1" s="590"/>
      <c r="F1" s="590"/>
      <c r="G1" s="590"/>
      <c r="H1" s="590"/>
      <c r="I1" s="590"/>
      <c r="J1" s="590"/>
      <c r="K1" s="590"/>
      <c r="L1" s="590"/>
      <c r="M1" s="590"/>
    </row>
    <row r="2" spans="1:13" ht="14.45" customHeight="1" x14ac:dyDescent="0.2">
      <c r="A2" s="350" t="s">
        <v>305</v>
      </c>
      <c r="B2" s="184"/>
      <c r="C2" s="184"/>
      <c r="D2" s="74"/>
      <c r="E2" s="74"/>
      <c r="F2" s="74"/>
      <c r="G2" s="74"/>
      <c r="H2" s="74"/>
      <c r="I2" s="74"/>
      <c r="J2" s="74"/>
      <c r="K2" s="74"/>
      <c r="L2" s="74"/>
      <c r="M2" s="74"/>
    </row>
    <row r="3" spans="1:13" ht="14.45" customHeight="1" x14ac:dyDescent="0.2">
      <c r="A3" s="72"/>
      <c r="B3" s="342"/>
      <c r="C3" s="342"/>
      <c r="D3" s="72"/>
      <c r="E3" s="72"/>
      <c r="F3" s="72"/>
      <c r="G3" s="72"/>
      <c r="H3" s="72"/>
      <c r="I3" s="72"/>
      <c r="J3" s="72"/>
      <c r="K3" s="72"/>
      <c r="L3" s="72"/>
      <c r="M3" s="72"/>
    </row>
    <row r="4" spans="1:13" ht="14.45" customHeight="1" x14ac:dyDescent="0.2">
      <c r="A4" s="72"/>
      <c r="B4" s="342"/>
      <c r="C4" s="342"/>
      <c r="D4" s="72"/>
      <c r="E4" s="72"/>
      <c r="F4" s="72"/>
      <c r="G4" s="72"/>
      <c r="H4" s="72"/>
      <c r="I4" s="72"/>
      <c r="J4" s="72"/>
      <c r="K4" s="72"/>
      <c r="L4" s="72"/>
      <c r="M4" s="72"/>
    </row>
    <row r="5" spans="1:13" ht="14.45" customHeight="1" x14ac:dyDescent="0.2">
      <c r="A5" s="72"/>
      <c r="B5" s="342"/>
      <c r="C5" s="342"/>
      <c r="D5" s="72"/>
      <c r="E5" s="72"/>
      <c r="F5" s="72"/>
      <c r="G5" s="72"/>
      <c r="H5" s="72"/>
      <c r="I5" s="72"/>
      <c r="J5" s="72"/>
      <c r="K5" s="72"/>
      <c r="L5" s="72"/>
      <c r="M5" s="72"/>
    </row>
    <row r="6" spans="1:13" ht="14.45" customHeight="1" x14ac:dyDescent="0.2">
      <c r="A6" s="72"/>
      <c r="B6" s="342"/>
      <c r="C6" s="342"/>
      <c r="D6" s="72"/>
      <c r="E6" s="72"/>
      <c r="F6" s="72"/>
      <c r="G6" s="72"/>
      <c r="H6" s="72"/>
      <c r="I6" s="72"/>
      <c r="J6" s="72"/>
      <c r="K6" s="72"/>
      <c r="L6" s="72"/>
      <c r="M6" s="72"/>
    </row>
    <row r="7" spans="1:13" ht="14.45" customHeight="1" x14ac:dyDescent="0.2">
      <c r="A7" s="72"/>
      <c r="B7" s="342"/>
      <c r="C7" s="342"/>
      <c r="D7" s="72"/>
      <c r="E7" s="72"/>
      <c r="F7" s="72"/>
      <c r="G7" s="72"/>
      <c r="H7" s="72"/>
      <c r="I7" s="72"/>
      <c r="J7" s="72"/>
      <c r="K7" s="72"/>
      <c r="L7" s="72"/>
      <c r="M7" s="72"/>
    </row>
    <row r="8" spans="1:13" ht="14.45" customHeight="1" x14ac:dyDescent="0.2">
      <c r="A8" s="72"/>
      <c r="B8" s="342"/>
      <c r="C8" s="342"/>
      <c r="D8" s="72"/>
      <c r="E8" s="72"/>
      <c r="F8" s="72"/>
      <c r="G8" s="72"/>
      <c r="H8" s="72"/>
      <c r="I8" s="72"/>
      <c r="J8" s="72"/>
      <c r="K8" s="72"/>
      <c r="L8" s="72"/>
      <c r="M8" s="72"/>
    </row>
    <row r="9" spans="1:13" ht="14.45" customHeight="1" x14ac:dyDescent="0.2">
      <c r="A9" s="72"/>
      <c r="B9" s="342"/>
      <c r="C9" s="342"/>
      <c r="D9" s="72"/>
      <c r="E9" s="72"/>
      <c r="F9" s="72"/>
      <c r="G9" s="72"/>
      <c r="H9" s="72"/>
      <c r="I9" s="72"/>
      <c r="J9" s="72"/>
      <c r="K9" s="72"/>
      <c r="L9" s="72"/>
      <c r="M9" s="72"/>
    </row>
    <row r="10" spans="1:13" ht="14.45" customHeight="1" x14ac:dyDescent="0.2">
      <c r="A10" s="72"/>
      <c r="B10" s="342"/>
      <c r="C10" s="342"/>
      <c r="D10" s="72"/>
      <c r="E10" s="72"/>
      <c r="F10" s="72"/>
      <c r="G10" s="72"/>
      <c r="H10" s="72"/>
      <c r="I10" s="72"/>
      <c r="J10" s="72"/>
      <c r="K10" s="72"/>
      <c r="L10" s="72"/>
      <c r="M10" s="72"/>
    </row>
    <row r="11" spans="1:13" ht="14.45" customHeight="1" x14ac:dyDescent="0.2">
      <c r="A11" s="72"/>
      <c r="B11" s="342"/>
      <c r="C11" s="342"/>
      <c r="D11" s="72"/>
      <c r="E11" s="72"/>
      <c r="F11" s="72"/>
      <c r="G11" s="72"/>
      <c r="H11" s="72"/>
      <c r="I11" s="72"/>
      <c r="J11" s="72"/>
      <c r="K11" s="72"/>
      <c r="L11" s="72"/>
      <c r="M11" s="72"/>
    </row>
    <row r="12" spans="1:13" ht="14.45" customHeight="1" x14ac:dyDescent="0.2">
      <c r="A12" s="72"/>
      <c r="B12" s="342"/>
      <c r="C12" s="342"/>
      <c r="D12" s="72"/>
      <c r="E12" s="72"/>
      <c r="F12" s="72"/>
      <c r="G12" s="72"/>
      <c r="H12" s="72"/>
      <c r="I12" s="72"/>
      <c r="J12" s="72"/>
      <c r="K12" s="72"/>
      <c r="L12" s="72"/>
      <c r="M12" s="72"/>
    </row>
    <row r="13" spans="1:13" ht="14.45" customHeight="1" x14ac:dyDescent="0.2">
      <c r="A13" s="72"/>
      <c r="B13" s="342"/>
      <c r="C13" s="342"/>
      <c r="D13" s="72"/>
      <c r="E13" s="72"/>
      <c r="F13" s="72"/>
      <c r="G13" s="72"/>
      <c r="H13" s="72"/>
      <c r="I13" s="72"/>
      <c r="J13" s="72"/>
      <c r="K13" s="72"/>
      <c r="L13" s="72"/>
      <c r="M13" s="72"/>
    </row>
    <row r="14" spans="1:13" ht="14.45" customHeight="1" x14ac:dyDescent="0.2">
      <c r="A14" s="72"/>
      <c r="B14" s="342"/>
      <c r="C14" s="342"/>
      <c r="D14" s="72"/>
      <c r="E14" s="72"/>
      <c r="F14" s="72"/>
      <c r="G14" s="72"/>
      <c r="H14" s="72"/>
      <c r="I14" s="72"/>
      <c r="J14" s="72"/>
      <c r="K14" s="72"/>
      <c r="L14" s="72"/>
      <c r="M14" s="72"/>
    </row>
    <row r="15" spans="1:13" ht="14.45" customHeight="1" x14ac:dyDescent="0.2">
      <c r="A15" s="72"/>
      <c r="B15" s="342"/>
      <c r="C15" s="342"/>
      <c r="D15" s="72"/>
      <c r="E15" s="72"/>
      <c r="F15" s="72"/>
      <c r="G15" s="72"/>
      <c r="H15" s="72"/>
      <c r="I15" s="72"/>
      <c r="J15" s="72"/>
      <c r="K15" s="72"/>
      <c r="L15" s="72"/>
      <c r="M15" s="72"/>
    </row>
    <row r="16" spans="1:13" ht="14.45" customHeight="1" x14ac:dyDescent="0.2">
      <c r="A16" s="72"/>
      <c r="B16" s="342"/>
      <c r="C16" s="342"/>
      <c r="D16" s="72"/>
      <c r="E16" s="72"/>
      <c r="F16" s="72"/>
      <c r="G16" s="72"/>
      <c r="H16" s="72"/>
      <c r="I16" s="72"/>
      <c r="J16" s="72"/>
      <c r="K16" s="72"/>
      <c r="L16" s="72"/>
      <c r="M16" s="72"/>
    </row>
    <row r="17" spans="1:13" ht="14.45" customHeight="1" x14ac:dyDescent="0.2">
      <c r="A17" s="72"/>
      <c r="B17" s="342"/>
      <c r="C17" s="342"/>
      <c r="D17" s="72"/>
      <c r="E17" s="72"/>
      <c r="F17" s="72"/>
      <c r="G17" s="72"/>
      <c r="H17" s="72"/>
      <c r="I17" s="72"/>
      <c r="J17" s="72"/>
      <c r="K17" s="72"/>
      <c r="L17" s="72"/>
      <c r="M17" s="72"/>
    </row>
    <row r="18" spans="1:13" ht="14.45" customHeight="1" x14ac:dyDescent="0.2">
      <c r="A18" s="72"/>
      <c r="B18" s="342"/>
      <c r="C18" s="342"/>
      <c r="D18" s="72"/>
      <c r="E18" s="72"/>
      <c r="F18" s="72"/>
      <c r="G18" s="72"/>
      <c r="H18" s="72"/>
      <c r="I18" s="72"/>
      <c r="J18" s="72"/>
      <c r="K18" s="72"/>
      <c r="L18" s="72"/>
      <c r="M18" s="72"/>
    </row>
    <row r="19" spans="1:13" ht="14.45" customHeight="1" x14ac:dyDescent="0.2">
      <c r="A19" s="72"/>
      <c r="B19" s="342"/>
      <c r="C19" s="342"/>
      <c r="D19" s="72"/>
      <c r="E19" s="72"/>
      <c r="F19" s="72"/>
      <c r="G19" s="72"/>
      <c r="H19" s="72"/>
      <c r="I19" s="72"/>
      <c r="J19" s="72"/>
      <c r="K19" s="72"/>
      <c r="L19" s="72"/>
      <c r="M19" s="72"/>
    </row>
    <row r="20" spans="1:13" ht="14.45" customHeight="1" x14ac:dyDescent="0.2">
      <c r="A20" s="72"/>
      <c r="B20" s="342"/>
      <c r="C20" s="342"/>
      <c r="D20" s="72"/>
      <c r="E20" s="72"/>
      <c r="F20" s="72"/>
      <c r="G20" s="72"/>
      <c r="H20" s="72"/>
      <c r="I20" s="72"/>
      <c r="J20" s="72"/>
      <c r="K20" s="72"/>
      <c r="L20" s="72"/>
      <c r="M20" s="72"/>
    </row>
    <row r="21" spans="1:13" ht="14.45" customHeight="1" x14ac:dyDescent="0.2">
      <c r="A21" s="72"/>
      <c r="B21" s="342"/>
      <c r="C21" s="342"/>
      <c r="D21" s="72"/>
      <c r="E21" s="72"/>
      <c r="F21" s="72"/>
      <c r="G21" s="72"/>
      <c r="H21" s="72"/>
      <c r="I21" s="72"/>
      <c r="J21" s="72"/>
      <c r="K21" s="72"/>
      <c r="L21" s="72"/>
      <c r="M21" s="72"/>
    </row>
    <row r="22" spans="1:13" ht="14.45" customHeight="1" x14ac:dyDescent="0.2">
      <c r="A22" s="72"/>
      <c r="B22" s="342"/>
      <c r="C22" s="342"/>
      <c r="D22" s="72"/>
      <c r="E22" s="72"/>
      <c r="F22" s="72"/>
      <c r="G22" s="72"/>
      <c r="H22" s="72"/>
      <c r="I22" s="72"/>
      <c r="J22" s="72"/>
      <c r="K22" s="72"/>
      <c r="L22" s="72"/>
      <c r="M22" s="72"/>
    </row>
    <row r="23" spans="1:13" ht="14.45" customHeight="1" x14ac:dyDescent="0.2">
      <c r="A23" s="72"/>
      <c r="B23" s="342"/>
      <c r="C23" s="342"/>
      <c r="D23" s="72"/>
      <c r="E23" s="72"/>
      <c r="F23" s="72"/>
      <c r="G23" s="72"/>
      <c r="H23" s="72"/>
      <c r="I23" s="72"/>
      <c r="J23" s="72"/>
      <c r="K23" s="72"/>
      <c r="L23" s="72"/>
      <c r="M23" s="72"/>
    </row>
    <row r="24" spans="1:13" ht="14.45" customHeight="1" x14ac:dyDescent="0.2">
      <c r="A24" s="72"/>
      <c r="B24" s="342"/>
      <c r="C24" s="342"/>
      <c r="D24" s="72"/>
      <c r="E24" s="72"/>
      <c r="F24" s="72"/>
      <c r="G24" s="72"/>
      <c r="H24" s="72"/>
      <c r="I24" s="72"/>
      <c r="J24" s="72"/>
      <c r="K24" s="72"/>
      <c r="L24" s="72"/>
      <c r="M24" s="72"/>
    </row>
    <row r="25" spans="1:13" ht="14.45" customHeight="1" x14ac:dyDescent="0.2">
      <c r="A25" s="72"/>
      <c r="B25" s="342"/>
      <c r="C25" s="342"/>
      <c r="D25" s="72"/>
      <c r="E25" s="72"/>
      <c r="F25" s="72"/>
      <c r="G25" s="72"/>
      <c r="H25" s="72"/>
      <c r="I25" s="72"/>
      <c r="J25" s="72"/>
      <c r="K25" s="72"/>
      <c r="L25" s="72"/>
      <c r="M25" s="72"/>
    </row>
    <row r="26" spans="1:13" ht="14.45" customHeight="1" x14ac:dyDescent="0.2">
      <c r="A26" s="72"/>
      <c r="B26" s="342"/>
      <c r="C26" s="342"/>
      <c r="D26" s="72"/>
      <c r="E26" s="72"/>
      <c r="F26" s="72"/>
      <c r="G26" s="72"/>
      <c r="H26" s="72"/>
      <c r="I26" s="72"/>
      <c r="J26" s="72"/>
      <c r="K26" s="72"/>
      <c r="L26" s="72"/>
      <c r="M26" s="72"/>
    </row>
    <row r="27" spans="1:13" ht="14.45" customHeight="1" x14ac:dyDescent="0.2">
      <c r="A27" s="72"/>
      <c r="B27" s="342"/>
      <c r="C27" s="342"/>
      <c r="D27" s="72"/>
      <c r="E27" s="72"/>
      <c r="F27" s="72"/>
      <c r="G27" s="72"/>
      <c r="H27" s="72"/>
      <c r="I27" s="72"/>
      <c r="J27" s="72"/>
      <c r="K27" s="72"/>
      <c r="L27" s="72"/>
      <c r="M27" s="72"/>
    </row>
    <row r="28" spans="1:13" ht="14.45" customHeight="1" x14ac:dyDescent="0.2">
      <c r="A28" s="72"/>
      <c r="B28" s="342"/>
      <c r="C28" s="342"/>
      <c r="D28" s="72"/>
      <c r="E28" s="72"/>
      <c r="F28" s="72"/>
      <c r="G28" s="72"/>
      <c r="H28" s="72"/>
      <c r="I28" s="72"/>
      <c r="J28" s="72"/>
      <c r="K28" s="72"/>
      <c r="L28" s="72"/>
      <c r="M28" s="72"/>
    </row>
    <row r="29" spans="1:13" ht="14.45" customHeight="1" x14ac:dyDescent="0.2">
      <c r="A29" s="72"/>
      <c r="B29" s="342"/>
      <c r="C29" s="342"/>
      <c r="D29" s="72"/>
      <c r="E29" s="72"/>
      <c r="F29" s="72"/>
      <c r="G29" s="72"/>
      <c r="H29" s="72"/>
      <c r="I29" s="72"/>
      <c r="J29" s="72"/>
      <c r="K29" s="72"/>
      <c r="L29" s="72"/>
      <c r="M29" s="72"/>
    </row>
    <row r="30" spans="1:13" ht="14.45" customHeight="1" thickBot="1" x14ac:dyDescent="0.25">
      <c r="A30" s="72"/>
      <c r="B30" s="342"/>
      <c r="C30" s="342"/>
      <c r="D30" s="72"/>
      <c r="E30" s="72"/>
      <c r="F30" s="72"/>
      <c r="G30" s="72"/>
      <c r="H30" s="72"/>
      <c r="I30" s="72"/>
      <c r="J30" s="72"/>
      <c r="K30" s="72"/>
      <c r="L30" s="72"/>
      <c r="M30" s="72"/>
    </row>
    <row r="31" spans="1:13" ht="14.45" customHeight="1" x14ac:dyDescent="0.2">
      <c r="A31" s="161"/>
      <c r="B31" s="643" t="s">
        <v>69</v>
      </c>
      <c r="C31" s="644"/>
      <c r="D31" s="644"/>
      <c r="E31" s="645"/>
      <c r="F31" s="153" t="s">
        <v>69</v>
      </c>
      <c r="G31" s="75"/>
      <c r="H31" s="75"/>
      <c r="I31" s="72"/>
      <c r="J31" s="72"/>
      <c r="K31" s="72"/>
      <c r="L31" s="72"/>
      <c r="M31" s="72"/>
    </row>
    <row r="32" spans="1:13" ht="14.45" customHeight="1" thickBot="1" x14ac:dyDescent="0.25">
      <c r="A32" s="162" t="s">
        <v>54</v>
      </c>
      <c r="B32" s="154" t="s">
        <v>72</v>
      </c>
      <c r="C32" s="155" t="s">
        <v>73</v>
      </c>
      <c r="D32" s="155" t="s">
        <v>74</v>
      </c>
      <c r="E32" s="156" t="s">
        <v>2</v>
      </c>
      <c r="F32" s="157" t="s">
        <v>75</v>
      </c>
      <c r="G32" s="343"/>
      <c r="H32" s="343" t="s">
        <v>102</v>
      </c>
      <c r="I32" s="72"/>
      <c r="J32" s="72"/>
      <c r="K32" s="72"/>
      <c r="L32" s="72"/>
      <c r="M32" s="72"/>
    </row>
    <row r="33" spans="1:13" ht="14.45" customHeight="1" x14ac:dyDescent="0.2">
      <c r="A33" s="158" t="s">
        <v>89</v>
      </c>
      <c r="B33" s="185">
        <v>195</v>
      </c>
      <c r="C33" s="185">
        <v>143</v>
      </c>
      <c r="D33" s="76">
        <f>IF(C33="","",C33-B33)</f>
        <v>-52</v>
      </c>
      <c r="E33" s="77">
        <f>IF(C33="","",C33/B33)</f>
        <v>0.73333333333333328</v>
      </c>
      <c r="F33" s="78">
        <v>7</v>
      </c>
      <c r="G33" s="343">
        <v>0</v>
      </c>
      <c r="H33" s="344">
        <v>1</v>
      </c>
      <c r="I33" s="72"/>
      <c r="J33" s="72"/>
      <c r="K33" s="72"/>
      <c r="L33" s="72"/>
      <c r="M33" s="72"/>
    </row>
    <row r="34" spans="1:13" ht="14.45" customHeight="1" x14ac:dyDescent="0.2">
      <c r="A34" s="159" t="s">
        <v>90</v>
      </c>
      <c r="B34" s="186">
        <v>369</v>
      </c>
      <c r="C34" s="186">
        <v>260</v>
      </c>
      <c r="D34" s="79">
        <f t="shared" ref="D34:D45" si="0">IF(C34="","",C34-B34)</f>
        <v>-109</v>
      </c>
      <c r="E34" s="80">
        <f t="shared" ref="E34:E45" si="1">IF(C34="","",C34/B34)</f>
        <v>0.70460704607046065</v>
      </c>
      <c r="F34" s="81">
        <v>14</v>
      </c>
      <c r="G34" s="343">
        <v>1</v>
      </c>
      <c r="H34" s="344">
        <v>1</v>
      </c>
      <c r="I34" s="72"/>
      <c r="J34" s="72"/>
      <c r="K34" s="72"/>
      <c r="L34" s="72"/>
      <c r="M34" s="72"/>
    </row>
    <row r="35" spans="1:13" ht="14.45" customHeight="1" x14ac:dyDescent="0.2">
      <c r="A35" s="159" t="s">
        <v>91</v>
      </c>
      <c r="B35" s="186">
        <v>651</v>
      </c>
      <c r="C35" s="186">
        <v>397</v>
      </c>
      <c r="D35" s="79">
        <f t="shared" si="0"/>
        <v>-254</v>
      </c>
      <c r="E35" s="80">
        <f t="shared" si="1"/>
        <v>0.60983102918586785</v>
      </c>
      <c r="F35" s="81">
        <v>16</v>
      </c>
      <c r="G35" s="345"/>
      <c r="H35" s="345"/>
      <c r="I35" s="72"/>
      <c r="J35" s="72"/>
      <c r="K35" s="72"/>
      <c r="L35" s="72"/>
      <c r="M35" s="72"/>
    </row>
    <row r="36" spans="1:13" ht="14.45" customHeight="1" x14ac:dyDescent="0.2">
      <c r="A36" s="159" t="s">
        <v>92</v>
      </c>
      <c r="B36" s="186">
        <v>899</v>
      </c>
      <c r="C36" s="186">
        <v>534</v>
      </c>
      <c r="D36" s="79">
        <f t="shared" si="0"/>
        <v>-365</v>
      </c>
      <c r="E36" s="80">
        <f t="shared" si="1"/>
        <v>0.59399332591768628</v>
      </c>
      <c r="F36" s="81">
        <v>16</v>
      </c>
      <c r="G36" s="345"/>
      <c r="H36" s="345"/>
      <c r="I36" s="72"/>
      <c r="J36" s="72"/>
      <c r="K36" s="72"/>
      <c r="L36" s="72"/>
      <c r="M36" s="72"/>
    </row>
    <row r="37" spans="1:13" ht="14.45" customHeight="1" x14ac:dyDescent="0.2">
      <c r="A37" s="159" t="s">
        <v>93</v>
      </c>
      <c r="B37" s="186">
        <v>1148</v>
      </c>
      <c r="C37" s="186">
        <v>707</v>
      </c>
      <c r="D37" s="79">
        <f t="shared" si="0"/>
        <v>-441</v>
      </c>
      <c r="E37" s="80">
        <f t="shared" si="1"/>
        <v>0.61585365853658536</v>
      </c>
      <c r="F37" s="81">
        <v>21</v>
      </c>
      <c r="G37" s="345"/>
      <c r="H37" s="345"/>
      <c r="I37" s="72"/>
      <c r="J37" s="72"/>
      <c r="K37" s="72"/>
      <c r="L37" s="72"/>
      <c r="M37" s="72"/>
    </row>
    <row r="38" spans="1:13" ht="14.45" customHeight="1" x14ac:dyDescent="0.2">
      <c r="A38" s="159" t="s">
        <v>94</v>
      </c>
      <c r="B38" s="186">
        <v>1244</v>
      </c>
      <c r="C38" s="186">
        <v>775</v>
      </c>
      <c r="D38" s="79">
        <f t="shared" si="0"/>
        <v>-469</v>
      </c>
      <c r="E38" s="80">
        <f t="shared" si="1"/>
        <v>0.62299035369774924</v>
      </c>
      <c r="F38" s="81">
        <v>26</v>
      </c>
      <c r="G38" s="345"/>
      <c r="H38" s="345"/>
      <c r="I38" s="72"/>
      <c r="J38" s="72"/>
      <c r="K38" s="72"/>
      <c r="L38" s="72"/>
      <c r="M38" s="72"/>
    </row>
    <row r="39" spans="1:13" ht="14.45" customHeight="1" x14ac:dyDescent="0.2">
      <c r="A39" s="159" t="s">
        <v>95</v>
      </c>
      <c r="B39" s="186">
        <v>1313</v>
      </c>
      <c r="C39" s="186">
        <v>811</v>
      </c>
      <c r="D39" s="79">
        <f t="shared" si="0"/>
        <v>-502</v>
      </c>
      <c r="E39" s="80">
        <f t="shared" si="1"/>
        <v>0.61766945925361771</v>
      </c>
      <c r="F39" s="81">
        <v>26</v>
      </c>
      <c r="G39" s="345"/>
      <c r="H39" s="345"/>
      <c r="I39" s="72"/>
      <c r="J39" s="72"/>
      <c r="K39" s="72"/>
      <c r="L39" s="72"/>
      <c r="M39" s="72"/>
    </row>
    <row r="40" spans="1:13" ht="14.45" customHeight="1" x14ac:dyDescent="0.2">
      <c r="A40" s="159" t="s">
        <v>96</v>
      </c>
      <c r="B40" s="186">
        <v>1350</v>
      </c>
      <c r="C40" s="186">
        <v>853</v>
      </c>
      <c r="D40" s="79">
        <f t="shared" si="0"/>
        <v>-497</v>
      </c>
      <c r="E40" s="80">
        <f t="shared" si="1"/>
        <v>0.63185185185185189</v>
      </c>
      <c r="F40" s="81">
        <v>46</v>
      </c>
      <c r="G40" s="345"/>
      <c r="H40" s="345"/>
      <c r="I40" s="72"/>
      <c r="J40" s="72"/>
      <c r="K40" s="72"/>
      <c r="L40" s="72"/>
      <c r="M40" s="72"/>
    </row>
    <row r="41" spans="1:13" ht="14.45" customHeight="1" x14ac:dyDescent="0.2">
      <c r="A41" s="159" t="s">
        <v>97</v>
      </c>
      <c r="B41" s="186">
        <v>1543</v>
      </c>
      <c r="C41" s="186">
        <v>979</v>
      </c>
      <c r="D41" s="79">
        <f t="shared" si="0"/>
        <v>-564</v>
      </c>
      <c r="E41" s="80">
        <f t="shared" si="1"/>
        <v>0.63447828904731041</v>
      </c>
      <c r="F41" s="81">
        <v>62</v>
      </c>
      <c r="G41" s="345"/>
      <c r="H41" s="345"/>
      <c r="I41" s="72"/>
      <c r="J41" s="72"/>
      <c r="K41" s="72"/>
      <c r="L41" s="72"/>
      <c r="M41" s="72"/>
    </row>
    <row r="42" spans="1:13" ht="14.45" customHeight="1" x14ac:dyDescent="0.2">
      <c r="A42" s="159" t="s">
        <v>98</v>
      </c>
      <c r="B42" s="186">
        <v>1506</v>
      </c>
      <c r="C42" s="186">
        <v>946</v>
      </c>
      <c r="D42" s="79">
        <f t="shared" si="0"/>
        <v>-560</v>
      </c>
      <c r="E42" s="80">
        <f t="shared" si="1"/>
        <v>0.62815405046480743</v>
      </c>
      <c r="F42" s="81">
        <v>54</v>
      </c>
      <c r="G42" s="345"/>
      <c r="H42" s="345"/>
      <c r="I42" s="72"/>
      <c r="J42" s="72"/>
      <c r="K42" s="72"/>
      <c r="L42" s="72"/>
      <c r="M42" s="72"/>
    </row>
    <row r="43" spans="1:13" ht="14.45" customHeight="1" x14ac:dyDescent="0.2">
      <c r="A43" s="159" t="s">
        <v>99</v>
      </c>
      <c r="B43" s="186">
        <v>1502</v>
      </c>
      <c r="C43" s="186">
        <v>944</v>
      </c>
      <c r="D43" s="79">
        <f t="shared" si="0"/>
        <v>-558</v>
      </c>
      <c r="E43" s="80">
        <f t="shared" si="1"/>
        <v>0.62849533954727033</v>
      </c>
      <c r="F43" s="81">
        <v>54</v>
      </c>
      <c r="G43" s="345"/>
      <c r="H43" s="345"/>
      <c r="I43" s="72"/>
      <c r="J43" s="72"/>
      <c r="K43" s="72"/>
      <c r="L43" s="72"/>
      <c r="M43" s="72"/>
    </row>
    <row r="44" spans="1:13" ht="14.45" customHeight="1" x14ac:dyDescent="0.2">
      <c r="A44" s="159" t="s">
        <v>100</v>
      </c>
      <c r="B44" s="186"/>
      <c r="C44" s="186"/>
      <c r="D44" s="79" t="str">
        <f t="shared" si="0"/>
        <v/>
      </c>
      <c r="E44" s="80" t="str">
        <f t="shared" si="1"/>
        <v/>
      </c>
      <c r="F44" s="81"/>
      <c r="G44" s="345"/>
      <c r="H44" s="345"/>
      <c r="I44" s="72"/>
      <c r="J44" s="72"/>
      <c r="K44" s="72"/>
      <c r="L44" s="72"/>
      <c r="M44" s="72"/>
    </row>
    <row r="45" spans="1:13" ht="14.45" customHeight="1" thickBot="1" x14ac:dyDescent="0.25">
      <c r="A45" s="160" t="s">
        <v>103</v>
      </c>
      <c r="B45" s="187"/>
      <c r="C45" s="187"/>
      <c r="D45" s="82" t="str">
        <f t="shared" si="0"/>
        <v/>
      </c>
      <c r="E45" s="83" t="str">
        <f t="shared" si="1"/>
        <v/>
      </c>
      <c r="F45" s="84"/>
      <c r="G45" s="345"/>
      <c r="H45" s="345"/>
      <c r="I45" s="72"/>
      <c r="J45" s="72"/>
      <c r="K45" s="72"/>
      <c r="L45" s="72"/>
      <c r="M45" s="72"/>
    </row>
  </sheetData>
  <mergeCells count="2">
    <mergeCell ref="A1:M1"/>
    <mergeCell ref="B31:E31"/>
  </mergeCells>
  <conditionalFormatting sqref="E33:E45">
    <cfRule type="cellIs" dxfId="16" priority="2" operator="greaterThan">
      <formula>1</formula>
    </cfRule>
  </conditionalFormatting>
  <conditionalFormatting sqref="F33:F45">
    <cfRule type="cellIs" dxfId="15" priority="1" operator="greaterThan">
      <formula>0</formula>
    </cfRule>
  </conditionalFormatting>
  <hyperlinks>
    <hyperlink ref="A2" location="Obsah!A1" display="Zpět na Obsah  KL 01  1.-4.měsíc" xr:uid="{C48B661F-944F-4A10-836C-3527AB01D072}"/>
  </hyperlinks>
  <pageMargins left="0.25" right="0.25" top="0.75" bottom="0.75" header="0.3" footer="0.3"/>
  <pageSetup paperSize="9" scale="77" fitToHeight="0" orientation="portrait" r:id="rId1"/>
  <headerFooter alignWithMargins="0"/>
  <ignoredErrors>
    <ignoredError sqref="A45" twoDigitTextYear="1"/>
  </ignoredErrors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 codeName="List24">
    <tabColor theme="0" tint="-0.249977111117893"/>
    <pageSetUpPr fitToPage="1"/>
  </sheetPr>
  <dimension ref="A1:Y88"/>
  <sheetViews>
    <sheetView showGridLines="0" showRowColHeaders="0" zoomScaleNormal="100" workbookViewId="0">
      <pane ySplit="4" topLeftCell="A5" activePane="bottomLeft" state="frozen"/>
      <selection sqref="A1:N1"/>
      <selection pane="bottomLeft" sqref="A1:Y1"/>
    </sheetView>
  </sheetViews>
  <sheetFormatPr defaultColWidth="8.85546875" defaultRowHeight="14.45" customHeight="1" outlineLevelCol="1" x14ac:dyDescent="0.2"/>
  <cols>
    <col min="1" max="1" width="6.140625" style="88" customWidth="1"/>
    <col min="2" max="2" width="6.5703125" style="199" hidden="1" customWidth="1" outlineLevel="1"/>
    <col min="3" max="3" width="5.85546875" style="199" hidden="1" customWidth="1" outlineLevel="1"/>
    <col min="4" max="4" width="7.7109375" style="199" hidden="1" customWidth="1" outlineLevel="1"/>
    <col min="5" max="5" width="6.5703125" style="91" customWidth="1" collapsed="1"/>
    <col min="6" max="6" width="5.85546875" style="91" customWidth="1"/>
    <col min="7" max="7" width="7.7109375" style="91" customWidth="1"/>
    <col min="8" max="8" width="6.5703125" style="91" customWidth="1"/>
    <col min="9" max="9" width="5.85546875" style="91" customWidth="1"/>
    <col min="10" max="10" width="7.7109375" style="91" customWidth="1"/>
    <col min="11" max="11" width="9.140625" style="91" customWidth="1"/>
    <col min="12" max="12" width="3.85546875" style="91" customWidth="1"/>
    <col min="13" max="13" width="4.28515625" style="91" customWidth="1"/>
    <col min="14" max="14" width="5.42578125" style="91" customWidth="1"/>
    <col min="15" max="15" width="4" style="91" customWidth="1"/>
    <col min="16" max="16" width="55.5703125" style="85" customWidth="1"/>
    <col min="17" max="17" width="7.7109375" style="89" hidden="1" customWidth="1" outlineLevel="1"/>
    <col min="18" max="18" width="5.85546875" style="89" hidden="1" customWidth="1" outlineLevel="1"/>
    <col min="19" max="19" width="7.7109375" style="89" customWidth="1" collapsed="1"/>
    <col min="20" max="20" width="6" style="89" customWidth="1"/>
    <col min="21" max="22" width="9.7109375" style="199" customWidth="1"/>
    <col min="23" max="23" width="7.7109375" style="199" customWidth="1"/>
    <col min="24" max="24" width="6.140625" style="92" customWidth="1"/>
    <col min="25" max="25" width="17.140625" style="90" bestFit="1" customWidth="1"/>
    <col min="26" max="16384" width="8.85546875" style="85"/>
  </cols>
  <sheetData>
    <row r="1" spans="1:25" s="295" customFormat="1" ht="18.600000000000001" customHeight="1" thickBot="1" x14ac:dyDescent="0.35">
      <c r="A1" s="551" t="s">
        <v>4041</v>
      </c>
      <c r="B1" s="497"/>
      <c r="C1" s="497"/>
      <c r="D1" s="497"/>
      <c r="E1" s="497"/>
      <c r="F1" s="497"/>
      <c r="G1" s="497"/>
      <c r="H1" s="497"/>
      <c r="I1" s="497"/>
      <c r="J1" s="497"/>
      <c r="K1" s="497"/>
      <c r="L1" s="497"/>
      <c r="M1" s="497"/>
      <c r="N1" s="497"/>
      <c r="O1" s="497"/>
      <c r="P1" s="497"/>
      <c r="Q1" s="497"/>
      <c r="R1" s="497"/>
      <c r="S1" s="497"/>
      <c r="T1" s="497"/>
      <c r="U1" s="497"/>
      <c r="V1" s="497"/>
      <c r="W1" s="497"/>
      <c r="X1" s="497"/>
      <c r="Y1" s="497"/>
    </row>
    <row r="2" spans="1:25" ht="14.45" customHeight="1" thickBot="1" x14ac:dyDescent="0.25">
      <c r="A2" s="350" t="s">
        <v>305</v>
      </c>
      <c r="B2" s="347"/>
      <c r="C2" s="347"/>
      <c r="D2" s="347"/>
      <c r="E2" s="347"/>
      <c r="F2" s="347"/>
      <c r="G2" s="347"/>
      <c r="H2" s="347"/>
      <c r="I2" s="347"/>
      <c r="J2" s="347"/>
      <c r="K2" s="347"/>
      <c r="L2" s="347"/>
      <c r="M2" s="347"/>
      <c r="N2" s="347"/>
      <c r="O2" s="347"/>
      <c r="P2" s="346"/>
      <c r="Q2" s="346"/>
      <c r="R2" s="346"/>
      <c r="S2" s="346"/>
      <c r="T2" s="346"/>
      <c r="U2" s="347"/>
      <c r="V2" s="347"/>
      <c r="W2" s="347"/>
      <c r="X2" s="346"/>
      <c r="Y2" s="348"/>
    </row>
    <row r="3" spans="1:25" s="86" customFormat="1" ht="14.45" customHeight="1" x14ac:dyDescent="0.2">
      <c r="A3" s="654" t="s">
        <v>61</v>
      </c>
      <c r="B3" s="656">
        <v>2019</v>
      </c>
      <c r="C3" s="657"/>
      <c r="D3" s="658"/>
      <c r="E3" s="656">
        <v>2020</v>
      </c>
      <c r="F3" s="657"/>
      <c r="G3" s="658"/>
      <c r="H3" s="656">
        <v>2021</v>
      </c>
      <c r="I3" s="657"/>
      <c r="J3" s="658"/>
      <c r="K3" s="659" t="s">
        <v>62</v>
      </c>
      <c r="L3" s="648" t="s">
        <v>63</v>
      </c>
      <c r="M3" s="648" t="s">
        <v>64</v>
      </c>
      <c r="N3" s="648" t="s">
        <v>65</v>
      </c>
      <c r="O3" s="247" t="s">
        <v>66</v>
      </c>
      <c r="P3" s="650" t="s">
        <v>67</v>
      </c>
      <c r="Q3" s="652" t="s">
        <v>304</v>
      </c>
      <c r="R3" s="653"/>
      <c r="S3" s="652" t="s">
        <v>68</v>
      </c>
      <c r="T3" s="653"/>
      <c r="U3" s="646" t="s">
        <v>69</v>
      </c>
      <c r="V3" s="647"/>
      <c r="W3" s="647"/>
      <c r="X3" s="647"/>
      <c r="Y3" s="200" t="s">
        <v>69</v>
      </c>
    </row>
    <row r="4" spans="1:25" s="87" customFormat="1" ht="14.45" customHeight="1" thickBot="1" x14ac:dyDescent="0.3">
      <c r="A4" s="655"/>
      <c r="B4" s="427" t="s">
        <v>70</v>
      </c>
      <c r="C4" s="425" t="s">
        <v>58</v>
      </c>
      <c r="D4" s="428" t="s">
        <v>71</v>
      </c>
      <c r="E4" s="427" t="s">
        <v>70</v>
      </c>
      <c r="F4" s="425" t="s">
        <v>58</v>
      </c>
      <c r="G4" s="428" t="s">
        <v>71</v>
      </c>
      <c r="H4" s="427" t="s">
        <v>70</v>
      </c>
      <c r="I4" s="425" t="s">
        <v>58</v>
      </c>
      <c r="J4" s="428" t="s">
        <v>71</v>
      </c>
      <c r="K4" s="660"/>
      <c r="L4" s="649"/>
      <c r="M4" s="649"/>
      <c r="N4" s="649"/>
      <c r="O4" s="429"/>
      <c r="P4" s="651"/>
      <c r="Q4" s="430" t="s">
        <v>59</v>
      </c>
      <c r="R4" s="431" t="s">
        <v>58</v>
      </c>
      <c r="S4" s="430" t="s">
        <v>59</v>
      </c>
      <c r="T4" s="431" t="s">
        <v>58</v>
      </c>
      <c r="U4" s="432" t="s">
        <v>72</v>
      </c>
      <c r="V4" s="426" t="s">
        <v>73</v>
      </c>
      <c r="W4" s="426" t="s">
        <v>74</v>
      </c>
      <c r="X4" s="433" t="s">
        <v>2</v>
      </c>
      <c r="Y4" s="434" t="s">
        <v>75</v>
      </c>
    </row>
    <row r="5" spans="1:25" s="435" customFormat="1" ht="14.45" customHeight="1" x14ac:dyDescent="0.2">
      <c r="A5" s="827" t="s">
        <v>3877</v>
      </c>
      <c r="B5" s="828"/>
      <c r="C5" s="829"/>
      <c r="D5" s="830"/>
      <c r="E5" s="831"/>
      <c r="F5" s="832"/>
      <c r="G5" s="833"/>
      <c r="H5" s="834">
        <v>2</v>
      </c>
      <c r="I5" s="835">
        <v>14.2</v>
      </c>
      <c r="J5" s="836">
        <v>8</v>
      </c>
      <c r="K5" s="837">
        <v>7.09</v>
      </c>
      <c r="L5" s="838">
        <v>5</v>
      </c>
      <c r="M5" s="838">
        <v>45</v>
      </c>
      <c r="N5" s="839">
        <v>15</v>
      </c>
      <c r="O5" s="838" t="s">
        <v>3878</v>
      </c>
      <c r="P5" s="840" t="s">
        <v>3879</v>
      </c>
      <c r="Q5" s="841">
        <f>H5-B5</f>
        <v>2</v>
      </c>
      <c r="R5" s="854">
        <f>I5-C5</f>
        <v>14.2</v>
      </c>
      <c r="S5" s="841">
        <f>H5-E5</f>
        <v>2</v>
      </c>
      <c r="T5" s="854">
        <f>I5-F5</f>
        <v>14.2</v>
      </c>
      <c r="U5" s="864">
        <v>30</v>
      </c>
      <c r="V5" s="828">
        <v>16</v>
      </c>
      <c r="W5" s="828">
        <v>-14</v>
      </c>
      <c r="X5" s="865">
        <v>0.53333333333333333</v>
      </c>
      <c r="Y5" s="866"/>
    </row>
    <row r="6" spans="1:25" ht="14.45" customHeight="1" x14ac:dyDescent="0.2">
      <c r="A6" s="826" t="s">
        <v>3880</v>
      </c>
      <c r="B6" s="812">
        <v>1</v>
      </c>
      <c r="C6" s="813">
        <v>7.77</v>
      </c>
      <c r="D6" s="811">
        <v>9</v>
      </c>
      <c r="E6" s="814">
        <v>1</v>
      </c>
      <c r="F6" s="815">
        <v>8.31</v>
      </c>
      <c r="G6" s="798">
        <v>22</v>
      </c>
      <c r="H6" s="816">
        <v>5</v>
      </c>
      <c r="I6" s="817">
        <v>43.83</v>
      </c>
      <c r="J6" s="799">
        <v>10.4</v>
      </c>
      <c r="K6" s="818">
        <v>7.77</v>
      </c>
      <c r="L6" s="819">
        <v>5</v>
      </c>
      <c r="M6" s="819">
        <v>45</v>
      </c>
      <c r="N6" s="820">
        <v>15</v>
      </c>
      <c r="O6" s="819" t="s">
        <v>3878</v>
      </c>
      <c r="P6" s="821" t="s">
        <v>3881</v>
      </c>
      <c r="Q6" s="822">
        <f t="shared" ref="Q6:R69" si="0">H6-B6</f>
        <v>4</v>
      </c>
      <c r="R6" s="855">
        <f t="shared" si="0"/>
        <v>36.06</v>
      </c>
      <c r="S6" s="822">
        <f t="shared" ref="S6:S69" si="1">H6-E6</f>
        <v>4</v>
      </c>
      <c r="T6" s="855">
        <f t="shared" ref="T6:T69" si="2">I6-F6</f>
        <v>35.519999999999996</v>
      </c>
      <c r="U6" s="863">
        <v>75</v>
      </c>
      <c r="V6" s="812">
        <v>52</v>
      </c>
      <c r="W6" s="812">
        <v>-23</v>
      </c>
      <c r="X6" s="861">
        <v>0.69333333333333336</v>
      </c>
      <c r="Y6" s="859">
        <v>5</v>
      </c>
    </row>
    <row r="7" spans="1:25" ht="14.45" customHeight="1" x14ac:dyDescent="0.2">
      <c r="A7" s="825" t="s">
        <v>3882</v>
      </c>
      <c r="B7" s="806">
        <v>1</v>
      </c>
      <c r="C7" s="807">
        <v>33.15</v>
      </c>
      <c r="D7" s="808">
        <v>38</v>
      </c>
      <c r="E7" s="809">
        <v>3</v>
      </c>
      <c r="F7" s="789">
        <v>99.45</v>
      </c>
      <c r="G7" s="790">
        <v>35.700000000000003</v>
      </c>
      <c r="H7" s="791">
        <v>8</v>
      </c>
      <c r="I7" s="792">
        <v>282.63</v>
      </c>
      <c r="J7" s="793">
        <v>28.8</v>
      </c>
      <c r="K7" s="794">
        <v>33.15</v>
      </c>
      <c r="L7" s="795">
        <v>22</v>
      </c>
      <c r="M7" s="795">
        <v>135</v>
      </c>
      <c r="N7" s="796">
        <v>45</v>
      </c>
      <c r="O7" s="795" t="s">
        <v>3878</v>
      </c>
      <c r="P7" s="810" t="s">
        <v>3883</v>
      </c>
      <c r="Q7" s="797">
        <f t="shared" si="0"/>
        <v>7</v>
      </c>
      <c r="R7" s="856">
        <f t="shared" si="0"/>
        <v>249.48</v>
      </c>
      <c r="S7" s="797">
        <f t="shared" si="1"/>
        <v>5</v>
      </c>
      <c r="T7" s="856">
        <f t="shared" si="2"/>
        <v>183.18</v>
      </c>
      <c r="U7" s="862">
        <v>360</v>
      </c>
      <c r="V7" s="806">
        <v>230.4</v>
      </c>
      <c r="W7" s="806">
        <v>-129.6</v>
      </c>
      <c r="X7" s="860">
        <v>0.64</v>
      </c>
      <c r="Y7" s="858"/>
    </row>
    <row r="8" spans="1:25" ht="14.45" customHeight="1" x14ac:dyDescent="0.2">
      <c r="A8" s="825" t="s">
        <v>3884</v>
      </c>
      <c r="B8" s="806"/>
      <c r="C8" s="807"/>
      <c r="D8" s="808"/>
      <c r="E8" s="791">
        <v>1</v>
      </c>
      <c r="F8" s="792">
        <v>27.86</v>
      </c>
      <c r="G8" s="793">
        <v>35</v>
      </c>
      <c r="H8" s="795">
        <v>3</v>
      </c>
      <c r="I8" s="789">
        <v>60.16</v>
      </c>
      <c r="J8" s="790">
        <v>23</v>
      </c>
      <c r="K8" s="794">
        <v>20.05</v>
      </c>
      <c r="L8" s="795">
        <v>11</v>
      </c>
      <c r="M8" s="795">
        <v>90</v>
      </c>
      <c r="N8" s="796">
        <v>30</v>
      </c>
      <c r="O8" s="795" t="s">
        <v>3878</v>
      </c>
      <c r="P8" s="810" t="s">
        <v>3885</v>
      </c>
      <c r="Q8" s="797">
        <f t="shared" si="0"/>
        <v>3</v>
      </c>
      <c r="R8" s="856">
        <f t="shared" si="0"/>
        <v>60.16</v>
      </c>
      <c r="S8" s="797">
        <f t="shared" si="1"/>
        <v>2</v>
      </c>
      <c r="T8" s="856">
        <f t="shared" si="2"/>
        <v>32.299999999999997</v>
      </c>
      <c r="U8" s="862">
        <v>90</v>
      </c>
      <c r="V8" s="806">
        <v>69</v>
      </c>
      <c r="W8" s="806">
        <v>-21</v>
      </c>
      <c r="X8" s="860">
        <v>0.76666666666666672</v>
      </c>
      <c r="Y8" s="858"/>
    </row>
    <row r="9" spans="1:25" ht="14.45" customHeight="1" x14ac:dyDescent="0.2">
      <c r="A9" s="826" t="s">
        <v>3886</v>
      </c>
      <c r="B9" s="812">
        <v>4</v>
      </c>
      <c r="C9" s="813">
        <v>80.23</v>
      </c>
      <c r="D9" s="811">
        <v>32.5</v>
      </c>
      <c r="E9" s="816">
        <v>12</v>
      </c>
      <c r="F9" s="817">
        <v>251.36</v>
      </c>
      <c r="G9" s="799">
        <v>26.3</v>
      </c>
      <c r="H9" s="819">
        <v>8</v>
      </c>
      <c r="I9" s="815">
        <v>162.88999999999999</v>
      </c>
      <c r="J9" s="798">
        <v>19.899999999999999</v>
      </c>
      <c r="K9" s="818">
        <v>20.34</v>
      </c>
      <c r="L9" s="819">
        <v>11</v>
      </c>
      <c r="M9" s="819">
        <v>87</v>
      </c>
      <c r="N9" s="820">
        <v>29</v>
      </c>
      <c r="O9" s="819" t="s">
        <v>3878</v>
      </c>
      <c r="P9" s="821" t="s">
        <v>3885</v>
      </c>
      <c r="Q9" s="822">
        <f t="shared" si="0"/>
        <v>4</v>
      </c>
      <c r="R9" s="855">
        <f t="shared" si="0"/>
        <v>82.659999999999982</v>
      </c>
      <c r="S9" s="822">
        <f t="shared" si="1"/>
        <v>-4</v>
      </c>
      <c r="T9" s="855">
        <f t="shared" si="2"/>
        <v>-88.470000000000027</v>
      </c>
      <c r="U9" s="863">
        <v>232</v>
      </c>
      <c r="V9" s="812">
        <v>159.19999999999999</v>
      </c>
      <c r="W9" s="812">
        <v>-72.800000000000011</v>
      </c>
      <c r="X9" s="861">
        <v>0.68620689655172407</v>
      </c>
      <c r="Y9" s="859">
        <v>8</v>
      </c>
    </row>
    <row r="10" spans="1:25" ht="14.45" customHeight="1" x14ac:dyDescent="0.2">
      <c r="A10" s="825" t="s">
        <v>3887</v>
      </c>
      <c r="B10" s="806">
        <v>2</v>
      </c>
      <c r="C10" s="807">
        <v>24.75</v>
      </c>
      <c r="D10" s="808">
        <v>16</v>
      </c>
      <c r="E10" s="791"/>
      <c r="F10" s="792"/>
      <c r="G10" s="793"/>
      <c r="H10" s="795"/>
      <c r="I10" s="789"/>
      <c r="J10" s="790"/>
      <c r="K10" s="794">
        <v>12.38</v>
      </c>
      <c r="L10" s="795">
        <v>5</v>
      </c>
      <c r="M10" s="795">
        <v>60</v>
      </c>
      <c r="N10" s="796">
        <v>20</v>
      </c>
      <c r="O10" s="795" t="s">
        <v>3878</v>
      </c>
      <c r="P10" s="810" t="s">
        <v>3888</v>
      </c>
      <c r="Q10" s="797">
        <f t="shared" si="0"/>
        <v>-2</v>
      </c>
      <c r="R10" s="856">
        <f t="shared" si="0"/>
        <v>-24.75</v>
      </c>
      <c r="S10" s="797">
        <f t="shared" si="1"/>
        <v>0</v>
      </c>
      <c r="T10" s="856">
        <f t="shared" si="2"/>
        <v>0</v>
      </c>
      <c r="U10" s="862" t="s">
        <v>306</v>
      </c>
      <c r="V10" s="806" t="s">
        <v>306</v>
      </c>
      <c r="W10" s="806" t="s">
        <v>306</v>
      </c>
      <c r="X10" s="860" t="s">
        <v>306</v>
      </c>
      <c r="Y10" s="858"/>
    </row>
    <row r="11" spans="1:25" ht="14.45" customHeight="1" x14ac:dyDescent="0.2">
      <c r="A11" s="826" t="s">
        <v>3889</v>
      </c>
      <c r="B11" s="812">
        <v>2</v>
      </c>
      <c r="C11" s="813">
        <v>41.36</v>
      </c>
      <c r="D11" s="811">
        <v>23</v>
      </c>
      <c r="E11" s="816">
        <v>3</v>
      </c>
      <c r="F11" s="817">
        <v>38.65</v>
      </c>
      <c r="G11" s="799">
        <v>20.7</v>
      </c>
      <c r="H11" s="819"/>
      <c r="I11" s="815"/>
      <c r="J11" s="798"/>
      <c r="K11" s="818">
        <v>12.38</v>
      </c>
      <c r="L11" s="819">
        <v>5</v>
      </c>
      <c r="M11" s="819">
        <v>60</v>
      </c>
      <c r="N11" s="820">
        <v>20</v>
      </c>
      <c r="O11" s="819" t="s">
        <v>3878</v>
      </c>
      <c r="P11" s="821" t="s">
        <v>3888</v>
      </c>
      <c r="Q11" s="822">
        <f t="shared" si="0"/>
        <v>-2</v>
      </c>
      <c r="R11" s="855">
        <f t="shared" si="0"/>
        <v>-41.36</v>
      </c>
      <c r="S11" s="822">
        <f t="shared" si="1"/>
        <v>-3</v>
      </c>
      <c r="T11" s="855">
        <f t="shared" si="2"/>
        <v>-38.65</v>
      </c>
      <c r="U11" s="863" t="s">
        <v>306</v>
      </c>
      <c r="V11" s="812" t="s">
        <v>306</v>
      </c>
      <c r="W11" s="812" t="s">
        <v>306</v>
      </c>
      <c r="X11" s="861" t="s">
        <v>306</v>
      </c>
      <c r="Y11" s="859"/>
    </row>
    <row r="12" spans="1:25" ht="14.45" customHeight="1" x14ac:dyDescent="0.2">
      <c r="A12" s="826" t="s">
        <v>3890</v>
      </c>
      <c r="B12" s="812">
        <v>6</v>
      </c>
      <c r="C12" s="813">
        <v>75.89</v>
      </c>
      <c r="D12" s="811">
        <v>15.2</v>
      </c>
      <c r="E12" s="816">
        <v>8</v>
      </c>
      <c r="F12" s="817">
        <v>106.2</v>
      </c>
      <c r="G12" s="799">
        <v>10.3</v>
      </c>
      <c r="H12" s="819">
        <v>8</v>
      </c>
      <c r="I12" s="815">
        <v>104.14</v>
      </c>
      <c r="J12" s="800">
        <v>20.6</v>
      </c>
      <c r="K12" s="818">
        <v>12.65</v>
      </c>
      <c r="L12" s="819">
        <v>5</v>
      </c>
      <c r="M12" s="819">
        <v>60</v>
      </c>
      <c r="N12" s="820">
        <v>20</v>
      </c>
      <c r="O12" s="819" t="s">
        <v>3878</v>
      </c>
      <c r="P12" s="821" t="s">
        <v>3888</v>
      </c>
      <c r="Q12" s="822">
        <f t="shared" si="0"/>
        <v>2</v>
      </c>
      <c r="R12" s="855">
        <f t="shared" si="0"/>
        <v>28.25</v>
      </c>
      <c r="S12" s="822">
        <f t="shared" si="1"/>
        <v>0</v>
      </c>
      <c r="T12" s="855">
        <f t="shared" si="2"/>
        <v>-2.0600000000000023</v>
      </c>
      <c r="U12" s="863">
        <v>160</v>
      </c>
      <c r="V12" s="812">
        <v>164.8</v>
      </c>
      <c r="W12" s="812">
        <v>4.8000000000000114</v>
      </c>
      <c r="X12" s="861">
        <v>1.03</v>
      </c>
      <c r="Y12" s="859">
        <v>27</v>
      </c>
    </row>
    <row r="13" spans="1:25" ht="14.45" customHeight="1" x14ac:dyDescent="0.2">
      <c r="A13" s="825" t="s">
        <v>3891</v>
      </c>
      <c r="B13" s="806"/>
      <c r="C13" s="807"/>
      <c r="D13" s="808"/>
      <c r="E13" s="791">
        <v>1</v>
      </c>
      <c r="F13" s="792">
        <v>4.59</v>
      </c>
      <c r="G13" s="793">
        <v>2</v>
      </c>
      <c r="H13" s="795"/>
      <c r="I13" s="789"/>
      <c r="J13" s="790"/>
      <c r="K13" s="794">
        <v>3.29</v>
      </c>
      <c r="L13" s="795">
        <v>3</v>
      </c>
      <c r="M13" s="795">
        <v>30</v>
      </c>
      <c r="N13" s="796">
        <v>10</v>
      </c>
      <c r="O13" s="795" t="s">
        <v>3878</v>
      </c>
      <c r="P13" s="810" t="s">
        <v>3892</v>
      </c>
      <c r="Q13" s="797">
        <f t="shared" si="0"/>
        <v>0</v>
      </c>
      <c r="R13" s="856">
        <f t="shared" si="0"/>
        <v>0</v>
      </c>
      <c r="S13" s="797">
        <f t="shared" si="1"/>
        <v>-1</v>
      </c>
      <c r="T13" s="856">
        <f t="shared" si="2"/>
        <v>-4.59</v>
      </c>
      <c r="U13" s="862" t="s">
        <v>306</v>
      </c>
      <c r="V13" s="806" t="s">
        <v>306</v>
      </c>
      <c r="W13" s="806" t="s">
        <v>306</v>
      </c>
      <c r="X13" s="860" t="s">
        <v>306</v>
      </c>
      <c r="Y13" s="858"/>
    </row>
    <row r="14" spans="1:25" ht="14.45" customHeight="1" x14ac:dyDescent="0.2">
      <c r="A14" s="826" t="s">
        <v>3893</v>
      </c>
      <c r="B14" s="812"/>
      <c r="C14" s="813"/>
      <c r="D14" s="811"/>
      <c r="E14" s="816">
        <v>1</v>
      </c>
      <c r="F14" s="817">
        <v>6.5</v>
      </c>
      <c r="G14" s="799">
        <v>5</v>
      </c>
      <c r="H14" s="819"/>
      <c r="I14" s="815"/>
      <c r="J14" s="798"/>
      <c r="K14" s="818">
        <v>6.5</v>
      </c>
      <c r="L14" s="819">
        <v>4</v>
      </c>
      <c r="M14" s="819">
        <v>39</v>
      </c>
      <c r="N14" s="820">
        <v>13</v>
      </c>
      <c r="O14" s="819" t="s">
        <v>3878</v>
      </c>
      <c r="P14" s="821" t="s">
        <v>3894</v>
      </c>
      <c r="Q14" s="822">
        <f t="shared" si="0"/>
        <v>0</v>
      </c>
      <c r="R14" s="855">
        <f t="shared" si="0"/>
        <v>0</v>
      </c>
      <c r="S14" s="822">
        <f t="shared" si="1"/>
        <v>-1</v>
      </c>
      <c r="T14" s="855">
        <f t="shared" si="2"/>
        <v>-6.5</v>
      </c>
      <c r="U14" s="863" t="s">
        <v>306</v>
      </c>
      <c r="V14" s="812" t="s">
        <v>306</v>
      </c>
      <c r="W14" s="812" t="s">
        <v>306</v>
      </c>
      <c r="X14" s="861" t="s">
        <v>306</v>
      </c>
      <c r="Y14" s="859"/>
    </row>
    <row r="15" spans="1:25" ht="14.45" customHeight="1" x14ac:dyDescent="0.2">
      <c r="A15" s="825" t="s">
        <v>3895</v>
      </c>
      <c r="B15" s="801">
        <v>1</v>
      </c>
      <c r="C15" s="802">
        <v>7.19</v>
      </c>
      <c r="D15" s="803">
        <v>6</v>
      </c>
      <c r="E15" s="809"/>
      <c r="F15" s="789"/>
      <c r="G15" s="790"/>
      <c r="H15" s="795"/>
      <c r="I15" s="789"/>
      <c r="J15" s="790"/>
      <c r="K15" s="794">
        <v>7.19</v>
      </c>
      <c r="L15" s="795">
        <v>3</v>
      </c>
      <c r="M15" s="795">
        <v>30</v>
      </c>
      <c r="N15" s="796">
        <v>10</v>
      </c>
      <c r="O15" s="795" t="s">
        <v>3878</v>
      </c>
      <c r="P15" s="810" t="s">
        <v>3896</v>
      </c>
      <c r="Q15" s="797">
        <f t="shared" si="0"/>
        <v>-1</v>
      </c>
      <c r="R15" s="856">
        <f t="shared" si="0"/>
        <v>-7.19</v>
      </c>
      <c r="S15" s="797">
        <f t="shared" si="1"/>
        <v>0</v>
      </c>
      <c r="T15" s="856">
        <f t="shared" si="2"/>
        <v>0</v>
      </c>
      <c r="U15" s="862" t="s">
        <v>306</v>
      </c>
      <c r="V15" s="806" t="s">
        <v>306</v>
      </c>
      <c r="W15" s="806" t="s">
        <v>306</v>
      </c>
      <c r="X15" s="860" t="s">
        <v>306</v>
      </c>
      <c r="Y15" s="858"/>
    </row>
    <row r="16" spans="1:25" ht="14.45" customHeight="1" x14ac:dyDescent="0.2">
      <c r="A16" s="825" t="s">
        <v>3897</v>
      </c>
      <c r="B16" s="801">
        <v>1</v>
      </c>
      <c r="C16" s="802">
        <v>0.77</v>
      </c>
      <c r="D16" s="803">
        <v>1</v>
      </c>
      <c r="E16" s="809"/>
      <c r="F16" s="789"/>
      <c r="G16" s="790"/>
      <c r="H16" s="795"/>
      <c r="I16" s="789"/>
      <c r="J16" s="790"/>
      <c r="K16" s="794">
        <v>2.2200000000000002</v>
      </c>
      <c r="L16" s="795">
        <v>3</v>
      </c>
      <c r="M16" s="795">
        <v>30</v>
      </c>
      <c r="N16" s="796">
        <v>10</v>
      </c>
      <c r="O16" s="795" t="s">
        <v>3878</v>
      </c>
      <c r="P16" s="810" t="s">
        <v>3898</v>
      </c>
      <c r="Q16" s="797">
        <f t="shared" si="0"/>
        <v>-1</v>
      </c>
      <c r="R16" s="856">
        <f t="shared" si="0"/>
        <v>-0.77</v>
      </c>
      <c r="S16" s="797">
        <f t="shared" si="1"/>
        <v>0</v>
      </c>
      <c r="T16" s="856">
        <f t="shared" si="2"/>
        <v>0</v>
      </c>
      <c r="U16" s="862" t="s">
        <v>306</v>
      </c>
      <c r="V16" s="806" t="s">
        <v>306</v>
      </c>
      <c r="W16" s="806" t="s">
        <v>306</v>
      </c>
      <c r="X16" s="860" t="s">
        <v>306</v>
      </c>
      <c r="Y16" s="858"/>
    </row>
    <row r="17" spans="1:25" ht="14.45" customHeight="1" x14ac:dyDescent="0.2">
      <c r="A17" s="825" t="s">
        <v>3899</v>
      </c>
      <c r="B17" s="806"/>
      <c r="C17" s="807"/>
      <c r="D17" s="808"/>
      <c r="E17" s="791">
        <v>1</v>
      </c>
      <c r="F17" s="792">
        <v>0.47</v>
      </c>
      <c r="G17" s="793">
        <v>2</v>
      </c>
      <c r="H17" s="795"/>
      <c r="I17" s="789"/>
      <c r="J17" s="790"/>
      <c r="K17" s="794">
        <v>0.47</v>
      </c>
      <c r="L17" s="795">
        <v>2</v>
      </c>
      <c r="M17" s="795">
        <v>15</v>
      </c>
      <c r="N17" s="796">
        <v>5</v>
      </c>
      <c r="O17" s="795" t="s">
        <v>3878</v>
      </c>
      <c r="P17" s="810" t="s">
        <v>3900</v>
      </c>
      <c r="Q17" s="797">
        <f t="shared" si="0"/>
        <v>0</v>
      </c>
      <c r="R17" s="856">
        <f t="shared" si="0"/>
        <v>0</v>
      </c>
      <c r="S17" s="797">
        <f t="shared" si="1"/>
        <v>-1</v>
      </c>
      <c r="T17" s="856">
        <f t="shared" si="2"/>
        <v>-0.47</v>
      </c>
      <c r="U17" s="862" t="s">
        <v>306</v>
      </c>
      <c r="V17" s="806" t="s">
        <v>306</v>
      </c>
      <c r="W17" s="806" t="s">
        <v>306</v>
      </c>
      <c r="X17" s="860" t="s">
        <v>306</v>
      </c>
      <c r="Y17" s="858"/>
    </row>
    <row r="18" spans="1:25" ht="14.45" customHeight="1" x14ac:dyDescent="0.2">
      <c r="A18" s="825" t="s">
        <v>3901</v>
      </c>
      <c r="B18" s="806">
        <v>1</v>
      </c>
      <c r="C18" s="807">
        <v>1.24</v>
      </c>
      <c r="D18" s="808">
        <v>5</v>
      </c>
      <c r="E18" s="791">
        <v>1</v>
      </c>
      <c r="F18" s="792">
        <v>1.29</v>
      </c>
      <c r="G18" s="793">
        <v>3</v>
      </c>
      <c r="H18" s="795"/>
      <c r="I18" s="789"/>
      <c r="J18" s="790"/>
      <c r="K18" s="794">
        <v>1.24</v>
      </c>
      <c r="L18" s="795">
        <v>3</v>
      </c>
      <c r="M18" s="795">
        <v>24</v>
      </c>
      <c r="N18" s="796">
        <v>8</v>
      </c>
      <c r="O18" s="795" t="s">
        <v>3878</v>
      </c>
      <c r="P18" s="810" t="s">
        <v>3902</v>
      </c>
      <c r="Q18" s="797">
        <f t="shared" si="0"/>
        <v>-1</v>
      </c>
      <c r="R18" s="856">
        <f t="shared" si="0"/>
        <v>-1.24</v>
      </c>
      <c r="S18" s="797">
        <f t="shared" si="1"/>
        <v>-1</v>
      </c>
      <c r="T18" s="856">
        <f t="shared" si="2"/>
        <v>-1.29</v>
      </c>
      <c r="U18" s="862" t="s">
        <v>306</v>
      </c>
      <c r="V18" s="806" t="s">
        <v>306</v>
      </c>
      <c r="W18" s="806" t="s">
        <v>306</v>
      </c>
      <c r="X18" s="860" t="s">
        <v>306</v>
      </c>
      <c r="Y18" s="858"/>
    </row>
    <row r="19" spans="1:25" ht="14.45" customHeight="1" x14ac:dyDescent="0.2">
      <c r="A19" s="825" t="s">
        <v>3903</v>
      </c>
      <c r="B19" s="801">
        <v>1</v>
      </c>
      <c r="C19" s="802">
        <v>1.35</v>
      </c>
      <c r="D19" s="803">
        <v>25</v>
      </c>
      <c r="E19" s="809">
        <v>1</v>
      </c>
      <c r="F19" s="789">
        <v>1.45</v>
      </c>
      <c r="G19" s="790">
        <v>2</v>
      </c>
      <c r="H19" s="795"/>
      <c r="I19" s="789"/>
      <c r="J19" s="790"/>
      <c r="K19" s="794">
        <v>1.1200000000000001</v>
      </c>
      <c r="L19" s="795">
        <v>3</v>
      </c>
      <c r="M19" s="795">
        <v>27</v>
      </c>
      <c r="N19" s="796">
        <v>9</v>
      </c>
      <c r="O19" s="795" t="s">
        <v>3878</v>
      </c>
      <c r="P19" s="810" t="s">
        <v>3904</v>
      </c>
      <c r="Q19" s="797">
        <f t="shared" si="0"/>
        <v>-1</v>
      </c>
      <c r="R19" s="856">
        <f t="shared" si="0"/>
        <v>-1.35</v>
      </c>
      <c r="S19" s="797">
        <f t="shared" si="1"/>
        <v>-1</v>
      </c>
      <c r="T19" s="856">
        <f t="shared" si="2"/>
        <v>-1.45</v>
      </c>
      <c r="U19" s="862" t="s">
        <v>306</v>
      </c>
      <c r="V19" s="806" t="s">
        <v>306</v>
      </c>
      <c r="W19" s="806" t="s">
        <v>306</v>
      </c>
      <c r="X19" s="860" t="s">
        <v>306</v>
      </c>
      <c r="Y19" s="858"/>
    </row>
    <row r="20" spans="1:25" ht="14.45" customHeight="1" x14ac:dyDescent="0.2">
      <c r="A20" s="826" t="s">
        <v>3905</v>
      </c>
      <c r="B20" s="823">
        <v>1</v>
      </c>
      <c r="C20" s="824">
        <v>0.83</v>
      </c>
      <c r="D20" s="804">
        <v>1</v>
      </c>
      <c r="E20" s="814"/>
      <c r="F20" s="815"/>
      <c r="G20" s="798"/>
      <c r="H20" s="819"/>
      <c r="I20" s="815"/>
      <c r="J20" s="798"/>
      <c r="K20" s="818">
        <v>2.38</v>
      </c>
      <c r="L20" s="819">
        <v>3</v>
      </c>
      <c r="M20" s="819">
        <v>30</v>
      </c>
      <c r="N20" s="820">
        <v>10</v>
      </c>
      <c r="O20" s="819" t="s">
        <v>3878</v>
      </c>
      <c r="P20" s="821" t="s">
        <v>3906</v>
      </c>
      <c r="Q20" s="822">
        <f t="shared" si="0"/>
        <v>-1</v>
      </c>
      <c r="R20" s="855">
        <f t="shared" si="0"/>
        <v>-0.83</v>
      </c>
      <c r="S20" s="822">
        <f t="shared" si="1"/>
        <v>0</v>
      </c>
      <c r="T20" s="855">
        <f t="shared" si="2"/>
        <v>0</v>
      </c>
      <c r="U20" s="863" t="s">
        <v>306</v>
      </c>
      <c r="V20" s="812" t="s">
        <v>306</v>
      </c>
      <c r="W20" s="812" t="s">
        <v>306</v>
      </c>
      <c r="X20" s="861" t="s">
        <v>306</v>
      </c>
      <c r="Y20" s="859"/>
    </row>
    <row r="21" spans="1:25" ht="14.45" customHeight="1" x14ac:dyDescent="0.2">
      <c r="A21" s="825" t="s">
        <v>3907</v>
      </c>
      <c r="B21" s="806"/>
      <c r="C21" s="807"/>
      <c r="D21" s="808"/>
      <c r="E21" s="791">
        <v>1</v>
      </c>
      <c r="F21" s="792">
        <v>4.29</v>
      </c>
      <c r="G21" s="793">
        <v>16</v>
      </c>
      <c r="H21" s="795"/>
      <c r="I21" s="789"/>
      <c r="J21" s="790"/>
      <c r="K21" s="794">
        <v>4.29</v>
      </c>
      <c r="L21" s="795">
        <v>5</v>
      </c>
      <c r="M21" s="795">
        <v>45</v>
      </c>
      <c r="N21" s="796">
        <v>15</v>
      </c>
      <c r="O21" s="795" t="s">
        <v>3878</v>
      </c>
      <c r="P21" s="810" t="s">
        <v>3908</v>
      </c>
      <c r="Q21" s="797">
        <f t="shared" si="0"/>
        <v>0</v>
      </c>
      <c r="R21" s="856">
        <f t="shared" si="0"/>
        <v>0</v>
      </c>
      <c r="S21" s="797">
        <f t="shared" si="1"/>
        <v>-1</v>
      </c>
      <c r="T21" s="856">
        <f t="shared" si="2"/>
        <v>-4.29</v>
      </c>
      <c r="U21" s="862" t="s">
        <v>306</v>
      </c>
      <c r="V21" s="806" t="s">
        <v>306</v>
      </c>
      <c r="W21" s="806" t="s">
        <v>306</v>
      </c>
      <c r="X21" s="860" t="s">
        <v>306</v>
      </c>
      <c r="Y21" s="858"/>
    </row>
    <row r="22" spans="1:25" ht="14.45" customHeight="1" x14ac:dyDescent="0.2">
      <c r="A22" s="825" t="s">
        <v>3909</v>
      </c>
      <c r="B22" s="806"/>
      <c r="C22" s="807"/>
      <c r="D22" s="808"/>
      <c r="E22" s="809"/>
      <c r="F22" s="789"/>
      <c r="G22" s="790"/>
      <c r="H22" s="791">
        <v>1</v>
      </c>
      <c r="I22" s="792">
        <v>1.65</v>
      </c>
      <c r="J22" s="793">
        <v>2</v>
      </c>
      <c r="K22" s="794">
        <v>1.65</v>
      </c>
      <c r="L22" s="795">
        <v>2</v>
      </c>
      <c r="M22" s="795">
        <v>18</v>
      </c>
      <c r="N22" s="796">
        <v>6</v>
      </c>
      <c r="O22" s="795" t="s">
        <v>3878</v>
      </c>
      <c r="P22" s="810" t="s">
        <v>3910</v>
      </c>
      <c r="Q22" s="797">
        <f t="shared" si="0"/>
        <v>1</v>
      </c>
      <c r="R22" s="856">
        <f t="shared" si="0"/>
        <v>1.65</v>
      </c>
      <c r="S22" s="797">
        <f t="shared" si="1"/>
        <v>1</v>
      </c>
      <c r="T22" s="856">
        <f t="shared" si="2"/>
        <v>1.65</v>
      </c>
      <c r="U22" s="862">
        <v>6</v>
      </c>
      <c r="V22" s="806">
        <v>2</v>
      </c>
      <c r="W22" s="806">
        <v>-4</v>
      </c>
      <c r="X22" s="860">
        <v>0.33333333333333331</v>
      </c>
      <c r="Y22" s="858"/>
    </row>
    <row r="23" spans="1:25" ht="14.45" customHeight="1" x14ac:dyDescent="0.2">
      <c r="A23" s="825" t="s">
        <v>3911</v>
      </c>
      <c r="B23" s="806"/>
      <c r="C23" s="807"/>
      <c r="D23" s="808"/>
      <c r="E23" s="791">
        <v>1</v>
      </c>
      <c r="F23" s="792">
        <v>0.68</v>
      </c>
      <c r="G23" s="793">
        <v>4</v>
      </c>
      <c r="H23" s="795"/>
      <c r="I23" s="789"/>
      <c r="J23" s="790"/>
      <c r="K23" s="794">
        <v>0.64</v>
      </c>
      <c r="L23" s="795">
        <v>1</v>
      </c>
      <c r="M23" s="795">
        <v>12</v>
      </c>
      <c r="N23" s="796">
        <v>4</v>
      </c>
      <c r="O23" s="795" t="s">
        <v>3878</v>
      </c>
      <c r="P23" s="810" t="s">
        <v>3912</v>
      </c>
      <c r="Q23" s="797">
        <f t="shared" si="0"/>
        <v>0</v>
      </c>
      <c r="R23" s="856">
        <f t="shared" si="0"/>
        <v>0</v>
      </c>
      <c r="S23" s="797">
        <f t="shared" si="1"/>
        <v>-1</v>
      </c>
      <c r="T23" s="856">
        <f t="shared" si="2"/>
        <v>-0.68</v>
      </c>
      <c r="U23" s="862" t="s">
        <v>306</v>
      </c>
      <c r="V23" s="806" t="s">
        <v>306</v>
      </c>
      <c r="W23" s="806" t="s">
        <v>306</v>
      </c>
      <c r="X23" s="860" t="s">
        <v>306</v>
      </c>
      <c r="Y23" s="858"/>
    </row>
    <row r="24" spans="1:25" ht="14.45" customHeight="1" x14ac:dyDescent="0.2">
      <c r="A24" s="825" t="s">
        <v>3913</v>
      </c>
      <c r="B24" s="806"/>
      <c r="C24" s="807"/>
      <c r="D24" s="808"/>
      <c r="E24" s="809">
        <v>1</v>
      </c>
      <c r="F24" s="789">
        <v>0.87</v>
      </c>
      <c r="G24" s="790">
        <v>3</v>
      </c>
      <c r="H24" s="791"/>
      <c r="I24" s="792"/>
      <c r="J24" s="793"/>
      <c r="K24" s="794">
        <v>0.82</v>
      </c>
      <c r="L24" s="795">
        <v>2</v>
      </c>
      <c r="M24" s="795">
        <v>18</v>
      </c>
      <c r="N24" s="796">
        <v>6</v>
      </c>
      <c r="O24" s="795" t="s">
        <v>3878</v>
      </c>
      <c r="P24" s="810" t="s">
        <v>3914</v>
      </c>
      <c r="Q24" s="797">
        <f t="shared" si="0"/>
        <v>0</v>
      </c>
      <c r="R24" s="856">
        <f t="shared" si="0"/>
        <v>0</v>
      </c>
      <c r="S24" s="797">
        <f t="shared" si="1"/>
        <v>-1</v>
      </c>
      <c r="T24" s="856">
        <f t="shared" si="2"/>
        <v>-0.87</v>
      </c>
      <c r="U24" s="862" t="s">
        <v>306</v>
      </c>
      <c r="V24" s="806" t="s">
        <v>306</v>
      </c>
      <c r="W24" s="806" t="s">
        <v>306</v>
      </c>
      <c r="X24" s="860" t="s">
        <v>306</v>
      </c>
      <c r="Y24" s="858"/>
    </row>
    <row r="25" spans="1:25" ht="14.45" customHeight="1" x14ac:dyDescent="0.2">
      <c r="A25" s="826" t="s">
        <v>3915</v>
      </c>
      <c r="B25" s="812">
        <v>1</v>
      </c>
      <c r="C25" s="813">
        <v>1.41</v>
      </c>
      <c r="D25" s="811">
        <v>4</v>
      </c>
      <c r="E25" s="814"/>
      <c r="F25" s="815"/>
      <c r="G25" s="798"/>
      <c r="H25" s="816">
        <v>1</v>
      </c>
      <c r="I25" s="817">
        <v>1.53</v>
      </c>
      <c r="J25" s="799">
        <v>6</v>
      </c>
      <c r="K25" s="818">
        <v>1.41</v>
      </c>
      <c r="L25" s="819">
        <v>3</v>
      </c>
      <c r="M25" s="819">
        <v>24</v>
      </c>
      <c r="N25" s="820">
        <v>8</v>
      </c>
      <c r="O25" s="819" t="s">
        <v>3878</v>
      </c>
      <c r="P25" s="821" t="s">
        <v>3914</v>
      </c>
      <c r="Q25" s="822">
        <f t="shared" si="0"/>
        <v>0</v>
      </c>
      <c r="R25" s="855">
        <f t="shared" si="0"/>
        <v>0.12000000000000011</v>
      </c>
      <c r="S25" s="822">
        <f t="shared" si="1"/>
        <v>1</v>
      </c>
      <c r="T25" s="855">
        <f t="shared" si="2"/>
        <v>1.53</v>
      </c>
      <c r="U25" s="863">
        <v>8</v>
      </c>
      <c r="V25" s="812">
        <v>6</v>
      </c>
      <c r="W25" s="812">
        <v>-2</v>
      </c>
      <c r="X25" s="861">
        <v>0.75</v>
      </c>
      <c r="Y25" s="859"/>
    </row>
    <row r="26" spans="1:25" ht="14.45" customHeight="1" x14ac:dyDescent="0.2">
      <c r="A26" s="825" t="s">
        <v>3916</v>
      </c>
      <c r="B26" s="806"/>
      <c r="C26" s="807"/>
      <c r="D26" s="808"/>
      <c r="E26" s="791">
        <v>1</v>
      </c>
      <c r="F26" s="792">
        <v>0.6</v>
      </c>
      <c r="G26" s="793">
        <v>2</v>
      </c>
      <c r="H26" s="795"/>
      <c r="I26" s="789"/>
      <c r="J26" s="790"/>
      <c r="K26" s="794">
        <v>0.86</v>
      </c>
      <c r="L26" s="795">
        <v>3</v>
      </c>
      <c r="M26" s="795">
        <v>27</v>
      </c>
      <c r="N26" s="796">
        <v>9</v>
      </c>
      <c r="O26" s="795" t="s">
        <v>3878</v>
      </c>
      <c r="P26" s="810" t="s">
        <v>3917</v>
      </c>
      <c r="Q26" s="797">
        <f t="shared" si="0"/>
        <v>0</v>
      </c>
      <c r="R26" s="856">
        <f t="shared" si="0"/>
        <v>0</v>
      </c>
      <c r="S26" s="797">
        <f t="shared" si="1"/>
        <v>-1</v>
      </c>
      <c r="T26" s="856">
        <f t="shared" si="2"/>
        <v>-0.6</v>
      </c>
      <c r="U26" s="862" t="s">
        <v>306</v>
      </c>
      <c r="V26" s="806" t="s">
        <v>306</v>
      </c>
      <c r="W26" s="806" t="s">
        <v>306</v>
      </c>
      <c r="X26" s="860" t="s">
        <v>306</v>
      </c>
      <c r="Y26" s="858"/>
    </row>
    <row r="27" spans="1:25" ht="14.45" customHeight="1" x14ac:dyDescent="0.2">
      <c r="A27" s="825" t="s">
        <v>3918</v>
      </c>
      <c r="B27" s="806"/>
      <c r="C27" s="807"/>
      <c r="D27" s="808"/>
      <c r="E27" s="791">
        <v>3</v>
      </c>
      <c r="F27" s="792">
        <v>3.98</v>
      </c>
      <c r="G27" s="793">
        <v>2.2999999999999998</v>
      </c>
      <c r="H27" s="795"/>
      <c r="I27" s="789"/>
      <c r="J27" s="790"/>
      <c r="K27" s="794">
        <v>1.67</v>
      </c>
      <c r="L27" s="795">
        <v>3</v>
      </c>
      <c r="M27" s="795">
        <v>27</v>
      </c>
      <c r="N27" s="796">
        <v>9</v>
      </c>
      <c r="O27" s="795" t="s">
        <v>3878</v>
      </c>
      <c r="P27" s="810" t="s">
        <v>3919</v>
      </c>
      <c r="Q27" s="797">
        <f t="shared" si="0"/>
        <v>0</v>
      </c>
      <c r="R27" s="856">
        <f t="shared" si="0"/>
        <v>0</v>
      </c>
      <c r="S27" s="797">
        <f t="shared" si="1"/>
        <v>-3</v>
      </c>
      <c r="T27" s="856">
        <f t="shared" si="2"/>
        <v>-3.98</v>
      </c>
      <c r="U27" s="862" t="s">
        <v>306</v>
      </c>
      <c r="V27" s="806" t="s">
        <v>306</v>
      </c>
      <c r="W27" s="806" t="s">
        <v>306</v>
      </c>
      <c r="X27" s="860" t="s">
        <v>306</v>
      </c>
      <c r="Y27" s="858"/>
    </row>
    <row r="28" spans="1:25" ht="14.45" customHeight="1" x14ac:dyDescent="0.2">
      <c r="A28" s="825" t="s">
        <v>3920</v>
      </c>
      <c r="B28" s="801">
        <v>1</v>
      </c>
      <c r="C28" s="802">
        <v>0.5</v>
      </c>
      <c r="D28" s="803">
        <v>2</v>
      </c>
      <c r="E28" s="809"/>
      <c r="F28" s="789"/>
      <c r="G28" s="790"/>
      <c r="H28" s="795"/>
      <c r="I28" s="789"/>
      <c r="J28" s="790"/>
      <c r="K28" s="794">
        <v>0.36</v>
      </c>
      <c r="L28" s="795">
        <v>2</v>
      </c>
      <c r="M28" s="795">
        <v>15</v>
      </c>
      <c r="N28" s="796">
        <v>5</v>
      </c>
      <c r="O28" s="795" t="s">
        <v>3878</v>
      </c>
      <c r="P28" s="810" t="s">
        <v>3921</v>
      </c>
      <c r="Q28" s="797">
        <f t="shared" si="0"/>
        <v>-1</v>
      </c>
      <c r="R28" s="856">
        <f t="shared" si="0"/>
        <v>-0.5</v>
      </c>
      <c r="S28" s="797">
        <f t="shared" si="1"/>
        <v>0</v>
      </c>
      <c r="T28" s="856">
        <f t="shared" si="2"/>
        <v>0</v>
      </c>
      <c r="U28" s="862" t="s">
        <v>306</v>
      </c>
      <c r="V28" s="806" t="s">
        <v>306</v>
      </c>
      <c r="W28" s="806" t="s">
        <v>306</v>
      </c>
      <c r="X28" s="860" t="s">
        <v>306</v>
      </c>
      <c r="Y28" s="858"/>
    </row>
    <row r="29" spans="1:25" ht="14.45" customHeight="1" x14ac:dyDescent="0.2">
      <c r="A29" s="825" t="s">
        <v>3922</v>
      </c>
      <c r="B29" s="806"/>
      <c r="C29" s="807"/>
      <c r="D29" s="808"/>
      <c r="E29" s="791">
        <v>1</v>
      </c>
      <c r="F29" s="792">
        <v>0.55000000000000004</v>
      </c>
      <c r="G29" s="793">
        <v>2</v>
      </c>
      <c r="H29" s="795"/>
      <c r="I29" s="789"/>
      <c r="J29" s="790"/>
      <c r="K29" s="794">
        <v>0.55000000000000004</v>
      </c>
      <c r="L29" s="795">
        <v>2</v>
      </c>
      <c r="M29" s="795">
        <v>21</v>
      </c>
      <c r="N29" s="796">
        <v>7</v>
      </c>
      <c r="O29" s="795" t="s">
        <v>3878</v>
      </c>
      <c r="P29" s="810" t="s">
        <v>3923</v>
      </c>
      <c r="Q29" s="797">
        <f t="shared" si="0"/>
        <v>0</v>
      </c>
      <c r="R29" s="856">
        <f t="shared" si="0"/>
        <v>0</v>
      </c>
      <c r="S29" s="797">
        <f t="shared" si="1"/>
        <v>-1</v>
      </c>
      <c r="T29" s="856">
        <f t="shared" si="2"/>
        <v>-0.55000000000000004</v>
      </c>
      <c r="U29" s="862" t="s">
        <v>306</v>
      </c>
      <c r="V29" s="806" t="s">
        <v>306</v>
      </c>
      <c r="W29" s="806" t="s">
        <v>306</v>
      </c>
      <c r="X29" s="860" t="s">
        <v>306</v>
      </c>
      <c r="Y29" s="858"/>
    </row>
    <row r="30" spans="1:25" ht="14.45" customHeight="1" x14ac:dyDescent="0.2">
      <c r="A30" s="825" t="s">
        <v>3924</v>
      </c>
      <c r="B30" s="801">
        <v>1</v>
      </c>
      <c r="C30" s="802">
        <v>0.82</v>
      </c>
      <c r="D30" s="803">
        <v>2</v>
      </c>
      <c r="E30" s="809"/>
      <c r="F30" s="789"/>
      <c r="G30" s="790"/>
      <c r="H30" s="795"/>
      <c r="I30" s="789"/>
      <c r="J30" s="790"/>
      <c r="K30" s="794">
        <v>0.73</v>
      </c>
      <c r="L30" s="795">
        <v>2</v>
      </c>
      <c r="M30" s="795">
        <v>21</v>
      </c>
      <c r="N30" s="796">
        <v>7</v>
      </c>
      <c r="O30" s="795" t="s">
        <v>3878</v>
      </c>
      <c r="P30" s="810" t="s">
        <v>3925</v>
      </c>
      <c r="Q30" s="797">
        <f t="shared" si="0"/>
        <v>-1</v>
      </c>
      <c r="R30" s="856">
        <f t="shared" si="0"/>
        <v>-0.82</v>
      </c>
      <c r="S30" s="797">
        <f t="shared" si="1"/>
        <v>0</v>
      </c>
      <c r="T30" s="856">
        <f t="shared" si="2"/>
        <v>0</v>
      </c>
      <c r="U30" s="862" t="s">
        <v>306</v>
      </c>
      <c r="V30" s="806" t="s">
        <v>306</v>
      </c>
      <c r="W30" s="806" t="s">
        <v>306</v>
      </c>
      <c r="X30" s="860" t="s">
        <v>306</v>
      </c>
      <c r="Y30" s="858"/>
    </row>
    <row r="31" spans="1:25" ht="14.45" customHeight="1" x14ac:dyDescent="0.2">
      <c r="A31" s="825" t="s">
        <v>3926</v>
      </c>
      <c r="B31" s="806"/>
      <c r="C31" s="807"/>
      <c r="D31" s="808"/>
      <c r="E31" s="809"/>
      <c r="F31" s="789"/>
      <c r="G31" s="790"/>
      <c r="H31" s="791">
        <v>2</v>
      </c>
      <c r="I31" s="792">
        <v>0.84</v>
      </c>
      <c r="J31" s="805">
        <v>2.5</v>
      </c>
      <c r="K31" s="794">
        <v>0.42</v>
      </c>
      <c r="L31" s="795">
        <v>1</v>
      </c>
      <c r="M31" s="795">
        <v>5</v>
      </c>
      <c r="N31" s="796">
        <v>2</v>
      </c>
      <c r="O31" s="795" t="s">
        <v>3878</v>
      </c>
      <c r="P31" s="810" t="s">
        <v>3927</v>
      </c>
      <c r="Q31" s="797">
        <f t="shared" si="0"/>
        <v>2</v>
      </c>
      <c r="R31" s="856">
        <f t="shared" si="0"/>
        <v>0.84</v>
      </c>
      <c r="S31" s="797">
        <f t="shared" si="1"/>
        <v>2</v>
      </c>
      <c r="T31" s="856">
        <f t="shared" si="2"/>
        <v>0.84</v>
      </c>
      <c r="U31" s="862">
        <v>4</v>
      </c>
      <c r="V31" s="806">
        <v>5</v>
      </c>
      <c r="W31" s="806">
        <v>1</v>
      </c>
      <c r="X31" s="860">
        <v>1.25</v>
      </c>
      <c r="Y31" s="858">
        <v>1</v>
      </c>
    </row>
    <row r="32" spans="1:25" ht="14.45" customHeight="1" x14ac:dyDescent="0.2">
      <c r="A32" s="825" t="s">
        <v>3928</v>
      </c>
      <c r="B32" s="801">
        <v>4</v>
      </c>
      <c r="C32" s="802">
        <v>32.64</v>
      </c>
      <c r="D32" s="803">
        <v>4.5</v>
      </c>
      <c r="E32" s="809">
        <v>2</v>
      </c>
      <c r="F32" s="789">
        <v>14.76</v>
      </c>
      <c r="G32" s="790">
        <v>7.5</v>
      </c>
      <c r="H32" s="795">
        <v>1</v>
      </c>
      <c r="I32" s="789">
        <v>7.26</v>
      </c>
      <c r="J32" s="805">
        <v>16</v>
      </c>
      <c r="K32" s="794">
        <v>7.26</v>
      </c>
      <c r="L32" s="795">
        <v>4</v>
      </c>
      <c r="M32" s="795">
        <v>39</v>
      </c>
      <c r="N32" s="796">
        <v>13</v>
      </c>
      <c r="O32" s="795" t="s">
        <v>3878</v>
      </c>
      <c r="P32" s="810" t="s">
        <v>3929</v>
      </c>
      <c r="Q32" s="797">
        <f t="shared" si="0"/>
        <v>-3</v>
      </c>
      <c r="R32" s="856">
        <f t="shared" si="0"/>
        <v>-25.380000000000003</v>
      </c>
      <c r="S32" s="797">
        <f t="shared" si="1"/>
        <v>-1</v>
      </c>
      <c r="T32" s="856">
        <f t="shared" si="2"/>
        <v>-7.5</v>
      </c>
      <c r="U32" s="862">
        <v>13</v>
      </c>
      <c r="V32" s="806">
        <v>16</v>
      </c>
      <c r="W32" s="806">
        <v>3</v>
      </c>
      <c r="X32" s="860">
        <v>1.2307692307692308</v>
      </c>
      <c r="Y32" s="858">
        <v>3</v>
      </c>
    </row>
    <row r="33" spans="1:25" ht="14.45" customHeight="1" x14ac:dyDescent="0.2">
      <c r="A33" s="826" t="s">
        <v>3930</v>
      </c>
      <c r="B33" s="823"/>
      <c r="C33" s="824"/>
      <c r="D33" s="804"/>
      <c r="E33" s="814"/>
      <c r="F33" s="815"/>
      <c r="G33" s="798"/>
      <c r="H33" s="819">
        <v>1</v>
      </c>
      <c r="I33" s="815">
        <v>3.73</v>
      </c>
      <c r="J33" s="798">
        <v>2</v>
      </c>
      <c r="K33" s="818">
        <v>9.31</v>
      </c>
      <c r="L33" s="819">
        <v>5</v>
      </c>
      <c r="M33" s="819">
        <v>48</v>
      </c>
      <c r="N33" s="820">
        <v>16</v>
      </c>
      <c r="O33" s="819" t="s">
        <v>3878</v>
      </c>
      <c r="P33" s="821" t="s">
        <v>3931</v>
      </c>
      <c r="Q33" s="822">
        <f t="shared" si="0"/>
        <v>1</v>
      </c>
      <c r="R33" s="855">
        <f t="shared" si="0"/>
        <v>3.73</v>
      </c>
      <c r="S33" s="822">
        <f t="shared" si="1"/>
        <v>1</v>
      </c>
      <c r="T33" s="855">
        <f t="shared" si="2"/>
        <v>3.73</v>
      </c>
      <c r="U33" s="863">
        <v>16</v>
      </c>
      <c r="V33" s="812">
        <v>2</v>
      </c>
      <c r="W33" s="812">
        <v>-14</v>
      </c>
      <c r="X33" s="861">
        <v>0.125</v>
      </c>
      <c r="Y33" s="859"/>
    </row>
    <row r="34" spans="1:25" ht="14.45" customHeight="1" x14ac:dyDescent="0.2">
      <c r="A34" s="825" t="s">
        <v>3932</v>
      </c>
      <c r="B34" s="801">
        <v>1</v>
      </c>
      <c r="C34" s="802">
        <v>2.12</v>
      </c>
      <c r="D34" s="803">
        <v>7</v>
      </c>
      <c r="E34" s="809"/>
      <c r="F34" s="789"/>
      <c r="G34" s="790"/>
      <c r="H34" s="795"/>
      <c r="I34" s="789"/>
      <c r="J34" s="790"/>
      <c r="K34" s="794">
        <v>2.12</v>
      </c>
      <c r="L34" s="795">
        <v>3</v>
      </c>
      <c r="M34" s="795">
        <v>24</v>
      </c>
      <c r="N34" s="796">
        <v>8</v>
      </c>
      <c r="O34" s="795" t="s">
        <v>3878</v>
      </c>
      <c r="P34" s="810" t="s">
        <v>3933</v>
      </c>
      <c r="Q34" s="797">
        <f t="shared" si="0"/>
        <v>-1</v>
      </c>
      <c r="R34" s="856">
        <f t="shared" si="0"/>
        <v>-2.12</v>
      </c>
      <c r="S34" s="797">
        <f t="shared" si="1"/>
        <v>0</v>
      </c>
      <c r="T34" s="856">
        <f t="shared" si="2"/>
        <v>0</v>
      </c>
      <c r="U34" s="862" t="s">
        <v>306</v>
      </c>
      <c r="V34" s="806" t="s">
        <v>306</v>
      </c>
      <c r="W34" s="806" t="s">
        <v>306</v>
      </c>
      <c r="X34" s="860" t="s">
        <v>306</v>
      </c>
      <c r="Y34" s="858"/>
    </row>
    <row r="35" spans="1:25" ht="14.45" customHeight="1" x14ac:dyDescent="0.2">
      <c r="A35" s="826" t="s">
        <v>3934</v>
      </c>
      <c r="B35" s="823">
        <v>2</v>
      </c>
      <c r="C35" s="824">
        <v>4.4400000000000004</v>
      </c>
      <c r="D35" s="804">
        <v>3</v>
      </c>
      <c r="E35" s="814"/>
      <c r="F35" s="815"/>
      <c r="G35" s="798"/>
      <c r="H35" s="819">
        <v>1</v>
      </c>
      <c r="I35" s="815">
        <v>2.86</v>
      </c>
      <c r="J35" s="798">
        <v>11</v>
      </c>
      <c r="K35" s="818">
        <v>2.86</v>
      </c>
      <c r="L35" s="819">
        <v>4</v>
      </c>
      <c r="M35" s="819">
        <v>36</v>
      </c>
      <c r="N35" s="820">
        <v>12</v>
      </c>
      <c r="O35" s="819" t="s">
        <v>3878</v>
      </c>
      <c r="P35" s="821" t="s">
        <v>3935</v>
      </c>
      <c r="Q35" s="822">
        <f t="shared" si="0"/>
        <v>-1</v>
      </c>
      <c r="R35" s="855">
        <f t="shared" si="0"/>
        <v>-1.5800000000000005</v>
      </c>
      <c r="S35" s="822">
        <f t="shared" si="1"/>
        <v>1</v>
      </c>
      <c r="T35" s="855">
        <f t="shared" si="2"/>
        <v>2.86</v>
      </c>
      <c r="U35" s="863">
        <v>12</v>
      </c>
      <c r="V35" s="812">
        <v>11</v>
      </c>
      <c r="W35" s="812">
        <v>-1</v>
      </c>
      <c r="X35" s="861">
        <v>0.91666666666666663</v>
      </c>
      <c r="Y35" s="859"/>
    </row>
    <row r="36" spans="1:25" ht="14.45" customHeight="1" x14ac:dyDescent="0.2">
      <c r="A36" s="826" t="s">
        <v>3936</v>
      </c>
      <c r="B36" s="823">
        <v>1</v>
      </c>
      <c r="C36" s="824">
        <v>3.81</v>
      </c>
      <c r="D36" s="804">
        <v>20</v>
      </c>
      <c r="E36" s="814">
        <v>2</v>
      </c>
      <c r="F36" s="815">
        <v>5.94</v>
      </c>
      <c r="G36" s="798">
        <v>3.5</v>
      </c>
      <c r="H36" s="819"/>
      <c r="I36" s="815"/>
      <c r="J36" s="798"/>
      <c r="K36" s="818">
        <v>3.81</v>
      </c>
      <c r="L36" s="819">
        <v>4</v>
      </c>
      <c r="M36" s="819">
        <v>39</v>
      </c>
      <c r="N36" s="820">
        <v>13</v>
      </c>
      <c r="O36" s="819" t="s">
        <v>3878</v>
      </c>
      <c r="P36" s="821" t="s">
        <v>3937</v>
      </c>
      <c r="Q36" s="822">
        <f t="shared" si="0"/>
        <v>-1</v>
      </c>
      <c r="R36" s="855">
        <f t="shared" si="0"/>
        <v>-3.81</v>
      </c>
      <c r="S36" s="822">
        <f t="shared" si="1"/>
        <v>-2</v>
      </c>
      <c r="T36" s="855">
        <f t="shared" si="2"/>
        <v>-5.94</v>
      </c>
      <c r="U36" s="863" t="s">
        <v>306</v>
      </c>
      <c r="V36" s="812" t="s">
        <v>306</v>
      </c>
      <c r="W36" s="812" t="s">
        <v>306</v>
      </c>
      <c r="X36" s="861" t="s">
        <v>306</v>
      </c>
      <c r="Y36" s="859"/>
    </row>
    <row r="37" spans="1:25" ht="14.45" customHeight="1" x14ac:dyDescent="0.2">
      <c r="A37" s="825" t="s">
        <v>3938</v>
      </c>
      <c r="B37" s="806"/>
      <c r="C37" s="807"/>
      <c r="D37" s="808"/>
      <c r="E37" s="809"/>
      <c r="F37" s="789"/>
      <c r="G37" s="790"/>
      <c r="H37" s="791">
        <v>1</v>
      </c>
      <c r="I37" s="792">
        <v>1.63</v>
      </c>
      <c r="J37" s="793">
        <v>3</v>
      </c>
      <c r="K37" s="794">
        <v>1.63</v>
      </c>
      <c r="L37" s="795">
        <v>3</v>
      </c>
      <c r="M37" s="795">
        <v>27</v>
      </c>
      <c r="N37" s="796">
        <v>9</v>
      </c>
      <c r="O37" s="795" t="s">
        <v>3878</v>
      </c>
      <c r="P37" s="810" t="s">
        <v>3939</v>
      </c>
      <c r="Q37" s="797">
        <f t="shared" si="0"/>
        <v>1</v>
      </c>
      <c r="R37" s="856">
        <f t="shared" si="0"/>
        <v>1.63</v>
      </c>
      <c r="S37" s="797">
        <f t="shared" si="1"/>
        <v>1</v>
      </c>
      <c r="T37" s="856">
        <f t="shared" si="2"/>
        <v>1.63</v>
      </c>
      <c r="U37" s="862">
        <v>9</v>
      </c>
      <c r="V37" s="806">
        <v>3</v>
      </c>
      <c r="W37" s="806">
        <v>-6</v>
      </c>
      <c r="X37" s="860">
        <v>0.33333333333333331</v>
      </c>
      <c r="Y37" s="858"/>
    </row>
    <row r="38" spans="1:25" ht="14.45" customHeight="1" x14ac:dyDescent="0.2">
      <c r="A38" s="825" t="s">
        <v>3940</v>
      </c>
      <c r="B38" s="806"/>
      <c r="C38" s="807"/>
      <c r="D38" s="808"/>
      <c r="E38" s="791">
        <v>1</v>
      </c>
      <c r="F38" s="792">
        <v>0.37</v>
      </c>
      <c r="G38" s="793">
        <v>1</v>
      </c>
      <c r="H38" s="795"/>
      <c r="I38" s="789"/>
      <c r="J38" s="790"/>
      <c r="K38" s="794">
        <v>0.37</v>
      </c>
      <c r="L38" s="795">
        <v>1</v>
      </c>
      <c r="M38" s="795">
        <v>12</v>
      </c>
      <c r="N38" s="796">
        <v>4</v>
      </c>
      <c r="O38" s="795" t="s">
        <v>3878</v>
      </c>
      <c r="P38" s="810" t="s">
        <v>3941</v>
      </c>
      <c r="Q38" s="797">
        <f t="shared" si="0"/>
        <v>0</v>
      </c>
      <c r="R38" s="856">
        <f t="shared" si="0"/>
        <v>0</v>
      </c>
      <c r="S38" s="797">
        <f t="shared" si="1"/>
        <v>-1</v>
      </c>
      <c r="T38" s="856">
        <f t="shared" si="2"/>
        <v>-0.37</v>
      </c>
      <c r="U38" s="862" t="s">
        <v>306</v>
      </c>
      <c r="V38" s="806" t="s">
        <v>306</v>
      </c>
      <c r="W38" s="806" t="s">
        <v>306</v>
      </c>
      <c r="X38" s="860" t="s">
        <v>306</v>
      </c>
      <c r="Y38" s="858"/>
    </row>
    <row r="39" spans="1:25" ht="14.45" customHeight="1" x14ac:dyDescent="0.2">
      <c r="A39" s="825" t="s">
        <v>3942</v>
      </c>
      <c r="B39" s="806"/>
      <c r="C39" s="807"/>
      <c r="D39" s="808"/>
      <c r="E39" s="809"/>
      <c r="F39" s="789"/>
      <c r="G39" s="790"/>
      <c r="H39" s="791">
        <v>1</v>
      </c>
      <c r="I39" s="792">
        <v>4.63</v>
      </c>
      <c r="J39" s="805">
        <v>11</v>
      </c>
      <c r="K39" s="794">
        <v>4.63</v>
      </c>
      <c r="L39" s="795">
        <v>3</v>
      </c>
      <c r="M39" s="795">
        <v>24</v>
      </c>
      <c r="N39" s="796">
        <v>8</v>
      </c>
      <c r="O39" s="795" t="s">
        <v>3878</v>
      </c>
      <c r="P39" s="810" t="s">
        <v>3943</v>
      </c>
      <c r="Q39" s="797">
        <f t="shared" si="0"/>
        <v>1</v>
      </c>
      <c r="R39" s="856">
        <f t="shared" si="0"/>
        <v>4.63</v>
      </c>
      <c r="S39" s="797">
        <f t="shared" si="1"/>
        <v>1</v>
      </c>
      <c r="T39" s="856">
        <f t="shared" si="2"/>
        <v>4.63</v>
      </c>
      <c r="U39" s="862">
        <v>8</v>
      </c>
      <c r="V39" s="806">
        <v>11</v>
      </c>
      <c r="W39" s="806">
        <v>3</v>
      </c>
      <c r="X39" s="860">
        <v>1.375</v>
      </c>
      <c r="Y39" s="858">
        <v>3</v>
      </c>
    </row>
    <row r="40" spans="1:25" ht="14.45" customHeight="1" x14ac:dyDescent="0.2">
      <c r="A40" s="825" t="s">
        <v>3944</v>
      </c>
      <c r="B40" s="801">
        <v>1</v>
      </c>
      <c r="C40" s="802">
        <v>2.0499999999999998</v>
      </c>
      <c r="D40" s="803">
        <v>2</v>
      </c>
      <c r="E40" s="809"/>
      <c r="F40" s="789"/>
      <c r="G40" s="790"/>
      <c r="H40" s="795">
        <v>1</v>
      </c>
      <c r="I40" s="789">
        <v>2.0499999999999998</v>
      </c>
      <c r="J40" s="790">
        <v>2</v>
      </c>
      <c r="K40" s="794">
        <v>2.0499999999999998</v>
      </c>
      <c r="L40" s="795">
        <v>2</v>
      </c>
      <c r="M40" s="795">
        <v>15</v>
      </c>
      <c r="N40" s="796">
        <v>5</v>
      </c>
      <c r="O40" s="795" t="s">
        <v>3878</v>
      </c>
      <c r="P40" s="810" t="s">
        <v>3945</v>
      </c>
      <c r="Q40" s="797">
        <f t="shared" si="0"/>
        <v>0</v>
      </c>
      <c r="R40" s="856">
        <f t="shared" si="0"/>
        <v>0</v>
      </c>
      <c r="S40" s="797">
        <f t="shared" si="1"/>
        <v>1</v>
      </c>
      <c r="T40" s="856">
        <f t="shared" si="2"/>
        <v>2.0499999999999998</v>
      </c>
      <c r="U40" s="862">
        <v>5</v>
      </c>
      <c r="V40" s="806">
        <v>2</v>
      </c>
      <c r="W40" s="806">
        <v>-3</v>
      </c>
      <c r="X40" s="860">
        <v>0.4</v>
      </c>
      <c r="Y40" s="858"/>
    </row>
    <row r="41" spans="1:25" ht="14.45" customHeight="1" x14ac:dyDescent="0.2">
      <c r="A41" s="826" t="s">
        <v>3946</v>
      </c>
      <c r="B41" s="823">
        <v>1</v>
      </c>
      <c r="C41" s="824">
        <v>2.14</v>
      </c>
      <c r="D41" s="804">
        <v>2</v>
      </c>
      <c r="E41" s="814"/>
      <c r="F41" s="815"/>
      <c r="G41" s="798"/>
      <c r="H41" s="819">
        <v>1</v>
      </c>
      <c r="I41" s="815">
        <v>2.65</v>
      </c>
      <c r="J41" s="798">
        <v>5</v>
      </c>
      <c r="K41" s="818">
        <v>2.65</v>
      </c>
      <c r="L41" s="819">
        <v>3</v>
      </c>
      <c r="M41" s="819">
        <v>27</v>
      </c>
      <c r="N41" s="820">
        <v>9</v>
      </c>
      <c r="O41" s="819" t="s">
        <v>3878</v>
      </c>
      <c r="P41" s="821" t="s">
        <v>3947</v>
      </c>
      <c r="Q41" s="822">
        <f t="shared" si="0"/>
        <v>0</v>
      </c>
      <c r="R41" s="855">
        <f t="shared" si="0"/>
        <v>0.50999999999999979</v>
      </c>
      <c r="S41" s="822">
        <f t="shared" si="1"/>
        <v>1</v>
      </c>
      <c r="T41" s="855">
        <f t="shared" si="2"/>
        <v>2.65</v>
      </c>
      <c r="U41" s="863">
        <v>9</v>
      </c>
      <c r="V41" s="812">
        <v>5</v>
      </c>
      <c r="W41" s="812">
        <v>-4</v>
      </c>
      <c r="X41" s="861">
        <v>0.55555555555555558</v>
      </c>
      <c r="Y41" s="859"/>
    </row>
    <row r="42" spans="1:25" ht="14.45" customHeight="1" x14ac:dyDescent="0.2">
      <c r="A42" s="826" t="s">
        <v>3948</v>
      </c>
      <c r="B42" s="823">
        <v>1</v>
      </c>
      <c r="C42" s="824">
        <v>2.74</v>
      </c>
      <c r="D42" s="804">
        <v>7</v>
      </c>
      <c r="E42" s="814">
        <v>1</v>
      </c>
      <c r="F42" s="815">
        <v>2.74</v>
      </c>
      <c r="G42" s="798">
        <v>4</v>
      </c>
      <c r="H42" s="819"/>
      <c r="I42" s="815"/>
      <c r="J42" s="798"/>
      <c r="K42" s="818">
        <v>2.74</v>
      </c>
      <c r="L42" s="819">
        <v>2</v>
      </c>
      <c r="M42" s="819">
        <v>21</v>
      </c>
      <c r="N42" s="820">
        <v>7</v>
      </c>
      <c r="O42" s="819" t="s">
        <v>3878</v>
      </c>
      <c r="P42" s="821" t="s">
        <v>3949</v>
      </c>
      <c r="Q42" s="822">
        <f t="shared" si="0"/>
        <v>-1</v>
      </c>
      <c r="R42" s="855">
        <f t="shared" si="0"/>
        <v>-2.74</v>
      </c>
      <c r="S42" s="822">
        <f t="shared" si="1"/>
        <v>-1</v>
      </c>
      <c r="T42" s="855">
        <f t="shared" si="2"/>
        <v>-2.74</v>
      </c>
      <c r="U42" s="863" t="s">
        <v>306</v>
      </c>
      <c r="V42" s="812" t="s">
        <v>306</v>
      </c>
      <c r="W42" s="812" t="s">
        <v>306</v>
      </c>
      <c r="X42" s="861" t="s">
        <v>306</v>
      </c>
      <c r="Y42" s="859"/>
    </row>
    <row r="43" spans="1:25" ht="14.45" customHeight="1" x14ac:dyDescent="0.2">
      <c r="A43" s="825" t="s">
        <v>3950</v>
      </c>
      <c r="B43" s="806">
        <v>1</v>
      </c>
      <c r="C43" s="807">
        <v>4.09</v>
      </c>
      <c r="D43" s="808">
        <v>6</v>
      </c>
      <c r="E43" s="809">
        <v>2</v>
      </c>
      <c r="F43" s="789">
        <v>5.93</v>
      </c>
      <c r="G43" s="790">
        <v>6</v>
      </c>
      <c r="H43" s="791">
        <v>1</v>
      </c>
      <c r="I43" s="792">
        <v>1.84</v>
      </c>
      <c r="J43" s="793">
        <v>2</v>
      </c>
      <c r="K43" s="794">
        <v>4.09</v>
      </c>
      <c r="L43" s="795">
        <v>5</v>
      </c>
      <c r="M43" s="795">
        <v>45</v>
      </c>
      <c r="N43" s="796">
        <v>15</v>
      </c>
      <c r="O43" s="795" t="s">
        <v>3878</v>
      </c>
      <c r="P43" s="810" t="s">
        <v>3951</v>
      </c>
      <c r="Q43" s="797">
        <f t="shared" si="0"/>
        <v>0</v>
      </c>
      <c r="R43" s="856">
        <f t="shared" si="0"/>
        <v>-2.25</v>
      </c>
      <c r="S43" s="797">
        <f t="shared" si="1"/>
        <v>-1</v>
      </c>
      <c r="T43" s="856">
        <f t="shared" si="2"/>
        <v>-4.09</v>
      </c>
      <c r="U43" s="862">
        <v>15</v>
      </c>
      <c r="V43" s="806">
        <v>2</v>
      </c>
      <c r="W43" s="806">
        <v>-13</v>
      </c>
      <c r="X43" s="860">
        <v>0.13333333333333333</v>
      </c>
      <c r="Y43" s="858"/>
    </row>
    <row r="44" spans="1:25" ht="14.45" customHeight="1" x14ac:dyDescent="0.2">
      <c r="A44" s="826" t="s">
        <v>3952</v>
      </c>
      <c r="B44" s="812">
        <v>8</v>
      </c>
      <c r="C44" s="813">
        <v>44.11</v>
      </c>
      <c r="D44" s="811">
        <v>10.6</v>
      </c>
      <c r="E44" s="814">
        <v>1</v>
      </c>
      <c r="F44" s="815">
        <v>2.1800000000000002</v>
      </c>
      <c r="G44" s="798">
        <v>2</v>
      </c>
      <c r="H44" s="816">
        <v>8</v>
      </c>
      <c r="I44" s="817">
        <v>35.340000000000003</v>
      </c>
      <c r="J44" s="799">
        <v>5.0999999999999996</v>
      </c>
      <c r="K44" s="818">
        <v>6.37</v>
      </c>
      <c r="L44" s="819">
        <v>7</v>
      </c>
      <c r="M44" s="819">
        <v>60</v>
      </c>
      <c r="N44" s="820">
        <v>20</v>
      </c>
      <c r="O44" s="819" t="s">
        <v>3878</v>
      </c>
      <c r="P44" s="821" t="s">
        <v>3953</v>
      </c>
      <c r="Q44" s="822">
        <f t="shared" si="0"/>
        <v>0</v>
      </c>
      <c r="R44" s="855">
        <f t="shared" si="0"/>
        <v>-8.769999999999996</v>
      </c>
      <c r="S44" s="822">
        <f t="shared" si="1"/>
        <v>7</v>
      </c>
      <c r="T44" s="855">
        <f t="shared" si="2"/>
        <v>33.160000000000004</v>
      </c>
      <c r="U44" s="863">
        <v>160</v>
      </c>
      <c r="V44" s="812">
        <v>40.799999999999997</v>
      </c>
      <c r="W44" s="812">
        <v>-119.2</v>
      </c>
      <c r="X44" s="861">
        <v>0.255</v>
      </c>
      <c r="Y44" s="859"/>
    </row>
    <row r="45" spans="1:25" ht="14.45" customHeight="1" x14ac:dyDescent="0.2">
      <c r="A45" s="825" t="s">
        <v>3954</v>
      </c>
      <c r="B45" s="806">
        <v>1</v>
      </c>
      <c r="C45" s="807">
        <v>2.08</v>
      </c>
      <c r="D45" s="808">
        <v>2</v>
      </c>
      <c r="E45" s="791">
        <v>1</v>
      </c>
      <c r="F45" s="792">
        <v>2.94</v>
      </c>
      <c r="G45" s="793">
        <v>3</v>
      </c>
      <c r="H45" s="795"/>
      <c r="I45" s="789"/>
      <c r="J45" s="790"/>
      <c r="K45" s="794">
        <v>4.6500000000000004</v>
      </c>
      <c r="L45" s="795">
        <v>5</v>
      </c>
      <c r="M45" s="795">
        <v>45</v>
      </c>
      <c r="N45" s="796">
        <v>15</v>
      </c>
      <c r="O45" s="795" t="s">
        <v>3878</v>
      </c>
      <c r="P45" s="810" t="s">
        <v>3955</v>
      </c>
      <c r="Q45" s="797">
        <f t="shared" si="0"/>
        <v>-1</v>
      </c>
      <c r="R45" s="856">
        <f t="shared" si="0"/>
        <v>-2.08</v>
      </c>
      <c r="S45" s="797">
        <f t="shared" si="1"/>
        <v>-1</v>
      </c>
      <c r="T45" s="856">
        <f t="shared" si="2"/>
        <v>-2.94</v>
      </c>
      <c r="U45" s="862" t="s">
        <v>306</v>
      </c>
      <c r="V45" s="806" t="s">
        <v>306</v>
      </c>
      <c r="W45" s="806" t="s">
        <v>306</v>
      </c>
      <c r="X45" s="860" t="s">
        <v>306</v>
      </c>
      <c r="Y45" s="858"/>
    </row>
    <row r="46" spans="1:25" ht="14.45" customHeight="1" x14ac:dyDescent="0.2">
      <c r="A46" s="825" t="s">
        <v>3956</v>
      </c>
      <c r="B46" s="806"/>
      <c r="C46" s="807"/>
      <c r="D46" s="808"/>
      <c r="E46" s="809">
        <v>1</v>
      </c>
      <c r="F46" s="789">
        <v>1.33</v>
      </c>
      <c r="G46" s="790">
        <v>2</v>
      </c>
      <c r="H46" s="791">
        <v>3</v>
      </c>
      <c r="I46" s="792">
        <v>7.05</v>
      </c>
      <c r="J46" s="793">
        <v>5.3</v>
      </c>
      <c r="K46" s="794">
        <v>2.5499999999999998</v>
      </c>
      <c r="L46" s="795">
        <v>4</v>
      </c>
      <c r="M46" s="795">
        <v>36</v>
      </c>
      <c r="N46" s="796">
        <v>12</v>
      </c>
      <c r="O46" s="795" t="s">
        <v>3878</v>
      </c>
      <c r="P46" s="810" t="s">
        <v>3957</v>
      </c>
      <c r="Q46" s="797">
        <f t="shared" si="0"/>
        <v>3</v>
      </c>
      <c r="R46" s="856">
        <f t="shared" si="0"/>
        <v>7.05</v>
      </c>
      <c r="S46" s="797">
        <f t="shared" si="1"/>
        <v>2</v>
      </c>
      <c r="T46" s="856">
        <f t="shared" si="2"/>
        <v>5.72</v>
      </c>
      <c r="U46" s="862">
        <v>36</v>
      </c>
      <c r="V46" s="806">
        <v>15.899999999999999</v>
      </c>
      <c r="W46" s="806">
        <v>-20.100000000000001</v>
      </c>
      <c r="X46" s="860">
        <v>0.44166666666666665</v>
      </c>
      <c r="Y46" s="858"/>
    </row>
    <row r="47" spans="1:25" ht="14.45" customHeight="1" x14ac:dyDescent="0.2">
      <c r="A47" s="826" t="s">
        <v>3958</v>
      </c>
      <c r="B47" s="812"/>
      <c r="C47" s="813"/>
      <c r="D47" s="811"/>
      <c r="E47" s="814"/>
      <c r="F47" s="815"/>
      <c r="G47" s="798"/>
      <c r="H47" s="816">
        <v>3</v>
      </c>
      <c r="I47" s="817">
        <v>11.31</v>
      </c>
      <c r="J47" s="799">
        <v>6.3</v>
      </c>
      <c r="K47" s="818">
        <v>4.2</v>
      </c>
      <c r="L47" s="819">
        <v>5</v>
      </c>
      <c r="M47" s="819">
        <v>45</v>
      </c>
      <c r="N47" s="820">
        <v>15</v>
      </c>
      <c r="O47" s="819" t="s">
        <v>3878</v>
      </c>
      <c r="P47" s="821" t="s">
        <v>3959</v>
      </c>
      <c r="Q47" s="822">
        <f t="shared" si="0"/>
        <v>3</v>
      </c>
      <c r="R47" s="855">
        <f t="shared" si="0"/>
        <v>11.31</v>
      </c>
      <c r="S47" s="822">
        <f t="shared" si="1"/>
        <v>3</v>
      </c>
      <c r="T47" s="855">
        <f t="shared" si="2"/>
        <v>11.31</v>
      </c>
      <c r="U47" s="863">
        <v>45</v>
      </c>
      <c r="V47" s="812">
        <v>18.899999999999999</v>
      </c>
      <c r="W47" s="812">
        <v>-26.1</v>
      </c>
      <c r="X47" s="861">
        <v>0.42</v>
      </c>
      <c r="Y47" s="859"/>
    </row>
    <row r="48" spans="1:25" ht="14.45" customHeight="1" x14ac:dyDescent="0.2">
      <c r="A48" s="825" t="s">
        <v>3960</v>
      </c>
      <c r="B48" s="806"/>
      <c r="C48" s="807"/>
      <c r="D48" s="808"/>
      <c r="E48" s="809">
        <v>1</v>
      </c>
      <c r="F48" s="789">
        <v>2.3199999999999998</v>
      </c>
      <c r="G48" s="790">
        <v>5</v>
      </c>
      <c r="H48" s="791">
        <v>1</v>
      </c>
      <c r="I48" s="792">
        <v>1.5</v>
      </c>
      <c r="J48" s="805">
        <v>10</v>
      </c>
      <c r="K48" s="794">
        <v>1.5</v>
      </c>
      <c r="L48" s="795">
        <v>3</v>
      </c>
      <c r="M48" s="795">
        <v>27</v>
      </c>
      <c r="N48" s="796">
        <v>9</v>
      </c>
      <c r="O48" s="795" t="s">
        <v>3878</v>
      </c>
      <c r="P48" s="810" t="s">
        <v>3961</v>
      </c>
      <c r="Q48" s="797">
        <f t="shared" si="0"/>
        <v>1</v>
      </c>
      <c r="R48" s="856">
        <f t="shared" si="0"/>
        <v>1.5</v>
      </c>
      <c r="S48" s="797">
        <f t="shared" si="1"/>
        <v>0</v>
      </c>
      <c r="T48" s="856">
        <f t="shared" si="2"/>
        <v>-0.81999999999999984</v>
      </c>
      <c r="U48" s="862">
        <v>9</v>
      </c>
      <c r="V48" s="806">
        <v>10</v>
      </c>
      <c r="W48" s="806">
        <v>1</v>
      </c>
      <c r="X48" s="860">
        <v>1.1111111111111112</v>
      </c>
      <c r="Y48" s="858">
        <v>1</v>
      </c>
    </row>
    <row r="49" spans="1:25" ht="14.45" customHeight="1" x14ac:dyDescent="0.2">
      <c r="A49" s="825" t="s">
        <v>3962</v>
      </c>
      <c r="B49" s="801">
        <v>1</v>
      </c>
      <c r="C49" s="802">
        <v>2</v>
      </c>
      <c r="D49" s="803">
        <v>3</v>
      </c>
      <c r="E49" s="809"/>
      <c r="F49" s="789"/>
      <c r="G49" s="790"/>
      <c r="H49" s="795"/>
      <c r="I49" s="789"/>
      <c r="J49" s="790"/>
      <c r="K49" s="794">
        <v>1</v>
      </c>
      <c r="L49" s="795">
        <v>2</v>
      </c>
      <c r="M49" s="795">
        <v>18</v>
      </c>
      <c r="N49" s="796">
        <v>6</v>
      </c>
      <c r="O49" s="795" t="s">
        <v>3878</v>
      </c>
      <c r="P49" s="810" t="s">
        <v>3963</v>
      </c>
      <c r="Q49" s="797">
        <f t="shared" si="0"/>
        <v>-1</v>
      </c>
      <c r="R49" s="856">
        <f t="shared" si="0"/>
        <v>-2</v>
      </c>
      <c r="S49" s="797">
        <f t="shared" si="1"/>
        <v>0</v>
      </c>
      <c r="T49" s="856">
        <f t="shared" si="2"/>
        <v>0</v>
      </c>
      <c r="U49" s="862" t="s">
        <v>306</v>
      </c>
      <c r="V49" s="806" t="s">
        <v>306</v>
      </c>
      <c r="W49" s="806" t="s">
        <v>306</v>
      </c>
      <c r="X49" s="860" t="s">
        <v>306</v>
      </c>
      <c r="Y49" s="858"/>
    </row>
    <row r="50" spans="1:25" ht="14.45" customHeight="1" x14ac:dyDescent="0.2">
      <c r="A50" s="826" t="s">
        <v>3964</v>
      </c>
      <c r="B50" s="823">
        <v>1</v>
      </c>
      <c r="C50" s="824">
        <v>3.18</v>
      </c>
      <c r="D50" s="804">
        <v>4</v>
      </c>
      <c r="E50" s="814">
        <v>1</v>
      </c>
      <c r="F50" s="815">
        <v>2.48</v>
      </c>
      <c r="G50" s="798">
        <v>3</v>
      </c>
      <c r="H50" s="819"/>
      <c r="I50" s="815"/>
      <c r="J50" s="798"/>
      <c r="K50" s="818">
        <v>3.18</v>
      </c>
      <c r="L50" s="819">
        <v>4</v>
      </c>
      <c r="M50" s="819">
        <v>39</v>
      </c>
      <c r="N50" s="820">
        <v>13</v>
      </c>
      <c r="O50" s="819" t="s">
        <v>3878</v>
      </c>
      <c r="P50" s="821" t="s">
        <v>3965</v>
      </c>
      <c r="Q50" s="822">
        <f t="shared" si="0"/>
        <v>-1</v>
      </c>
      <c r="R50" s="855">
        <f t="shared" si="0"/>
        <v>-3.18</v>
      </c>
      <c r="S50" s="822">
        <f t="shared" si="1"/>
        <v>-1</v>
      </c>
      <c r="T50" s="855">
        <f t="shared" si="2"/>
        <v>-2.48</v>
      </c>
      <c r="U50" s="863" t="s">
        <v>306</v>
      </c>
      <c r="V50" s="812" t="s">
        <v>306</v>
      </c>
      <c r="W50" s="812" t="s">
        <v>306</v>
      </c>
      <c r="X50" s="861" t="s">
        <v>306</v>
      </c>
      <c r="Y50" s="859"/>
    </row>
    <row r="51" spans="1:25" ht="14.45" customHeight="1" x14ac:dyDescent="0.2">
      <c r="A51" s="825" t="s">
        <v>3966</v>
      </c>
      <c r="B51" s="806">
        <v>1</v>
      </c>
      <c r="C51" s="807">
        <v>0.84</v>
      </c>
      <c r="D51" s="808">
        <v>29</v>
      </c>
      <c r="E51" s="809"/>
      <c r="F51" s="789"/>
      <c r="G51" s="790"/>
      <c r="H51" s="791">
        <v>1</v>
      </c>
      <c r="I51" s="792">
        <v>1.36</v>
      </c>
      <c r="J51" s="793">
        <v>9</v>
      </c>
      <c r="K51" s="794">
        <v>0.76</v>
      </c>
      <c r="L51" s="795">
        <v>3</v>
      </c>
      <c r="M51" s="795">
        <v>27</v>
      </c>
      <c r="N51" s="796">
        <v>9</v>
      </c>
      <c r="O51" s="795" t="s">
        <v>3878</v>
      </c>
      <c r="P51" s="810" t="s">
        <v>3967</v>
      </c>
      <c r="Q51" s="797">
        <f t="shared" si="0"/>
        <v>0</v>
      </c>
      <c r="R51" s="856">
        <f t="shared" si="0"/>
        <v>0.52000000000000013</v>
      </c>
      <c r="S51" s="797">
        <f t="shared" si="1"/>
        <v>1</v>
      </c>
      <c r="T51" s="856">
        <f t="shared" si="2"/>
        <v>1.36</v>
      </c>
      <c r="U51" s="862">
        <v>9</v>
      </c>
      <c r="V51" s="806">
        <v>9</v>
      </c>
      <c r="W51" s="806">
        <v>0</v>
      </c>
      <c r="X51" s="860">
        <v>1</v>
      </c>
      <c r="Y51" s="858"/>
    </row>
    <row r="52" spans="1:25" ht="14.45" customHeight="1" x14ac:dyDescent="0.2">
      <c r="A52" s="825" t="s">
        <v>3968</v>
      </c>
      <c r="B52" s="806">
        <v>1</v>
      </c>
      <c r="C52" s="807">
        <v>1.24</v>
      </c>
      <c r="D52" s="808">
        <v>5</v>
      </c>
      <c r="E52" s="809"/>
      <c r="F52" s="789"/>
      <c r="G52" s="790"/>
      <c r="H52" s="791">
        <v>1</v>
      </c>
      <c r="I52" s="792">
        <v>0.57999999999999996</v>
      </c>
      <c r="J52" s="793">
        <v>2</v>
      </c>
      <c r="K52" s="794">
        <v>0.85</v>
      </c>
      <c r="L52" s="795">
        <v>3</v>
      </c>
      <c r="M52" s="795">
        <v>30</v>
      </c>
      <c r="N52" s="796">
        <v>10</v>
      </c>
      <c r="O52" s="795" t="s">
        <v>3878</v>
      </c>
      <c r="P52" s="810" t="s">
        <v>3969</v>
      </c>
      <c r="Q52" s="797">
        <f t="shared" si="0"/>
        <v>0</v>
      </c>
      <c r="R52" s="856">
        <f t="shared" si="0"/>
        <v>-0.66</v>
      </c>
      <c r="S52" s="797">
        <f t="shared" si="1"/>
        <v>1</v>
      </c>
      <c r="T52" s="856">
        <f t="shared" si="2"/>
        <v>0.57999999999999996</v>
      </c>
      <c r="U52" s="862">
        <v>10</v>
      </c>
      <c r="V52" s="806">
        <v>2</v>
      </c>
      <c r="W52" s="806">
        <v>-8</v>
      </c>
      <c r="X52" s="860">
        <v>0.2</v>
      </c>
      <c r="Y52" s="858"/>
    </row>
    <row r="53" spans="1:25" ht="14.45" customHeight="1" x14ac:dyDescent="0.2">
      <c r="A53" s="825" t="s">
        <v>3970</v>
      </c>
      <c r="B53" s="806"/>
      <c r="C53" s="807"/>
      <c r="D53" s="808"/>
      <c r="E53" s="791">
        <v>1</v>
      </c>
      <c r="F53" s="792">
        <v>0.55000000000000004</v>
      </c>
      <c r="G53" s="793">
        <v>2</v>
      </c>
      <c r="H53" s="795"/>
      <c r="I53" s="789"/>
      <c r="J53" s="790"/>
      <c r="K53" s="794">
        <v>0.55000000000000004</v>
      </c>
      <c r="L53" s="795">
        <v>2</v>
      </c>
      <c r="M53" s="795">
        <v>18</v>
      </c>
      <c r="N53" s="796">
        <v>6</v>
      </c>
      <c r="O53" s="795" t="s">
        <v>3878</v>
      </c>
      <c r="P53" s="810" t="s">
        <v>3971</v>
      </c>
      <c r="Q53" s="797">
        <f t="shared" si="0"/>
        <v>0</v>
      </c>
      <c r="R53" s="856">
        <f t="shared" si="0"/>
        <v>0</v>
      </c>
      <c r="S53" s="797">
        <f t="shared" si="1"/>
        <v>-1</v>
      </c>
      <c r="T53" s="856">
        <f t="shared" si="2"/>
        <v>-0.55000000000000004</v>
      </c>
      <c r="U53" s="862" t="s">
        <v>306</v>
      </c>
      <c r="V53" s="806" t="s">
        <v>306</v>
      </c>
      <c r="W53" s="806" t="s">
        <v>306</v>
      </c>
      <c r="X53" s="860" t="s">
        <v>306</v>
      </c>
      <c r="Y53" s="858"/>
    </row>
    <row r="54" spans="1:25" ht="14.45" customHeight="1" x14ac:dyDescent="0.2">
      <c r="A54" s="825" t="s">
        <v>3972</v>
      </c>
      <c r="B54" s="806"/>
      <c r="C54" s="807"/>
      <c r="D54" s="808"/>
      <c r="E54" s="809"/>
      <c r="F54" s="789"/>
      <c r="G54" s="790"/>
      <c r="H54" s="791">
        <v>2</v>
      </c>
      <c r="I54" s="792">
        <v>1.59</v>
      </c>
      <c r="J54" s="793">
        <v>2.5</v>
      </c>
      <c r="K54" s="794">
        <v>0.46</v>
      </c>
      <c r="L54" s="795">
        <v>2</v>
      </c>
      <c r="M54" s="795">
        <v>15</v>
      </c>
      <c r="N54" s="796">
        <v>5</v>
      </c>
      <c r="O54" s="795" t="s">
        <v>3878</v>
      </c>
      <c r="P54" s="810" t="s">
        <v>3973</v>
      </c>
      <c r="Q54" s="797">
        <f t="shared" si="0"/>
        <v>2</v>
      </c>
      <c r="R54" s="856">
        <f t="shared" si="0"/>
        <v>1.59</v>
      </c>
      <c r="S54" s="797">
        <f t="shared" si="1"/>
        <v>2</v>
      </c>
      <c r="T54" s="856">
        <f t="shared" si="2"/>
        <v>1.59</v>
      </c>
      <c r="U54" s="862">
        <v>10</v>
      </c>
      <c r="V54" s="806">
        <v>5</v>
      </c>
      <c r="W54" s="806">
        <v>-5</v>
      </c>
      <c r="X54" s="860">
        <v>0.5</v>
      </c>
      <c r="Y54" s="858"/>
    </row>
    <row r="55" spans="1:25" ht="14.45" customHeight="1" x14ac:dyDescent="0.2">
      <c r="A55" s="826" t="s">
        <v>3974</v>
      </c>
      <c r="B55" s="812"/>
      <c r="C55" s="813"/>
      <c r="D55" s="811"/>
      <c r="E55" s="814"/>
      <c r="F55" s="815"/>
      <c r="G55" s="798"/>
      <c r="H55" s="816">
        <v>1</v>
      </c>
      <c r="I55" s="817">
        <v>1.18</v>
      </c>
      <c r="J55" s="799">
        <v>2</v>
      </c>
      <c r="K55" s="818">
        <v>0.86</v>
      </c>
      <c r="L55" s="819">
        <v>3</v>
      </c>
      <c r="M55" s="819">
        <v>27</v>
      </c>
      <c r="N55" s="820">
        <v>9</v>
      </c>
      <c r="O55" s="819" t="s">
        <v>3878</v>
      </c>
      <c r="P55" s="821" t="s">
        <v>3975</v>
      </c>
      <c r="Q55" s="822">
        <f t="shared" si="0"/>
        <v>1</v>
      </c>
      <c r="R55" s="855">
        <f t="shared" si="0"/>
        <v>1.18</v>
      </c>
      <c r="S55" s="822">
        <f t="shared" si="1"/>
        <v>1</v>
      </c>
      <c r="T55" s="855">
        <f t="shared" si="2"/>
        <v>1.18</v>
      </c>
      <c r="U55" s="863">
        <v>9</v>
      </c>
      <c r="V55" s="812">
        <v>2</v>
      </c>
      <c r="W55" s="812">
        <v>-7</v>
      </c>
      <c r="X55" s="861">
        <v>0.22222222222222221</v>
      </c>
      <c r="Y55" s="859"/>
    </row>
    <row r="56" spans="1:25" ht="14.45" customHeight="1" x14ac:dyDescent="0.2">
      <c r="A56" s="825" t="s">
        <v>3976</v>
      </c>
      <c r="B56" s="806"/>
      <c r="C56" s="807"/>
      <c r="D56" s="808"/>
      <c r="E56" s="809"/>
      <c r="F56" s="789"/>
      <c r="G56" s="790"/>
      <c r="H56" s="791">
        <v>1</v>
      </c>
      <c r="I56" s="792">
        <v>8.5</v>
      </c>
      <c r="J56" s="793">
        <v>8</v>
      </c>
      <c r="K56" s="794">
        <v>8.5</v>
      </c>
      <c r="L56" s="795">
        <v>7</v>
      </c>
      <c r="M56" s="795">
        <v>66</v>
      </c>
      <c r="N56" s="796">
        <v>22</v>
      </c>
      <c r="O56" s="795" t="s">
        <v>3878</v>
      </c>
      <c r="P56" s="810" t="s">
        <v>3977</v>
      </c>
      <c r="Q56" s="797">
        <f t="shared" si="0"/>
        <v>1</v>
      </c>
      <c r="R56" s="856">
        <f t="shared" si="0"/>
        <v>8.5</v>
      </c>
      <c r="S56" s="797">
        <f t="shared" si="1"/>
        <v>1</v>
      </c>
      <c r="T56" s="856">
        <f t="shared" si="2"/>
        <v>8.5</v>
      </c>
      <c r="U56" s="862">
        <v>22</v>
      </c>
      <c r="V56" s="806">
        <v>8</v>
      </c>
      <c r="W56" s="806">
        <v>-14</v>
      </c>
      <c r="X56" s="860">
        <v>0.36363636363636365</v>
      </c>
      <c r="Y56" s="858"/>
    </row>
    <row r="57" spans="1:25" ht="14.45" customHeight="1" x14ac:dyDescent="0.2">
      <c r="A57" s="825" t="s">
        <v>3978</v>
      </c>
      <c r="B57" s="806"/>
      <c r="C57" s="807"/>
      <c r="D57" s="808"/>
      <c r="E57" s="791">
        <v>1</v>
      </c>
      <c r="F57" s="792">
        <v>6.17</v>
      </c>
      <c r="G57" s="793">
        <v>20</v>
      </c>
      <c r="H57" s="795"/>
      <c r="I57" s="789"/>
      <c r="J57" s="790"/>
      <c r="K57" s="794">
        <v>5.74</v>
      </c>
      <c r="L57" s="795">
        <v>7</v>
      </c>
      <c r="M57" s="795">
        <v>63</v>
      </c>
      <c r="N57" s="796">
        <v>21</v>
      </c>
      <c r="O57" s="795" t="s">
        <v>3878</v>
      </c>
      <c r="P57" s="810" t="s">
        <v>3979</v>
      </c>
      <c r="Q57" s="797">
        <f t="shared" si="0"/>
        <v>0</v>
      </c>
      <c r="R57" s="856">
        <f t="shared" si="0"/>
        <v>0</v>
      </c>
      <c r="S57" s="797">
        <f t="shared" si="1"/>
        <v>-1</v>
      </c>
      <c r="T57" s="856">
        <f t="shared" si="2"/>
        <v>-6.17</v>
      </c>
      <c r="U57" s="862" t="s">
        <v>306</v>
      </c>
      <c r="V57" s="806" t="s">
        <v>306</v>
      </c>
      <c r="W57" s="806" t="s">
        <v>306</v>
      </c>
      <c r="X57" s="860" t="s">
        <v>306</v>
      </c>
      <c r="Y57" s="858"/>
    </row>
    <row r="58" spans="1:25" ht="14.45" customHeight="1" x14ac:dyDescent="0.2">
      <c r="A58" s="825" t="s">
        <v>3980</v>
      </c>
      <c r="B58" s="801">
        <v>1</v>
      </c>
      <c r="C58" s="802">
        <v>4.16</v>
      </c>
      <c r="D58" s="803">
        <v>3</v>
      </c>
      <c r="E58" s="809"/>
      <c r="F58" s="789"/>
      <c r="G58" s="790"/>
      <c r="H58" s="795"/>
      <c r="I58" s="789"/>
      <c r="J58" s="790"/>
      <c r="K58" s="794">
        <v>2.08</v>
      </c>
      <c r="L58" s="795">
        <v>4</v>
      </c>
      <c r="M58" s="795">
        <v>39</v>
      </c>
      <c r="N58" s="796">
        <v>13</v>
      </c>
      <c r="O58" s="795" t="s">
        <v>3878</v>
      </c>
      <c r="P58" s="810" t="s">
        <v>3981</v>
      </c>
      <c r="Q58" s="797">
        <f t="shared" si="0"/>
        <v>-1</v>
      </c>
      <c r="R58" s="856">
        <f t="shared" si="0"/>
        <v>-4.16</v>
      </c>
      <c r="S58" s="797">
        <f t="shared" si="1"/>
        <v>0</v>
      </c>
      <c r="T58" s="856">
        <f t="shared" si="2"/>
        <v>0</v>
      </c>
      <c r="U58" s="862" t="s">
        <v>306</v>
      </c>
      <c r="V58" s="806" t="s">
        <v>306</v>
      </c>
      <c r="W58" s="806" t="s">
        <v>306</v>
      </c>
      <c r="X58" s="860" t="s">
        <v>306</v>
      </c>
      <c r="Y58" s="858"/>
    </row>
    <row r="59" spans="1:25" ht="14.45" customHeight="1" x14ac:dyDescent="0.2">
      <c r="A59" s="825" t="s">
        <v>3982</v>
      </c>
      <c r="B59" s="801">
        <v>1</v>
      </c>
      <c r="C59" s="802">
        <v>0.83</v>
      </c>
      <c r="D59" s="803">
        <v>7</v>
      </c>
      <c r="E59" s="809"/>
      <c r="F59" s="789"/>
      <c r="G59" s="790"/>
      <c r="H59" s="795"/>
      <c r="I59" s="789"/>
      <c r="J59" s="790"/>
      <c r="K59" s="794">
        <v>0.47</v>
      </c>
      <c r="L59" s="795">
        <v>2</v>
      </c>
      <c r="M59" s="795">
        <v>15</v>
      </c>
      <c r="N59" s="796">
        <v>5</v>
      </c>
      <c r="O59" s="795" t="s">
        <v>3878</v>
      </c>
      <c r="P59" s="810" t="s">
        <v>3983</v>
      </c>
      <c r="Q59" s="797">
        <f t="shared" si="0"/>
        <v>-1</v>
      </c>
      <c r="R59" s="856">
        <f t="shared" si="0"/>
        <v>-0.83</v>
      </c>
      <c r="S59" s="797">
        <f t="shared" si="1"/>
        <v>0</v>
      </c>
      <c r="T59" s="856">
        <f t="shared" si="2"/>
        <v>0</v>
      </c>
      <c r="U59" s="862" t="s">
        <v>306</v>
      </c>
      <c r="V59" s="806" t="s">
        <v>306</v>
      </c>
      <c r="W59" s="806" t="s">
        <v>306</v>
      </c>
      <c r="X59" s="860" t="s">
        <v>306</v>
      </c>
      <c r="Y59" s="858"/>
    </row>
    <row r="60" spans="1:25" ht="14.45" customHeight="1" x14ac:dyDescent="0.2">
      <c r="A60" s="825" t="s">
        <v>3984</v>
      </c>
      <c r="B60" s="801">
        <v>2</v>
      </c>
      <c r="C60" s="802">
        <v>9.1</v>
      </c>
      <c r="D60" s="803">
        <v>39</v>
      </c>
      <c r="E60" s="809"/>
      <c r="F60" s="789"/>
      <c r="G60" s="790"/>
      <c r="H60" s="795"/>
      <c r="I60" s="789"/>
      <c r="J60" s="790"/>
      <c r="K60" s="794">
        <v>2.38</v>
      </c>
      <c r="L60" s="795">
        <v>4</v>
      </c>
      <c r="M60" s="795">
        <v>33</v>
      </c>
      <c r="N60" s="796">
        <v>11</v>
      </c>
      <c r="O60" s="795" t="s">
        <v>3878</v>
      </c>
      <c r="P60" s="810" t="s">
        <v>3985</v>
      </c>
      <c r="Q60" s="797">
        <f t="shared" si="0"/>
        <v>-2</v>
      </c>
      <c r="R60" s="856">
        <f t="shared" si="0"/>
        <v>-9.1</v>
      </c>
      <c r="S60" s="797">
        <f t="shared" si="1"/>
        <v>0</v>
      </c>
      <c r="T60" s="856">
        <f t="shared" si="2"/>
        <v>0</v>
      </c>
      <c r="U60" s="862" t="s">
        <v>306</v>
      </c>
      <c r="V60" s="806" t="s">
        <v>306</v>
      </c>
      <c r="W60" s="806" t="s">
        <v>306</v>
      </c>
      <c r="X60" s="860" t="s">
        <v>306</v>
      </c>
      <c r="Y60" s="858"/>
    </row>
    <row r="61" spans="1:25" ht="14.45" customHeight="1" x14ac:dyDescent="0.2">
      <c r="A61" s="826" t="s">
        <v>3986</v>
      </c>
      <c r="B61" s="823"/>
      <c r="C61" s="824"/>
      <c r="D61" s="804"/>
      <c r="E61" s="814">
        <v>1</v>
      </c>
      <c r="F61" s="815">
        <v>1.63</v>
      </c>
      <c r="G61" s="798">
        <v>2</v>
      </c>
      <c r="H61" s="819">
        <v>1</v>
      </c>
      <c r="I61" s="815">
        <v>2.76</v>
      </c>
      <c r="J61" s="798">
        <v>7</v>
      </c>
      <c r="K61" s="818">
        <v>2.76</v>
      </c>
      <c r="L61" s="819">
        <v>4</v>
      </c>
      <c r="M61" s="819">
        <v>39</v>
      </c>
      <c r="N61" s="820">
        <v>13</v>
      </c>
      <c r="O61" s="819" t="s">
        <v>3878</v>
      </c>
      <c r="P61" s="821" t="s">
        <v>3985</v>
      </c>
      <c r="Q61" s="822">
        <f t="shared" si="0"/>
        <v>1</v>
      </c>
      <c r="R61" s="855">
        <f t="shared" si="0"/>
        <v>2.76</v>
      </c>
      <c r="S61" s="822">
        <f t="shared" si="1"/>
        <v>0</v>
      </c>
      <c r="T61" s="855">
        <f t="shared" si="2"/>
        <v>1.1299999999999999</v>
      </c>
      <c r="U61" s="863">
        <v>13</v>
      </c>
      <c r="V61" s="812">
        <v>7</v>
      </c>
      <c r="W61" s="812">
        <v>-6</v>
      </c>
      <c r="X61" s="861">
        <v>0.53846153846153844</v>
      </c>
      <c r="Y61" s="859"/>
    </row>
    <row r="62" spans="1:25" ht="14.45" customHeight="1" x14ac:dyDescent="0.2">
      <c r="A62" s="825" t="s">
        <v>3987</v>
      </c>
      <c r="B62" s="806"/>
      <c r="C62" s="807"/>
      <c r="D62" s="808"/>
      <c r="E62" s="809">
        <v>1</v>
      </c>
      <c r="F62" s="789">
        <v>0.57999999999999996</v>
      </c>
      <c r="G62" s="790">
        <v>6</v>
      </c>
      <c r="H62" s="791"/>
      <c r="I62" s="792"/>
      <c r="J62" s="793"/>
      <c r="K62" s="794">
        <v>0.31</v>
      </c>
      <c r="L62" s="795">
        <v>1</v>
      </c>
      <c r="M62" s="795">
        <v>12</v>
      </c>
      <c r="N62" s="796">
        <v>4</v>
      </c>
      <c r="O62" s="795" t="s">
        <v>3878</v>
      </c>
      <c r="P62" s="810" t="s">
        <v>3988</v>
      </c>
      <c r="Q62" s="797">
        <f t="shared" si="0"/>
        <v>0</v>
      </c>
      <c r="R62" s="856">
        <f t="shared" si="0"/>
        <v>0</v>
      </c>
      <c r="S62" s="797">
        <f t="shared" si="1"/>
        <v>-1</v>
      </c>
      <c r="T62" s="856">
        <f t="shared" si="2"/>
        <v>-0.57999999999999996</v>
      </c>
      <c r="U62" s="862" t="s">
        <v>306</v>
      </c>
      <c r="V62" s="806" t="s">
        <v>306</v>
      </c>
      <c r="W62" s="806" t="s">
        <v>306</v>
      </c>
      <c r="X62" s="860" t="s">
        <v>306</v>
      </c>
      <c r="Y62" s="858"/>
    </row>
    <row r="63" spans="1:25" ht="14.45" customHeight="1" x14ac:dyDescent="0.2">
      <c r="A63" s="826" t="s">
        <v>3989</v>
      </c>
      <c r="B63" s="812"/>
      <c r="C63" s="813"/>
      <c r="D63" s="811"/>
      <c r="E63" s="814"/>
      <c r="F63" s="815"/>
      <c r="G63" s="798"/>
      <c r="H63" s="816">
        <v>1</v>
      </c>
      <c r="I63" s="817">
        <v>0.69</v>
      </c>
      <c r="J63" s="799">
        <v>3</v>
      </c>
      <c r="K63" s="818">
        <v>0.62</v>
      </c>
      <c r="L63" s="819">
        <v>2</v>
      </c>
      <c r="M63" s="819">
        <v>21</v>
      </c>
      <c r="N63" s="820">
        <v>7</v>
      </c>
      <c r="O63" s="819" t="s">
        <v>3878</v>
      </c>
      <c r="P63" s="821" t="s">
        <v>3990</v>
      </c>
      <c r="Q63" s="822">
        <f t="shared" si="0"/>
        <v>1</v>
      </c>
      <c r="R63" s="855">
        <f t="shared" si="0"/>
        <v>0.69</v>
      </c>
      <c r="S63" s="822">
        <f t="shared" si="1"/>
        <v>1</v>
      </c>
      <c r="T63" s="855">
        <f t="shared" si="2"/>
        <v>0.69</v>
      </c>
      <c r="U63" s="863">
        <v>7</v>
      </c>
      <c r="V63" s="812">
        <v>3</v>
      </c>
      <c r="W63" s="812">
        <v>-4</v>
      </c>
      <c r="X63" s="861">
        <v>0.42857142857142855</v>
      </c>
      <c r="Y63" s="859"/>
    </row>
    <row r="64" spans="1:25" ht="14.45" customHeight="1" x14ac:dyDescent="0.2">
      <c r="A64" s="825" t="s">
        <v>3991</v>
      </c>
      <c r="B64" s="806"/>
      <c r="C64" s="807"/>
      <c r="D64" s="808"/>
      <c r="E64" s="791">
        <v>1</v>
      </c>
      <c r="F64" s="792">
        <v>5.1100000000000003</v>
      </c>
      <c r="G64" s="793">
        <v>36</v>
      </c>
      <c r="H64" s="795"/>
      <c r="I64" s="789"/>
      <c r="J64" s="790"/>
      <c r="K64" s="794">
        <v>3.72</v>
      </c>
      <c r="L64" s="795">
        <v>6</v>
      </c>
      <c r="M64" s="795">
        <v>54</v>
      </c>
      <c r="N64" s="796">
        <v>18</v>
      </c>
      <c r="O64" s="795" t="s">
        <v>3878</v>
      </c>
      <c r="P64" s="810" t="s">
        <v>3992</v>
      </c>
      <c r="Q64" s="797">
        <f t="shared" si="0"/>
        <v>0</v>
      </c>
      <c r="R64" s="856">
        <f t="shared" si="0"/>
        <v>0</v>
      </c>
      <c r="S64" s="797">
        <f t="shared" si="1"/>
        <v>-1</v>
      </c>
      <c r="T64" s="856">
        <f t="shared" si="2"/>
        <v>-5.1100000000000003</v>
      </c>
      <c r="U64" s="862" t="s">
        <v>306</v>
      </c>
      <c r="V64" s="806" t="s">
        <v>306</v>
      </c>
      <c r="W64" s="806" t="s">
        <v>306</v>
      </c>
      <c r="X64" s="860" t="s">
        <v>306</v>
      </c>
      <c r="Y64" s="858"/>
    </row>
    <row r="65" spans="1:25" ht="14.45" customHeight="1" x14ac:dyDescent="0.2">
      <c r="A65" s="825" t="s">
        <v>3993</v>
      </c>
      <c r="B65" s="806"/>
      <c r="C65" s="807"/>
      <c r="D65" s="808"/>
      <c r="E65" s="809"/>
      <c r="F65" s="789"/>
      <c r="G65" s="790"/>
      <c r="H65" s="791">
        <v>1</v>
      </c>
      <c r="I65" s="792">
        <v>0.64</v>
      </c>
      <c r="J65" s="793">
        <v>4</v>
      </c>
      <c r="K65" s="794">
        <v>0.64</v>
      </c>
      <c r="L65" s="795">
        <v>2</v>
      </c>
      <c r="M65" s="795">
        <v>21</v>
      </c>
      <c r="N65" s="796">
        <v>7</v>
      </c>
      <c r="O65" s="795" t="s">
        <v>3878</v>
      </c>
      <c r="P65" s="810" t="s">
        <v>3994</v>
      </c>
      <c r="Q65" s="797">
        <f t="shared" si="0"/>
        <v>1</v>
      </c>
      <c r="R65" s="856">
        <f t="shared" si="0"/>
        <v>0.64</v>
      </c>
      <c r="S65" s="797">
        <f t="shared" si="1"/>
        <v>1</v>
      </c>
      <c r="T65" s="856">
        <f t="shared" si="2"/>
        <v>0.64</v>
      </c>
      <c r="U65" s="862">
        <v>7</v>
      </c>
      <c r="V65" s="806">
        <v>4</v>
      </c>
      <c r="W65" s="806">
        <v>-3</v>
      </c>
      <c r="X65" s="860">
        <v>0.5714285714285714</v>
      </c>
      <c r="Y65" s="858"/>
    </row>
    <row r="66" spans="1:25" ht="14.45" customHeight="1" x14ac:dyDescent="0.2">
      <c r="A66" s="825" t="s">
        <v>3995</v>
      </c>
      <c r="B66" s="806"/>
      <c r="C66" s="807"/>
      <c r="D66" s="808"/>
      <c r="E66" s="791">
        <v>1</v>
      </c>
      <c r="F66" s="792">
        <v>2.85</v>
      </c>
      <c r="G66" s="793">
        <v>3</v>
      </c>
      <c r="H66" s="795"/>
      <c r="I66" s="789"/>
      <c r="J66" s="790"/>
      <c r="K66" s="794">
        <v>2.96</v>
      </c>
      <c r="L66" s="795">
        <v>4</v>
      </c>
      <c r="M66" s="795">
        <v>33</v>
      </c>
      <c r="N66" s="796">
        <v>11</v>
      </c>
      <c r="O66" s="795" t="s">
        <v>3878</v>
      </c>
      <c r="P66" s="810" t="s">
        <v>3996</v>
      </c>
      <c r="Q66" s="797">
        <f t="shared" si="0"/>
        <v>0</v>
      </c>
      <c r="R66" s="856">
        <f t="shared" si="0"/>
        <v>0</v>
      </c>
      <c r="S66" s="797">
        <f t="shared" si="1"/>
        <v>-1</v>
      </c>
      <c r="T66" s="856">
        <f t="shared" si="2"/>
        <v>-2.85</v>
      </c>
      <c r="U66" s="862" t="s">
        <v>306</v>
      </c>
      <c r="V66" s="806" t="s">
        <v>306</v>
      </c>
      <c r="W66" s="806" t="s">
        <v>306</v>
      </c>
      <c r="X66" s="860" t="s">
        <v>306</v>
      </c>
      <c r="Y66" s="858"/>
    </row>
    <row r="67" spans="1:25" ht="14.45" customHeight="1" x14ac:dyDescent="0.2">
      <c r="A67" s="826" t="s">
        <v>3997</v>
      </c>
      <c r="B67" s="812"/>
      <c r="C67" s="813"/>
      <c r="D67" s="811"/>
      <c r="E67" s="816">
        <v>1</v>
      </c>
      <c r="F67" s="817">
        <v>4.59</v>
      </c>
      <c r="G67" s="799">
        <v>6</v>
      </c>
      <c r="H67" s="819"/>
      <c r="I67" s="815"/>
      <c r="J67" s="798"/>
      <c r="K67" s="818">
        <v>4.59</v>
      </c>
      <c r="L67" s="819">
        <v>5</v>
      </c>
      <c r="M67" s="819">
        <v>45</v>
      </c>
      <c r="N67" s="820">
        <v>15</v>
      </c>
      <c r="O67" s="819" t="s">
        <v>3878</v>
      </c>
      <c r="P67" s="821" t="s">
        <v>3998</v>
      </c>
      <c r="Q67" s="822">
        <f t="shared" si="0"/>
        <v>0</v>
      </c>
      <c r="R67" s="855">
        <f t="shared" si="0"/>
        <v>0</v>
      </c>
      <c r="S67" s="822">
        <f t="shared" si="1"/>
        <v>-1</v>
      </c>
      <c r="T67" s="855">
        <f t="shared" si="2"/>
        <v>-4.59</v>
      </c>
      <c r="U67" s="863" t="s">
        <v>306</v>
      </c>
      <c r="V67" s="812" t="s">
        <v>306</v>
      </c>
      <c r="W67" s="812" t="s">
        <v>306</v>
      </c>
      <c r="X67" s="861" t="s">
        <v>306</v>
      </c>
      <c r="Y67" s="859"/>
    </row>
    <row r="68" spans="1:25" ht="14.45" customHeight="1" x14ac:dyDescent="0.2">
      <c r="A68" s="825" t="s">
        <v>3999</v>
      </c>
      <c r="B68" s="801">
        <v>1</v>
      </c>
      <c r="C68" s="802">
        <v>2.71</v>
      </c>
      <c r="D68" s="803">
        <v>4</v>
      </c>
      <c r="E68" s="809"/>
      <c r="F68" s="789"/>
      <c r="G68" s="790"/>
      <c r="H68" s="795"/>
      <c r="I68" s="789"/>
      <c r="J68" s="790"/>
      <c r="K68" s="794">
        <v>3.32</v>
      </c>
      <c r="L68" s="795">
        <v>5</v>
      </c>
      <c r="M68" s="795">
        <v>45</v>
      </c>
      <c r="N68" s="796">
        <v>15</v>
      </c>
      <c r="O68" s="795" t="s">
        <v>3878</v>
      </c>
      <c r="P68" s="810" t="s">
        <v>4000</v>
      </c>
      <c r="Q68" s="797">
        <f t="shared" si="0"/>
        <v>-1</v>
      </c>
      <c r="R68" s="856">
        <f t="shared" si="0"/>
        <v>-2.71</v>
      </c>
      <c r="S68" s="797">
        <f t="shared" si="1"/>
        <v>0</v>
      </c>
      <c r="T68" s="856">
        <f t="shared" si="2"/>
        <v>0</v>
      </c>
      <c r="U68" s="862" t="s">
        <v>306</v>
      </c>
      <c r="V68" s="806" t="s">
        <v>306</v>
      </c>
      <c r="W68" s="806" t="s">
        <v>306</v>
      </c>
      <c r="X68" s="860" t="s">
        <v>306</v>
      </c>
      <c r="Y68" s="858"/>
    </row>
    <row r="69" spans="1:25" ht="14.45" customHeight="1" x14ac:dyDescent="0.2">
      <c r="A69" s="825" t="s">
        <v>4001</v>
      </c>
      <c r="B69" s="806">
        <v>1</v>
      </c>
      <c r="C69" s="807">
        <v>1.2</v>
      </c>
      <c r="D69" s="808">
        <v>7</v>
      </c>
      <c r="E69" s="791">
        <v>1</v>
      </c>
      <c r="F69" s="792">
        <v>1.62</v>
      </c>
      <c r="G69" s="793">
        <v>12</v>
      </c>
      <c r="H69" s="795"/>
      <c r="I69" s="789"/>
      <c r="J69" s="790"/>
      <c r="K69" s="794">
        <v>1.2</v>
      </c>
      <c r="L69" s="795">
        <v>2</v>
      </c>
      <c r="M69" s="795">
        <v>18</v>
      </c>
      <c r="N69" s="796">
        <v>6</v>
      </c>
      <c r="O69" s="795" t="s">
        <v>3878</v>
      </c>
      <c r="P69" s="810" t="s">
        <v>4002</v>
      </c>
      <c r="Q69" s="797">
        <f t="shared" si="0"/>
        <v>-1</v>
      </c>
      <c r="R69" s="856">
        <f t="shared" si="0"/>
        <v>-1.2</v>
      </c>
      <c r="S69" s="797">
        <f t="shared" si="1"/>
        <v>-1</v>
      </c>
      <c r="T69" s="856">
        <f t="shared" si="2"/>
        <v>-1.62</v>
      </c>
      <c r="U69" s="862" t="s">
        <v>306</v>
      </c>
      <c r="V69" s="806" t="s">
        <v>306</v>
      </c>
      <c r="W69" s="806" t="s">
        <v>306</v>
      </c>
      <c r="X69" s="860" t="s">
        <v>306</v>
      </c>
      <c r="Y69" s="858"/>
    </row>
    <row r="70" spans="1:25" ht="14.45" customHeight="1" x14ac:dyDescent="0.2">
      <c r="A70" s="825" t="s">
        <v>4003</v>
      </c>
      <c r="B70" s="806"/>
      <c r="C70" s="807"/>
      <c r="D70" s="808"/>
      <c r="E70" s="791">
        <v>1</v>
      </c>
      <c r="F70" s="792">
        <v>1</v>
      </c>
      <c r="G70" s="793">
        <v>8</v>
      </c>
      <c r="H70" s="795"/>
      <c r="I70" s="789"/>
      <c r="J70" s="790"/>
      <c r="K70" s="794">
        <v>1</v>
      </c>
      <c r="L70" s="795">
        <v>3</v>
      </c>
      <c r="M70" s="795">
        <v>30</v>
      </c>
      <c r="N70" s="796">
        <v>10</v>
      </c>
      <c r="O70" s="795" t="s">
        <v>3878</v>
      </c>
      <c r="P70" s="810" t="s">
        <v>4004</v>
      </c>
      <c r="Q70" s="797">
        <f t="shared" ref="Q70:R88" si="3">H70-B70</f>
        <v>0</v>
      </c>
      <c r="R70" s="856">
        <f t="shared" si="3"/>
        <v>0</v>
      </c>
      <c r="S70" s="797">
        <f t="shared" ref="S70:S88" si="4">H70-E70</f>
        <v>-1</v>
      </c>
      <c r="T70" s="856">
        <f t="shared" ref="T70:T88" si="5">I70-F70</f>
        <v>-1</v>
      </c>
      <c r="U70" s="862" t="s">
        <v>306</v>
      </c>
      <c r="V70" s="806" t="s">
        <v>306</v>
      </c>
      <c r="W70" s="806" t="s">
        <v>306</v>
      </c>
      <c r="X70" s="860" t="s">
        <v>306</v>
      </c>
      <c r="Y70" s="858"/>
    </row>
    <row r="71" spans="1:25" ht="14.45" customHeight="1" x14ac:dyDescent="0.2">
      <c r="A71" s="825" t="s">
        <v>4005</v>
      </c>
      <c r="B71" s="806"/>
      <c r="C71" s="807"/>
      <c r="D71" s="808"/>
      <c r="E71" s="809"/>
      <c r="F71" s="789"/>
      <c r="G71" s="790"/>
      <c r="H71" s="791">
        <v>1</v>
      </c>
      <c r="I71" s="792">
        <v>0.8</v>
      </c>
      <c r="J71" s="793">
        <v>3</v>
      </c>
      <c r="K71" s="794">
        <v>0.55000000000000004</v>
      </c>
      <c r="L71" s="795">
        <v>2</v>
      </c>
      <c r="M71" s="795">
        <v>21</v>
      </c>
      <c r="N71" s="796">
        <v>7</v>
      </c>
      <c r="O71" s="795" t="s">
        <v>3878</v>
      </c>
      <c r="P71" s="810" t="s">
        <v>4006</v>
      </c>
      <c r="Q71" s="797">
        <f t="shared" si="3"/>
        <v>1</v>
      </c>
      <c r="R71" s="856">
        <f t="shared" si="3"/>
        <v>0.8</v>
      </c>
      <c r="S71" s="797">
        <f t="shared" si="4"/>
        <v>1</v>
      </c>
      <c r="T71" s="856">
        <f t="shared" si="5"/>
        <v>0.8</v>
      </c>
      <c r="U71" s="862">
        <v>7</v>
      </c>
      <c r="V71" s="806">
        <v>3</v>
      </c>
      <c r="W71" s="806">
        <v>-4</v>
      </c>
      <c r="X71" s="860">
        <v>0.42857142857142855</v>
      </c>
      <c r="Y71" s="858"/>
    </row>
    <row r="72" spans="1:25" ht="14.45" customHeight="1" x14ac:dyDescent="0.2">
      <c r="A72" s="826" t="s">
        <v>4007</v>
      </c>
      <c r="B72" s="812">
        <v>1</v>
      </c>
      <c r="C72" s="813">
        <v>0.81</v>
      </c>
      <c r="D72" s="811">
        <v>3</v>
      </c>
      <c r="E72" s="814">
        <v>1</v>
      </c>
      <c r="F72" s="815">
        <v>0.53</v>
      </c>
      <c r="G72" s="798">
        <v>2</v>
      </c>
      <c r="H72" s="816"/>
      <c r="I72" s="817"/>
      <c r="J72" s="799"/>
      <c r="K72" s="818">
        <v>0.77</v>
      </c>
      <c r="L72" s="819">
        <v>3</v>
      </c>
      <c r="M72" s="819">
        <v>30</v>
      </c>
      <c r="N72" s="820">
        <v>10</v>
      </c>
      <c r="O72" s="819" t="s">
        <v>3878</v>
      </c>
      <c r="P72" s="821" t="s">
        <v>4008</v>
      </c>
      <c r="Q72" s="822">
        <f t="shared" si="3"/>
        <v>-1</v>
      </c>
      <c r="R72" s="855">
        <f t="shared" si="3"/>
        <v>-0.81</v>
      </c>
      <c r="S72" s="822">
        <f t="shared" si="4"/>
        <v>-1</v>
      </c>
      <c r="T72" s="855">
        <f t="shared" si="5"/>
        <v>-0.53</v>
      </c>
      <c r="U72" s="863" t="s">
        <v>306</v>
      </c>
      <c r="V72" s="812" t="s">
        <v>306</v>
      </c>
      <c r="W72" s="812" t="s">
        <v>306</v>
      </c>
      <c r="X72" s="861" t="s">
        <v>306</v>
      </c>
      <c r="Y72" s="859"/>
    </row>
    <row r="73" spans="1:25" ht="14.45" customHeight="1" x14ac:dyDescent="0.2">
      <c r="A73" s="825" t="s">
        <v>4009</v>
      </c>
      <c r="B73" s="801">
        <v>1</v>
      </c>
      <c r="C73" s="802">
        <v>0.53</v>
      </c>
      <c r="D73" s="803">
        <v>2</v>
      </c>
      <c r="E73" s="809"/>
      <c r="F73" s="789"/>
      <c r="G73" s="790"/>
      <c r="H73" s="795"/>
      <c r="I73" s="789"/>
      <c r="J73" s="790"/>
      <c r="K73" s="794">
        <v>0.53</v>
      </c>
      <c r="L73" s="795">
        <v>2</v>
      </c>
      <c r="M73" s="795">
        <v>18</v>
      </c>
      <c r="N73" s="796">
        <v>6</v>
      </c>
      <c r="O73" s="795" t="s">
        <v>3878</v>
      </c>
      <c r="P73" s="810" t="s">
        <v>4010</v>
      </c>
      <c r="Q73" s="797">
        <f t="shared" si="3"/>
        <v>-1</v>
      </c>
      <c r="R73" s="856">
        <f t="shared" si="3"/>
        <v>-0.53</v>
      </c>
      <c r="S73" s="797">
        <f t="shared" si="4"/>
        <v>0</v>
      </c>
      <c r="T73" s="856">
        <f t="shared" si="5"/>
        <v>0</v>
      </c>
      <c r="U73" s="862" t="s">
        <v>306</v>
      </c>
      <c r="V73" s="806" t="s">
        <v>306</v>
      </c>
      <c r="W73" s="806" t="s">
        <v>306</v>
      </c>
      <c r="X73" s="860" t="s">
        <v>306</v>
      </c>
      <c r="Y73" s="858"/>
    </row>
    <row r="74" spans="1:25" ht="14.45" customHeight="1" x14ac:dyDescent="0.2">
      <c r="A74" s="825" t="s">
        <v>4011</v>
      </c>
      <c r="B74" s="806"/>
      <c r="C74" s="807"/>
      <c r="D74" s="808"/>
      <c r="E74" s="809"/>
      <c r="F74" s="789"/>
      <c r="G74" s="790"/>
      <c r="H74" s="791">
        <v>1</v>
      </c>
      <c r="I74" s="792">
        <v>1.18</v>
      </c>
      <c r="J74" s="805">
        <v>12</v>
      </c>
      <c r="K74" s="794">
        <v>1.18</v>
      </c>
      <c r="L74" s="795">
        <v>2</v>
      </c>
      <c r="M74" s="795">
        <v>18</v>
      </c>
      <c r="N74" s="796">
        <v>6</v>
      </c>
      <c r="O74" s="795" t="s">
        <v>3878</v>
      </c>
      <c r="P74" s="810" t="s">
        <v>4012</v>
      </c>
      <c r="Q74" s="797">
        <f t="shared" si="3"/>
        <v>1</v>
      </c>
      <c r="R74" s="856">
        <f t="shared" si="3"/>
        <v>1.18</v>
      </c>
      <c r="S74" s="797">
        <f t="shared" si="4"/>
        <v>1</v>
      </c>
      <c r="T74" s="856">
        <f t="shared" si="5"/>
        <v>1.18</v>
      </c>
      <c r="U74" s="862">
        <v>6</v>
      </c>
      <c r="V74" s="806">
        <v>12</v>
      </c>
      <c r="W74" s="806">
        <v>6</v>
      </c>
      <c r="X74" s="860">
        <v>2</v>
      </c>
      <c r="Y74" s="858">
        <v>6</v>
      </c>
    </row>
    <row r="75" spans="1:25" ht="14.45" customHeight="1" x14ac:dyDescent="0.2">
      <c r="A75" s="825" t="s">
        <v>4013</v>
      </c>
      <c r="B75" s="806">
        <v>1</v>
      </c>
      <c r="C75" s="807">
        <v>0.34</v>
      </c>
      <c r="D75" s="808">
        <v>2</v>
      </c>
      <c r="E75" s="791"/>
      <c r="F75" s="792"/>
      <c r="G75" s="793"/>
      <c r="H75" s="795"/>
      <c r="I75" s="789"/>
      <c r="J75" s="790"/>
      <c r="K75" s="794">
        <v>0.34</v>
      </c>
      <c r="L75" s="795">
        <v>1</v>
      </c>
      <c r="M75" s="795">
        <v>12</v>
      </c>
      <c r="N75" s="796">
        <v>4</v>
      </c>
      <c r="O75" s="795" t="s">
        <v>3878</v>
      </c>
      <c r="P75" s="810" t="s">
        <v>4014</v>
      </c>
      <c r="Q75" s="797">
        <f t="shared" si="3"/>
        <v>-1</v>
      </c>
      <c r="R75" s="856">
        <f t="shared" si="3"/>
        <v>-0.34</v>
      </c>
      <c r="S75" s="797">
        <f t="shared" si="4"/>
        <v>0</v>
      </c>
      <c r="T75" s="856">
        <f t="shared" si="5"/>
        <v>0</v>
      </c>
      <c r="U75" s="862" t="s">
        <v>306</v>
      </c>
      <c r="V75" s="806" t="s">
        <v>306</v>
      </c>
      <c r="W75" s="806" t="s">
        <v>306</v>
      </c>
      <c r="X75" s="860" t="s">
        <v>306</v>
      </c>
      <c r="Y75" s="858"/>
    </row>
    <row r="76" spans="1:25" ht="14.45" customHeight="1" x14ac:dyDescent="0.2">
      <c r="A76" s="826" t="s">
        <v>4015</v>
      </c>
      <c r="B76" s="812"/>
      <c r="C76" s="813"/>
      <c r="D76" s="811"/>
      <c r="E76" s="816">
        <v>2</v>
      </c>
      <c r="F76" s="817">
        <v>0.91</v>
      </c>
      <c r="G76" s="799">
        <v>2</v>
      </c>
      <c r="H76" s="819"/>
      <c r="I76" s="815"/>
      <c r="J76" s="798"/>
      <c r="K76" s="818">
        <v>0.46</v>
      </c>
      <c r="L76" s="819">
        <v>2</v>
      </c>
      <c r="M76" s="819">
        <v>15</v>
      </c>
      <c r="N76" s="820">
        <v>5</v>
      </c>
      <c r="O76" s="819" t="s">
        <v>3878</v>
      </c>
      <c r="P76" s="821" t="s">
        <v>4016</v>
      </c>
      <c r="Q76" s="822">
        <f t="shared" si="3"/>
        <v>0</v>
      </c>
      <c r="R76" s="855">
        <f t="shared" si="3"/>
        <v>0</v>
      </c>
      <c r="S76" s="822">
        <f t="shared" si="4"/>
        <v>-2</v>
      </c>
      <c r="T76" s="855">
        <f t="shared" si="5"/>
        <v>-0.91</v>
      </c>
      <c r="U76" s="863" t="s">
        <v>306</v>
      </c>
      <c r="V76" s="812" t="s">
        <v>306</v>
      </c>
      <c r="W76" s="812" t="s">
        <v>306</v>
      </c>
      <c r="X76" s="861" t="s">
        <v>306</v>
      </c>
      <c r="Y76" s="859"/>
    </row>
    <row r="77" spans="1:25" ht="14.45" customHeight="1" x14ac:dyDescent="0.2">
      <c r="A77" s="825" t="s">
        <v>4017</v>
      </c>
      <c r="B77" s="801">
        <v>2</v>
      </c>
      <c r="C77" s="802">
        <v>16.52</v>
      </c>
      <c r="D77" s="803">
        <v>10</v>
      </c>
      <c r="E77" s="809">
        <v>1</v>
      </c>
      <c r="F77" s="789">
        <v>5.89</v>
      </c>
      <c r="G77" s="790">
        <v>34</v>
      </c>
      <c r="H77" s="795">
        <v>1</v>
      </c>
      <c r="I77" s="789">
        <v>6.18</v>
      </c>
      <c r="J77" s="790">
        <v>11</v>
      </c>
      <c r="K77" s="794">
        <v>5.89</v>
      </c>
      <c r="L77" s="795">
        <v>7</v>
      </c>
      <c r="M77" s="795">
        <v>66</v>
      </c>
      <c r="N77" s="796">
        <v>22</v>
      </c>
      <c r="O77" s="795" t="s">
        <v>3878</v>
      </c>
      <c r="P77" s="810" t="s">
        <v>4018</v>
      </c>
      <c r="Q77" s="797">
        <f t="shared" si="3"/>
        <v>-1</v>
      </c>
      <c r="R77" s="856">
        <f t="shared" si="3"/>
        <v>-10.34</v>
      </c>
      <c r="S77" s="797">
        <f t="shared" si="4"/>
        <v>0</v>
      </c>
      <c r="T77" s="856">
        <f t="shared" si="5"/>
        <v>0.29000000000000004</v>
      </c>
      <c r="U77" s="862">
        <v>22</v>
      </c>
      <c r="V77" s="806">
        <v>11</v>
      </c>
      <c r="W77" s="806">
        <v>-11</v>
      </c>
      <c r="X77" s="860">
        <v>0.5</v>
      </c>
      <c r="Y77" s="858"/>
    </row>
    <row r="78" spans="1:25" ht="14.45" customHeight="1" x14ac:dyDescent="0.2">
      <c r="A78" s="825" t="s">
        <v>4019</v>
      </c>
      <c r="B78" s="806"/>
      <c r="C78" s="807"/>
      <c r="D78" s="808"/>
      <c r="E78" s="809"/>
      <c r="F78" s="789"/>
      <c r="G78" s="790"/>
      <c r="H78" s="791">
        <v>1</v>
      </c>
      <c r="I78" s="792">
        <v>0.6</v>
      </c>
      <c r="J78" s="793">
        <v>2</v>
      </c>
      <c r="K78" s="794">
        <v>1.1100000000000001</v>
      </c>
      <c r="L78" s="795">
        <v>4</v>
      </c>
      <c r="M78" s="795">
        <v>33</v>
      </c>
      <c r="N78" s="796">
        <v>11</v>
      </c>
      <c r="O78" s="795" t="s">
        <v>3878</v>
      </c>
      <c r="P78" s="810" t="s">
        <v>4020</v>
      </c>
      <c r="Q78" s="797">
        <f t="shared" si="3"/>
        <v>1</v>
      </c>
      <c r="R78" s="856">
        <f t="shared" si="3"/>
        <v>0.6</v>
      </c>
      <c r="S78" s="797">
        <f t="shared" si="4"/>
        <v>1</v>
      </c>
      <c r="T78" s="856">
        <f t="shared" si="5"/>
        <v>0.6</v>
      </c>
      <c r="U78" s="862">
        <v>11</v>
      </c>
      <c r="V78" s="806">
        <v>2</v>
      </c>
      <c r="W78" s="806">
        <v>-9</v>
      </c>
      <c r="X78" s="860">
        <v>0.18181818181818182</v>
      </c>
      <c r="Y78" s="858"/>
    </row>
    <row r="79" spans="1:25" ht="14.45" customHeight="1" x14ac:dyDescent="0.2">
      <c r="A79" s="826" t="s">
        <v>4021</v>
      </c>
      <c r="B79" s="812"/>
      <c r="C79" s="813"/>
      <c r="D79" s="811"/>
      <c r="E79" s="814"/>
      <c r="F79" s="815"/>
      <c r="G79" s="798"/>
      <c r="H79" s="816">
        <v>3</v>
      </c>
      <c r="I79" s="817">
        <v>6.96</v>
      </c>
      <c r="J79" s="799">
        <v>8</v>
      </c>
      <c r="K79" s="818">
        <v>2.02</v>
      </c>
      <c r="L79" s="819">
        <v>4</v>
      </c>
      <c r="M79" s="819">
        <v>39</v>
      </c>
      <c r="N79" s="820">
        <v>13</v>
      </c>
      <c r="O79" s="819" t="s">
        <v>3878</v>
      </c>
      <c r="P79" s="821" t="s">
        <v>4022</v>
      </c>
      <c r="Q79" s="822">
        <f t="shared" si="3"/>
        <v>3</v>
      </c>
      <c r="R79" s="855">
        <f t="shared" si="3"/>
        <v>6.96</v>
      </c>
      <c r="S79" s="822">
        <f t="shared" si="4"/>
        <v>3</v>
      </c>
      <c r="T79" s="855">
        <f t="shared" si="5"/>
        <v>6.96</v>
      </c>
      <c r="U79" s="863">
        <v>39</v>
      </c>
      <c r="V79" s="812">
        <v>24</v>
      </c>
      <c r="W79" s="812">
        <v>-15</v>
      </c>
      <c r="X79" s="861">
        <v>0.61538461538461542</v>
      </c>
      <c r="Y79" s="859"/>
    </row>
    <row r="80" spans="1:25" ht="14.45" customHeight="1" x14ac:dyDescent="0.2">
      <c r="A80" s="825" t="s">
        <v>4023</v>
      </c>
      <c r="B80" s="806"/>
      <c r="C80" s="807"/>
      <c r="D80" s="808"/>
      <c r="E80" s="809"/>
      <c r="F80" s="789"/>
      <c r="G80" s="790"/>
      <c r="H80" s="791">
        <v>1</v>
      </c>
      <c r="I80" s="792">
        <v>1.83</v>
      </c>
      <c r="J80" s="793">
        <v>3</v>
      </c>
      <c r="K80" s="794">
        <v>2.36</v>
      </c>
      <c r="L80" s="795">
        <v>4</v>
      </c>
      <c r="M80" s="795">
        <v>39</v>
      </c>
      <c r="N80" s="796">
        <v>13</v>
      </c>
      <c r="O80" s="795" t="s">
        <v>3878</v>
      </c>
      <c r="P80" s="810" t="s">
        <v>4024</v>
      </c>
      <c r="Q80" s="797">
        <f t="shared" si="3"/>
        <v>1</v>
      </c>
      <c r="R80" s="856">
        <f t="shared" si="3"/>
        <v>1.83</v>
      </c>
      <c r="S80" s="797">
        <f t="shared" si="4"/>
        <v>1</v>
      </c>
      <c r="T80" s="856">
        <f t="shared" si="5"/>
        <v>1.83</v>
      </c>
      <c r="U80" s="862">
        <v>13</v>
      </c>
      <c r="V80" s="806">
        <v>3</v>
      </c>
      <c r="W80" s="806">
        <v>-10</v>
      </c>
      <c r="X80" s="860">
        <v>0.23076923076923078</v>
      </c>
      <c r="Y80" s="858"/>
    </row>
    <row r="81" spans="1:25" ht="14.45" customHeight="1" x14ac:dyDescent="0.2">
      <c r="A81" s="825" t="s">
        <v>4025</v>
      </c>
      <c r="B81" s="806"/>
      <c r="C81" s="807"/>
      <c r="D81" s="808"/>
      <c r="E81" s="809"/>
      <c r="F81" s="789"/>
      <c r="G81" s="790"/>
      <c r="H81" s="791">
        <v>1</v>
      </c>
      <c r="I81" s="792">
        <v>1.72</v>
      </c>
      <c r="J81" s="793">
        <v>6</v>
      </c>
      <c r="K81" s="794">
        <v>0.88</v>
      </c>
      <c r="L81" s="795">
        <v>2</v>
      </c>
      <c r="M81" s="795">
        <v>21</v>
      </c>
      <c r="N81" s="796">
        <v>7</v>
      </c>
      <c r="O81" s="795" t="s">
        <v>3878</v>
      </c>
      <c r="P81" s="810" t="s">
        <v>4026</v>
      </c>
      <c r="Q81" s="797">
        <f t="shared" si="3"/>
        <v>1</v>
      </c>
      <c r="R81" s="856">
        <f t="shared" si="3"/>
        <v>1.72</v>
      </c>
      <c r="S81" s="797">
        <f t="shared" si="4"/>
        <v>1</v>
      </c>
      <c r="T81" s="856">
        <f t="shared" si="5"/>
        <v>1.72</v>
      </c>
      <c r="U81" s="862">
        <v>7</v>
      </c>
      <c r="V81" s="806">
        <v>6</v>
      </c>
      <c r="W81" s="806">
        <v>-1</v>
      </c>
      <c r="X81" s="860">
        <v>0.8571428571428571</v>
      </c>
      <c r="Y81" s="858"/>
    </row>
    <row r="82" spans="1:25" ht="14.45" customHeight="1" x14ac:dyDescent="0.2">
      <c r="A82" s="826" t="s">
        <v>4027</v>
      </c>
      <c r="B82" s="812"/>
      <c r="C82" s="813"/>
      <c r="D82" s="811"/>
      <c r="E82" s="814">
        <v>1</v>
      </c>
      <c r="F82" s="815">
        <v>2.46</v>
      </c>
      <c r="G82" s="798">
        <v>3</v>
      </c>
      <c r="H82" s="816"/>
      <c r="I82" s="817"/>
      <c r="J82" s="799"/>
      <c r="K82" s="818">
        <v>3.18</v>
      </c>
      <c r="L82" s="819">
        <v>4</v>
      </c>
      <c r="M82" s="819">
        <v>33</v>
      </c>
      <c r="N82" s="820">
        <v>11</v>
      </c>
      <c r="O82" s="819" t="s">
        <v>3878</v>
      </c>
      <c r="P82" s="821" t="s">
        <v>4028</v>
      </c>
      <c r="Q82" s="822">
        <f t="shared" si="3"/>
        <v>0</v>
      </c>
      <c r="R82" s="855">
        <f t="shared" si="3"/>
        <v>0</v>
      </c>
      <c r="S82" s="822">
        <f t="shared" si="4"/>
        <v>-1</v>
      </c>
      <c r="T82" s="855">
        <f t="shared" si="5"/>
        <v>-2.46</v>
      </c>
      <c r="U82" s="863" t="s">
        <v>306</v>
      </c>
      <c r="V82" s="812" t="s">
        <v>306</v>
      </c>
      <c r="W82" s="812" t="s">
        <v>306</v>
      </c>
      <c r="X82" s="861" t="s">
        <v>306</v>
      </c>
      <c r="Y82" s="859"/>
    </row>
    <row r="83" spans="1:25" ht="14.45" customHeight="1" x14ac:dyDescent="0.2">
      <c r="A83" s="825" t="s">
        <v>4029</v>
      </c>
      <c r="B83" s="806"/>
      <c r="C83" s="807"/>
      <c r="D83" s="808"/>
      <c r="E83" s="791">
        <v>1</v>
      </c>
      <c r="F83" s="792">
        <v>5.31</v>
      </c>
      <c r="G83" s="793">
        <v>3</v>
      </c>
      <c r="H83" s="795"/>
      <c r="I83" s="789"/>
      <c r="J83" s="790"/>
      <c r="K83" s="794">
        <v>2.17</v>
      </c>
      <c r="L83" s="795">
        <v>4</v>
      </c>
      <c r="M83" s="795">
        <v>39</v>
      </c>
      <c r="N83" s="796">
        <v>13</v>
      </c>
      <c r="O83" s="795" t="s">
        <v>3878</v>
      </c>
      <c r="P83" s="810" t="s">
        <v>4030</v>
      </c>
      <c r="Q83" s="797">
        <f t="shared" si="3"/>
        <v>0</v>
      </c>
      <c r="R83" s="856">
        <f t="shared" si="3"/>
        <v>0</v>
      </c>
      <c r="S83" s="797">
        <f t="shared" si="4"/>
        <v>-1</v>
      </c>
      <c r="T83" s="856">
        <f t="shared" si="5"/>
        <v>-5.31</v>
      </c>
      <c r="U83" s="862" t="s">
        <v>306</v>
      </c>
      <c r="V83" s="806" t="s">
        <v>306</v>
      </c>
      <c r="W83" s="806" t="s">
        <v>306</v>
      </c>
      <c r="X83" s="860" t="s">
        <v>306</v>
      </c>
      <c r="Y83" s="858"/>
    </row>
    <row r="84" spans="1:25" ht="14.45" customHeight="1" x14ac:dyDescent="0.2">
      <c r="A84" s="825" t="s">
        <v>4031</v>
      </c>
      <c r="B84" s="806"/>
      <c r="C84" s="807"/>
      <c r="D84" s="808"/>
      <c r="E84" s="809"/>
      <c r="F84" s="789"/>
      <c r="G84" s="790"/>
      <c r="H84" s="791">
        <v>1</v>
      </c>
      <c r="I84" s="792">
        <v>0.32</v>
      </c>
      <c r="J84" s="793">
        <v>1</v>
      </c>
      <c r="K84" s="794">
        <v>0.85</v>
      </c>
      <c r="L84" s="795">
        <v>3</v>
      </c>
      <c r="M84" s="795">
        <v>24</v>
      </c>
      <c r="N84" s="796">
        <v>8</v>
      </c>
      <c r="O84" s="795" t="s">
        <v>3878</v>
      </c>
      <c r="P84" s="810" t="s">
        <v>4032</v>
      </c>
      <c r="Q84" s="797">
        <f t="shared" si="3"/>
        <v>1</v>
      </c>
      <c r="R84" s="856">
        <f t="shared" si="3"/>
        <v>0.32</v>
      </c>
      <c r="S84" s="797">
        <f t="shared" si="4"/>
        <v>1</v>
      </c>
      <c r="T84" s="856">
        <f t="shared" si="5"/>
        <v>0.32</v>
      </c>
      <c r="U84" s="862">
        <v>8</v>
      </c>
      <c r="V84" s="806">
        <v>1</v>
      </c>
      <c r="W84" s="806">
        <v>-7</v>
      </c>
      <c r="X84" s="860">
        <v>0.125</v>
      </c>
      <c r="Y84" s="858"/>
    </row>
    <row r="85" spans="1:25" ht="14.45" customHeight="1" x14ac:dyDescent="0.2">
      <c r="A85" s="825" t="s">
        <v>4033</v>
      </c>
      <c r="B85" s="806"/>
      <c r="C85" s="807"/>
      <c r="D85" s="808"/>
      <c r="E85" s="791">
        <v>1</v>
      </c>
      <c r="F85" s="792">
        <v>4.79</v>
      </c>
      <c r="G85" s="793">
        <v>11</v>
      </c>
      <c r="H85" s="795"/>
      <c r="I85" s="789"/>
      <c r="J85" s="790"/>
      <c r="K85" s="794">
        <v>4.79</v>
      </c>
      <c r="L85" s="795">
        <v>5</v>
      </c>
      <c r="M85" s="795">
        <v>42</v>
      </c>
      <c r="N85" s="796">
        <v>14</v>
      </c>
      <c r="O85" s="795" t="s">
        <v>3878</v>
      </c>
      <c r="P85" s="810" t="s">
        <v>4034</v>
      </c>
      <c r="Q85" s="797">
        <f t="shared" si="3"/>
        <v>0</v>
      </c>
      <c r="R85" s="856">
        <f t="shared" si="3"/>
        <v>0</v>
      </c>
      <c r="S85" s="797">
        <f t="shared" si="4"/>
        <v>-1</v>
      </c>
      <c r="T85" s="856">
        <f t="shared" si="5"/>
        <v>-4.79</v>
      </c>
      <c r="U85" s="862" t="s">
        <v>306</v>
      </c>
      <c r="V85" s="806" t="s">
        <v>306</v>
      </c>
      <c r="W85" s="806" t="s">
        <v>306</v>
      </c>
      <c r="X85" s="860" t="s">
        <v>306</v>
      </c>
      <c r="Y85" s="858"/>
    </row>
    <row r="86" spans="1:25" ht="14.45" customHeight="1" x14ac:dyDescent="0.2">
      <c r="A86" s="825" t="s">
        <v>4035</v>
      </c>
      <c r="B86" s="806">
        <v>1</v>
      </c>
      <c r="C86" s="807">
        <v>16.940000000000001</v>
      </c>
      <c r="D86" s="808">
        <v>7</v>
      </c>
      <c r="E86" s="791">
        <v>1</v>
      </c>
      <c r="F86" s="792">
        <v>16.940000000000001</v>
      </c>
      <c r="G86" s="793">
        <v>20</v>
      </c>
      <c r="H86" s="795"/>
      <c r="I86" s="789"/>
      <c r="J86" s="790"/>
      <c r="K86" s="794">
        <v>16.940000000000001</v>
      </c>
      <c r="L86" s="795">
        <v>5</v>
      </c>
      <c r="M86" s="795">
        <v>72</v>
      </c>
      <c r="N86" s="796">
        <v>24</v>
      </c>
      <c r="O86" s="795" t="s">
        <v>3878</v>
      </c>
      <c r="P86" s="810" t="s">
        <v>4036</v>
      </c>
      <c r="Q86" s="797">
        <f t="shared" si="3"/>
        <v>-1</v>
      </c>
      <c r="R86" s="856">
        <f t="shared" si="3"/>
        <v>-16.940000000000001</v>
      </c>
      <c r="S86" s="797">
        <f t="shared" si="4"/>
        <v>-1</v>
      </c>
      <c r="T86" s="856">
        <f t="shared" si="5"/>
        <v>-16.940000000000001</v>
      </c>
      <c r="U86" s="862" t="s">
        <v>306</v>
      </c>
      <c r="V86" s="806" t="s">
        <v>306</v>
      </c>
      <c r="W86" s="806" t="s">
        <v>306</v>
      </c>
      <c r="X86" s="860" t="s">
        <v>306</v>
      </c>
      <c r="Y86" s="858"/>
    </row>
    <row r="87" spans="1:25" ht="14.45" customHeight="1" x14ac:dyDescent="0.2">
      <c r="A87" s="825" t="s">
        <v>4037</v>
      </c>
      <c r="B87" s="806"/>
      <c r="C87" s="807"/>
      <c r="D87" s="808"/>
      <c r="E87" s="791">
        <v>1</v>
      </c>
      <c r="F87" s="792">
        <v>1.62</v>
      </c>
      <c r="G87" s="793">
        <v>4</v>
      </c>
      <c r="H87" s="795"/>
      <c r="I87" s="789"/>
      <c r="J87" s="790"/>
      <c r="K87" s="794">
        <v>1.62</v>
      </c>
      <c r="L87" s="795">
        <v>4</v>
      </c>
      <c r="M87" s="795">
        <v>36</v>
      </c>
      <c r="N87" s="796">
        <v>12</v>
      </c>
      <c r="O87" s="795" t="s">
        <v>3878</v>
      </c>
      <c r="P87" s="810" t="s">
        <v>4038</v>
      </c>
      <c r="Q87" s="797">
        <f t="shared" si="3"/>
        <v>0</v>
      </c>
      <c r="R87" s="856">
        <f t="shared" si="3"/>
        <v>0</v>
      </c>
      <c r="S87" s="797">
        <f t="shared" si="4"/>
        <v>-1</v>
      </c>
      <c r="T87" s="856">
        <f t="shared" si="5"/>
        <v>-1.62</v>
      </c>
      <c r="U87" s="862" t="s">
        <v>306</v>
      </c>
      <c r="V87" s="806" t="s">
        <v>306</v>
      </c>
      <c r="W87" s="806" t="s">
        <v>306</v>
      </c>
      <c r="X87" s="860" t="s">
        <v>306</v>
      </c>
      <c r="Y87" s="858"/>
    </row>
    <row r="88" spans="1:25" ht="14.45" customHeight="1" thickBot="1" x14ac:dyDescent="0.25">
      <c r="A88" s="842" t="s">
        <v>4039</v>
      </c>
      <c r="B88" s="843">
        <v>1</v>
      </c>
      <c r="C88" s="844">
        <v>2.5099999999999998</v>
      </c>
      <c r="D88" s="845">
        <v>3</v>
      </c>
      <c r="E88" s="846"/>
      <c r="F88" s="847"/>
      <c r="G88" s="848"/>
      <c r="H88" s="849"/>
      <c r="I88" s="847"/>
      <c r="J88" s="848"/>
      <c r="K88" s="850">
        <v>4.42</v>
      </c>
      <c r="L88" s="849">
        <v>6</v>
      </c>
      <c r="M88" s="849">
        <v>57</v>
      </c>
      <c r="N88" s="851">
        <v>19</v>
      </c>
      <c r="O88" s="849" t="s">
        <v>3878</v>
      </c>
      <c r="P88" s="852" t="s">
        <v>4040</v>
      </c>
      <c r="Q88" s="853">
        <f t="shared" si="3"/>
        <v>-1</v>
      </c>
      <c r="R88" s="857">
        <f t="shared" si="3"/>
        <v>-2.5099999999999998</v>
      </c>
      <c r="S88" s="853">
        <f t="shared" si="4"/>
        <v>0</v>
      </c>
      <c r="T88" s="857">
        <f t="shared" si="5"/>
        <v>0</v>
      </c>
      <c r="U88" s="867" t="s">
        <v>306</v>
      </c>
      <c r="V88" s="868" t="s">
        <v>306</v>
      </c>
      <c r="W88" s="868" t="s">
        <v>306</v>
      </c>
      <c r="X88" s="869" t="s">
        <v>306</v>
      </c>
      <c r="Y88" s="870"/>
    </row>
  </sheetData>
  <autoFilter ref="A4:Y4" xr:uid="{00000000-0009-0000-0000-00002C000000}"/>
  <mergeCells count="13">
    <mergeCell ref="U3:X3"/>
    <mergeCell ref="A1:Y1"/>
    <mergeCell ref="L3:L4"/>
    <mergeCell ref="M3:M4"/>
    <mergeCell ref="N3:N4"/>
    <mergeCell ref="P3:P4"/>
    <mergeCell ref="Q3:R3"/>
    <mergeCell ref="A3:A4"/>
    <mergeCell ref="B3:D3"/>
    <mergeCell ref="E3:G3"/>
    <mergeCell ref="H3:J3"/>
    <mergeCell ref="K3:K4"/>
    <mergeCell ref="S3:T3"/>
  </mergeCells>
  <conditionalFormatting sqref="Q89:Q1048576">
    <cfRule type="cellIs" dxfId="14" priority="11" stopIfTrue="1" operator="lessThan">
      <formula>0</formula>
    </cfRule>
  </conditionalFormatting>
  <conditionalFormatting sqref="W89:W1048576">
    <cfRule type="cellIs" dxfId="13" priority="10" stopIfTrue="1" operator="greaterThan">
      <formula>0</formula>
    </cfRule>
  </conditionalFormatting>
  <conditionalFormatting sqref="X89:X1048576">
    <cfRule type="cellIs" dxfId="12" priority="9" stopIfTrue="1" operator="greaterThan">
      <formula>1</formula>
    </cfRule>
  </conditionalFormatting>
  <conditionalFormatting sqref="X89:X1048576">
    <cfRule type="cellIs" dxfId="11" priority="6" stopIfTrue="1" operator="greaterThan">
      <formula>1</formula>
    </cfRule>
  </conditionalFormatting>
  <conditionalFormatting sqref="W89:W1048576">
    <cfRule type="cellIs" dxfId="10" priority="7" stopIfTrue="1" operator="greaterThan">
      <formula>0</formula>
    </cfRule>
  </conditionalFormatting>
  <conditionalFormatting sqref="Q89:Q1048576">
    <cfRule type="cellIs" dxfId="9" priority="8" stopIfTrue="1" operator="lessThan">
      <formula>0</formula>
    </cfRule>
  </conditionalFormatting>
  <conditionalFormatting sqref="T5:T1048576">
    <cfRule type="cellIs" dxfId="8" priority="5" operator="lessThan">
      <formula>0</formula>
    </cfRule>
  </conditionalFormatting>
  <conditionalFormatting sqref="Q5:Q88">
    <cfRule type="cellIs" dxfId="7" priority="4" stopIfTrue="1" operator="lessThan">
      <formula>0</formula>
    </cfRule>
  </conditionalFormatting>
  <conditionalFormatting sqref="X5:X88">
    <cfRule type="cellIs" dxfId="6" priority="2" stopIfTrue="1" operator="greaterThan">
      <formula>1</formula>
    </cfRule>
  </conditionalFormatting>
  <conditionalFormatting sqref="W5:W88">
    <cfRule type="cellIs" dxfId="5" priority="3" stopIfTrue="1" operator="greaterThan">
      <formula>0</formula>
    </cfRule>
  </conditionalFormatting>
  <conditionalFormatting sqref="S5:S88">
    <cfRule type="cellIs" dxfId="4" priority="1" stopIfTrue="1" operator="lessThan">
      <formula>0</formula>
    </cfRule>
  </conditionalFormatting>
  <hyperlinks>
    <hyperlink ref="A2" location="Obsah!A1" display="Zpět na Obsah  KL 01  1.-4.měsíc" xr:uid="{8AEE4C75-5F54-48C5-9ACC-8C5C5B6FB35F}"/>
  </hyperlinks>
  <printOptions gridLines="1"/>
  <pageMargins left="0.25" right="0.25" top="0.75" bottom="0.75" header="0.3" footer="0.3"/>
  <pageSetup paperSize="9" scale="68" fitToHeight="0" orientation="landscape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sheetPr codeName="List4">
    <tabColor theme="0" tint="-0.249977111117893"/>
    <outlinePr summaryRight="0"/>
    <pageSetUpPr fitToPage="1"/>
  </sheetPr>
  <dimension ref="A1:M16"/>
  <sheetViews>
    <sheetView showGridLines="0" showRowColHeaders="0" workbookViewId="0">
      <pane ySplit="5" topLeftCell="A6" activePane="bottomLeft" state="frozen"/>
      <selection sqref="A1:N1"/>
      <selection pane="bottomLeft" sqref="A1:M1"/>
    </sheetView>
  </sheetViews>
  <sheetFormatPr defaultColWidth="8.85546875" defaultRowHeight="14.45" customHeight="1" outlineLevelCol="1" x14ac:dyDescent="0.2"/>
  <cols>
    <col min="1" max="1" width="43.28515625" style="233" customWidth="1" collapsed="1"/>
    <col min="2" max="2" width="7.7109375" style="201" hidden="1" customWidth="1" outlineLevel="1"/>
    <col min="3" max="3" width="7.28515625" style="233" hidden="1" customWidth="1"/>
    <col min="4" max="4" width="7.7109375" style="201" customWidth="1"/>
    <col min="5" max="5" width="7.28515625" style="233" hidden="1" customWidth="1"/>
    <col min="6" max="6" width="7.7109375" style="201" customWidth="1"/>
    <col min="7" max="7" width="7.7109375" style="315" customWidth="1" collapsed="1"/>
    <col min="8" max="8" width="7.7109375" style="201" hidden="1" customWidth="1" outlineLevel="1"/>
    <col min="9" max="9" width="7.28515625" style="233" hidden="1" customWidth="1"/>
    <col min="10" max="10" width="7.7109375" style="201" customWidth="1"/>
    <col min="11" max="11" width="7.28515625" style="233" hidden="1" customWidth="1"/>
    <col min="12" max="12" width="7.7109375" style="201" customWidth="1"/>
    <col min="13" max="13" width="7.7109375" style="315" customWidth="1"/>
    <col min="14" max="16384" width="8.85546875" style="233"/>
  </cols>
  <sheetData>
    <row r="1" spans="1:13" ht="18.600000000000001" customHeight="1" thickBot="1" x14ac:dyDescent="0.35">
      <c r="A1" s="508" t="s">
        <v>142</v>
      </c>
      <c r="B1" s="496"/>
      <c r="C1" s="496"/>
      <c r="D1" s="496"/>
      <c r="E1" s="496"/>
      <c r="F1" s="496"/>
      <c r="G1" s="496"/>
      <c r="H1" s="496"/>
      <c r="I1" s="496"/>
      <c r="J1" s="496"/>
      <c r="K1" s="496"/>
      <c r="L1" s="496"/>
      <c r="M1" s="496"/>
    </row>
    <row r="2" spans="1:13" ht="14.45" customHeight="1" thickBot="1" x14ac:dyDescent="0.25">
      <c r="A2" s="350" t="s">
        <v>305</v>
      </c>
      <c r="B2" s="327"/>
      <c r="C2" s="206"/>
      <c r="D2" s="327"/>
      <c r="E2" s="206"/>
      <c r="F2" s="327"/>
      <c r="G2" s="328"/>
      <c r="H2" s="327"/>
      <c r="I2" s="206"/>
      <c r="J2" s="327"/>
      <c r="K2" s="206"/>
      <c r="L2" s="327"/>
      <c r="M2" s="328"/>
    </row>
    <row r="3" spans="1:13" ht="14.45" customHeight="1" thickBot="1" x14ac:dyDescent="0.25">
      <c r="A3" s="321" t="s">
        <v>143</v>
      </c>
      <c r="B3" s="322">
        <f>SUBTOTAL(9,B6:B1048576)</f>
        <v>8815886</v>
      </c>
      <c r="C3" s="323">
        <f t="shared" ref="C3:L3" si="0">SUBTOTAL(9,C6:C1048576)</f>
        <v>0</v>
      </c>
      <c r="D3" s="323">
        <f t="shared" si="0"/>
        <v>9966961.5600000005</v>
      </c>
      <c r="E3" s="323">
        <f t="shared" si="0"/>
        <v>0</v>
      </c>
      <c r="F3" s="323">
        <f t="shared" si="0"/>
        <v>13135459</v>
      </c>
      <c r="G3" s="326">
        <f>IF(D3&lt;&gt;0,F3/D3,"")</f>
        <v>1.3179000361269577</v>
      </c>
      <c r="H3" s="322">
        <f t="shared" si="0"/>
        <v>2116400.5099999993</v>
      </c>
      <c r="I3" s="323">
        <f t="shared" si="0"/>
        <v>0</v>
      </c>
      <c r="J3" s="323">
        <f t="shared" si="0"/>
        <v>1266003.01</v>
      </c>
      <c r="K3" s="323">
        <f t="shared" si="0"/>
        <v>0</v>
      </c>
      <c r="L3" s="323">
        <f t="shared" si="0"/>
        <v>2288597.1600000006</v>
      </c>
      <c r="M3" s="324">
        <f>IF(J3&lt;&gt;0,L3/J3,"")</f>
        <v>1.8077343749759336</v>
      </c>
    </row>
    <row r="4" spans="1:13" ht="14.45" customHeight="1" x14ac:dyDescent="0.2">
      <c r="A4" s="661" t="s">
        <v>104</v>
      </c>
      <c r="B4" s="593" t="s">
        <v>109</v>
      </c>
      <c r="C4" s="594"/>
      <c r="D4" s="594"/>
      <c r="E4" s="594"/>
      <c r="F4" s="594"/>
      <c r="G4" s="596"/>
      <c r="H4" s="593" t="s">
        <v>110</v>
      </c>
      <c r="I4" s="594"/>
      <c r="J4" s="594"/>
      <c r="K4" s="594"/>
      <c r="L4" s="594"/>
      <c r="M4" s="596"/>
    </row>
    <row r="5" spans="1:13" s="313" customFormat="1" ht="14.45" customHeight="1" thickBot="1" x14ac:dyDescent="0.25">
      <c r="A5" s="871"/>
      <c r="B5" s="872">
        <v>2019</v>
      </c>
      <c r="C5" s="873"/>
      <c r="D5" s="873">
        <v>2020</v>
      </c>
      <c r="E5" s="873"/>
      <c r="F5" s="873">
        <v>2021</v>
      </c>
      <c r="G5" s="783" t="s">
        <v>2</v>
      </c>
      <c r="H5" s="872">
        <v>2019</v>
      </c>
      <c r="I5" s="873"/>
      <c r="J5" s="873">
        <v>2020</v>
      </c>
      <c r="K5" s="873"/>
      <c r="L5" s="873">
        <v>2021</v>
      </c>
      <c r="M5" s="783" t="s">
        <v>2</v>
      </c>
    </row>
    <row r="6" spans="1:13" ht="14.45" customHeight="1" x14ac:dyDescent="0.2">
      <c r="A6" s="730" t="s">
        <v>4042</v>
      </c>
      <c r="B6" s="874">
        <v>1979</v>
      </c>
      <c r="C6" s="690"/>
      <c r="D6" s="874">
        <v>3619</v>
      </c>
      <c r="E6" s="690"/>
      <c r="F6" s="874">
        <v>2880</v>
      </c>
      <c r="G6" s="715"/>
      <c r="H6" s="874">
        <v>163.95</v>
      </c>
      <c r="I6" s="690"/>
      <c r="J6" s="874">
        <v>163.95</v>
      </c>
      <c r="K6" s="690"/>
      <c r="L6" s="874"/>
      <c r="M6" s="742"/>
    </row>
    <row r="7" spans="1:13" ht="14.45" customHeight="1" x14ac:dyDescent="0.2">
      <c r="A7" s="731" t="s">
        <v>4043</v>
      </c>
      <c r="B7" s="875">
        <v>19879</v>
      </c>
      <c r="C7" s="697"/>
      <c r="D7" s="875">
        <v>3543</v>
      </c>
      <c r="E7" s="697"/>
      <c r="F7" s="875">
        <v>27488</v>
      </c>
      <c r="G7" s="726"/>
      <c r="H7" s="875">
        <v>7657.1299999999992</v>
      </c>
      <c r="I7" s="697"/>
      <c r="J7" s="875">
        <v>1071.2</v>
      </c>
      <c r="K7" s="697"/>
      <c r="L7" s="875">
        <v>9115.83</v>
      </c>
      <c r="M7" s="876"/>
    </row>
    <row r="8" spans="1:13" ht="14.45" customHeight="1" x14ac:dyDescent="0.2">
      <c r="A8" s="731" t="s">
        <v>4044</v>
      </c>
      <c r="B8" s="875">
        <v>545445</v>
      </c>
      <c r="C8" s="697"/>
      <c r="D8" s="875">
        <v>620346</v>
      </c>
      <c r="E8" s="697"/>
      <c r="F8" s="875">
        <v>794335</v>
      </c>
      <c r="G8" s="726"/>
      <c r="H8" s="875"/>
      <c r="I8" s="697"/>
      <c r="J8" s="875"/>
      <c r="K8" s="697"/>
      <c r="L8" s="875"/>
      <c r="M8" s="876"/>
    </row>
    <row r="9" spans="1:13" ht="14.45" customHeight="1" x14ac:dyDescent="0.2">
      <c r="A9" s="731" t="s">
        <v>4045</v>
      </c>
      <c r="B9" s="875">
        <v>2866586</v>
      </c>
      <c r="C9" s="697"/>
      <c r="D9" s="875">
        <v>3465103</v>
      </c>
      <c r="E9" s="697"/>
      <c r="F9" s="875">
        <v>4153924</v>
      </c>
      <c r="G9" s="726"/>
      <c r="H9" s="875"/>
      <c r="I9" s="697"/>
      <c r="J9" s="875"/>
      <c r="K9" s="697"/>
      <c r="L9" s="875"/>
      <c r="M9" s="876"/>
    </row>
    <row r="10" spans="1:13" ht="14.45" customHeight="1" x14ac:dyDescent="0.2">
      <c r="A10" s="731" t="s">
        <v>4046</v>
      </c>
      <c r="B10" s="875">
        <v>2463385</v>
      </c>
      <c r="C10" s="697"/>
      <c r="D10" s="875">
        <v>2340639</v>
      </c>
      <c r="E10" s="697"/>
      <c r="F10" s="875">
        <v>3168891</v>
      </c>
      <c r="G10" s="726"/>
      <c r="H10" s="875">
        <v>2108579.4299999992</v>
      </c>
      <c r="I10" s="697"/>
      <c r="J10" s="875">
        <v>1264767.8600000001</v>
      </c>
      <c r="K10" s="697"/>
      <c r="L10" s="875">
        <v>2279481.3300000005</v>
      </c>
      <c r="M10" s="876"/>
    </row>
    <row r="11" spans="1:13" ht="14.45" customHeight="1" x14ac:dyDescent="0.2">
      <c r="A11" s="731" t="s">
        <v>4047</v>
      </c>
      <c r="B11" s="875">
        <v>895211</v>
      </c>
      <c r="C11" s="697"/>
      <c r="D11" s="875">
        <v>1007055</v>
      </c>
      <c r="E11" s="697"/>
      <c r="F11" s="875">
        <v>1313649</v>
      </c>
      <c r="G11" s="726"/>
      <c r="H11" s="875"/>
      <c r="I11" s="697"/>
      <c r="J11" s="875"/>
      <c r="K11" s="697"/>
      <c r="L11" s="875"/>
      <c r="M11" s="876"/>
    </row>
    <row r="12" spans="1:13" ht="14.45" customHeight="1" x14ac:dyDescent="0.2">
      <c r="A12" s="731" t="s">
        <v>4048</v>
      </c>
      <c r="B12" s="875">
        <v>803968</v>
      </c>
      <c r="C12" s="697"/>
      <c r="D12" s="875">
        <v>828942</v>
      </c>
      <c r="E12" s="697"/>
      <c r="F12" s="875">
        <v>1489810</v>
      </c>
      <c r="G12" s="726"/>
      <c r="H12" s="875"/>
      <c r="I12" s="697"/>
      <c r="J12" s="875"/>
      <c r="K12" s="697"/>
      <c r="L12" s="875"/>
      <c r="M12" s="876"/>
    </row>
    <row r="13" spans="1:13" ht="14.45" customHeight="1" x14ac:dyDescent="0.2">
      <c r="A13" s="731" t="s">
        <v>4049</v>
      </c>
      <c r="B13" s="875">
        <v>1185431</v>
      </c>
      <c r="C13" s="697"/>
      <c r="D13" s="875">
        <v>1614659</v>
      </c>
      <c r="E13" s="697"/>
      <c r="F13" s="875">
        <v>2059644</v>
      </c>
      <c r="G13" s="726"/>
      <c r="H13" s="875"/>
      <c r="I13" s="697"/>
      <c r="J13" s="875"/>
      <c r="K13" s="697"/>
      <c r="L13" s="875"/>
      <c r="M13" s="876"/>
    </row>
    <row r="14" spans="1:13" ht="14.45" customHeight="1" x14ac:dyDescent="0.2">
      <c r="A14" s="731" t="s">
        <v>4050</v>
      </c>
      <c r="B14" s="875">
        <v>34002</v>
      </c>
      <c r="C14" s="697"/>
      <c r="D14" s="875">
        <v>51118</v>
      </c>
      <c r="E14" s="697"/>
      <c r="F14" s="875">
        <v>80350</v>
      </c>
      <c r="G14" s="726"/>
      <c r="H14" s="875"/>
      <c r="I14" s="697"/>
      <c r="J14" s="875"/>
      <c r="K14" s="697"/>
      <c r="L14" s="875"/>
      <c r="M14" s="876"/>
    </row>
    <row r="15" spans="1:13" ht="14.45" customHeight="1" x14ac:dyDescent="0.2">
      <c r="A15" s="731" t="s">
        <v>4051</v>
      </c>
      <c r="B15" s="875"/>
      <c r="C15" s="697"/>
      <c r="D15" s="875">
        <v>31669.56</v>
      </c>
      <c r="E15" s="697"/>
      <c r="F15" s="875">
        <v>44488</v>
      </c>
      <c r="G15" s="726"/>
      <c r="H15" s="875"/>
      <c r="I15" s="697"/>
      <c r="J15" s="875"/>
      <c r="K15" s="697"/>
      <c r="L15" s="875"/>
      <c r="M15" s="876"/>
    </row>
    <row r="16" spans="1:13" ht="14.45" customHeight="1" thickBot="1" x14ac:dyDescent="0.25">
      <c r="A16" s="878" t="s">
        <v>2007</v>
      </c>
      <c r="B16" s="877"/>
      <c r="C16" s="704"/>
      <c r="D16" s="877">
        <v>268</v>
      </c>
      <c r="E16" s="704"/>
      <c r="F16" s="877"/>
      <c r="G16" s="716"/>
      <c r="H16" s="877"/>
      <c r="I16" s="704"/>
      <c r="J16" s="877"/>
      <c r="K16" s="704"/>
      <c r="L16" s="877"/>
      <c r="M16" s="743"/>
    </row>
  </sheetData>
  <mergeCells count="4">
    <mergeCell ref="A4:A5"/>
    <mergeCell ref="B4:G4"/>
    <mergeCell ref="H4:M4"/>
    <mergeCell ref="A1:M1"/>
  </mergeCells>
  <conditionalFormatting sqref="F6:F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{B0D7810C-1ECB-49F3-AEA4-0F83D5AE3D8E}</x14:id>
        </ext>
      </extLst>
    </cfRule>
  </conditionalFormatting>
  <conditionalFormatting sqref="L6:L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{62A185C8-0356-41DC-9157-C12418624882}</x14:id>
        </ext>
      </extLst>
    </cfRule>
  </conditionalFormatting>
  <hyperlinks>
    <hyperlink ref="A2" location="Obsah!A1" display="Zpět na Obsah  KL 01  1.-4.měsíc" xr:uid="{6DAF5F76-3334-425D-A551-3582FF6DEFD5}"/>
  </hyperlinks>
  <pageMargins left="0.25" right="0.25" top="0.75" bottom="0.75" header="0.3" footer="0.3"/>
  <pageSetup paperSize="9" scale="80" fitToHeight="0" orientation="portrait" r:id="rId1"/>
  <ignoredErrors>
    <ignoredError sqref="B3 D3 F3 H3 J3 L3" formulaRange="1"/>
    <ignoredError sqref="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0D7810C-1ECB-49F3-AEA4-0F83D5AE3D8E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62A185C8-0356-41DC-9157-C1241862488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</x14:conditionalFormatting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sheetPr codeName="List1">
    <tabColor theme="0" tint="-0.249977111117893"/>
    <outlinePr summaryRight="0"/>
    <pageSetUpPr fitToPage="1"/>
  </sheetPr>
  <dimension ref="A1:Q487"/>
  <sheetViews>
    <sheetView showGridLines="0" showRowColHeaders="0" workbookViewId="0">
      <pane ySplit="5" topLeftCell="A6" activePane="bottomLeft" state="frozen"/>
      <selection sqref="A1:N1"/>
      <selection pane="bottomLeft" sqref="A1:Q1"/>
    </sheetView>
  </sheetViews>
  <sheetFormatPr defaultColWidth="8.85546875" defaultRowHeight="14.45" customHeight="1" outlineLevelCol="1" x14ac:dyDescent="0.2"/>
  <cols>
    <col min="1" max="1" width="3" style="233" bestFit="1" customWidth="1"/>
    <col min="2" max="2" width="8.7109375" style="233" bestFit="1" customWidth="1"/>
    <col min="3" max="3" width="2.140625" style="233" bestFit="1" customWidth="1"/>
    <col min="4" max="4" width="8" style="233" bestFit="1" customWidth="1"/>
    <col min="5" max="5" width="52.85546875" style="233" bestFit="1" customWidth="1" collapsed="1"/>
    <col min="6" max="7" width="11.140625" style="312" hidden="1" customWidth="1" outlineLevel="1"/>
    <col min="8" max="9" width="9.28515625" style="312" hidden="1" customWidth="1"/>
    <col min="10" max="11" width="11.140625" style="312" customWidth="1"/>
    <col min="12" max="13" width="9.28515625" style="312" hidden="1" customWidth="1"/>
    <col min="14" max="15" width="11.140625" style="312" customWidth="1"/>
    <col min="16" max="16" width="11.140625" style="315" customWidth="1"/>
    <col min="17" max="17" width="11.140625" style="312" customWidth="1"/>
    <col min="18" max="16384" width="8.85546875" style="233"/>
  </cols>
  <sheetData>
    <row r="1" spans="1:17" ht="18.600000000000001" customHeight="1" thickBot="1" x14ac:dyDescent="0.35">
      <c r="A1" s="508" t="s">
        <v>4977</v>
      </c>
      <c r="B1" s="496"/>
      <c r="C1" s="496"/>
      <c r="D1" s="496"/>
      <c r="E1" s="496"/>
      <c r="F1" s="496"/>
      <c r="G1" s="496"/>
      <c r="H1" s="496"/>
      <c r="I1" s="496"/>
      <c r="J1" s="496"/>
      <c r="K1" s="496"/>
      <c r="L1" s="496"/>
      <c r="M1" s="496"/>
      <c r="N1" s="496"/>
      <c r="O1" s="496"/>
      <c r="P1" s="496"/>
      <c r="Q1" s="496"/>
    </row>
    <row r="2" spans="1:17" ht="14.45" customHeight="1" thickBot="1" x14ac:dyDescent="0.25">
      <c r="A2" s="350" t="s">
        <v>305</v>
      </c>
      <c r="B2" s="206"/>
      <c r="C2" s="206"/>
      <c r="D2" s="206"/>
      <c r="E2" s="206"/>
      <c r="F2" s="331"/>
      <c r="G2" s="331"/>
      <c r="H2" s="331"/>
      <c r="I2" s="331"/>
      <c r="J2" s="331"/>
      <c r="K2" s="331"/>
      <c r="L2" s="331"/>
      <c r="M2" s="331"/>
      <c r="N2" s="331"/>
      <c r="O2" s="331"/>
      <c r="P2" s="328"/>
      <c r="Q2" s="331"/>
    </row>
    <row r="3" spans="1:17" ht="14.45" customHeight="1" thickBot="1" x14ac:dyDescent="0.25">
      <c r="E3" s="98" t="s">
        <v>143</v>
      </c>
      <c r="F3" s="193">
        <f t="shared" ref="F3:O3" si="0">SUBTOTAL(9,F6:F1048576)</f>
        <v>66414.959999999992</v>
      </c>
      <c r="G3" s="197">
        <f t="shared" si="0"/>
        <v>10932286.509999998</v>
      </c>
      <c r="H3" s="198"/>
      <c r="I3" s="198"/>
      <c r="J3" s="193">
        <f t="shared" si="0"/>
        <v>74710.240000000005</v>
      </c>
      <c r="K3" s="197">
        <f t="shared" si="0"/>
        <v>11232964.569999998</v>
      </c>
      <c r="L3" s="198"/>
      <c r="M3" s="198"/>
      <c r="N3" s="193">
        <f t="shared" si="0"/>
        <v>91157.399999999965</v>
      </c>
      <c r="O3" s="197">
        <f t="shared" si="0"/>
        <v>15424056.160000006</v>
      </c>
      <c r="P3" s="163">
        <f>IF(K3=0,"",O3/K3)</f>
        <v>1.3731064550130605</v>
      </c>
      <c r="Q3" s="195">
        <f>IF(N3=0,"",O3/N3)</f>
        <v>169.20245816576616</v>
      </c>
    </row>
    <row r="4" spans="1:17" ht="14.45" customHeight="1" x14ac:dyDescent="0.2">
      <c r="A4" s="601" t="s">
        <v>60</v>
      </c>
      <c r="B4" s="599" t="s">
        <v>105</v>
      </c>
      <c r="C4" s="601" t="s">
        <v>106</v>
      </c>
      <c r="D4" s="610" t="s">
        <v>76</v>
      </c>
      <c r="E4" s="602" t="s">
        <v>11</v>
      </c>
      <c r="F4" s="608">
        <v>2019</v>
      </c>
      <c r="G4" s="609"/>
      <c r="H4" s="196"/>
      <c r="I4" s="196"/>
      <c r="J4" s="608">
        <v>2020</v>
      </c>
      <c r="K4" s="609"/>
      <c r="L4" s="196"/>
      <c r="M4" s="196"/>
      <c r="N4" s="608">
        <v>2021</v>
      </c>
      <c r="O4" s="609"/>
      <c r="P4" s="611" t="s">
        <v>2</v>
      </c>
      <c r="Q4" s="600" t="s">
        <v>108</v>
      </c>
    </row>
    <row r="5" spans="1:17" ht="14.45" customHeight="1" thickBot="1" x14ac:dyDescent="0.25">
      <c r="A5" s="773"/>
      <c r="B5" s="771"/>
      <c r="C5" s="773"/>
      <c r="D5" s="784"/>
      <c r="E5" s="775"/>
      <c r="F5" s="785" t="s">
        <v>77</v>
      </c>
      <c r="G5" s="786" t="s">
        <v>14</v>
      </c>
      <c r="H5" s="787"/>
      <c r="I5" s="787"/>
      <c r="J5" s="785" t="s">
        <v>77</v>
      </c>
      <c r="K5" s="786" t="s">
        <v>14</v>
      </c>
      <c r="L5" s="787"/>
      <c r="M5" s="787"/>
      <c r="N5" s="785" t="s">
        <v>77</v>
      </c>
      <c r="O5" s="786" t="s">
        <v>14</v>
      </c>
      <c r="P5" s="788"/>
      <c r="Q5" s="780"/>
    </row>
    <row r="6" spans="1:17" ht="14.45" customHeight="1" x14ac:dyDescent="0.2">
      <c r="A6" s="689" t="s">
        <v>4052</v>
      </c>
      <c r="B6" s="690" t="s">
        <v>4053</v>
      </c>
      <c r="C6" s="690" t="s">
        <v>2899</v>
      </c>
      <c r="D6" s="690" t="s">
        <v>4054</v>
      </c>
      <c r="E6" s="690" t="s">
        <v>4055</v>
      </c>
      <c r="F6" s="694"/>
      <c r="G6" s="694"/>
      <c r="H6" s="694"/>
      <c r="I6" s="694"/>
      <c r="J6" s="694"/>
      <c r="K6" s="694"/>
      <c r="L6" s="694"/>
      <c r="M6" s="694"/>
      <c r="N6" s="694">
        <v>0</v>
      </c>
      <c r="O6" s="694">
        <v>0</v>
      </c>
      <c r="P6" s="715"/>
      <c r="Q6" s="695"/>
    </row>
    <row r="7" spans="1:17" ht="14.45" customHeight="1" x14ac:dyDescent="0.2">
      <c r="A7" s="696" t="s">
        <v>4052</v>
      </c>
      <c r="B7" s="697" t="s">
        <v>4053</v>
      </c>
      <c r="C7" s="697" t="s">
        <v>2899</v>
      </c>
      <c r="D7" s="697" t="s">
        <v>3743</v>
      </c>
      <c r="E7" s="697" t="s">
        <v>3744</v>
      </c>
      <c r="F7" s="701"/>
      <c r="G7" s="701"/>
      <c r="H7" s="701"/>
      <c r="I7" s="701"/>
      <c r="J7" s="701"/>
      <c r="K7" s="701"/>
      <c r="L7" s="701"/>
      <c r="M7" s="701"/>
      <c r="N7" s="701">
        <v>0</v>
      </c>
      <c r="O7" s="701">
        <v>0</v>
      </c>
      <c r="P7" s="726"/>
      <c r="Q7" s="702"/>
    </row>
    <row r="8" spans="1:17" ht="14.45" customHeight="1" x14ac:dyDescent="0.2">
      <c r="A8" s="696" t="s">
        <v>4052</v>
      </c>
      <c r="B8" s="697" t="s">
        <v>4056</v>
      </c>
      <c r="C8" s="697" t="s">
        <v>3196</v>
      </c>
      <c r="D8" s="697" t="s">
        <v>3278</v>
      </c>
      <c r="E8" s="697" t="s">
        <v>3279</v>
      </c>
      <c r="F8" s="701">
        <v>0.1</v>
      </c>
      <c r="G8" s="701">
        <v>163.95</v>
      </c>
      <c r="H8" s="701"/>
      <c r="I8" s="701">
        <v>1639.4999999999998</v>
      </c>
      <c r="J8" s="701">
        <v>0.1</v>
      </c>
      <c r="K8" s="701">
        <v>163.95</v>
      </c>
      <c r="L8" s="701"/>
      <c r="M8" s="701">
        <v>1639.4999999999998</v>
      </c>
      <c r="N8" s="701"/>
      <c r="O8" s="701"/>
      <c r="P8" s="726"/>
      <c r="Q8" s="702"/>
    </row>
    <row r="9" spans="1:17" ht="14.45" customHeight="1" x14ac:dyDescent="0.2">
      <c r="A9" s="696" t="s">
        <v>4052</v>
      </c>
      <c r="B9" s="697" t="s">
        <v>4056</v>
      </c>
      <c r="C9" s="697" t="s">
        <v>2899</v>
      </c>
      <c r="D9" s="697" t="s">
        <v>4054</v>
      </c>
      <c r="E9" s="697" t="s">
        <v>4055</v>
      </c>
      <c r="F9" s="701">
        <v>1</v>
      </c>
      <c r="G9" s="701">
        <v>1141</v>
      </c>
      <c r="H9" s="701"/>
      <c r="I9" s="701">
        <v>1141</v>
      </c>
      <c r="J9" s="701">
        <v>2</v>
      </c>
      <c r="K9" s="701">
        <v>2288</v>
      </c>
      <c r="L9" s="701"/>
      <c r="M9" s="701">
        <v>1144</v>
      </c>
      <c r="N9" s="701">
        <v>2</v>
      </c>
      <c r="O9" s="701">
        <v>2328</v>
      </c>
      <c r="P9" s="726"/>
      <c r="Q9" s="702">
        <v>1164</v>
      </c>
    </row>
    <row r="10" spans="1:17" ht="14.45" customHeight="1" x14ac:dyDescent="0.2">
      <c r="A10" s="696" t="s">
        <v>4052</v>
      </c>
      <c r="B10" s="697" t="s">
        <v>4056</v>
      </c>
      <c r="C10" s="697" t="s">
        <v>2899</v>
      </c>
      <c r="D10" s="697" t="s">
        <v>3743</v>
      </c>
      <c r="E10" s="697" t="s">
        <v>3744</v>
      </c>
      <c r="F10" s="701">
        <v>1</v>
      </c>
      <c r="G10" s="701">
        <v>267</v>
      </c>
      <c r="H10" s="701"/>
      <c r="I10" s="701">
        <v>267</v>
      </c>
      <c r="J10" s="701">
        <v>1</v>
      </c>
      <c r="K10" s="701">
        <v>268</v>
      </c>
      <c r="L10" s="701"/>
      <c r="M10" s="701">
        <v>268</v>
      </c>
      <c r="N10" s="701">
        <v>2</v>
      </c>
      <c r="O10" s="701">
        <v>552</v>
      </c>
      <c r="P10" s="726"/>
      <c r="Q10" s="702">
        <v>276</v>
      </c>
    </row>
    <row r="11" spans="1:17" ht="14.45" customHeight="1" x14ac:dyDescent="0.2">
      <c r="A11" s="696" t="s">
        <v>4052</v>
      </c>
      <c r="B11" s="697" t="s">
        <v>4056</v>
      </c>
      <c r="C11" s="697" t="s">
        <v>2899</v>
      </c>
      <c r="D11" s="697" t="s">
        <v>4057</v>
      </c>
      <c r="E11" s="697" t="s">
        <v>4058</v>
      </c>
      <c r="F11" s="701">
        <v>1</v>
      </c>
      <c r="G11" s="701">
        <v>571</v>
      </c>
      <c r="H11" s="701"/>
      <c r="I11" s="701">
        <v>571</v>
      </c>
      <c r="J11" s="701">
        <v>1</v>
      </c>
      <c r="K11" s="701">
        <v>573</v>
      </c>
      <c r="L11" s="701"/>
      <c r="M11" s="701">
        <v>573</v>
      </c>
      <c r="N11" s="701"/>
      <c r="O11" s="701"/>
      <c r="P11" s="726"/>
      <c r="Q11" s="702"/>
    </row>
    <row r="12" spans="1:17" ht="14.45" customHeight="1" x14ac:dyDescent="0.2">
      <c r="A12" s="696" t="s">
        <v>4052</v>
      </c>
      <c r="B12" s="697" t="s">
        <v>4056</v>
      </c>
      <c r="C12" s="697" t="s">
        <v>2899</v>
      </c>
      <c r="D12" s="697" t="s">
        <v>4059</v>
      </c>
      <c r="E12" s="697" t="s">
        <v>4060</v>
      </c>
      <c r="F12" s="701"/>
      <c r="G12" s="701"/>
      <c r="H12" s="701"/>
      <c r="I12" s="701"/>
      <c r="J12" s="701">
        <v>1</v>
      </c>
      <c r="K12" s="701">
        <v>490</v>
      </c>
      <c r="L12" s="701"/>
      <c r="M12" s="701">
        <v>490</v>
      </c>
      <c r="N12" s="701"/>
      <c r="O12" s="701"/>
      <c r="P12" s="726"/>
      <c r="Q12" s="702"/>
    </row>
    <row r="13" spans="1:17" ht="14.45" customHeight="1" x14ac:dyDescent="0.2">
      <c r="A13" s="696" t="s">
        <v>4061</v>
      </c>
      <c r="B13" s="697" t="s">
        <v>4062</v>
      </c>
      <c r="C13" s="697" t="s">
        <v>3313</v>
      </c>
      <c r="D13" s="697" t="s">
        <v>4063</v>
      </c>
      <c r="E13" s="697" t="s">
        <v>4064</v>
      </c>
      <c r="F13" s="701">
        <v>194</v>
      </c>
      <c r="G13" s="701">
        <v>6619.28</v>
      </c>
      <c r="H13" s="701"/>
      <c r="I13" s="701">
        <v>34.119999999999997</v>
      </c>
      <c r="J13" s="701"/>
      <c r="K13" s="701"/>
      <c r="L13" s="701"/>
      <c r="M13" s="701"/>
      <c r="N13" s="701">
        <v>171</v>
      </c>
      <c r="O13" s="701">
        <v>5887.53</v>
      </c>
      <c r="P13" s="726"/>
      <c r="Q13" s="702">
        <v>34.43</v>
      </c>
    </row>
    <row r="14" spans="1:17" ht="14.45" customHeight="1" x14ac:dyDescent="0.2">
      <c r="A14" s="696" t="s">
        <v>4061</v>
      </c>
      <c r="B14" s="697" t="s">
        <v>4062</v>
      </c>
      <c r="C14" s="697" t="s">
        <v>3313</v>
      </c>
      <c r="D14" s="697" t="s">
        <v>4065</v>
      </c>
      <c r="E14" s="697" t="s">
        <v>4066</v>
      </c>
      <c r="F14" s="701">
        <v>51</v>
      </c>
      <c r="G14" s="701">
        <v>1037.8499999999999</v>
      </c>
      <c r="H14" s="701"/>
      <c r="I14" s="701">
        <v>20.349999999999998</v>
      </c>
      <c r="J14" s="701">
        <v>52</v>
      </c>
      <c r="K14" s="701">
        <v>1071.2</v>
      </c>
      <c r="L14" s="701"/>
      <c r="M14" s="701">
        <v>20.6</v>
      </c>
      <c r="N14" s="701">
        <v>153</v>
      </c>
      <c r="O14" s="701">
        <v>3228.2999999999997</v>
      </c>
      <c r="P14" s="726"/>
      <c r="Q14" s="702">
        <v>21.099999999999998</v>
      </c>
    </row>
    <row r="15" spans="1:17" ht="14.45" customHeight="1" x14ac:dyDescent="0.2">
      <c r="A15" s="696" t="s">
        <v>4061</v>
      </c>
      <c r="B15" s="697" t="s">
        <v>4062</v>
      </c>
      <c r="C15" s="697" t="s">
        <v>2899</v>
      </c>
      <c r="D15" s="697" t="s">
        <v>4067</v>
      </c>
      <c r="E15" s="697" t="s">
        <v>4068</v>
      </c>
      <c r="F15" s="701">
        <v>1</v>
      </c>
      <c r="G15" s="701">
        <v>1831</v>
      </c>
      <c r="H15" s="701"/>
      <c r="I15" s="701">
        <v>1831</v>
      </c>
      <c r="J15" s="701"/>
      <c r="K15" s="701"/>
      <c r="L15" s="701"/>
      <c r="M15" s="701"/>
      <c r="N15" s="701">
        <v>1</v>
      </c>
      <c r="O15" s="701">
        <v>1909</v>
      </c>
      <c r="P15" s="726"/>
      <c r="Q15" s="702">
        <v>1909</v>
      </c>
    </row>
    <row r="16" spans="1:17" ht="14.45" customHeight="1" x14ac:dyDescent="0.2">
      <c r="A16" s="696" t="s">
        <v>4061</v>
      </c>
      <c r="B16" s="697" t="s">
        <v>4062</v>
      </c>
      <c r="C16" s="697" t="s">
        <v>2899</v>
      </c>
      <c r="D16" s="697" t="s">
        <v>4069</v>
      </c>
      <c r="E16" s="697" t="s">
        <v>4070</v>
      </c>
      <c r="F16" s="701">
        <v>1</v>
      </c>
      <c r="G16" s="701">
        <v>3533</v>
      </c>
      <c r="H16" s="701"/>
      <c r="I16" s="701">
        <v>3533</v>
      </c>
      <c r="J16" s="701">
        <v>1</v>
      </c>
      <c r="K16" s="701">
        <v>3543</v>
      </c>
      <c r="L16" s="701"/>
      <c r="M16" s="701">
        <v>3543</v>
      </c>
      <c r="N16" s="701">
        <v>3</v>
      </c>
      <c r="O16" s="701">
        <v>10869</v>
      </c>
      <c r="P16" s="726"/>
      <c r="Q16" s="702">
        <v>3623</v>
      </c>
    </row>
    <row r="17" spans="1:17" ht="14.45" customHeight="1" x14ac:dyDescent="0.2">
      <c r="A17" s="696" t="s">
        <v>4061</v>
      </c>
      <c r="B17" s="697" t="s">
        <v>4062</v>
      </c>
      <c r="C17" s="697" t="s">
        <v>2899</v>
      </c>
      <c r="D17" s="697" t="s">
        <v>4071</v>
      </c>
      <c r="E17" s="697" t="s">
        <v>4072</v>
      </c>
      <c r="F17" s="701">
        <v>1</v>
      </c>
      <c r="G17" s="701">
        <v>14515</v>
      </c>
      <c r="H17" s="701"/>
      <c r="I17" s="701">
        <v>14515</v>
      </c>
      <c r="J17" s="701"/>
      <c r="K17" s="701"/>
      <c r="L17" s="701"/>
      <c r="M17" s="701"/>
      <c r="N17" s="701">
        <v>1</v>
      </c>
      <c r="O17" s="701">
        <v>14710</v>
      </c>
      <c r="P17" s="726"/>
      <c r="Q17" s="702">
        <v>14710</v>
      </c>
    </row>
    <row r="18" spans="1:17" ht="14.45" customHeight="1" x14ac:dyDescent="0.2">
      <c r="A18" s="696" t="s">
        <v>4073</v>
      </c>
      <c r="B18" s="697" t="s">
        <v>4074</v>
      </c>
      <c r="C18" s="697" t="s">
        <v>2899</v>
      </c>
      <c r="D18" s="697" t="s">
        <v>4075</v>
      </c>
      <c r="E18" s="697" t="s">
        <v>4076</v>
      </c>
      <c r="F18" s="701">
        <v>159</v>
      </c>
      <c r="G18" s="701">
        <v>56445</v>
      </c>
      <c r="H18" s="701"/>
      <c r="I18" s="701">
        <v>355</v>
      </c>
      <c r="J18" s="701">
        <v>254</v>
      </c>
      <c r="K18" s="701">
        <v>90170</v>
      </c>
      <c r="L18" s="701"/>
      <c r="M18" s="701">
        <v>355</v>
      </c>
      <c r="N18" s="701">
        <v>411</v>
      </c>
      <c r="O18" s="701">
        <v>147138</v>
      </c>
      <c r="P18" s="726"/>
      <c r="Q18" s="702">
        <v>358</v>
      </c>
    </row>
    <row r="19" spans="1:17" ht="14.45" customHeight="1" x14ac:dyDescent="0.2">
      <c r="A19" s="696" t="s">
        <v>4073</v>
      </c>
      <c r="B19" s="697" t="s">
        <v>4074</v>
      </c>
      <c r="C19" s="697" t="s">
        <v>2899</v>
      </c>
      <c r="D19" s="697" t="s">
        <v>4077</v>
      </c>
      <c r="E19" s="697" t="s">
        <v>4078</v>
      </c>
      <c r="F19" s="701">
        <v>248</v>
      </c>
      <c r="G19" s="701">
        <v>16120</v>
      </c>
      <c r="H19" s="701"/>
      <c r="I19" s="701">
        <v>65</v>
      </c>
      <c r="J19" s="701">
        <v>266</v>
      </c>
      <c r="K19" s="701">
        <v>17556</v>
      </c>
      <c r="L19" s="701"/>
      <c r="M19" s="701">
        <v>66</v>
      </c>
      <c r="N19" s="701">
        <v>323</v>
      </c>
      <c r="O19" s="701">
        <v>21318</v>
      </c>
      <c r="P19" s="726"/>
      <c r="Q19" s="702">
        <v>66</v>
      </c>
    </row>
    <row r="20" spans="1:17" ht="14.45" customHeight="1" x14ac:dyDescent="0.2">
      <c r="A20" s="696" t="s">
        <v>4073</v>
      </c>
      <c r="B20" s="697" t="s">
        <v>4074</v>
      </c>
      <c r="C20" s="697" t="s">
        <v>2899</v>
      </c>
      <c r="D20" s="697" t="s">
        <v>4079</v>
      </c>
      <c r="E20" s="697" t="s">
        <v>4080</v>
      </c>
      <c r="F20" s="701">
        <v>1</v>
      </c>
      <c r="G20" s="701">
        <v>546</v>
      </c>
      <c r="H20" s="701"/>
      <c r="I20" s="701">
        <v>546</v>
      </c>
      <c r="J20" s="701"/>
      <c r="K20" s="701"/>
      <c r="L20" s="701"/>
      <c r="M20" s="701"/>
      <c r="N20" s="701"/>
      <c r="O20" s="701"/>
      <c r="P20" s="726"/>
      <c r="Q20" s="702"/>
    </row>
    <row r="21" spans="1:17" ht="14.45" customHeight="1" x14ac:dyDescent="0.2">
      <c r="A21" s="696" t="s">
        <v>4073</v>
      </c>
      <c r="B21" s="697" t="s">
        <v>4074</v>
      </c>
      <c r="C21" s="697" t="s">
        <v>2899</v>
      </c>
      <c r="D21" s="697" t="s">
        <v>4081</v>
      </c>
      <c r="E21" s="697" t="s">
        <v>4082</v>
      </c>
      <c r="F21" s="701">
        <v>1</v>
      </c>
      <c r="G21" s="701">
        <v>594</v>
      </c>
      <c r="H21" s="701"/>
      <c r="I21" s="701">
        <v>594</v>
      </c>
      <c r="J21" s="701">
        <v>3</v>
      </c>
      <c r="K21" s="701">
        <v>1785</v>
      </c>
      <c r="L21" s="701"/>
      <c r="M21" s="701">
        <v>595</v>
      </c>
      <c r="N21" s="701">
        <v>1</v>
      </c>
      <c r="O21" s="701">
        <v>597</v>
      </c>
      <c r="P21" s="726"/>
      <c r="Q21" s="702">
        <v>597</v>
      </c>
    </row>
    <row r="22" spans="1:17" ht="14.45" customHeight="1" x14ac:dyDescent="0.2">
      <c r="A22" s="696" t="s">
        <v>4073</v>
      </c>
      <c r="B22" s="697" t="s">
        <v>4074</v>
      </c>
      <c r="C22" s="697" t="s">
        <v>2899</v>
      </c>
      <c r="D22" s="697" t="s">
        <v>4083</v>
      </c>
      <c r="E22" s="697" t="s">
        <v>4084</v>
      </c>
      <c r="F22" s="701">
        <v>1</v>
      </c>
      <c r="G22" s="701">
        <v>618</v>
      </c>
      <c r="H22" s="701"/>
      <c r="I22" s="701">
        <v>618</v>
      </c>
      <c r="J22" s="701">
        <v>3</v>
      </c>
      <c r="K22" s="701">
        <v>1857</v>
      </c>
      <c r="L22" s="701"/>
      <c r="M22" s="701">
        <v>619</v>
      </c>
      <c r="N22" s="701"/>
      <c r="O22" s="701"/>
      <c r="P22" s="726"/>
      <c r="Q22" s="702"/>
    </row>
    <row r="23" spans="1:17" ht="14.45" customHeight="1" x14ac:dyDescent="0.2">
      <c r="A23" s="696" t="s">
        <v>4073</v>
      </c>
      <c r="B23" s="697" t="s">
        <v>4074</v>
      </c>
      <c r="C23" s="697" t="s">
        <v>2899</v>
      </c>
      <c r="D23" s="697" t="s">
        <v>4085</v>
      </c>
      <c r="E23" s="697" t="s">
        <v>4086</v>
      </c>
      <c r="F23" s="701"/>
      <c r="G23" s="701"/>
      <c r="H23" s="701"/>
      <c r="I23" s="701"/>
      <c r="J23" s="701"/>
      <c r="K23" s="701"/>
      <c r="L23" s="701"/>
      <c r="M23" s="701"/>
      <c r="N23" s="701">
        <v>2</v>
      </c>
      <c r="O23" s="701">
        <v>314</v>
      </c>
      <c r="P23" s="726"/>
      <c r="Q23" s="702">
        <v>157</v>
      </c>
    </row>
    <row r="24" spans="1:17" ht="14.45" customHeight="1" x14ac:dyDescent="0.2">
      <c r="A24" s="696" t="s">
        <v>4073</v>
      </c>
      <c r="B24" s="697" t="s">
        <v>4074</v>
      </c>
      <c r="C24" s="697" t="s">
        <v>2899</v>
      </c>
      <c r="D24" s="697" t="s">
        <v>4087</v>
      </c>
      <c r="E24" s="697" t="s">
        <v>4088</v>
      </c>
      <c r="F24" s="701">
        <v>50</v>
      </c>
      <c r="G24" s="701">
        <v>1300</v>
      </c>
      <c r="H24" s="701"/>
      <c r="I24" s="701">
        <v>26</v>
      </c>
      <c r="J24" s="701">
        <v>45</v>
      </c>
      <c r="K24" s="701">
        <v>1170</v>
      </c>
      <c r="L24" s="701"/>
      <c r="M24" s="701">
        <v>26</v>
      </c>
      <c r="N24" s="701">
        <v>50</v>
      </c>
      <c r="O24" s="701">
        <v>1300</v>
      </c>
      <c r="P24" s="726"/>
      <c r="Q24" s="702">
        <v>26</v>
      </c>
    </row>
    <row r="25" spans="1:17" ht="14.45" customHeight="1" x14ac:dyDescent="0.2">
      <c r="A25" s="696" t="s">
        <v>4073</v>
      </c>
      <c r="B25" s="697" t="s">
        <v>4074</v>
      </c>
      <c r="C25" s="697" t="s">
        <v>2899</v>
      </c>
      <c r="D25" s="697" t="s">
        <v>4089</v>
      </c>
      <c r="E25" s="697" t="s">
        <v>4090</v>
      </c>
      <c r="F25" s="701">
        <v>72</v>
      </c>
      <c r="G25" s="701">
        <v>3960</v>
      </c>
      <c r="H25" s="701"/>
      <c r="I25" s="701">
        <v>55</v>
      </c>
      <c r="J25" s="701">
        <v>54</v>
      </c>
      <c r="K25" s="701">
        <v>2970</v>
      </c>
      <c r="L25" s="701"/>
      <c r="M25" s="701">
        <v>55</v>
      </c>
      <c r="N25" s="701">
        <v>94</v>
      </c>
      <c r="O25" s="701">
        <v>5264</v>
      </c>
      <c r="P25" s="726"/>
      <c r="Q25" s="702">
        <v>56</v>
      </c>
    </row>
    <row r="26" spans="1:17" ht="14.45" customHeight="1" x14ac:dyDescent="0.2">
      <c r="A26" s="696" t="s">
        <v>4073</v>
      </c>
      <c r="B26" s="697" t="s">
        <v>4074</v>
      </c>
      <c r="C26" s="697" t="s">
        <v>2899</v>
      </c>
      <c r="D26" s="697" t="s">
        <v>4091</v>
      </c>
      <c r="E26" s="697" t="s">
        <v>4092</v>
      </c>
      <c r="F26" s="701">
        <v>2583</v>
      </c>
      <c r="G26" s="701">
        <v>201474</v>
      </c>
      <c r="H26" s="701"/>
      <c r="I26" s="701">
        <v>78</v>
      </c>
      <c r="J26" s="701">
        <v>2612</v>
      </c>
      <c r="K26" s="701">
        <v>203736</v>
      </c>
      <c r="L26" s="701"/>
      <c r="M26" s="701">
        <v>78</v>
      </c>
      <c r="N26" s="701">
        <v>2772</v>
      </c>
      <c r="O26" s="701">
        <v>216216</v>
      </c>
      <c r="P26" s="726"/>
      <c r="Q26" s="702">
        <v>78</v>
      </c>
    </row>
    <row r="27" spans="1:17" ht="14.45" customHeight="1" x14ac:dyDescent="0.2">
      <c r="A27" s="696" t="s">
        <v>4073</v>
      </c>
      <c r="B27" s="697" t="s">
        <v>4074</v>
      </c>
      <c r="C27" s="697" t="s">
        <v>2899</v>
      </c>
      <c r="D27" s="697" t="s">
        <v>4093</v>
      </c>
      <c r="E27" s="697" t="s">
        <v>4094</v>
      </c>
      <c r="F27" s="701">
        <v>103</v>
      </c>
      <c r="G27" s="701">
        <v>2472</v>
      </c>
      <c r="H27" s="701"/>
      <c r="I27" s="701">
        <v>24</v>
      </c>
      <c r="J27" s="701">
        <v>107</v>
      </c>
      <c r="K27" s="701">
        <v>2675</v>
      </c>
      <c r="L27" s="701"/>
      <c r="M27" s="701">
        <v>25</v>
      </c>
      <c r="N27" s="701">
        <v>126</v>
      </c>
      <c r="O27" s="701">
        <v>3276</v>
      </c>
      <c r="P27" s="726"/>
      <c r="Q27" s="702">
        <v>26</v>
      </c>
    </row>
    <row r="28" spans="1:17" ht="14.45" customHeight="1" x14ac:dyDescent="0.2">
      <c r="A28" s="696" t="s">
        <v>4073</v>
      </c>
      <c r="B28" s="697" t="s">
        <v>4074</v>
      </c>
      <c r="C28" s="697" t="s">
        <v>2899</v>
      </c>
      <c r="D28" s="697" t="s">
        <v>4095</v>
      </c>
      <c r="E28" s="697" t="s">
        <v>4096</v>
      </c>
      <c r="F28" s="701"/>
      <c r="G28" s="701"/>
      <c r="H28" s="701"/>
      <c r="I28" s="701"/>
      <c r="J28" s="701">
        <v>1</v>
      </c>
      <c r="K28" s="701">
        <v>210</v>
      </c>
      <c r="L28" s="701"/>
      <c r="M28" s="701">
        <v>210</v>
      </c>
      <c r="N28" s="701"/>
      <c r="O28" s="701"/>
      <c r="P28" s="726"/>
      <c r="Q28" s="702"/>
    </row>
    <row r="29" spans="1:17" ht="14.45" customHeight="1" x14ac:dyDescent="0.2">
      <c r="A29" s="696" t="s">
        <v>4073</v>
      </c>
      <c r="B29" s="697" t="s">
        <v>4074</v>
      </c>
      <c r="C29" s="697" t="s">
        <v>2899</v>
      </c>
      <c r="D29" s="697" t="s">
        <v>4097</v>
      </c>
      <c r="E29" s="697" t="s">
        <v>4098</v>
      </c>
      <c r="F29" s="701">
        <v>18</v>
      </c>
      <c r="G29" s="701">
        <v>1188</v>
      </c>
      <c r="H29" s="701"/>
      <c r="I29" s="701">
        <v>66</v>
      </c>
      <c r="J29" s="701">
        <v>15</v>
      </c>
      <c r="K29" s="701">
        <v>990</v>
      </c>
      <c r="L29" s="701"/>
      <c r="M29" s="701">
        <v>66</v>
      </c>
      <c r="N29" s="701">
        <v>21</v>
      </c>
      <c r="O29" s="701">
        <v>1407</v>
      </c>
      <c r="P29" s="726"/>
      <c r="Q29" s="702">
        <v>67</v>
      </c>
    </row>
    <row r="30" spans="1:17" ht="14.45" customHeight="1" x14ac:dyDescent="0.2">
      <c r="A30" s="696" t="s">
        <v>4073</v>
      </c>
      <c r="B30" s="697" t="s">
        <v>4074</v>
      </c>
      <c r="C30" s="697" t="s">
        <v>2899</v>
      </c>
      <c r="D30" s="697" t="s">
        <v>4099</v>
      </c>
      <c r="E30" s="697" t="s">
        <v>4100</v>
      </c>
      <c r="F30" s="701">
        <v>1</v>
      </c>
      <c r="G30" s="701">
        <v>301</v>
      </c>
      <c r="H30" s="701"/>
      <c r="I30" s="701">
        <v>301</v>
      </c>
      <c r="J30" s="701"/>
      <c r="K30" s="701"/>
      <c r="L30" s="701"/>
      <c r="M30" s="701"/>
      <c r="N30" s="701">
        <v>2</v>
      </c>
      <c r="O30" s="701">
        <v>612</v>
      </c>
      <c r="P30" s="726"/>
      <c r="Q30" s="702">
        <v>306</v>
      </c>
    </row>
    <row r="31" spans="1:17" ht="14.45" customHeight="1" x14ac:dyDescent="0.2">
      <c r="A31" s="696" t="s">
        <v>4073</v>
      </c>
      <c r="B31" s="697" t="s">
        <v>4074</v>
      </c>
      <c r="C31" s="697" t="s">
        <v>2899</v>
      </c>
      <c r="D31" s="697" t="s">
        <v>4101</v>
      </c>
      <c r="E31" s="697" t="s">
        <v>4102</v>
      </c>
      <c r="F31" s="701">
        <v>67</v>
      </c>
      <c r="G31" s="701">
        <v>23517</v>
      </c>
      <c r="H31" s="701"/>
      <c r="I31" s="701">
        <v>351</v>
      </c>
      <c r="J31" s="701">
        <v>51</v>
      </c>
      <c r="K31" s="701">
        <v>17952</v>
      </c>
      <c r="L31" s="701"/>
      <c r="M31" s="701">
        <v>352</v>
      </c>
      <c r="N31" s="701">
        <v>16</v>
      </c>
      <c r="O31" s="701">
        <v>5664</v>
      </c>
      <c r="P31" s="726"/>
      <c r="Q31" s="702">
        <v>354</v>
      </c>
    </row>
    <row r="32" spans="1:17" ht="14.45" customHeight="1" x14ac:dyDescent="0.2">
      <c r="A32" s="696" t="s">
        <v>4073</v>
      </c>
      <c r="B32" s="697" t="s">
        <v>4074</v>
      </c>
      <c r="C32" s="697" t="s">
        <v>2899</v>
      </c>
      <c r="D32" s="697" t="s">
        <v>4103</v>
      </c>
      <c r="E32" s="697" t="s">
        <v>4104</v>
      </c>
      <c r="F32" s="701">
        <v>52</v>
      </c>
      <c r="G32" s="701">
        <v>1300</v>
      </c>
      <c r="H32" s="701"/>
      <c r="I32" s="701">
        <v>25</v>
      </c>
      <c r="J32" s="701">
        <v>57</v>
      </c>
      <c r="K32" s="701">
        <v>1482</v>
      </c>
      <c r="L32" s="701"/>
      <c r="M32" s="701">
        <v>26</v>
      </c>
      <c r="N32" s="701">
        <v>68</v>
      </c>
      <c r="O32" s="701">
        <v>1836</v>
      </c>
      <c r="P32" s="726"/>
      <c r="Q32" s="702">
        <v>27</v>
      </c>
    </row>
    <row r="33" spans="1:17" ht="14.45" customHeight="1" x14ac:dyDescent="0.2">
      <c r="A33" s="696" t="s">
        <v>4073</v>
      </c>
      <c r="B33" s="697" t="s">
        <v>4074</v>
      </c>
      <c r="C33" s="697" t="s">
        <v>2899</v>
      </c>
      <c r="D33" s="697" t="s">
        <v>4105</v>
      </c>
      <c r="E33" s="697" t="s">
        <v>4106</v>
      </c>
      <c r="F33" s="701"/>
      <c r="G33" s="701"/>
      <c r="H33" s="701"/>
      <c r="I33" s="701"/>
      <c r="J33" s="701">
        <v>1</v>
      </c>
      <c r="K33" s="701">
        <v>743</v>
      </c>
      <c r="L33" s="701"/>
      <c r="M33" s="701">
        <v>743</v>
      </c>
      <c r="N33" s="701"/>
      <c r="O33" s="701"/>
      <c r="P33" s="726"/>
      <c r="Q33" s="702"/>
    </row>
    <row r="34" spans="1:17" ht="14.45" customHeight="1" x14ac:dyDescent="0.2">
      <c r="A34" s="696" t="s">
        <v>4073</v>
      </c>
      <c r="B34" s="697" t="s">
        <v>4074</v>
      </c>
      <c r="C34" s="697" t="s">
        <v>2899</v>
      </c>
      <c r="D34" s="697" t="s">
        <v>4107</v>
      </c>
      <c r="E34" s="697" t="s">
        <v>4108</v>
      </c>
      <c r="F34" s="701">
        <v>294</v>
      </c>
      <c r="G34" s="701">
        <v>53214</v>
      </c>
      <c r="H34" s="701"/>
      <c r="I34" s="701">
        <v>181</v>
      </c>
      <c r="J34" s="701">
        <v>324</v>
      </c>
      <c r="K34" s="701">
        <v>58644</v>
      </c>
      <c r="L34" s="701"/>
      <c r="M34" s="701">
        <v>181</v>
      </c>
      <c r="N34" s="701">
        <v>395</v>
      </c>
      <c r="O34" s="701">
        <v>72285</v>
      </c>
      <c r="P34" s="726"/>
      <c r="Q34" s="702">
        <v>183</v>
      </c>
    </row>
    <row r="35" spans="1:17" ht="14.45" customHeight="1" x14ac:dyDescent="0.2">
      <c r="A35" s="696" t="s">
        <v>4073</v>
      </c>
      <c r="B35" s="697" t="s">
        <v>4074</v>
      </c>
      <c r="C35" s="697" t="s">
        <v>2899</v>
      </c>
      <c r="D35" s="697" t="s">
        <v>4109</v>
      </c>
      <c r="E35" s="697" t="s">
        <v>4110</v>
      </c>
      <c r="F35" s="701">
        <v>122</v>
      </c>
      <c r="G35" s="701">
        <v>30988</v>
      </c>
      <c r="H35" s="701"/>
      <c r="I35" s="701">
        <v>254</v>
      </c>
      <c r="J35" s="701">
        <v>91</v>
      </c>
      <c r="K35" s="701">
        <v>23114</v>
      </c>
      <c r="L35" s="701"/>
      <c r="M35" s="701">
        <v>254</v>
      </c>
      <c r="N35" s="701">
        <v>176</v>
      </c>
      <c r="O35" s="701">
        <v>45056</v>
      </c>
      <c r="P35" s="726"/>
      <c r="Q35" s="702">
        <v>256</v>
      </c>
    </row>
    <row r="36" spans="1:17" ht="14.45" customHeight="1" x14ac:dyDescent="0.2">
      <c r="A36" s="696" t="s">
        <v>4073</v>
      </c>
      <c r="B36" s="697" t="s">
        <v>4074</v>
      </c>
      <c r="C36" s="697" t="s">
        <v>2899</v>
      </c>
      <c r="D36" s="697" t="s">
        <v>4111</v>
      </c>
      <c r="E36" s="697" t="s">
        <v>4112</v>
      </c>
      <c r="F36" s="701"/>
      <c r="G36" s="701"/>
      <c r="H36" s="701"/>
      <c r="I36" s="701"/>
      <c r="J36" s="701">
        <v>1</v>
      </c>
      <c r="K36" s="701">
        <v>269</v>
      </c>
      <c r="L36" s="701"/>
      <c r="M36" s="701">
        <v>269</v>
      </c>
      <c r="N36" s="701"/>
      <c r="O36" s="701"/>
      <c r="P36" s="726"/>
      <c r="Q36" s="702"/>
    </row>
    <row r="37" spans="1:17" ht="14.45" customHeight="1" x14ac:dyDescent="0.2">
      <c r="A37" s="696" t="s">
        <v>4073</v>
      </c>
      <c r="B37" s="697" t="s">
        <v>4074</v>
      </c>
      <c r="C37" s="697" t="s">
        <v>2899</v>
      </c>
      <c r="D37" s="697" t="s">
        <v>4113</v>
      </c>
      <c r="E37" s="697" t="s">
        <v>4114</v>
      </c>
      <c r="F37" s="701">
        <v>633</v>
      </c>
      <c r="G37" s="701">
        <v>137361</v>
      </c>
      <c r="H37" s="701"/>
      <c r="I37" s="701">
        <v>217</v>
      </c>
      <c r="J37" s="701">
        <v>681</v>
      </c>
      <c r="K37" s="701">
        <v>147777</v>
      </c>
      <c r="L37" s="701"/>
      <c r="M37" s="701">
        <v>217</v>
      </c>
      <c r="N37" s="701">
        <v>709</v>
      </c>
      <c r="O37" s="701">
        <v>155271</v>
      </c>
      <c r="P37" s="726"/>
      <c r="Q37" s="702">
        <v>219</v>
      </c>
    </row>
    <row r="38" spans="1:17" ht="14.45" customHeight="1" x14ac:dyDescent="0.2">
      <c r="A38" s="696" t="s">
        <v>4073</v>
      </c>
      <c r="B38" s="697" t="s">
        <v>4074</v>
      </c>
      <c r="C38" s="697" t="s">
        <v>2899</v>
      </c>
      <c r="D38" s="697" t="s">
        <v>4115</v>
      </c>
      <c r="E38" s="697" t="s">
        <v>4116</v>
      </c>
      <c r="F38" s="701">
        <v>1</v>
      </c>
      <c r="G38" s="701">
        <v>37</v>
      </c>
      <c r="H38" s="701"/>
      <c r="I38" s="701">
        <v>37</v>
      </c>
      <c r="J38" s="701">
        <v>3</v>
      </c>
      <c r="K38" s="701">
        <v>111</v>
      </c>
      <c r="L38" s="701"/>
      <c r="M38" s="701">
        <v>37</v>
      </c>
      <c r="N38" s="701">
        <v>4</v>
      </c>
      <c r="O38" s="701">
        <v>156</v>
      </c>
      <c r="P38" s="726"/>
      <c r="Q38" s="702">
        <v>39</v>
      </c>
    </row>
    <row r="39" spans="1:17" ht="14.45" customHeight="1" x14ac:dyDescent="0.2">
      <c r="A39" s="696" t="s">
        <v>4073</v>
      </c>
      <c r="B39" s="697" t="s">
        <v>4074</v>
      </c>
      <c r="C39" s="697" t="s">
        <v>2899</v>
      </c>
      <c r="D39" s="697" t="s">
        <v>4117</v>
      </c>
      <c r="E39" s="697" t="s">
        <v>4118</v>
      </c>
      <c r="F39" s="701">
        <v>1</v>
      </c>
      <c r="G39" s="701">
        <v>594</v>
      </c>
      <c r="H39" s="701"/>
      <c r="I39" s="701">
        <v>594</v>
      </c>
      <c r="J39" s="701">
        <v>3</v>
      </c>
      <c r="K39" s="701">
        <v>1785</v>
      </c>
      <c r="L39" s="701"/>
      <c r="M39" s="701">
        <v>595</v>
      </c>
      <c r="N39" s="701"/>
      <c r="O39" s="701"/>
      <c r="P39" s="726"/>
      <c r="Q39" s="702"/>
    </row>
    <row r="40" spans="1:17" ht="14.45" customHeight="1" x14ac:dyDescent="0.2">
      <c r="A40" s="696" t="s">
        <v>4073</v>
      </c>
      <c r="B40" s="697" t="s">
        <v>4074</v>
      </c>
      <c r="C40" s="697" t="s">
        <v>2899</v>
      </c>
      <c r="D40" s="697" t="s">
        <v>4119</v>
      </c>
      <c r="E40" s="697" t="s">
        <v>4120</v>
      </c>
      <c r="F40" s="701">
        <v>15</v>
      </c>
      <c r="G40" s="701">
        <v>750</v>
      </c>
      <c r="H40" s="701"/>
      <c r="I40" s="701">
        <v>50</v>
      </c>
      <c r="J40" s="701">
        <v>19</v>
      </c>
      <c r="K40" s="701">
        <v>950</v>
      </c>
      <c r="L40" s="701"/>
      <c r="M40" s="701">
        <v>50</v>
      </c>
      <c r="N40" s="701">
        <v>28</v>
      </c>
      <c r="O40" s="701">
        <v>1428</v>
      </c>
      <c r="P40" s="726"/>
      <c r="Q40" s="702">
        <v>51</v>
      </c>
    </row>
    <row r="41" spans="1:17" ht="14.45" customHeight="1" x14ac:dyDescent="0.2">
      <c r="A41" s="696" t="s">
        <v>4073</v>
      </c>
      <c r="B41" s="697" t="s">
        <v>4074</v>
      </c>
      <c r="C41" s="697" t="s">
        <v>2899</v>
      </c>
      <c r="D41" s="697" t="s">
        <v>4121</v>
      </c>
      <c r="E41" s="697" t="s">
        <v>4122</v>
      </c>
      <c r="F41" s="701">
        <v>1</v>
      </c>
      <c r="G41" s="701">
        <v>548</v>
      </c>
      <c r="H41" s="701"/>
      <c r="I41" s="701">
        <v>548</v>
      </c>
      <c r="J41" s="701">
        <v>1</v>
      </c>
      <c r="K41" s="701">
        <v>549</v>
      </c>
      <c r="L41" s="701"/>
      <c r="M41" s="701">
        <v>549</v>
      </c>
      <c r="N41" s="701"/>
      <c r="O41" s="701"/>
      <c r="P41" s="726"/>
      <c r="Q41" s="702"/>
    </row>
    <row r="42" spans="1:17" ht="14.45" customHeight="1" x14ac:dyDescent="0.2">
      <c r="A42" s="696" t="s">
        <v>4073</v>
      </c>
      <c r="B42" s="697" t="s">
        <v>4074</v>
      </c>
      <c r="C42" s="697" t="s">
        <v>2899</v>
      </c>
      <c r="D42" s="697" t="s">
        <v>4123</v>
      </c>
      <c r="E42" s="697" t="s">
        <v>4124</v>
      </c>
      <c r="F42" s="701"/>
      <c r="G42" s="701"/>
      <c r="H42" s="701"/>
      <c r="I42" s="701"/>
      <c r="J42" s="701">
        <v>2</v>
      </c>
      <c r="K42" s="701">
        <v>1474</v>
      </c>
      <c r="L42" s="701"/>
      <c r="M42" s="701">
        <v>737</v>
      </c>
      <c r="N42" s="701"/>
      <c r="O42" s="701"/>
      <c r="P42" s="726"/>
      <c r="Q42" s="702"/>
    </row>
    <row r="43" spans="1:17" ht="14.45" customHeight="1" x14ac:dyDescent="0.2">
      <c r="A43" s="696" t="s">
        <v>4073</v>
      </c>
      <c r="B43" s="697" t="s">
        <v>4074</v>
      </c>
      <c r="C43" s="697" t="s">
        <v>2899</v>
      </c>
      <c r="D43" s="697" t="s">
        <v>4125</v>
      </c>
      <c r="E43" s="697" t="s">
        <v>4126</v>
      </c>
      <c r="F43" s="701"/>
      <c r="G43" s="701"/>
      <c r="H43" s="701"/>
      <c r="I43" s="701"/>
      <c r="J43" s="701">
        <v>2</v>
      </c>
      <c r="K43" s="701">
        <v>662</v>
      </c>
      <c r="L43" s="701"/>
      <c r="M43" s="701">
        <v>331</v>
      </c>
      <c r="N43" s="701"/>
      <c r="O43" s="701"/>
      <c r="P43" s="726"/>
      <c r="Q43" s="702"/>
    </row>
    <row r="44" spans="1:17" ht="14.45" customHeight="1" x14ac:dyDescent="0.2">
      <c r="A44" s="696" t="s">
        <v>4073</v>
      </c>
      <c r="B44" s="697" t="s">
        <v>4074</v>
      </c>
      <c r="C44" s="697" t="s">
        <v>2899</v>
      </c>
      <c r="D44" s="697" t="s">
        <v>4127</v>
      </c>
      <c r="E44" s="697" t="s">
        <v>4128</v>
      </c>
      <c r="F44" s="701"/>
      <c r="G44" s="701"/>
      <c r="H44" s="701"/>
      <c r="I44" s="701"/>
      <c r="J44" s="701">
        <v>1</v>
      </c>
      <c r="K44" s="701">
        <v>348</v>
      </c>
      <c r="L44" s="701"/>
      <c r="M44" s="701">
        <v>348</v>
      </c>
      <c r="N44" s="701"/>
      <c r="O44" s="701"/>
      <c r="P44" s="726"/>
      <c r="Q44" s="702"/>
    </row>
    <row r="45" spans="1:17" ht="14.45" customHeight="1" x14ac:dyDescent="0.2">
      <c r="A45" s="696" t="s">
        <v>4073</v>
      </c>
      <c r="B45" s="697" t="s">
        <v>4074</v>
      </c>
      <c r="C45" s="697" t="s">
        <v>2899</v>
      </c>
      <c r="D45" s="697" t="s">
        <v>4129</v>
      </c>
      <c r="E45" s="697" t="s">
        <v>4130</v>
      </c>
      <c r="F45" s="701">
        <v>1</v>
      </c>
      <c r="G45" s="701">
        <v>754</v>
      </c>
      <c r="H45" s="701"/>
      <c r="I45" s="701">
        <v>754</v>
      </c>
      <c r="J45" s="701">
        <v>2</v>
      </c>
      <c r="K45" s="701">
        <v>1510</v>
      </c>
      <c r="L45" s="701"/>
      <c r="M45" s="701">
        <v>755</v>
      </c>
      <c r="N45" s="701"/>
      <c r="O45" s="701"/>
      <c r="P45" s="726"/>
      <c r="Q45" s="702"/>
    </row>
    <row r="46" spans="1:17" ht="14.45" customHeight="1" x14ac:dyDescent="0.2">
      <c r="A46" s="696" t="s">
        <v>4073</v>
      </c>
      <c r="B46" s="697" t="s">
        <v>4074</v>
      </c>
      <c r="C46" s="697" t="s">
        <v>2899</v>
      </c>
      <c r="D46" s="697" t="s">
        <v>4131</v>
      </c>
      <c r="E46" s="697" t="s">
        <v>4132</v>
      </c>
      <c r="F46" s="701"/>
      <c r="G46" s="701"/>
      <c r="H46" s="701"/>
      <c r="I46" s="701"/>
      <c r="J46" s="701">
        <v>3</v>
      </c>
      <c r="K46" s="701">
        <v>699</v>
      </c>
      <c r="L46" s="701"/>
      <c r="M46" s="701">
        <v>233</v>
      </c>
      <c r="N46" s="701">
        <v>1</v>
      </c>
      <c r="O46" s="701">
        <v>234</v>
      </c>
      <c r="P46" s="726"/>
      <c r="Q46" s="702">
        <v>234</v>
      </c>
    </row>
    <row r="47" spans="1:17" ht="14.45" customHeight="1" x14ac:dyDescent="0.2">
      <c r="A47" s="696" t="s">
        <v>4073</v>
      </c>
      <c r="B47" s="697" t="s">
        <v>4074</v>
      </c>
      <c r="C47" s="697" t="s">
        <v>2899</v>
      </c>
      <c r="D47" s="697" t="s">
        <v>4133</v>
      </c>
      <c r="E47" s="697" t="s">
        <v>4134</v>
      </c>
      <c r="F47" s="701"/>
      <c r="G47" s="701"/>
      <c r="H47" s="701"/>
      <c r="I47" s="701"/>
      <c r="J47" s="701"/>
      <c r="K47" s="701"/>
      <c r="L47" s="701"/>
      <c r="M47" s="701"/>
      <c r="N47" s="701">
        <v>1</v>
      </c>
      <c r="O47" s="701">
        <v>237</v>
      </c>
      <c r="P47" s="726"/>
      <c r="Q47" s="702">
        <v>237</v>
      </c>
    </row>
    <row r="48" spans="1:17" ht="14.45" customHeight="1" x14ac:dyDescent="0.2">
      <c r="A48" s="696" t="s">
        <v>4073</v>
      </c>
      <c r="B48" s="697" t="s">
        <v>4074</v>
      </c>
      <c r="C48" s="697" t="s">
        <v>2899</v>
      </c>
      <c r="D48" s="697" t="s">
        <v>4135</v>
      </c>
      <c r="E48" s="697" t="s">
        <v>4136</v>
      </c>
      <c r="F48" s="701"/>
      <c r="G48" s="701"/>
      <c r="H48" s="701"/>
      <c r="I48" s="701"/>
      <c r="J48" s="701"/>
      <c r="K48" s="701"/>
      <c r="L48" s="701"/>
      <c r="M48" s="701"/>
      <c r="N48" s="701">
        <v>8</v>
      </c>
      <c r="O48" s="701">
        <v>3312</v>
      </c>
      <c r="P48" s="726"/>
      <c r="Q48" s="702">
        <v>414</v>
      </c>
    </row>
    <row r="49" spans="1:17" ht="14.45" customHeight="1" x14ac:dyDescent="0.2">
      <c r="A49" s="696" t="s">
        <v>4073</v>
      </c>
      <c r="B49" s="697" t="s">
        <v>4074</v>
      </c>
      <c r="C49" s="697" t="s">
        <v>2899</v>
      </c>
      <c r="D49" s="697" t="s">
        <v>4137</v>
      </c>
      <c r="E49" s="697" t="s">
        <v>4138</v>
      </c>
      <c r="F49" s="701">
        <v>1</v>
      </c>
      <c r="G49" s="701">
        <v>653</v>
      </c>
      <c r="H49" s="701"/>
      <c r="I49" s="701">
        <v>653</v>
      </c>
      <c r="J49" s="701"/>
      <c r="K49" s="701"/>
      <c r="L49" s="701"/>
      <c r="M49" s="701"/>
      <c r="N49" s="701"/>
      <c r="O49" s="701"/>
      <c r="P49" s="726"/>
      <c r="Q49" s="702"/>
    </row>
    <row r="50" spans="1:17" ht="14.45" customHeight="1" x14ac:dyDescent="0.2">
      <c r="A50" s="696" t="s">
        <v>4073</v>
      </c>
      <c r="B50" s="697" t="s">
        <v>4074</v>
      </c>
      <c r="C50" s="697" t="s">
        <v>2899</v>
      </c>
      <c r="D50" s="697" t="s">
        <v>4139</v>
      </c>
      <c r="E50" s="697" t="s">
        <v>4140</v>
      </c>
      <c r="F50" s="701"/>
      <c r="G50" s="701"/>
      <c r="H50" s="701"/>
      <c r="I50" s="701"/>
      <c r="J50" s="701"/>
      <c r="K50" s="701"/>
      <c r="L50" s="701"/>
      <c r="M50" s="701"/>
      <c r="N50" s="701">
        <v>5</v>
      </c>
      <c r="O50" s="701">
        <v>2980</v>
      </c>
      <c r="P50" s="726"/>
      <c r="Q50" s="702">
        <v>596</v>
      </c>
    </row>
    <row r="51" spans="1:17" ht="14.45" customHeight="1" x14ac:dyDescent="0.2">
      <c r="A51" s="696" t="s">
        <v>4073</v>
      </c>
      <c r="B51" s="697" t="s">
        <v>4074</v>
      </c>
      <c r="C51" s="697" t="s">
        <v>2899</v>
      </c>
      <c r="D51" s="697" t="s">
        <v>4141</v>
      </c>
      <c r="E51" s="697" t="s">
        <v>4142</v>
      </c>
      <c r="F51" s="701">
        <v>3</v>
      </c>
      <c r="G51" s="701">
        <v>1164</v>
      </c>
      <c r="H51" s="701"/>
      <c r="I51" s="701">
        <v>388</v>
      </c>
      <c r="J51" s="701">
        <v>4</v>
      </c>
      <c r="K51" s="701">
        <v>1556</v>
      </c>
      <c r="L51" s="701"/>
      <c r="M51" s="701">
        <v>389</v>
      </c>
      <c r="N51" s="701">
        <v>3</v>
      </c>
      <c r="O51" s="701">
        <v>1173</v>
      </c>
      <c r="P51" s="726"/>
      <c r="Q51" s="702">
        <v>391</v>
      </c>
    </row>
    <row r="52" spans="1:17" ht="14.45" customHeight="1" x14ac:dyDescent="0.2">
      <c r="A52" s="696" t="s">
        <v>4073</v>
      </c>
      <c r="B52" s="697" t="s">
        <v>4074</v>
      </c>
      <c r="C52" s="697" t="s">
        <v>2899</v>
      </c>
      <c r="D52" s="697" t="s">
        <v>4143</v>
      </c>
      <c r="E52" s="697" t="s">
        <v>4144</v>
      </c>
      <c r="F52" s="701"/>
      <c r="G52" s="701"/>
      <c r="H52" s="701"/>
      <c r="I52" s="701"/>
      <c r="J52" s="701">
        <v>10</v>
      </c>
      <c r="K52" s="701">
        <v>7910</v>
      </c>
      <c r="L52" s="701"/>
      <c r="M52" s="701">
        <v>791</v>
      </c>
      <c r="N52" s="701">
        <v>6</v>
      </c>
      <c r="O52" s="701">
        <v>4770</v>
      </c>
      <c r="P52" s="726"/>
      <c r="Q52" s="702">
        <v>795</v>
      </c>
    </row>
    <row r="53" spans="1:17" ht="14.45" customHeight="1" x14ac:dyDescent="0.2">
      <c r="A53" s="696" t="s">
        <v>4073</v>
      </c>
      <c r="B53" s="697" t="s">
        <v>4074</v>
      </c>
      <c r="C53" s="697" t="s">
        <v>2899</v>
      </c>
      <c r="D53" s="697" t="s">
        <v>4145</v>
      </c>
      <c r="E53" s="697" t="s">
        <v>4146</v>
      </c>
      <c r="F53" s="701"/>
      <c r="G53" s="701"/>
      <c r="H53" s="701"/>
      <c r="I53" s="701"/>
      <c r="J53" s="701">
        <v>2</v>
      </c>
      <c r="K53" s="701">
        <v>452</v>
      </c>
      <c r="L53" s="701"/>
      <c r="M53" s="701">
        <v>226</v>
      </c>
      <c r="N53" s="701"/>
      <c r="O53" s="701"/>
      <c r="P53" s="726"/>
      <c r="Q53" s="702"/>
    </row>
    <row r="54" spans="1:17" ht="14.45" customHeight="1" x14ac:dyDescent="0.2">
      <c r="A54" s="696" t="s">
        <v>4073</v>
      </c>
      <c r="B54" s="697" t="s">
        <v>4074</v>
      </c>
      <c r="C54" s="697" t="s">
        <v>2899</v>
      </c>
      <c r="D54" s="697" t="s">
        <v>4147</v>
      </c>
      <c r="E54" s="697" t="s">
        <v>4148</v>
      </c>
      <c r="F54" s="701">
        <v>1</v>
      </c>
      <c r="G54" s="701">
        <v>567</v>
      </c>
      <c r="H54" s="701"/>
      <c r="I54" s="701">
        <v>567</v>
      </c>
      <c r="J54" s="701"/>
      <c r="K54" s="701"/>
      <c r="L54" s="701"/>
      <c r="M54" s="701"/>
      <c r="N54" s="701"/>
      <c r="O54" s="701"/>
      <c r="P54" s="726"/>
      <c r="Q54" s="702"/>
    </row>
    <row r="55" spans="1:17" ht="14.45" customHeight="1" x14ac:dyDescent="0.2">
      <c r="A55" s="696" t="s">
        <v>4073</v>
      </c>
      <c r="B55" s="697" t="s">
        <v>4074</v>
      </c>
      <c r="C55" s="697" t="s">
        <v>2899</v>
      </c>
      <c r="D55" s="697" t="s">
        <v>4149</v>
      </c>
      <c r="E55" s="697" t="s">
        <v>4150</v>
      </c>
      <c r="F55" s="701"/>
      <c r="G55" s="701"/>
      <c r="H55" s="701"/>
      <c r="I55" s="701"/>
      <c r="J55" s="701"/>
      <c r="K55" s="701"/>
      <c r="L55" s="701"/>
      <c r="M55" s="701"/>
      <c r="N55" s="701">
        <v>5</v>
      </c>
      <c r="O55" s="701">
        <v>4625</v>
      </c>
      <c r="P55" s="726"/>
      <c r="Q55" s="702">
        <v>925</v>
      </c>
    </row>
    <row r="56" spans="1:17" ht="14.45" customHeight="1" x14ac:dyDescent="0.2">
      <c r="A56" s="696" t="s">
        <v>4073</v>
      </c>
      <c r="B56" s="697" t="s">
        <v>4074</v>
      </c>
      <c r="C56" s="697" t="s">
        <v>2899</v>
      </c>
      <c r="D56" s="697" t="s">
        <v>4151</v>
      </c>
      <c r="E56" s="697" t="s">
        <v>4152</v>
      </c>
      <c r="F56" s="701"/>
      <c r="G56" s="701"/>
      <c r="H56" s="701"/>
      <c r="I56" s="701"/>
      <c r="J56" s="701"/>
      <c r="K56" s="701"/>
      <c r="L56" s="701"/>
      <c r="M56" s="701"/>
      <c r="N56" s="701">
        <v>5</v>
      </c>
      <c r="O56" s="701">
        <v>4510</v>
      </c>
      <c r="P56" s="726"/>
      <c r="Q56" s="702">
        <v>902</v>
      </c>
    </row>
    <row r="57" spans="1:17" ht="14.45" customHeight="1" x14ac:dyDescent="0.2">
      <c r="A57" s="696" t="s">
        <v>4073</v>
      </c>
      <c r="B57" s="697" t="s">
        <v>4074</v>
      </c>
      <c r="C57" s="697" t="s">
        <v>2899</v>
      </c>
      <c r="D57" s="697" t="s">
        <v>4153</v>
      </c>
      <c r="E57" s="697" t="s">
        <v>4154</v>
      </c>
      <c r="F57" s="701"/>
      <c r="G57" s="701"/>
      <c r="H57" s="701"/>
      <c r="I57" s="701"/>
      <c r="J57" s="701">
        <v>1</v>
      </c>
      <c r="K57" s="701">
        <v>94</v>
      </c>
      <c r="L57" s="701"/>
      <c r="M57" s="701">
        <v>94</v>
      </c>
      <c r="N57" s="701"/>
      <c r="O57" s="701"/>
      <c r="P57" s="726"/>
      <c r="Q57" s="702"/>
    </row>
    <row r="58" spans="1:17" ht="14.45" customHeight="1" x14ac:dyDescent="0.2">
      <c r="A58" s="696" t="s">
        <v>4073</v>
      </c>
      <c r="B58" s="697" t="s">
        <v>4074</v>
      </c>
      <c r="C58" s="697" t="s">
        <v>2899</v>
      </c>
      <c r="D58" s="697" t="s">
        <v>4155</v>
      </c>
      <c r="E58" s="697" t="s">
        <v>4156</v>
      </c>
      <c r="F58" s="701">
        <v>30</v>
      </c>
      <c r="G58" s="701">
        <v>7350</v>
      </c>
      <c r="H58" s="701"/>
      <c r="I58" s="701">
        <v>245</v>
      </c>
      <c r="J58" s="701">
        <v>89</v>
      </c>
      <c r="K58" s="701">
        <v>21894</v>
      </c>
      <c r="L58" s="701"/>
      <c r="M58" s="701">
        <v>246</v>
      </c>
      <c r="N58" s="701">
        <v>105</v>
      </c>
      <c r="O58" s="701">
        <v>26250</v>
      </c>
      <c r="P58" s="726"/>
      <c r="Q58" s="702">
        <v>250</v>
      </c>
    </row>
    <row r="59" spans="1:17" ht="14.45" customHeight="1" x14ac:dyDescent="0.2">
      <c r="A59" s="696" t="s">
        <v>4073</v>
      </c>
      <c r="B59" s="697" t="s">
        <v>4074</v>
      </c>
      <c r="C59" s="697" t="s">
        <v>2899</v>
      </c>
      <c r="D59" s="697" t="s">
        <v>4157</v>
      </c>
      <c r="E59" s="697" t="s">
        <v>4158</v>
      </c>
      <c r="F59" s="701"/>
      <c r="G59" s="701"/>
      <c r="H59" s="701"/>
      <c r="I59" s="701"/>
      <c r="J59" s="701">
        <v>3</v>
      </c>
      <c r="K59" s="701">
        <v>612</v>
      </c>
      <c r="L59" s="701"/>
      <c r="M59" s="701">
        <v>204</v>
      </c>
      <c r="N59" s="701">
        <v>1</v>
      </c>
      <c r="O59" s="701">
        <v>205</v>
      </c>
      <c r="P59" s="726"/>
      <c r="Q59" s="702">
        <v>205</v>
      </c>
    </row>
    <row r="60" spans="1:17" ht="14.45" customHeight="1" x14ac:dyDescent="0.2">
      <c r="A60" s="696" t="s">
        <v>4073</v>
      </c>
      <c r="B60" s="697" t="s">
        <v>4074</v>
      </c>
      <c r="C60" s="697" t="s">
        <v>2899</v>
      </c>
      <c r="D60" s="697" t="s">
        <v>4159</v>
      </c>
      <c r="E60" s="697" t="s">
        <v>4160</v>
      </c>
      <c r="F60" s="701">
        <v>1</v>
      </c>
      <c r="G60" s="701">
        <v>468</v>
      </c>
      <c r="H60" s="701"/>
      <c r="I60" s="701">
        <v>468</v>
      </c>
      <c r="J60" s="701">
        <v>2</v>
      </c>
      <c r="K60" s="701">
        <v>938</v>
      </c>
      <c r="L60" s="701"/>
      <c r="M60" s="701">
        <v>469</v>
      </c>
      <c r="N60" s="701">
        <v>1</v>
      </c>
      <c r="O60" s="701">
        <v>473</v>
      </c>
      <c r="P60" s="726"/>
      <c r="Q60" s="702">
        <v>473</v>
      </c>
    </row>
    <row r="61" spans="1:17" ht="14.45" customHeight="1" x14ac:dyDescent="0.2">
      <c r="A61" s="696" t="s">
        <v>4073</v>
      </c>
      <c r="B61" s="697" t="s">
        <v>4074</v>
      </c>
      <c r="C61" s="697" t="s">
        <v>2899</v>
      </c>
      <c r="D61" s="697" t="s">
        <v>4161</v>
      </c>
      <c r="E61" s="697" t="s">
        <v>4162</v>
      </c>
      <c r="F61" s="701">
        <v>2</v>
      </c>
      <c r="G61" s="701">
        <v>1162</v>
      </c>
      <c r="H61" s="701"/>
      <c r="I61" s="701">
        <v>581</v>
      </c>
      <c r="J61" s="701">
        <v>2</v>
      </c>
      <c r="K61" s="701">
        <v>1164</v>
      </c>
      <c r="L61" s="701"/>
      <c r="M61" s="701">
        <v>582</v>
      </c>
      <c r="N61" s="701">
        <v>3</v>
      </c>
      <c r="O61" s="701">
        <v>1758</v>
      </c>
      <c r="P61" s="726"/>
      <c r="Q61" s="702">
        <v>586</v>
      </c>
    </row>
    <row r="62" spans="1:17" ht="14.45" customHeight="1" x14ac:dyDescent="0.2">
      <c r="A62" s="696" t="s">
        <v>4073</v>
      </c>
      <c r="B62" s="697" t="s">
        <v>4074</v>
      </c>
      <c r="C62" s="697" t="s">
        <v>2899</v>
      </c>
      <c r="D62" s="697" t="s">
        <v>4163</v>
      </c>
      <c r="E62" s="697" t="s">
        <v>4164</v>
      </c>
      <c r="F62" s="701"/>
      <c r="G62" s="701"/>
      <c r="H62" s="701"/>
      <c r="I62" s="701"/>
      <c r="J62" s="701"/>
      <c r="K62" s="701"/>
      <c r="L62" s="701"/>
      <c r="M62" s="701"/>
      <c r="N62" s="701">
        <v>5</v>
      </c>
      <c r="O62" s="701">
        <v>16210</v>
      </c>
      <c r="P62" s="726"/>
      <c r="Q62" s="702">
        <v>3242</v>
      </c>
    </row>
    <row r="63" spans="1:17" ht="14.45" customHeight="1" x14ac:dyDescent="0.2">
      <c r="A63" s="696" t="s">
        <v>4073</v>
      </c>
      <c r="B63" s="697" t="s">
        <v>4074</v>
      </c>
      <c r="C63" s="697" t="s">
        <v>2899</v>
      </c>
      <c r="D63" s="697" t="s">
        <v>4165</v>
      </c>
      <c r="E63" s="697" t="s">
        <v>4166</v>
      </c>
      <c r="F63" s="701"/>
      <c r="G63" s="701"/>
      <c r="H63" s="701"/>
      <c r="I63" s="701"/>
      <c r="J63" s="701"/>
      <c r="K63" s="701"/>
      <c r="L63" s="701"/>
      <c r="M63" s="701"/>
      <c r="N63" s="701">
        <v>1</v>
      </c>
      <c r="O63" s="701">
        <v>65</v>
      </c>
      <c r="P63" s="726"/>
      <c r="Q63" s="702">
        <v>65</v>
      </c>
    </row>
    <row r="64" spans="1:17" ht="14.45" customHeight="1" x14ac:dyDescent="0.2">
      <c r="A64" s="696" t="s">
        <v>4073</v>
      </c>
      <c r="B64" s="697" t="s">
        <v>4074</v>
      </c>
      <c r="C64" s="697" t="s">
        <v>2899</v>
      </c>
      <c r="D64" s="697" t="s">
        <v>4167</v>
      </c>
      <c r="E64" s="697" t="s">
        <v>4168</v>
      </c>
      <c r="F64" s="701"/>
      <c r="G64" s="701"/>
      <c r="H64" s="701"/>
      <c r="I64" s="701"/>
      <c r="J64" s="701">
        <v>1</v>
      </c>
      <c r="K64" s="701">
        <v>4538</v>
      </c>
      <c r="L64" s="701"/>
      <c r="M64" s="701">
        <v>4538</v>
      </c>
      <c r="N64" s="701">
        <v>1</v>
      </c>
      <c r="O64" s="701">
        <v>4543</v>
      </c>
      <c r="P64" s="726"/>
      <c r="Q64" s="702">
        <v>4543</v>
      </c>
    </row>
    <row r="65" spans="1:17" ht="14.45" customHeight="1" x14ac:dyDescent="0.2">
      <c r="A65" s="696" t="s">
        <v>4073</v>
      </c>
      <c r="B65" s="697" t="s">
        <v>4074</v>
      </c>
      <c r="C65" s="697" t="s">
        <v>2899</v>
      </c>
      <c r="D65" s="697" t="s">
        <v>4169</v>
      </c>
      <c r="E65" s="697" t="s">
        <v>4170</v>
      </c>
      <c r="F65" s="701"/>
      <c r="G65" s="701"/>
      <c r="H65" s="701"/>
      <c r="I65" s="701"/>
      <c r="J65" s="701"/>
      <c r="K65" s="701"/>
      <c r="L65" s="701"/>
      <c r="M65" s="701"/>
      <c r="N65" s="701">
        <v>2</v>
      </c>
      <c r="O65" s="701">
        <v>6032</v>
      </c>
      <c r="P65" s="726"/>
      <c r="Q65" s="702">
        <v>3016</v>
      </c>
    </row>
    <row r="66" spans="1:17" ht="14.45" customHeight="1" x14ac:dyDescent="0.2">
      <c r="A66" s="696" t="s">
        <v>4073</v>
      </c>
      <c r="B66" s="697" t="s">
        <v>4074</v>
      </c>
      <c r="C66" s="697" t="s">
        <v>2899</v>
      </c>
      <c r="D66" s="697" t="s">
        <v>4171</v>
      </c>
      <c r="E66" s="697" t="s">
        <v>4172</v>
      </c>
      <c r="F66" s="701"/>
      <c r="G66" s="701"/>
      <c r="H66" s="701"/>
      <c r="I66" s="701"/>
      <c r="J66" s="701"/>
      <c r="K66" s="701"/>
      <c r="L66" s="701"/>
      <c r="M66" s="701"/>
      <c r="N66" s="701">
        <v>122</v>
      </c>
      <c r="O66" s="701">
        <v>37820</v>
      </c>
      <c r="P66" s="726"/>
      <c r="Q66" s="702">
        <v>310</v>
      </c>
    </row>
    <row r="67" spans="1:17" ht="14.45" customHeight="1" x14ac:dyDescent="0.2">
      <c r="A67" s="696" t="s">
        <v>4173</v>
      </c>
      <c r="B67" s="697" t="s">
        <v>4174</v>
      </c>
      <c r="C67" s="697" t="s">
        <v>2899</v>
      </c>
      <c r="D67" s="697" t="s">
        <v>4175</v>
      </c>
      <c r="E67" s="697" t="s">
        <v>4176</v>
      </c>
      <c r="F67" s="701">
        <v>400</v>
      </c>
      <c r="G67" s="701">
        <v>11200</v>
      </c>
      <c r="H67" s="701"/>
      <c r="I67" s="701">
        <v>28</v>
      </c>
      <c r="J67" s="701">
        <v>412</v>
      </c>
      <c r="K67" s="701">
        <v>11536</v>
      </c>
      <c r="L67" s="701"/>
      <c r="M67" s="701">
        <v>28</v>
      </c>
      <c r="N67" s="701">
        <v>774</v>
      </c>
      <c r="O67" s="701">
        <v>22446</v>
      </c>
      <c r="P67" s="726"/>
      <c r="Q67" s="702">
        <v>29</v>
      </c>
    </row>
    <row r="68" spans="1:17" ht="14.45" customHeight="1" x14ac:dyDescent="0.2">
      <c r="A68" s="696" t="s">
        <v>4173</v>
      </c>
      <c r="B68" s="697" t="s">
        <v>4174</v>
      </c>
      <c r="C68" s="697" t="s">
        <v>2899</v>
      </c>
      <c r="D68" s="697" t="s">
        <v>4177</v>
      </c>
      <c r="E68" s="697" t="s">
        <v>4178</v>
      </c>
      <c r="F68" s="701">
        <v>556</v>
      </c>
      <c r="G68" s="701">
        <v>30024</v>
      </c>
      <c r="H68" s="701"/>
      <c r="I68" s="701">
        <v>54</v>
      </c>
      <c r="J68" s="701">
        <v>575</v>
      </c>
      <c r="K68" s="701">
        <v>31050</v>
      </c>
      <c r="L68" s="701"/>
      <c r="M68" s="701">
        <v>54</v>
      </c>
      <c r="N68" s="701">
        <v>1173</v>
      </c>
      <c r="O68" s="701">
        <v>64515</v>
      </c>
      <c r="P68" s="726"/>
      <c r="Q68" s="702">
        <v>55</v>
      </c>
    </row>
    <row r="69" spans="1:17" ht="14.45" customHeight="1" x14ac:dyDescent="0.2">
      <c r="A69" s="696" t="s">
        <v>4173</v>
      </c>
      <c r="B69" s="697" t="s">
        <v>4174</v>
      </c>
      <c r="C69" s="697" t="s">
        <v>2899</v>
      </c>
      <c r="D69" s="697" t="s">
        <v>4179</v>
      </c>
      <c r="E69" s="697" t="s">
        <v>4180</v>
      </c>
      <c r="F69" s="701">
        <v>1383</v>
      </c>
      <c r="G69" s="701">
        <v>33192</v>
      </c>
      <c r="H69" s="701"/>
      <c r="I69" s="701">
        <v>24</v>
      </c>
      <c r="J69" s="701">
        <v>1275</v>
      </c>
      <c r="K69" s="701">
        <v>30600</v>
      </c>
      <c r="L69" s="701"/>
      <c r="M69" s="701">
        <v>24</v>
      </c>
      <c r="N69" s="701">
        <v>1610</v>
      </c>
      <c r="O69" s="701">
        <v>40250</v>
      </c>
      <c r="P69" s="726"/>
      <c r="Q69" s="702">
        <v>25</v>
      </c>
    </row>
    <row r="70" spans="1:17" ht="14.45" customHeight="1" x14ac:dyDescent="0.2">
      <c r="A70" s="696" t="s">
        <v>4173</v>
      </c>
      <c r="B70" s="697" t="s">
        <v>4174</v>
      </c>
      <c r="C70" s="697" t="s">
        <v>2899</v>
      </c>
      <c r="D70" s="697" t="s">
        <v>4181</v>
      </c>
      <c r="E70" s="697" t="s">
        <v>4182</v>
      </c>
      <c r="F70" s="701">
        <v>1743</v>
      </c>
      <c r="G70" s="701">
        <v>47061</v>
      </c>
      <c r="H70" s="701"/>
      <c r="I70" s="701">
        <v>27</v>
      </c>
      <c r="J70" s="701">
        <v>1677</v>
      </c>
      <c r="K70" s="701">
        <v>45279</v>
      </c>
      <c r="L70" s="701"/>
      <c r="M70" s="701">
        <v>27</v>
      </c>
      <c r="N70" s="701">
        <v>2548</v>
      </c>
      <c r="O70" s="701">
        <v>71344</v>
      </c>
      <c r="P70" s="726"/>
      <c r="Q70" s="702">
        <v>28</v>
      </c>
    </row>
    <row r="71" spans="1:17" ht="14.45" customHeight="1" x14ac:dyDescent="0.2">
      <c r="A71" s="696" t="s">
        <v>4173</v>
      </c>
      <c r="B71" s="697" t="s">
        <v>4174</v>
      </c>
      <c r="C71" s="697" t="s">
        <v>2899</v>
      </c>
      <c r="D71" s="697" t="s">
        <v>4183</v>
      </c>
      <c r="E71" s="697" t="s">
        <v>4184</v>
      </c>
      <c r="F71" s="701">
        <v>1</v>
      </c>
      <c r="G71" s="701">
        <v>57</v>
      </c>
      <c r="H71" s="701"/>
      <c r="I71" s="701">
        <v>57</v>
      </c>
      <c r="J71" s="701">
        <v>1</v>
      </c>
      <c r="K71" s="701">
        <v>58</v>
      </c>
      <c r="L71" s="701"/>
      <c r="M71" s="701">
        <v>58</v>
      </c>
      <c r="N71" s="701">
        <v>1</v>
      </c>
      <c r="O71" s="701">
        <v>58</v>
      </c>
      <c r="P71" s="726"/>
      <c r="Q71" s="702">
        <v>58</v>
      </c>
    </row>
    <row r="72" spans="1:17" ht="14.45" customHeight="1" x14ac:dyDescent="0.2">
      <c r="A72" s="696" t="s">
        <v>4173</v>
      </c>
      <c r="B72" s="697" t="s">
        <v>4174</v>
      </c>
      <c r="C72" s="697" t="s">
        <v>2899</v>
      </c>
      <c r="D72" s="697" t="s">
        <v>4185</v>
      </c>
      <c r="E72" s="697" t="s">
        <v>4186</v>
      </c>
      <c r="F72" s="701">
        <v>384</v>
      </c>
      <c r="G72" s="701">
        <v>10368</v>
      </c>
      <c r="H72" s="701"/>
      <c r="I72" s="701">
        <v>27</v>
      </c>
      <c r="J72" s="701">
        <v>376</v>
      </c>
      <c r="K72" s="701">
        <v>10152</v>
      </c>
      <c r="L72" s="701"/>
      <c r="M72" s="701">
        <v>27</v>
      </c>
      <c r="N72" s="701">
        <v>670</v>
      </c>
      <c r="O72" s="701">
        <v>18760</v>
      </c>
      <c r="P72" s="726"/>
      <c r="Q72" s="702">
        <v>28</v>
      </c>
    </row>
    <row r="73" spans="1:17" ht="14.45" customHeight="1" x14ac:dyDescent="0.2">
      <c r="A73" s="696" t="s">
        <v>4173</v>
      </c>
      <c r="B73" s="697" t="s">
        <v>4174</v>
      </c>
      <c r="C73" s="697" t="s">
        <v>2899</v>
      </c>
      <c r="D73" s="697" t="s">
        <v>4187</v>
      </c>
      <c r="E73" s="697" t="s">
        <v>4188</v>
      </c>
      <c r="F73" s="701">
        <v>5514</v>
      </c>
      <c r="G73" s="701">
        <v>126822</v>
      </c>
      <c r="H73" s="701"/>
      <c r="I73" s="701">
        <v>23</v>
      </c>
      <c r="J73" s="701">
        <v>6354</v>
      </c>
      <c r="K73" s="701">
        <v>146142</v>
      </c>
      <c r="L73" s="701"/>
      <c r="M73" s="701">
        <v>23</v>
      </c>
      <c r="N73" s="701">
        <v>7292</v>
      </c>
      <c r="O73" s="701">
        <v>175008</v>
      </c>
      <c r="P73" s="726"/>
      <c r="Q73" s="702">
        <v>24</v>
      </c>
    </row>
    <row r="74" spans="1:17" ht="14.45" customHeight="1" x14ac:dyDescent="0.2">
      <c r="A74" s="696" t="s">
        <v>4173</v>
      </c>
      <c r="B74" s="697" t="s">
        <v>4174</v>
      </c>
      <c r="C74" s="697" t="s">
        <v>2899</v>
      </c>
      <c r="D74" s="697" t="s">
        <v>4189</v>
      </c>
      <c r="E74" s="697" t="s">
        <v>4190</v>
      </c>
      <c r="F74" s="701">
        <v>12</v>
      </c>
      <c r="G74" s="701">
        <v>828</v>
      </c>
      <c r="H74" s="701"/>
      <c r="I74" s="701">
        <v>69</v>
      </c>
      <c r="J74" s="701">
        <v>11</v>
      </c>
      <c r="K74" s="701">
        <v>759</v>
      </c>
      <c r="L74" s="701"/>
      <c r="M74" s="701">
        <v>69</v>
      </c>
      <c r="N74" s="701">
        <v>13</v>
      </c>
      <c r="O74" s="701">
        <v>910</v>
      </c>
      <c r="P74" s="726"/>
      <c r="Q74" s="702">
        <v>70</v>
      </c>
    </row>
    <row r="75" spans="1:17" ht="14.45" customHeight="1" x14ac:dyDescent="0.2">
      <c r="A75" s="696" t="s">
        <v>4173</v>
      </c>
      <c r="B75" s="697" t="s">
        <v>4174</v>
      </c>
      <c r="C75" s="697" t="s">
        <v>2899</v>
      </c>
      <c r="D75" s="697" t="s">
        <v>4191</v>
      </c>
      <c r="E75" s="697" t="s">
        <v>4192</v>
      </c>
      <c r="F75" s="701">
        <v>5036</v>
      </c>
      <c r="G75" s="701">
        <v>312232</v>
      </c>
      <c r="H75" s="701"/>
      <c r="I75" s="701">
        <v>62</v>
      </c>
      <c r="J75" s="701">
        <v>6048</v>
      </c>
      <c r="K75" s="701">
        <v>381024</v>
      </c>
      <c r="L75" s="701"/>
      <c r="M75" s="701">
        <v>63</v>
      </c>
      <c r="N75" s="701">
        <v>6606</v>
      </c>
      <c r="O75" s="701">
        <v>416178</v>
      </c>
      <c r="P75" s="726"/>
      <c r="Q75" s="702">
        <v>63</v>
      </c>
    </row>
    <row r="76" spans="1:17" ht="14.45" customHeight="1" x14ac:dyDescent="0.2">
      <c r="A76" s="696" t="s">
        <v>4173</v>
      </c>
      <c r="B76" s="697" t="s">
        <v>4174</v>
      </c>
      <c r="C76" s="697" t="s">
        <v>2899</v>
      </c>
      <c r="D76" s="697" t="s">
        <v>4193</v>
      </c>
      <c r="E76" s="697" t="s">
        <v>4194</v>
      </c>
      <c r="F76" s="701">
        <v>1</v>
      </c>
      <c r="G76" s="701">
        <v>395</v>
      </c>
      <c r="H76" s="701"/>
      <c r="I76" s="701">
        <v>395</v>
      </c>
      <c r="J76" s="701">
        <v>3</v>
      </c>
      <c r="K76" s="701">
        <v>1185</v>
      </c>
      <c r="L76" s="701"/>
      <c r="M76" s="701">
        <v>395</v>
      </c>
      <c r="N76" s="701">
        <v>2</v>
      </c>
      <c r="O76" s="701">
        <v>792</v>
      </c>
      <c r="P76" s="726"/>
      <c r="Q76" s="702">
        <v>396</v>
      </c>
    </row>
    <row r="77" spans="1:17" ht="14.45" customHeight="1" x14ac:dyDescent="0.2">
      <c r="A77" s="696" t="s">
        <v>4173</v>
      </c>
      <c r="B77" s="697" t="s">
        <v>4174</v>
      </c>
      <c r="C77" s="697" t="s">
        <v>2899</v>
      </c>
      <c r="D77" s="697" t="s">
        <v>4195</v>
      </c>
      <c r="E77" s="697" t="s">
        <v>4196</v>
      </c>
      <c r="F77" s="701">
        <v>7</v>
      </c>
      <c r="G77" s="701">
        <v>588</v>
      </c>
      <c r="H77" s="701"/>
      <c r="I77" s="701">
        <v>84</v>
      </c>
      <c r="J77" s="701">
        <v>16</v>
      </c>
      <c r="K77" s="701">
        <v>1360</v>
      </c>
      <c r="L77" s="701"/>
      <c r="M77" s="701">
        <v>85</v>
      </c>
      <c r="N77" s="701">
        <v>11</v>
      </c>
      <c r="O77" s="701">
        <v>946</v>
      </c>
      <c r="P77" s="726"/>
      <c r="Q77" s="702">
        <v>86</v>
      </c>
    </row>
    <row r="78" spans="1:17" ht="14.45" customHeight="1" x14ac:dyDescent="0.2">
      <c r="A78" s="696" t="s">
        <v>4173</v>
      </c>
      <c r="B78" s="697" t="s">
        <v>4174</v>
      </c>
      <c r="C78" s="697" t="s">
        <v>2899</v>
      </c>
      <c r="D78" s="697" t="s">
        <v>4197</v>
      </c>
      <c r="E78" s="697" t="s">
        <v>4198</v>
      </c>
      <c r="F78" s="701">
        <v>157</v>
      </c>
      <c r="G78" s="701">
        <v>155116</v>
      </c>
      <c r="H78" s="701"/>
      <c r="I78" s="701">
        <v>988</v>
      </c>
      <c r="J78" s="701">
        <v>135</v>
      </c>
      <c r="K78" s="701">
        <v>133380</v>
      </c>
      <c r="L78" s="701"/>
      <c r="M78" s="701">
        <v>988</v>
      </c>
      <c r="N78" s="701">
        <v>189</v>
      </c>
      <c r="O78" s="701">
        <v>187110</v>
      </c>
      <c r="P78" s="726"/>
      <c r="Q78" s="702">
        <v>990</v>
      </c>
    </row>
    <row r="79" spans="1:17" ht="14.45" customHeight="1" x14ac:dyDescent="0.2">
      <c r="A79" s="696" t="s">
        <v>4173</v>
      </c>
      <c r="B79" s="697" t="s">
        <v>4174</v>
      </c>
      <c r="C79" s="697" t="s">
        <v>2899</v>
      </c>
      <c r="D79" s="697" t="s">
        <v>4199</v>
      </c>
      <c r="E79" s="697" t="s">
        <v>4200</v>
      </c>
      <c r="F79" s="701"/>
      <c r="G79" s="701"/>
      <c r="H79" s="701"/>
      <c r="I79" s="701"/>
      <c r="J79" s="701">
        <v>1</v>
      </c>
      <c r="K79" s="701">
        <v>191</v>
      </c>
      <c r="L79" s="701"/>
      <c r="M79" s="701">
        <v>191</v>
      </c>
      <c r="N79" s="701">
        <v>1</v>
      </c>
      <c r="O79" s="701">
        <v>192</v>
      </c>
      <c r="P79" s="726"/>
      <c r="Q79" s="702">
        <v>192</v>
      </c>
    </row>
    <row r="80" spans="1:17" ht="14.45" customHeight="1" x14ac:dyDescent="0.2">
      <c r="A80" s="696" t="s">
        <v>4173</v>
      </c>
      <c r="B80" s="697" t="s">
        <v>4174</v>
      </c>
      <c r="C80" s="697" t="s">
        <v>2899</v>
      </c>
      <c r="D80" s="697" t="s">
        <v>4201</v>
      </c>
      <c r="E80" s="697" t="s">
        <v>4202</v>
      </c>
      <c r="F80" s="701">
        <v>6</v>
      </c>
      <c r="G80" s="701">
        <v>492</v>
      </c>
      <c r="H80" s="701"/>
      <c r="I80" s="701">
        <v>82</v>
      </c>
      <c r="J80" s="701">
        <v>13</v>
      </c>
      <c r="K80" s="701">
        <v>1066</v>
      </c>
      <c r="L80" s="701"/>
      <c r="M80" s="701">
        <v>82</v>
      </c>
      <c r="N80" s="701">
        <v>6</v>
      </c>
      <c r="O80" s="701">
        <v>498</v>
      </c>
      <c r="P80" s="726"/>
      <c r="Q80" s="702">
        <v>83</v>
      </c>
    </row>
    <row r="81" spans="1:17" ht="14.45" customHeight="1" x14ac:dyDescent="0.2">
      <c r="A81" s="696" t="s">
        <v>4173</v>
      </c>
      <c r="B81" s="697" t="s">
        <v>4174</v>
      </c>
      <c r="C81" s="697" t="s">
        <v>2899</v>
      </c>
      <c r="D81" s="697" t="s">
        <v>4203</v>
      </c>
      <c r="E81" s="697" t="s">
        <v>4204</v>
      </c>
      <c r="F81" s="701">
        <v>10</v>
      </c>
      <c r="G81" s="701">
        <v>640</v>
      </c>
      <c r="H81" s="701"/>
      <c r="I81" s="701">
        <v>64</v>
      </c>
      <c r="J81" s="701">
        <v>20</v>
      </c>
      <c r="K81" s="701">
        <v>1280</v>
      </c>
      <c r="L81" s="701"/>
      <c r="M81" s="701">
        <v>64</v>
      </c>
      <c r="N81" s="701">
        <v>21</v>
      </c>
      <c r="O81" s="701">
        <v>1365</v>
      </c>
      <c r="P81" s="726"/>
      <c r="Q81" s="702">
        <v>65</v>
      </c>
    </row>
    <row r="82" spans="1:17" ht="14.45" customHeight="1" x14ac:dyDescent="0.2">
      <c r="A82" s="696" t="s">
        <v>4173</v>
      </c>
      <c r="B82" s="697" t="s">
        <v>4174</v>
      </c>
      <c r="C82" s="697" t="s">
        <v>2899</v>
      </c>
      <c r="D82" s="697" t="s">
        <v>4205</v>
      </c>
      <c r="E82" s="697" t="s">
        <v>4206</v>
      </c>
      <c r="F82" s="701">
        <v>880</v>
      </c>
      <c r="G82" s="701">
        <v>14960</v>
      </c>
      <c r="H82" s="701"/>
      <c r="I82" s="701">
        <v>17</v>
      </c>
      <c r="J82" s="701">
        <v>953</v>
      </c>
      <c r="K82" s="701">
        <v>16201</v>
      </c>
      <c r="L82" s="701"/>
      <c r="M82" s="701">
        <v>17</v>
      </c>
      <c r="N82" s="701">
        <v>255</v>
      </c>
      <c r="O82" s="701">
        <v>4335</v>
      </c>
      <c r="P82" s="726"/>
      <c r="Q82" s="702">
        <v>17</v>
      </c>
    </row>
    <row r="83" spans="1:17" ht="14.45" customHeight="1" x14ac:dyDescent="0.2">
      <c r="A83" s="696" t="s">
        <v>4173</v>
      </c>
      <c r="B83" s="697" t="s">
        <v>4174</v>
      </c>
      <c r="C83" s="697" t="s">
        <v>2899</v>
      </c>
      <c r="D83" s="697" t="s">
        <v>4207</v>
      </c>
      <c r="E83" s="697" t="s">
        <v>4208</v>
      </c>
      <c r="F83" s="701">
        <v>1</v>
      </c>
      <c r="G83" s="701">
        <v>108</v>
      </c>
      <c r="H83" s="701"/>
      <c r="I83" s="701">
        <v>108</v>
      </c>
      <c r="J83" s="701"/>
      <c r="K83" s="701"/>
      <c r="L83" s="701"/>
      <c r="M83" s="701"/>
      <c r="N83" s="701"/>
      <c r="O83" s="701"/>
      <c r="P83" s="726"/>
      <c r="Q83" s="702"/>
    </row>
    <row r="84" spans="1:17" ht="14.45" customHeight="1" x14ac:dyDescent="0.2">
      <c r="A84" s="696" t="s">
        <v>4173</v>
      </c>
      <c r="B84" s="697" t="s">
        <v>4174</v>
      </c>
      <c r="C84" s="697" t="s">
        <v>2899</v>
      </c>
      <c r="D84" s="697" t="s">
        <v>4209</v>
      </c>
      <c r="E84" s="697" t="s">
        <v>4210</v>
      </c>
      <c r="F84" s="701">
        <v>3</v>
      </c>
      <c r="G84" s="701">
        <v>195</v>
      </c>
      <c r="H84" s="701"/>
      <c r="I84" s="701">
        <v>65</v>
      </c>
      <c r="J84" s="701">
        <v>3</v>
      </c>
      <c r="K84" s="701">
        <v>198</v>
      </c>
      <c r="L84" s="701"/>
      <c r="M84" s="701">
        <v>66</v>
      </c>
      <c r="N84" s="701">
        <v>2</v>
      </c>
      <c r="O84" s="701">
        <v>134</v>
      </c>
      <c r="P84" s="726"/>
      <c r="Q84" s="702">
        <v>67</v>
      </c>
    </row>
    <row r="85" spans="1:17" ht="14.45" customHeight="1" x14ac:dyDescent="0.2">
      <c r="A85" s="696" t="s">
        <v>4173</v>
      </c>
      <c r="B85" s="697" t="s">
        <v>4174</v>
      </c>
      <c r="C85" s="697" t="s">
        <v>2899</v>
      </c>
      <c r="D85" s="697" t="s">
        <v>4211</v>
      </c>
      <c r="E85" s="697" t="s">
        <v>4212</v>
      </c>
      <c r="F85" s="701">
        <v>6</v>
      </c>
      <c r="G85" s="701">
        <v>282</v>
      </c>
      <c r="H85" s="701"/>
      <c r="I85" s="701">
        <v>47</v>
      </c>
      <c r="J85" s="701">
        <v>5</v>
      </c>
      <c r="K85" s="701">
        <v>235</v>
      </c>
      <c r="L85" s="701"/>
      <c r="M85" s="701">
        <v>47</v>
      </c>
      <c r="N85" s="701">
        <v>4</v>
      </c>
      <c r="O85" s="701">
        <v>188</v>
      </c>
      <c r="P85" s="726"/>
      <c r="Q85" s="702">
        <v>47</v>
      </c>
    </row>
    <row r="86" spans="1:17" ht="14.45" customHeight="1" x14ac:dyDescent="0.2">
      <c r="A86" s="696" t="s">
        <v>4173</v>
      </c>
      <c r="B86" s="697" t="s">
        <v>4174</v>
      </c>
      <c r="C86" s="697" t="s">
        <v>2899</v>
      </c>
      <c r="D86" s="697" t="s">
        <v>4213</v>
      </c>
      <c r="E86" s="697" t="s">
        <v>4214</v>
      </c>
      <c r="F86" s="701">
        <v>1</v>
      </c>
      <c r="G86" s="701">
        <v>61</v>
      </c>
      <c r="H86" s="701"/>
      <c r="I86" s="701">
        <v>61</v>
      </c>
      <c r="J86" s="701">
        <v>3</v>
      </c>
      <c r="K86" s="701">
        <v>183</v>
      </c>
      <c r="L86" s="701"/>
      <c r="M86" s="701">
        <v>61</v>
      </c>
      <c r="N86" s="701">
        <v>11</v>
      </c>
      <c r="O86" s="701">
        <v>682</v>
      </c>
      <c r="P86" s="726"/>
      <c r="Q86" s="702">
        <v>62</v>
      </c>
    </row>
    <row r="87" spans="1:17" ht="14.45" customHeight="1" x14ac:dyDescent="0.2">
      <c r="A87" s="696" t="s">
        <v>4173</v>
      </c>
      <c r="B87" s="697" t="s">
        <v>4174</v>
      </c>
      <c r="C87" s="697" t="s">
        <v>2899</v>
      </c>
      <c r="D87" s="697" t="s">
        <v>4215</v>
      </c>
      <c r="E87" s="697" t="s">
        <v>4216</v>
      </c>
      <c r="F87" s="701">
        <v>1</v>
      </c>
      <c r="G87" s="701">
        <v>61</v>
      </c>
      <c r="H87" s="701"/>
      <c r="I87" s="701">
        <v>61</v>
      </c>
      <c r="J87" s="701"/>
      <c r="K87" s="701"/>
      <c r="L87" s="701"/>
      <c r="M87" s="701"/>
      <c r="N87" s="701"/>
      <c r="O87" s="701"/>
      <c r="P87" s="726"/>
      <c r="Q87" s="702"/>
    </row>
    <row r="88" spans="1:17" ht="14.45" customHeight="1" x14ac:dyDescent="0.2">
      <c r="A88" s="696" t="s">
        <v>4173</v>
      </c>
      <c r="B88" s="697" t="s">
        <v>4174</v>
      </c>
      <c r="C88" s="697" t="s">
        <v>2899</v>
      </c>
      <c r="D88" s="697" t="s">
        <v>4217</v>
      </c>
      <c r="E88" s="697" t="s">
        <v>4218</v>
      </c>
      <c r="F88" s="701"/>
      <c r="G88" s="701"/>
      <c r="H88" s="701"/>
      <c r="I88" s="701"/>
      <c r="J88" s="701"/>
      <c r="K88" s="701"/>
      <c r="L88" s="701"/>
      <c r="M88" s="701"/>
      <c r="N88" s="701">
        <v>3</v>
      </c>
      <c r="O88" s="701">
        <v>57</v>
      </c>
      <c r="P88" s="726"/>
      <c r="Q88" s="702">
        <v>19</v>
      </c>
    </row>
    <row r="89" spans="1:17" ht="14.45" customHeight="1" x14ac:dyDescent="0.2">
      <c r="A89" s="696" t="s">
        <v>4173</v>
      </c>
      <c r="B89" s="697" t="s">
        <v>4174</v>
      </c>
      <c r="C89" s="697" t="s">
        <v>2899</v>
      </c>
      <c r="D89" s="697" t="s">
        <v>4219</v>
      </c>
      <c r="E89" s="697" t="s">
        <v>4220</v>
      </c>
      <c r="F89" s="701"/>
      <c r="G89" s="701"/>
      <c r="H89" s="701"/>
      <c r="I89" s="701"/>
      <c r="J89" s="701">
        <v>1</v>
      </c>
      <c r="K89" s="701">
        <v>1474</v>
      </c>
      <c r="L89" s="701"/>
      <c r="M89" s="701">
        <v>1474</v>
      </c>
      <c r="N89" s="701">
        <v>12</v>
      </c>
      <c r="O89" s="701">
        <v>17856</v>
      </c>
      <c r="P89" s="726"/>
      <c r="Q89" s="702">
        <v>1488</v>
      </c>
    </row>
    <row r="90" spans="1:17" ht="14.45" customHeight="1" x14ac:dyDescent="0.2">
      <c r="A90" s="696" t="s">
        <v>4173</v>
      </c>
      <c r="B90" s="697" t="s">
        <v>4174</v>
      </c>
      <c r="C90" s="697" t="s">
        <v>2899</v>
      </c>
      <c r="D90" s="697" t="s">
        <v>4221</v>
      </c>
      <c r="E90" s="697" t="s">
        <v>4222</v>
      </c>
      <c r="F90" s="701">
        <v>5</v>
      </c>
      <c r="G90" s="701">
        <v>2320</v>
      </c>
      <c r="H90" s="701"/>
      <c r="I90" s="701">
        <v>464</v>
      </c>
      <c r="J90" s="701">
        <v>5</v>
      </c>
      <c r="K90" s="701">
        <v>2325</v>
      </c>
      <c r="L90" s="701"/>
      <c r="M90" s="701">
        <v>465</v>
      </c>
      <c r="N90" s="701">
        <v>3</v>
      </c>
      <c r="O90" s="701">
        <v>1401</v>
      </c>
      <c r="P90" s="726"/>
      <c r="Q90" s="702">
        <v>467</v>
      </c>
    </row>
    <row r="91" spans="1:17" ht="14.45" customHeight="1" x14ac:dyDescent="0.2">
      <c r="A91" s="696" t="s">
        <v>4173</v>
      </c>
      <c r="B91" s="697" t="s">
        <v>4174</v>
      </c>
      <c r="C91" s="697" t="s">
        <v>2899</v>
      </c>
      <c r="D91" s="697" t="s">
        <v>4223</v>
      </c>
      <c r="E91" s="697" t="s">
        <v>4224</v>
      </c>
      <c r="F91" s="701"/>
      <c r="G91" s="701"/>
      <c r="H91" s="701"/>
      <c r="I91" s="701"/>
      <c r="J91" s="701"/>
      <c r="K91" s="701"/>
      <c r="L91" s="701"/>
      <c r="M91" s="701"/>
      <c r="N91" s="701">
        <v>2</v>
      </c>
      <c r="O91" s="701">
        <v>630</v>
      </c>
      <c r="P91" s="726"/>
      <c r="Q91" s="702">
        <v>315</v>
      </c>
    </row>
    <row r="92" spans="1:17" ht="14.45" customHeight="1" x14ac:dyDescent="0.2">
      <c r="A92" s="696" t="s">
        <v>4173</v>
      </c>
      <c r="B92" s="697" t="s">
        <v>4174</v>
      </c>
      <c r="C92" s="697" t="s">
        <v>2899</v>
      </c>
      <c r="D92" s="697" t="s">
        <v>4225</v>
      </c>
      <c r="E92" s="697" t="s">
        <v>4226</v>
      </c>
      <c r="F92" s="701">
        <v>151</v>
      </c>
      <c r="G92" s="701">
        <v>128954</v>
      </c>
      <c r="H92" s="701"/>
      <c r="I92" s="701">
        <v>854</v>
      </c>
      <c r="J92" s="701">
        <v>234</v>
      </c>
      <c r="K92" s="701">
        <v>200070</v>
      </c>
      <c r="L92" s="701"/>
      <c r="M92" s="701">
        <v>855</v>
      </c>
      <c r="N92" s="701">
        <v>245</v>
      </c>
      <c r="O92" s="701">
        <v>209965</v>
      </c>
      <c r="P92" s="726"/>
      <c r="Q92" s="702">
        <v>857</v>
      </c>
    </row>
    <row r="93" spans="1:17" ht="14.45" customHeight="1" x14ac:dyDescent="0.2">
      <c r="A93" s="696" t="s">
        <v>4173</v>
      </c>
      <c r="B93" s="697" t="s">
        <v>4174</v>
      </c>
      <c r="C93" s="697" t="s">
        <v>2899</v>
      </c>
      <c r="D93" s="697" t="s">
        <v>4227</v>
      </c>
      <c r="E93" s="697" t="s">
        <v>4228</v>
      </c>
      <c r="F93" s="701">
        <v>29</v>
      </c>
      <c r="G93" s="701">
        <v>5452</v>
      </c>
      <c r="H93" s="701"/>
      <c r="I93" s="701">
        <v>188</v>
      </c>
      <c r="J93" s="701">
        <v>49</v>
      </c>
      <c r="K93" s="701">
        <v>9212</v>
      </c>
      <c r="L93" s="701"/>
      <c r="M93" s="701">
        <v>188</v>
      </c>
      <c r="N93" s="701">
        <v>20</v>
      </c>
      <c r="O93" s="701">
        <v>3800</v>
      </c>
      <c r="P93" s="726"/>
      <c r="Q93" s="702">
        <v>190</v>
      </c>
    </row>
    <row r="94" spans="1:17" ht="14.45" customHeight="1" x14ac:dyDescent="0.2">
      <c r="A94" s="696" t="s">
        <v>4173</v>
      </c>
      <c r="B94" s="697" t="s">
        <v>4174</v>
      </c>
      <c r="C94" s="697" t="s">
        <v>2899</v>
      </c>
      <c r="D94" s="697" t="s">
        <v>4229</v>
      </c>
      <c r="E94" s="697" t="s">
        <v>4230</v>
      </c>
      <c r="F94" s="701"/>
      <c r="G94" s="701"/>
      <c r="H94" s="701"/>
      <c r="I94" s="701"/>
      <c r="J94" s="701">
        <v>2</v>
      </c>
      <c r="K94" s="701">
        <v>336</v>
      </c>
      <c r="L94" s="701"/>
      <c r="M94" s="701">
        <v>168</v>
      </c>
      <c r="N94" s="701"/>
      <c r="O94" s="701"/>
      <c r="P94" s="726"/>
      <c r="Q94" s="702"/>
    </row>
    <row r="95" spans="1:17" ht="14.45" customHeight="1" x14ac:dyDescent="0.2">
      <c r="A95" s="696" t="s">
        <v>4173</v>
      </c>
      <c r="B95" s="697" t="s">
        <v>4174</v>
      </c>
      <c r="C95" s="697" t="s">
        <v>2899</v>
      </c>
      <c r="D95" s="697" t="s">
        <v>4231</v>
      </c>
      <c r="E95" s="697" t="s">
        <v>4232</v>
      </c>
      <c r="F95" s="701"/>
      <c r="G95" s="701"/>
      <c r="H95" s="701"/>
      <c r="I95" s="701"/>
      <c r="J95" s="701">
        <v>7</v>
      </c>
      <c r="K95" s="701">
        <v>1169</v>
      </c>
      <c r="L95" s="701"/>
      <c r="M95" s="701">
        <v>167</v>
      </c>
      <c r="N95" s="701">
        <v>3</v>
      </c>
      <c r="O95" s="701">
        <v>504</v>
      </c>
      <c r="P95" s="726"/>
      <c r="Q95" s="702">
        <v>168</v>
      </c>
    </row>
    <row r="96" spans="1:17" ht="14.45" customHeight="1" x14ac:dyDescent="0.2">
      <c r="A96" s="696" t="s">
        <v>4173</v>
      </c>
      <c r="B96" s="697" t="s">
        <v>4174</v>
      </c>
      <c r="C96" s="697" t="s">
        <v>2899</v>
      </c>
      <c r="D96" s="697" t="s">
        <v>4233</v>
      </c>
      <c r="E96" s="697" t="s">
        <v>4234</v>
      </c>
      <c r="F96" s="701"/>
      <c r="G96" s="701"/>
      <c r="H96" s="701"/>
      <c r="I96" s="701"/>
      <c r="J96" s="701"/>
      <c r="K96" s="701"/>
      <c r="L96" s="701"/>
      <c r="M96" s="701"/>
      <c r="N96" s="701">
        <v>1</v>
      </c>
      <c r="O96" s="701">
        <v>240</v>
      </c>
      <c r="P96" s="726"/>
      <c r="Q96" s="702">
        <v>240</v>
      </c>
    </row>
    <row r="97" spans="1:17" ht="14.45" customHeight="1" x14ac:dyDescent="0.2">
      <c r="A97" s="696" t="s">
        <v>4173</v>
      </c>
      <c r="B97" s="697" t="s">
        <v>4174</v>
      </c>
      <c r="C97" s="697" t="s">
        <v>2899</v>
      </c>
      <c r="D97" s="697" t="s">
        <v>4235</v>
      </c>
      <c r="E97" s="697" t="s">
        <v>4236</v>
      </c>
      <c r="F97" s="701"/>
      <c r="G97" s="701"/>
      <c r="H97" s="701"/>
      <c r="I97" s="701"/>
      <c r="J97" s="701"/>
      <c r="K97" s="701"/>
      <c r="L97" s="701"/>
      <c r="M97" s="701"/>
      <c r="N97" s="701">
        <v>1</v>
      </c>
      <c r="O97" s="701">
        <v>424</v>
      </c>
      <c r="P97" s="726"/>
      <c r="Q97" s="702">
        <v>424</v>
      </c>
    </row>
    <row r="98" spans="1:17" ht="14.45" customHeight="1" x14ac:dyDescent="0.2">
      <c r="A98" s="696" t="s">
        <v>4173</v>
      </c>
      <c r="B98" s="697" t="s">
        <v>4174</v>
      </c>
      <c r="C98" s="697" t="s">
        <v>2899</v>
      </c>
      <c r="D98" s="697" t="s">
        <v>4237</v>
      </c>
      <c r="E98" s="697" t="s">
        <v>4238</v>
      </c>
      <c r="F98" s="701"/>
      <c r="G98" s="701"/>
      <c r="H98" s="701"/>
      <c r="I98" s="701"/>
      <c r="J98" s="701">
        <v>1</v>
      </c>
      <c r="K98" s="701">
        <v>354</v>
      </c>
      <c r="L98" s="701"/>
      <c r="M98" s="701">
        <v>354</v>
      </c>
      <c r="N98" s="701">
        <v>1</v>
      </c>
      <c r="O98" s="701">
        <v>356</v>
      </c>
      <c r="P98" s="726"/>
      <c r="Q98" s="702">
        <v>356</v>
      </c>
    </row>
    <row r="99" spans="1:17" ht="14.45" customHeight="1" x14ac:dyDescent="0.2">
      <c r="A99" s="696" t="s">
        <v>4173</v>
      </c>
      <c r="B99" s="697" t="s">
        <v>4174</v>
      </c>
      <c r="C99" s="697" t="s">
        <v>2899</v>
      </c>
      <c r="D99" s="697" t="s">
        <v>4239</v>
      </c>
      <c r="E99" s="697" t="s">
        <v>4240</v>
      </c>
      <c r="F99" s="701"/>
      <c r="G99" s="701"/>
      <c r="H99" s="701"/>
      <c r="I99" s="701"/>
      <c r="J99" s="701">
        <v>1</v>
      </c>
      <c r="K99" s="701">
        <v>354</v>
      </c>
      <c r="L99" s="701"/>
      <c r="M99" s="701">
        <v>354</v>
      </c>
      <c r="N99" s="701">
        <v>1</v>
      </c>
      <c r="O99" s="701">
        <v>356</v>
      </c>
      <c r="P99" s="726"/>
      <c r="Q99" s="702">
        <v>356</v>
      </c>
    </row>
    <row r="100" spans="1:17" ht="14.45" customHeight="1" x14ac:dyDescent="0.2">
      <c r="A100" s="696" t="s">
        <v>4173</v>
      </c>
      <c r="B100" s="697" t="s">
        <v>4174</v>
      </c>
      <c r="C100" s="697" t="s">
        <v>2899</v>
      </c>
      <c r="D100" s="697" t="s">
        <v>4241</v>
      </c>
      <c r="E100" s="697" t="s">
        <v>4242</v>
      </c>
      <c r="F100" s="701">
        <v>3</v>
      </c>
      <c r="G100" s="701">
        <v>3681</v>
      </c>
      <c r="H100" s="701"/>
      <c r="I100" s="701">
        <v>1227</v>
      </c>
      <c r="J100" s="701">
        <v>3</v>
      </c>
      <c r="K100" s="701">
        <v>3690</v>
      </c>
      <c r="L100" s="701"/>
      <c r="M100" s="701">
        <v>1230</v>
      </c>
      <c r="N100" s="701">
        <v>3</v>
      </c>
      <c r="O100" s="701">
        <v>3720</v>
      </c>
      <c r="P100" s="726"/>
      <c r="Q100" s="702">
        <v>1240</v>
      </c>
    </row>
    <row r="101" spans="1:17" ht="14.45" customHeight="1" x14ac:dyDescent="0.2">
      <c r="A101" s="696" t="s">
        <v>4173</v>
      </c>
      <c r="B101" s="697" t="s">
        <v>4174</v>
      </c>
      <c r="C101" s="697" t="s">
        <v>2899</v>
      </c>
      <c r="D101" s="697" t="s">
        <v>4243</v>
      </c>
      <c r="E101" s="697" t="s">
        <v>4244</v>
      </c>
      <c r="F101" s="701">
        <v>858</v>
      </c>
      <c r="G101" s="701">
        <v>676962</v>
      </c>
      <c r="H101" s="701"/>
      <c r="I101" s="701">
        <v>789</v>
      </c>
      <c r="J101" s="701">
        <v>1117</v>
      </c>
      <c r="K101" s="701">
        <v>883547</v>
      </c>
      <c r="L101" s="701"/>
      <c r="M101" s="701">
        <v>791</v>
      </c>
      <c r="N101" s="701">
        <v>1277</v>
      </c>
      <c r="O101" s="701">
        <v>1013938</v>
      </c>
      <c r="P101" s="726"/>
      <c r="Q101" s="702">
        <v>794</v>
      </c>
    </row>
    <row r="102" spans="1:17" ht="14.45" customHeight="1" x14ac:dyDescent="0.2">
      <c r="A102" s="696" t="s">
        <v>4173</v>
      </c>
      <c r="B102" s="697" t="s">
        <v>4174</v>
      </c>
      <c r="C102" s="697" t="s">
        <v>2899</v>
      </c>
      <c r="D102" s="697" t="s">
        <v>4245</v>
      </c>
      <c r="E102" s="697" t="s">
        <v>4246</v>
      </c>
      <c r="F102" s="701"/>
      <c r="G102" s="701"/>
      <c r="H102" s="701"/>
      <c r="I102" s="701"/>
      <c r="J102" s="701">
        <v>1</v>
      </c>
      <c r="K102" s="701">
        <v>191</v>
      </c>
      <c r="L102" s="701"/>
      <c r="M102" s="701">
        <v>191</v>
      </c>
      <c r="N102" s="701">
        <v>8</v>
      </c>
      <c r="O102" s="701">
        <v>1544</v>
      </c>
      <c r="P102" s="726"/>
      <c r="Q102" s="702">
        <v>193</v>
      </c>
    </row>
    <row r="103" spans="1:17" ht="14.45" customHeight="1" x14ac:dyDescent="0.2">
      <c r="A103" s="696" t="s">
        <v>4173</v>
      </c>
      <c r="B103" s="697" t="s">
        <v>4174</v>
      </c>
      <c r="C103" s="697" t="s">
        <v>2899</v>
      </c>
      <c r="D103" s="697" t="s">
        <v>4247</v>
      </c>
      <c r="E103" s="697" t="s">
        <v>4248</v>
      </c>
      <c r="F103" s="701"/>
      <c r="G103" s="701"/>
      <c r="H103" s="701"/>
      <c r="I103" s="701"/>
      <c r="J103" s="701"/>
      <c r="K103" s="701"/>
      <c r="L103" s="701"/>
      <c r="M103" s="701"/>
      <c r="N103" s="701">
        <v>1</v>
      </c>
      <c r="O103" s="701">
        <v>368</v>
      </c>
      <c r="P103" s="726"/>
      <c r="Q103" s="702">
        <v>368</v>
      </c>
    </row>
    <row r="104" spans="1:17" ht="14.45" customHeight="1" x14ac:dyDescent="0.2">
      <c r="A104" s="696" t="s">
        <v>4173</v>
      </c>
      <c r="B104" s="697" t="s">
        <v>4174</v>
      </c>
      <c r="C104" s="697" t="s">
        <v>2899</v>
      </c>
      <c r="D104" s="697" t="s">
        <v>4249</v>
      </c>
      <c r="E104" s="697" t="s">
        <v>4250</v>
      </c>
      <c r="F104" s="701">
        <v>1</v>
      </c>
      <c r="G104" s="701">
        <v>229</v>
      </c>
      <c r="H104" s="701"/>
      <c r="I104" s="701">
        <v>229</v>
      </c>
      <c r="J104" s="701">
        <v>1</v>
      </c>
      <c r="K104" s="701">
        <v>230</v>
      </c>
      <c r="L104" s="701"/>
      <c r="M104" s="701">
        <v>230</v>
      </c>
      <c r="N104" s="701">
        <v>2</v>
      </c>
      <c r="O104" s="701">
        <v>464</v>
      </c>
      <c r="P104" s="726"/>
      <c r="Q104" s="702">
        <v>232</v>
      </c>
    </row>
    <row r="105" spans="1:17" ht="14.45" customHeight="1" x14ac:dyDescent="0.2">
      <c r="A105" s="696" t="s">
        <v>4173</v>
      </c>
      <c r="B105" s="697" t="s">
        <v>4174</v>
      </c>
      <c r="C105" s="697" t="s">
        <v>2899</v>
      </c>
      <c r="D105" s="697" t="s">
        <v>4251</v>
      </c>
      <c r="E105" s="697" t="s">
        <v>4252</v>
      </c>
      <c r="F105" s="701"/>
      <c r="G105" s="701"/>
      <c r="H105" s="701"/>
      <c r="I105" s="701"/>
      <c r="J105" s="701">
        <v>1</v>
      </c>
      <c r="K105" s="701">
        <v>161</v>
      </c>
      <c r="L105" s="701"/>
      <c r="M105" s="701">
        <v>161</v>
      </c>
      <c r="N105" s="701">
        <v>4</v>
      </c>
      <c r="O105" s="701">
        <v>652</v>
      </c>
      <c r="P105" s="726"/>
      <c r="Q105" s="702">
        <v>163</v>
      </c>
    </row>
    <row r="106" spans="1:17" ht="14.45" customHeight="1" x14ac:dyDescent="0.2">
      <c r="A106" s="696" t="s">
        <v>4173</v>
      </c>
      <c r="B106" s="697" t="s">
        <v>4174</v>
      </c>
      <c r="C106" s="697" t="s">
        <v>2899</v>
      </c>
      <c r="D106" s="697" t="s">
        <v>4253</v>
      </c>
      <c r="E106" s="697" t="s">
        <v>4254</v>
      </c>
      <c r="F106" s="701">
        <v>2</v>
      </c>
      <c r="G106" s="701">
        <v>1126</v>
      </c>
      <c r="H106" s="701"/>
      <c r="I106" s="701">
        <v>563</v>
      </c>
      <c r="J106" s="701">
        <v>1</v>
      </c>
      <c r="K106" s="701">
        <v>564</v>
      </c>
      <c r="L106" s="701"/>
      <c r="M106" s="701">
        <v>564</v>
      </c>
      <c r="N106" s="701"/>
      <c r="O106" s="701"/>
      <c r="P106" s="726"/>
      <c r="Q106" s="702"/>
    </row>
    <row r="107" spans="1:17" ht="14.45" customHeight="1" x14ac:dyDescent="0.2">
      <c r="A107" s="696" t="s">
        <v>4173</v>
      </c>
      <c r="B107" s="697" t="s">
        <v>4174</v>
      </c>
      <c r="C107" s="697" t="s">
        <v>2899</v>
      </c>
      <c r="D107" s="697" t="s">
        <v>4255</v>
      </c>
      <c r="E107" s="697" t="s">
        <v>4256</v>
      </c>
      <c r="F107" s="701"/>
      <c r="G107" s="701"/>
      <c r="H107" s="701"/>
      <c r="I107" s="701"/>
      <c r="J107" s="701"/>
      <c r="K107" s="701"/>
      <c r="L107" s="701"/>
      <c r="M107" s="701"/>
      <c r="N107" s="701">
        <v>9</v>
      </c>
      <c r="O107" s="701">
        <v>8505</v>
      </c>
      <c r="P107" s="726"/>
      <c r="Q107" s="702">
        <v>945</v>
      </c>
    </row>
    <row r="108" spans="1:17" ht="14.45" customHeight="1" x14ac:dyDescent="0.2">
      <c r="A108" s="696" t="s">
        <v>4173</v>
      </c>
      <c r="B108" s="697" t="s">
        <v>4174</v>
      </c>
      <c r="C108" s="697" t="s">
        <v>2899</v>
      </c>
      <c r="D108" s="697" t="s">
        <v>4257</v>
      </c>
      <c r="E108" s="697" t="s">
        <v>4258</v>
      </c>
      <c r="F108" s="701">
        <v>18</v>
      </c>
      <c r="G108" s="701">
        <v>1602</v>
      </c>
      <c r="H108" s="701"/>
      <c r="I108" s="701">
        <v>89</v>
      </c>
      <c r="J108" s="701">
        <v>43</v>
      </c>
      <c r="K108" s="701">
        <v>3870</v>
      </c>
      <c r="L108" s="701"/>
      <c r="M108" s="701">
        <v>90</v>
      </c>
      <c r="N108" s="701">
        <v>87</v>
      </c>
      <c r="O108" s="701">
        <v>7830</v>
      </c>
      <c r="P108" s="726"/>
      <c r="Q108" s="702">
        <v>90</v>
      </c>
    </row>
    <row r="109" spans="1:17" ht="14.45" customHeight="1" x14ac:dyDescent="0.2">
      <c r="A109" s="696" t="s">
        <v>4173</v>
      </c>
      <c r="B109" s="697" t="s">
        <v>4174</v>
      </c>
      <c r="C109" s="697" t="s">
        <v>2899</v>
      </c>
      <c r="D109" s="697" t="s">
        <v>4259</v>
      </c>
      <c r="E109" s="697" t="s">
        <v>4260</v>
      </c>
      <c r="F109" s="701">
        <v>5714</v>
      </c>
      <c r="G109" s="701">
        <v>171420</v>
      </c>
      <c r="H109" s="701"/>
      <c r="I109" s="701">
        <v>30</v>
      </c>
      <c r="J109" s="701">
        <v>6702</v>
      </c>
      <c r="K109" s="701">
        <v>207762</v>
      </c>
      <c r="L109" s="701"/>
      <c r="M109" s="701">
        <v>31</v>
      </c>
      <c r="N109" s="701">
        <v>8173</v>
      </c>
      <c r="O109" s="701">
        <v>253363</v>
      </c>
      <c r="P109" s="726"/>
      <c r="Q109" s="702">
        <v>31</v>
      </c>
    </row>
    <row r="110" spans="1:17" ht="14.45" customHeight="1" x14ac:dyDescent="0.2">
      <c r="A110" s="696" t="s">
        <v>4173</v>
      </c>
      <c r="B110" s="697" t="s">
        <v>4174</v>
      </c>
      <c r="C110" s="697" t="s">
        <v>2899</v>
      </c>
      <c r="D110" s="697" t="s">
        <v>4261</v>
      </c>
      <c r="E110" s="697" t="s">
        <v>4262</v>
      </c>
      <c r="F110" s="701">
        <v>1</v>
      </c>
      <c r="G110" s="701">
        <v>50</v>
      </c>
      <c r="H110" s="701"/>
      <c r="I110" s="701">
        <v>50</v>
      </c>
      <c r="J110" s="701">
        <v>4</v>
      </c>
      <c r="K110" s="701">
        <v>200</v>
      </c>
      <c r="L110" s="701"/>
      <c r="M110" s="701">
        <v>50</v>
      </c>
      <c r="N110" s="701">
        <v>12</v>
      </c>
      <c r="O110" s="701">
        <v>612</v>
      </c>
      <c r="P110" s="726"/>
      <c r="Q110" s="702">
        <v>51</v>
      </c>
    </row>
    <row r="111" spans="1:17" ht="14.45" customHeight="1" x14ac:dyDescent="0.2">
      <c r="A111" s="696" t="s">
        <v>4173</v>
      </c>
      <c r="B111" s="697" t="s">
        <v>4174</v>
      </c>
      <c r="C111" s="697" t="s">
        <v>2899</v>
      </c>
      <c r="D111" s="697" t="s">
        <v>4263</v>
      </c>
      <c r="E111" s="697" t="s">
        <v>4264</v>
      </c>
      <c r="F111" s="701">
        <v>410</v>
      </c>
      <c r="G111" s="701">
        <v>5330</v>
      </c>
      <c r="H111" s="701"/>
      <c r="I111" s="701">
        <v>13</v>
      </c>
      <c r="J111" s="701">
        <v>419</v>
      </c>
      <c r="K111" s="701">
        <v>5447</v>
      </c>
      <c r="L111" s="701"/>
      <c r="M111" s="701">
        <v>13</v>
      </c>
      <c r="N111" s="701">
        <v>397</v>
      </c>
      <c r="O111" s="701">
        <v>5558</v>
      </c>
      <c r="P111" s="726"/>
      <c r="Q111" s="702">
        <v>14</v>
      </c>
    </row>
    <row r="112" spans="1:17" ht="14.45" customHeight="1" x14ac:dyDescent="0.2">
      <c r="A112" s="696" t="s">
        <v>4173</v>
      </c>
      <c r="B112" s="697" t="s">
        <v>4174</v>
      </c>
      <c r="C112" s="697" t="s">
        <v>2899</v>
      </c>
      <c r="D112" s="697" t="s">
        <v>4265</v>
      </c>
      <c r="E112" s="697" t="s">
        <v>4266</v>
      </c>
      <c r="F112" s="701">
        <v>9</v>
      </c>
      <c r="G112" s="701">
        <v>1656</v>
      </c>
      <c r="H112" s="701"/>
      <c r="I112" s="701">
        <v>184</v>
      </c>
      <c r="J112" s="701">
        <v>10</v>
      </c>
      <c r="K112" s="701">
        <v>1850</v>
      </c>
      <c r="L112" s="701"/>
      <c r="M112" s="701">
        <v>185</v>
      </c>
      <c r="N112" s="701">
        <v>14</v>
      </c>
      <c r="O112" s="701">
        <v>2618</v>
      </c>
      <c r="P112" s="726"/>
      <c r="Q112" s="702">
        <v>187</v>
      </c>
    </row>
    <row r="113" spans="1:17" ht="14.45" customHeight="1" x14ac:dyDescent="0.2">
      <c r="A113" s="696" t="s">
        <v>4173</v>
      </c>
      <c r="B113" s="697" t="s">
        <v>4174</v>
      </c>
      <c r="C113" s="697" t="s">
        <v>2899</v>
      </c>
      <c r="D113" s="697" t="s">
        <v>4267</v>
      </c>
      <c r="E113" s="697" t="s">
        <v>4268</v>
      </c>
      <c r="F113" s="701">
        <v>17</v>
      </c>
      <c r="G113" s="701">
        <v>1241</v>
      </c>
      <c r="H113" s="701"/>
      <c r="I113" s="701">
        <v>73</v>
      </c>
      <c r="J113" s="701">
        <v>29</v>
      </c>
      <c r="K113" s="701">
        <v>2146</v>
      </c>
      <c r="L113" s="701"/>
      <c r="M113" s="701">
        <v>74</v>
      </c>
      <c r="N113" s="701">
        <v>38</v>
      </c>
      <c r="O113" s="701">
        <v>2850</v>
      </c>
      <c r="P113" s="726"/>
      <c r="Q113" s="702">
        <v>75</v>
      </c>
    </row>
    <row r="114" spans="1:17" ht="14.45" customHeight="1" x14ac:dyDescent="0.2">
      <c r="A114" s="696" t="s">
        <v>4173</v>
      </c>
      <c r="B114" s="697" t="s">
        <v>4174</v>
      </c>
      <c r="C114" s="697" t="s">
        <v>2899</v>
      </c>
      <c r="D114" s="697" t="s">
        <v>4269</v>
      </c>
      <c r="E114" s="697" t="s">
        <v>4270</v>
      </c>
      <c r="F114" s="701">
        <v>2</v>
      </c>
      <c r="G114" s="701">
        <v>370</v>
      </c>
      <c r="H114" s="701"/>
      <c r="I114" s="701">
        <v>185</v>
      </c>
      <c r="J114" s="701">
        <v>11</v>
      </c>
      <c r="K114" s="701">
        <v>2046</v>
      </c>
      <c r="L114" s="701"/>
      <c r="M114" s="701">
        <v>186</v>
      </c>
      <c r="N114" s="701">
        <v>7</v>
      </c>
      <c r="O114" s="701">
        <v>1316</v>
      </c>
      <c r="P114" s="726"/>
      <c r="Q114" s="702">
        <v>188</v>
      </c>
    </row>
    <row r="115" spans="1:17" ht="14.45" customHeight="1" x14ac:dyDescent="0.2">
      <c r="A115" s="696" t="s">
        <v>4173</v>
      </c>
      <c r="B115" s="697" t="s">
        <v>4174</v>
      </c>
      <c r="C115" s="697" t="s">
        <v>2899</v>
      </c>
      <c r="D115" s="697" t="s">
        <v>4271</v>
      </c>
      <c r="E115" s="697" t="s">
        <v>4272</v>
      </c>
      <c r="F115" s="701">
        <v>2311</v>
      </c>
      <c r="G115" s="701">
        <v>346650</v>
      </c>
      <c r="H115" s="701"/>
      <c r="I115" s="701">
        <v>150</v>
      </c>
      <c r="J115" s="701">
        <v>2652</v>
      </c>
      <c r="K115" s="701">
        <v>397800</v>
      </c>
      <c r="L115" s="701"/>
      <c r="M115" s="701">
        <v>150</v>
      </c>
      <c r="N115" s="701">
        <v>2909</v>
      </c>
      <c r="O115" s="701">
        <v>439259</v>
      </c>
      <c r="P115" s="726"/>
      <c r="Q115" s="702">
        <v>151</v>
      </c>
    </row>
    <row r="116" spans="1:17" ht="14.45" customHeight="1" x14ac:dyDescent="0.2">
      <c r="A116" s="696" t="s">
        <v>4173</v>
      </c>
      <c r="B116" s="697" t="s">
        <v>4174</v>
      </c>
      <c r="C116" s="697" t="s">
        <v>2899</v>
      </c>
      <c r="D116" s="697" t="s">
        <v>4273</v>
      </c>
      <c r="E116" s="697" t="s">
        <v>4274</v>
      </c>
      <c r="F116" s="701">
        <v>5832</v>
      </c>
      <c r="G116" s="701">
        <v>174960</v>
      </c>
      <c r="H116" s="701"/>
      <c r="I116" s="701">
        <v>30</v>
      </c>
      <c r="J116" s="701">
        <v>6805</v>
      </c>
      <c r="K116" s="701">
        <v>210955</v>
      </c>
      <c r="L116" s="701"/>
      <c r="M116" s="701">
        <v>31</v>
      </c>
      <c r="N116" s="701">
        <v>8186</v>
      </c>
      <c r="O116" s="701">
        <v>253766</v>
      </c>
      <c r="P116" s="726"/>
      <c r="Q116" s="702">
        <v>31</v>
      </c>
    </row>
    <row r="117" spans="1:17" ht="14.45" customHeight="1" x14ac:dyDescent="0.2">
      <c r="A117" s="696" t="s">
        <v>4173</v>
      </c>
      <c r="B117" s="697" t="s">
        <v>4174</v>
      </c>
      <c r="C117" s="697" t="s">
        <v>2899</v>
      </c>
      <c r="D117" s="697" t="s">
        <v>4275</v>
      </c>
      <c r="E117" s="697" t="s">
        <v>4276</v>
      </c>
      <c r="F117" s="701">
        <v>352</v>
      </c>
      <c r="G117" s="701">
        <v>10912</v>
      </c>
      <c r="H117" s="701"/>
      <c r="I117" s="701">
        <v>31</v>
      </c>
      <c r="J117" s="701">
        <v>365</v>
      </c>
      <c r="K117" s="701">
        <v>11315</v>
      </c>
      <c r="L117" s="701"/>
      <c r="M117" s="701">
        <v>31</v>
      </c>
      <c r="N117" s="701">
        <v>656</v>
      </c>
      <c r="O117" s="701">
        <v>20992</v>
      </c>
      <c r="P117" s="726"/>
      <c r="Q117" s="702">
        <v>32</v>
      </c>
    </row>
    <row r="118" spans="1:17" ht="14.45" customHeight="1" x14ac:dyDescent="0.2">
      <c r="A118" s="696" t="s">
        <v>4173</v>
      </c>
      <c r="B118" s="697" t="s">
        <v>4174</v>
      </c>
      <c r="C118" s="697" t="s">
        <v>2899</v>
      </c>
      <c r="D118" s="697" t="s">
        <v>4277</v>
      </c>
      <c r="E118" s="697" t="s">
        <v>4278</v>
      </c>
      <c r="F118" s="701">
        <v>357</v>
      </c>
      <c r="G118" s="701">
        <v>9996</v>
      </c>
      <c r="H118" s="701"/>
      <c r="I118" s="701">
        <v>28</v>
      </c>
      <c r="J118" s="701">
        <v>384</v>
      </c>
      <c r="K118" s="701">
        <v>10752</v>
      </c>
      <c r="L118" s="701"/>
      <c r="M118" s="701">
        <v>28</v>
      </c>
      <c r="N118" s="701">
        <v>725</v>
      </c>
      <c r="O118" s="701">
        <v>21025</v>
      </c>
      <c r="P118" s="726"/>
      <c r="Q118" s="702">
        <v>29</v>
      </c>
    </row>
    <row r="119" spans="1:17" ht="14.45" customHeight="1" x14ac:dyDescent="0.2">
      <c r="A119" s="696" t="s">
        <v>4173</v>
      </c>
      <c r="B119" s="697" t="s">
        <v>4174</v>
      </c>
      <c r="C119" s="697" t="s">
        <v>2899</v>
      </c>
      <c r="D119" s="697" t="s">
        <v>4279</v>
      </c>
      <c r="E119" s="697" t="s">
        <v>4280</v>
      </c>
      <c r="F119" s="701">
        <v>3</v>
      </c>
      <c r="G119" s="701">
        <v>771</v>
      </c>
      <c r="H119" s="701"/>
      <c r="I119" s="701">
        <v>257</v>
      </c>
      <c r="J119" s="701">
        <v>3</v>
      </c>
      <c r="K119" s="701">
        <v>774</v>
      </c>
      <c r="L119" s="701"/>
      <c r="M119" s="701">
        <v>258</v>
      </c>
      <c r="N119" s="701">
        <v>10</v>
      </c>
      <c r="O119" s="701">
        <v>2600</v>
      </c>
      <c r="P119" s="726"/>
      <c r="Q119" s="702">
        <v>260</v>
      </c>
    </row>
    <row r="120" spans="1:17" ht="14.45" customHeight="1" x14ac:dyDescent="0.2">
      <c r="A120" s="696" t="s">
        <v>4173</v>
      </c>
      <c r="B120" s="697" t="s">
        <v>4174</v>
      </c>
      <c r="C120" s="697" t="s">
        <v>2899</v>
      </c>
      <c r="D120" s="697" t="s">
        <v>4281</v>
      </c>
      <c r="E120" s="697" t="s">
        <v>4282</v>
      </c>
      <c r="F120" s="701">
        <v>5</v>
      </c>
      <c r="G120" s="701">
        <v>115</v>
      </c>
      <c r="H120" s="701"/>
      <c r="I120" s="701">
        <v>23</v>
      </c>
      <c r="J120" s="701">
        <v>4</v>
      </c>
      <c r="K120" s="701">
        <v>92</v>
      </c>
      <c r="L120" s="701"/>
      <c r="M120" s="701">
        <v>23</v>
      </c>
      <c r="N120" s="701">
        <v>6</v>
      </c>
      <c r="O120" s="701">
        <v>138</v>
      </c>
      <c r="P120" s="726"/>
      <c r="Q120" s="702">
        <v>23</v>
      </c>
    </row>
    <row r="121" spans="1:17" ht="14.45" customHeight="1" x14ac:dyDescent="0.2">
      <c r="A121" s="696" t="s">
        <v>4173</v>
      </c>
      <c r="B121" s="697" t="s">
        <v>4174</v>
      </c>
      <c r="C121" s="697" t="s">
        <v>2899</v>
      </c>
      <c r="D121" s="697" t="s">
        <v>4283</v>
      </c>
      <c r="E121" s="697" t="s">
        <v>4284</v>
      </c>
      <c r="F121" s="701">
        <v>1773</v>
      </c>
      <c r="G121" s="701">
        <v>46098</v>
      </c>
      <c r="H121" s="701"/>
      <c r="I121" s="701">
        <v>26</v>
      </c>
      <c r="J121" s="701">
        <v>1706</v>
      </c>
      <c r="K121" s="701">
        <v>44356</v>
      </c>
      <c r="L121" s="701"/>
      <c r="M121" s="701">
        <v>26</v>
      </c>
      <c r="N121" s="701">
        <v>2651</v>
      </c>
      <c r="O121" s="701">
        <v>71577</v>
      </c>
      <c r="P121" s="726"/>
      <c r="Q121" s="702">
        <v>27</v>
      </c>
    </row>
    <row r="122" spans="1:17" ht="14.45" customHeight="1" x14ac:dyDescent="0.2">
      <c r="A122" s="696" t="s">
        <v>4173</v>
      </c>
      <c r="B122" s="697" t="s">
        <v>4174</v>
      </c>
      <c r="C122" s="697" t="s">
        <v>2899</v>
      </c>
      <c r="D122" s="697" t="s">
        <v>4285</v>
      </c>
      <c r="E122" s="697" t="s">
        <v>4286</v>
      </c>
      <c r="F122" s="701">
        <v>12</v>
      </c>
      <c r="G122" s="701">
        <v>396</v>
      </c>
      <c r="H122" s="701"/>
      <c r="I122" s="701">
        <v>33</v>
      </c>
      <c r="J122" s="701">
        <v>15</v>
      </c>
      <c r="K122" s="701">
        <v>495</v>
      </c>
      <c r="L122" s="701"/>
      <c r="M122" s="701">
        <v>33</v>
      </c>
      <c r="N122" s="701">
        <v>33</v>
      </c>
      <c r="O122" s="701">
        <v>1122</v>
      </c>
      <c r="P122" s="726"/>
      <c r="Q122" s="702">
        <v>34</v>
      </c>
    </row>
    <row r="123" spans="1:17" ht="14.45" customHeight="1" x14ac:dyDescent="0.2">
      <c r="A123" s="696" t="s">
        <v>4173</v>
      </c>
      <c r="B123" s="697" t="s">
        <v>4174</v>
      </c>
      <c r="C123" s="697" t="s">
        <v>2899</v>
      </c>
      <c r="D123" s="697" t="s">
        <v>4287</v>
      </c>
      <c r="E123" s="697" t="s">
        <v>4288</v>
      </c>
      <c r="F123" s="701"/>
      <c r="G123" s="701"/>
      <c r="H123" s="701"/>
      <c r="I123" s="701"/>
      <c r="J123" s="701">
        <v>2</v>
      </c>
      <c r="K123" s="701">
        <v>60</v>
      </c>
      <c r="L123" s="701"/>
      <c r="M123" s="701">
        <v>30</v>
      </c>
      <c r="N123" s="701">
        <v>4</v>
      </c>
      <c r="O123" s="701">
        <v>120</v>
      </c>
      <c r="P123" s="726"/>
      <c r="Q123" s="702">
        <v>30</v>
      </c>
    </row>
    <row r="124" spans="1:17" ht="14.45" customHeight="1" x14ac:dyDescent="0.2">
      <c r="A124" s="696" t="s">
        <v>4173</v>
      </c>
      <c r="B124" s="697" t="s">
        <v>4174</v>
      </c>
      <c r="C124" s="697" t="s">
        <v>2899</v>
      </c>
      <c r="D124" s="697" t="s">
        <v>4289</v>
      </c>
      <c r="E124" s="697" t="s">
        <v>4290</v>
      </c>
      <c r="F124" s="701"/>
      <c r="G124" s="701"/>
      <c r="H124" s="701"/>
      <c r="I124" s="701"/>
      <c r="J124" s="701">
        <v>1</v>
      </c>
      <c r="K124" s="701">
        <v>83</v>
      </c>
      <c r="L124" s="701"/>
      <c r="M124" s="701">
        <v>83</v>
      </c>
      <c r="N124" s="701"/>
      <c r="O124" s="701"/>
      <c r="P124" s="726"/>
      <c r="Q124" s="702"/>
    </row>
    <row r="125" spans="1:17" ht="14.45" customHeight="1" x14ac:dyDescent="0.2">
      <c r="A125" s="696" t="s">
        <v>4173</v>
      </c>
      <c r="B125" s="697" t="s">
        <v>4174</v>
      </c>
      <c r="C125" s="697" t="s">
        <v>2899</v>
      </c>
      <c r="D125" s="697" t="s">
        <v>4291</v>
      </c>
      <c r="E125" s="697" t="s">
        <v>4292</v>
      </c>
      <c r="F125" s="701">
        <v>1</v>
      </c>
      <c r="G125" s="701">
        <v>204</v>
      </c>
      <c r="H125" s="701"/>
      <c r="I125" s="701">
        <v>204</v>
      </c>
      <c r="J125" s="701"/>
      <c r="K125" s="701"/>
      <c r="L125" s="701"/>
      <c r="M125" s="701"/>
      <c r="N125" s="701">
        <v>6</v>
      </c>
      <c r="O125" s="701">
        <v>1236</v>
      </c>
      <c r="P125" s="726"/>
      <c r="Q125" s="702">
        <v>206</v>
      </c>
    </row>
    <row r="126" spans="1:17" ht="14.45" customHeight="1" x14ac:dyDescent="0.2">
      <c r="A126" s="696" t="s">
        <v>4173</v>
      </c>
      <c r="B126" s="697" t="s">
        <v>4174</v>
      </c>
      <c r="C126" s="697" t="s">
        <v>2899</v>
      </c>
      <c r="D126" s="697" t="s">
        <v>4293</v>
      </c>
      <c r="E126" s="697" t="s">
        <v>4294</v>
      </c>
      <c r="F126" s="701">
        <v>687</v>
      </c>
      <c r="G126" s="701">
        <v>17862</v>
      </c>
      <c r="H126" s="701"/>
      <c r="I126" s="701">
        <v>26</v>
      </c>
      <c r="J126" s="701">
        <v>732</v>
      </c>
      <c r="K126" s="701">
        <v>19032</v>
      </c>
      <c r="L126" s="701"/>
      <c r="M126" s="701">
        <v>26</v>
      </c>
      <c r="N126" s="701">
        <v>1575</v>
      </c>
      <c r="O126" s="701">
        <v>42525</v>
      </c>
      <c r="P126" s="726"/>
      <c r="Q126" s="702">
        <v>27</v>
      </c>
    </row>
    <row r="127" spans="1:17" ht="14.45" customHeight="1" x14ac:dyDescent="0.2">
      <c r="A127" s="696" t="s">
        <v>4173</v>
      </c>
      <c r="B127" s="697" t="s">
        <v>4174</v>
      </c>
      <c r="C127" s="697" t="s">
        <v>2899</v>
      </c>
      <c r="D127" s="697" t="s">
        <v>4295</v>
      </c>
      <c r="E127" s="697" t="s">
        <v>4296</v>
      </c>
      <c r="F127" s="701">
        <v>354</v>
      </c>
      <c r="G127" s="701">
        <v>29736</v>
      </c>
      <c r="H127" s="701"/>
      <c r="I127" s="701">
        <v>84</v>
      </c>
      <c r="J127" s="701">
        <v>385</v>
      </c>
      <c r="K127" s="701">
        <v>32340</v>
      </c>
      <c r="L127" s="701"/>
      <c r="M127" s="701">
        <v>84</v>
      </c>
      <c r="N127" s="701">
        <v>875</v>
      </c>
      <c r="O127" s="701">
        <v>74375</v>
      </c>
      <c r="P127" s="726"/>
      <c r="Q127" s="702">
        <v>85</v>
      </c>
    </row>
    <row r="128" spans="1:17" ht="14.45" customHeight="1" x14ac:dyDescent="0.2">
      <c r="A128" s="696" t="s">
        <v>4173</v>
      </c>
      <c r="B128" s="697" t="s">
        <v>4174</v>
      </c>
      <c r="C128" s="697" t="s">
        <v>2899</v>
      </c>
      <c r="D128" s="697" t="s">
        <v>4297</v>
      </c>
      <c r="E128" s="697" t="s">
        <v>4298</v>
      </c>
      <c r="F128" s="701">
        <v>10</v>
      </c>
      <c r="G128" s="701">
        <v>1770</v>
      </c>
      <c r="H128" s="701"/>
      <c r="I128" s="701">
        <v>177</v>
      </c>
      <c r="J128" s="701">
        <v>14</v>
      </c>
      <c r="K128" s="701">
        <v>2492</v>
      </c>
      <c r="L128" s="701"/>
      <c r="M128" s="701">
        <v>178</v>
      </c>
      <c r="N128" s="701">
        <v>21</v>
      </c>
      <c r="O128" s="701">
        <v>3780</v>
      </c>
      <c r="P128" s="726"/>
      <c r="Q128" s="702">
        <v>180</v>
      </c>
    </row>
    <row r="129" spans="1:17" ht="14.45" customHeight="1" x14ac:dyDescent="0.2">
      <c r="A129" s="696" t="s">
        <v>4173</v>
      </c>
      <c r="B129" s="697" t="s">
        <v>4174</v>
      </c>
      <c r="C129" s="697" t="s">
        <v>2899</v>
      </c>
      <c r="D129" s="697" t="s">
        <v>4299</v>
      </c>
      <c r="E129" s="697" t="s">
        <v>4300</v>
      </c>
      <c r="F129" s="701">
        <v>1</v>
      </c>
      <c r="G129" s="701">
        <v>254</v>
      </c>
      <c r="H129" s="701"/>
      <c r="I129" s="701">
        <v>254</v>
      </c>
      <c r="J129" s="701">
        <v>3</v>
      </c>
      <c r="K129" s="701">
        <v>765</v>
      </c>
      <c r="L129" s="701"/>
      <c r="M129" s="701">
        <v>255</v>
      </c>
      <c r="N129" s="701">
        <v>9</v>
      </c>
      <c r="O129" s="701">
        <v>2313</v>
      </c>
      <c r="P129" s="726"/>
      <c r="Q129" s="702">
        <v>257</v>
      </c>
    </row>
    <row r="130" spans="1:17" ht="14.45" customHeight="1" x14ac:dyDescent="0.2">
      <c r="A130" s="696" t="s">
        <v>4173</v>
      </c>
      <c r="B130" s="697" t="s">
        <v>4174</v>
      </c>
      <c r="C130" s="697" t="s">
        <v>2899</v>
      </c>
      <c r="D130" s="697" t="s">
        <v>4301</v>
      </c>
      <c r="E130" s="697" t="s">
        <v>4302</v>
      </c>
      <c r="F130" s="701">
        <v>271</v>
      </c>
      <c r="G130" s="701">
        <v>4336</v>
      </c>
      <c r="H130" s="701"/>
      <c r="I130" s="701">
        <v>16</v>
      </c>
      <c r="J130" s="701">
        <v>318</v>
      </c>
      <c r="K130" s="701">
        <v>5088</v>
      </c>
      <c r="L130" s="701"/>
      <c r="M130" s="701">
        <v>16</v>
      </c>
      <c r="N130" s="701">
        <v>130</v>
      </c>
      <c r="O130" s="701">
        <v>2080</v>
      </c>
      <c r="P130" s="726"/>
      <c r="Q130" s="702">
        <v>16</v>
      </c>
    </row>
    <row r="131" spans="1:17" ht="14.45" customHeight="1" x14ac:dyDescent="0.2">
      <c r="A131" s="696" t="s">
        <v>4173</v>
      </c>
      <c r="B131" s="697" t="s">
        <v>4174</v>
      </c>
      <c r="C131" s="697" t="s">
        <v>2899</v>
      </c>
      <c r="D131" s="697" t="s">
        <v>4303</v>
      </c>
      <c r="E131" s="697" t="s">
        <v>4304</v>
      </c>
      <c r="F131" s="701">
        <v>243</v>
      </c>
      <c r="G131" s="701">
        <v>5589</v>
      </c>
      <c r="H131" s="701"/>
      <c r="I131" s="701">
        <v>23</v>
      </c>
      <c r="J131" s="701">
        <v>243</v>
      </c>
      <c r="K131" s="701">
        <v>5589</v>
      </c>
      <c r="L131" s="701"/>
      <c r="M131" s="701">
        <v>23</v>
      </c>
      <c r="N131" s="701">
        <v>683</v>
      </c>
      <c r="O131" s="701">
        <v>16392</v>
      </c>
      <c r="P131" s="726"/>
      <c r="Q131" s="702">
        <v>24</v>
      </c>
    </row>
    <row r="132" spans="1:17" ht="14.45" customHeight="1" x14ac:dyDescent="0.2">
      <c r="A132" s="696" t="s">
        <v>4173</v>
      </c>
      <c r="B132" s="697" t="s">
        <v>4174</v>
      </c>
      <c r="C132" s="697" t="s">
        <v>2899</v>
      </c>
      <c r="D132" s="697" t="s">
        <v>4305</v>
      </c>
      <c r="E132" s="697" t="s">
        <v>4306</v>
      </c>
      <c r="F132" s="701">
        <v>1</v>
      </c>
      <c r="G132" s="701">
        <v>253</v>
      </c>
      <c r="H132" s="701"/>
      <c r="I132" s="701">
        <v>253</v>
      </c>
      <c r="J132" s="701">
        <v>1</v>
      </c>
      <c r="K132" s="701">
        <v>254</v>
      </c>
      <c r="L132" s="701"/>
      <c r="M132" s="701">
        <v>254</v>
      </c>
      <c r="N132" s="701">
        <v>9</v>
      </c>
      <c r="O132" s="701">
        <v>2304</v>
      </c>
      <c r="P132" s="726"/>
      <c r="Q132" s="702">
        <v>256</v>
      </c>
    </row>
    <row r="133" spans="1:17" ht="14.45" customHeight="1" x14ac:dyDescent="0.2">
      <c r="A133" s="696" t="s">
        <v>4173</v>
      </c>
      <c r="B133" s="697" t="s">
        <v>4174</v>
      </c>
      <c r="C133" s="697" t="s">
        <v>2899</v>
      </c>
      <c r="D133" s="697" t="s">
        <v>4307</v>
      </c>
      <c r="E133" s="697" t="s">
        <v>4308</v>
      </c>
      <c r="F133" s="701">
        <v>505</v>
      </c>
      <c r="G133" s="701">
        <v>18685</v>
      </c>
      <c r="H133" s="701"/>
      <c r="I133" s="701">
        <v>37</v>
      </c>
      <c r="J133" s="701">
        <v>630</v>
      </c>
      <c r="K133" s="701">
        <v>23310</v>
      </c>
      <c r="L133" s="701"/>
      <c r="M133" s="701">
        <v>37</v>
      </c>
      <c r="N133" s="701">
        <v>198</v>
      </c>
      <c r="O133" s="701">
        <v>7326</v>
      </c>
      <c r="P133" s="726"/>
      <c r="Q133" s="702">
        <v>37</v>
      </c>
    </row>
    <row r="134" spans="1:17" ht="14.45" customHeight="1" x14ac:dyDescent="0.2">
      <c r="A134" s="696" t="s">
        <v>4173</v>
      </c>
      <c r="B134" s="697" t="s">
        <v>4174</v>
      </c>
      <c r="C134" s="697" t="s">
        <v>2899</v>
      </c>
      <c r="D134" s="697" t="s">
        <v>4309</v>
      </c>
      <c r="E134" s="697" t="s">
        <v>4310</v>
      </c>
      <c r="F134" s="701">
        <v>5593</v>
      </c>
      <c r="G134" s="701">
        <v>128639</v>
      </c>
      <c r="H134" s="701"/>
      <c r="I134" s="701">
        <v>23</v>
      </c>
      <c r="J134" s="701">
        <v>6608</v>
      </c>
      <c r="K134" s="701">
        <v>151984</v>
      </c>
      <c r="L134" s="701"/>
      <c r="M134" s="701">
        <v>23</v>
      </c>
      <c r="N134" s="701">
        <v>7853</v>
      </c>
      <c r="O134" s="701">
        <v>188472</v>
      </c>
      <c r="P134" s="726"/>
      <c r="Q134" s="702">
        <v>24</v>
      </c>
    </row>
    <row r="135" spans="1:17" ht="14.45" customHeight="1" x14ac:dyDescent="0.2">
      <c r="A135" s="696" t="s">
        <v>4173</v>
      </c>
      <c r="B135" s="697" t="s">
        <v>4174</v>
      </c>
      <c r="C135" s="697" t="s">
        <v>2899</v>
      </c>
      <c r="D135" s="697" t="s">
        <v>4311</v>
      </c>
      <c r="E135" s="697" t="s">
        <v>4312</v>
      </c>
      <c r="F135" s="701">
        <v>1</v>
      </c>
      <c r="G135" s="701">
        <v>171</v>
      </c>
      <c r="H135" s="701"/>
      <c r="I135" s="701">
        <v>171</v>
      </c>
      <c r="J135" s="701">
        <v>2</v>
      </c>
      <c r="K135" s="701">
        <v>342</v>
      </c>
      <c r="L135" s="701"/>
      <c r="M135" s="701">
        <v>171</v>
      </c>
      <c r="N135" s="701">
        <v>1</v>
      </c>
      <c r="O135" s="701">
        <v>172</v>
      </c>
      <c r="P135" s="726"/>
      <c r="Q135" s="702">
        <v>172</v>
      </c>
    </row>
    <row r="136" spans="1:17" ht="14.45" customHeight="1" x14ac:dyDescent="0.2">
      <c r="A136" s="696" t="s">
        <v>4173</v>
      </c>
      <c r="B136" s="697" t="s">
        <v>4174</v>
      </c>
      <c r="C136" s="697" t="s">
        <v>2899</v>
      </c>
      <c r="D136" s="697" t="s">
        <v>4313</v>
      </c>
      <c r="E136" s="697" t="s">
        <v>4314</v>
      </c>
      <c r="F136" s="701"/>
      <c r="G136" s="701"/>
      <c r="H136" s="701"/>
      <c r="I136" s="701"/>
      <c r="J136" s="701">
        <v>1</v>
      </c>
      <c r="K136" s="701">
        <v>329</v>
      </c>
      <c r="L136" s="701"/>
      <c r="M136" s="701">
        <v>329</v>
      </c>
      <c r="N136" s="701">
        <v>1</v>
      </c>
      <c r="O136" s="701">
        <v>331</v>
      </c>
      <c r="P136" s="726"/>
      <c r="Q136" s="702">
        <v>331</v>
      </c>
    </row>
    <row r="137" spans="1:17" ht="14.45" customHeight="1" x14ac:dyDescent="0.2">
      <c r="A137" s="696" t="s">
        <v>4173</v>
      </c>
      <c r="B137" s="697" t="s">
        <v>4174</v>
      </c>
      <c r="C137" s="697" t="s">
        <v>2899</v>
      </c>
      <c r="D137" s="697" t="s">
        <v>4315</v>
      </c>
      <c r="E137" s="697" t="s">
        <v>4316</v>
      </c>
      <c r="F137" s="701">
        <v>1</v>
      </c>
      <c r="G137" s="701">
        <v>331</v>
      </c>
      <c r="H137" s="701"/>
      <c r="I137" s="701">
        <v>331</v>
      </c>
      <c r="J137" s="701"/>
      <c r="K137" s="701"/>
      <c r="L137" s="701"/>
      <c r="M137" s="701"/>
      <c r="N137" s="701">
        <v>1</v>
      </c>
      <c r="O137" s="701">
        <v>332</v>
      </c>
      <c r="P137" s="726"/>
      <c r="Q137" s="702">
        <v>332</v>
      </c>
    </row>
    <row r="138" spans="1:17" ht="14.45" customHeight="1" x14ac:dyDescent="0.2">
      <c r="A138" s="696" t="s">
        <v>4173</v>
      </c>
      <c r="B138" s="697" t="s">
        <v>4174</v>
      </c>
      <c r="C138" s="697" t="s">
        <v>2899</v>
      </c>
      <c r="D138" s="697" t="s">
        <v>4317</v>
      </c>
      <c r="E138" s="697" t="s">
        <v>4318</v>
      </c>
      <c r="F138" s="701">
        <v>211</v>
      </c>
      <c r="G138" s="701">
        <v>6119</v>
      </c>
      <c r="H138" s="701"/>
      <c r="I138" s="701">
        <v>29</v>
      </c>
      <c r="J138" s="701">
        <v>221</v>
      </c>
      <c r="K138" s="701">
        <v>6409</v>
      </c>
      <c r="L138" s="701"/>
      <c r="M138" s="701">
        <v>29</v>
      </c>
      <c r="N138" s="701">
        <v>719</v>
      </c>
      <c r="O138" s="701">
        <v>21570</v>
      </c>
      <c r="P138" s="726"/>
      <c r="Q138" s="702">
        <v>30</v>
      </c>
    </row>
    <row r="139" spans="1:17" ht="14.45" customHeight="1" x14ac:dyDescent="0.2">
      <c r="A139" s="696" t="s">
        <v>4173</v>
      </c>
      <c r="B139" s="697" t="s">
        <v>4174</v>
      </c>
      <c r="C139" s="697" t="s">
        <v>2899</v>
      </c>
      <c r="D139" s="697" t="s">
        <v>4319</v>
      </c>
      <c r="E139" s="697" t="s">
        <v>4320</v>
      </c>
      <c r="F139" s="701">
        <v>886</v>
      </c>
      <c r="G139" s="701">
        <v>158594</v>
      </c>
      <c r="H139" s="701"/>
      <c r="I139" s="701">
        <v>179</v>
      </c>
      <c r="J139" s="701">
        <v>832</v>
      </c>
      <c r="K139" s="701">
        <v>148928</v>
      </c>
      <c r="L139" s="701"/>
      <c r="M139" s="701">
        <v>179</v>
      </c>
      <c r="N139" s="701">
        <v>818</v>
      </c>
      <c r="O139" s="701">
        <v>147240</v>
      </c>
      <c r="P139" s="726"/>
      <c r="Q139" s="702">
        <v>180</v>
      </c>
    </row>
    <row r="140" spans="1:17" ht="14.45" customHeight="1" x14ac:dyDescent="0.2">
      <c r="A140" s="696" t="s">
        <v>4173</v>
      </c>
      <c r="B140" s="697" t="s">
        <v>4174</v>
      </c>
      <c r="C140" s="697" t="s">
        <v>2899</v>
      </c>
      <c r="D140" s="697" t="s">
        <v>4321</v>
      </c>
      <c r="E140" s="697" t="s">
        <v>4322</v>
      </c>
      <c r="F140" s="701">
        <v>3</v>
      </c>
      <c r="G140" s="701">
        <v>48</v>
      </c>
      <c r="H140" s="701"/>
      <c r="I140" s="701">
        <v>16</v>
      </c>
      <c r="J140" s="701">
        <v>1</v>
      </c>
      <c r="K140" s="701">
        <v>16</v>
      </c>
      <c r="L140" s="701"/>
      <c r="M140" s="701">
        <v>16</v>
      </c>
      <c r="N140" s="701">
        <v>1</v>
      </c>
      <c r="O140" s="701">
        <v>16</v>
      </c>
      <c r="P140" s="726"/>
      <c r="Q140" s="702">
        <v>16</v>
      </c>
    </row>
    <row r="141" spans="1:17" ht="14.45" customHeight="1" x14ac:dyDescent="0.2">
      <c r="A141" s="696" t="s">
        <v>4173</v>
      </c>
      <c r="B141" s="697" t="s">
        <v>4174</v>
      </c>
      <c r="C141" s="697" t="s">
        <v>2899</v>
      </c>
      <c r="D141" s="697" t="s">
        <v>4323</v>
      </c>
      <c r="E141" s="697" t="s">
        <v>4324</v>
      </c>
      <c r="F141" s="701">
        <v>213</v>
      </c>
      <c r="G141" s="701">
        <v>4260</v>
      </c>
      <c r="H141" s="701"/>
      <c r="I141" s="701">
        <v>20</v>
      </c>
      <c r="J141" s="701">
        <v>286</v>
      </c>
      <c r="K141" s="701">
        <v>5720</v>
      </c>
      <c r="L141" s="701"/>
      <c r="M141" s="701">
        <v>20</v>
      </c>
      <c r="N141" s="701">
        <v>117</v>
      </c>
      <c r="O141" s="701">
        <v>2340</v>
      </c>
      <c r="P141" s="726"/>
      <c r="Q141" s="702">
        <v>20</v>
      </c>
    </row>
    <row r="142" spans="1:17" ht="14.45" customHeight="1" x14ac:dyDescent="0.2">
      <c r="A142" s="696" t="s">
        <v>4173</v>
      </c>
      <c r="B142" s="697" t="s">
        <v>4174</v>
      </c>
      <c r="C142" s="697" t="s">
        <v>2899</v>
      </c>
      <c r="D142" s="697" t="s">
        <v>4325</v>
      </c>
      <c r="E142" s="697" t="s">
        <v>4326</v>
      </c>
      <c r="F142" s="701">
        <v>1196</v>
      </c>
      <c r="G142" s="701">
        <v>23920</v>
      </c>
      <c r="H142" s="701"/>
      <c r="I142" s="701">
        <v>20</v>
      </c>
      <c r="J142" s="701">
        <v>1272</v>
      </c>
      <c r="K142" s="701">
        <v>25440</v>
      </c>
      <c r="L142" s="701"/>
      <c r="M142" s="701">
        <v>20</v>
      </c>
      <c r="N142" s="701">
        <v>1656</v>
      </c>
      <c r="O142" s="701">
        <v>33120</v>
      </c>
      <c r="P142" s="726"/>
      <c r="Q142" s="702">
        <v>20</v>
      </c>
    </row>
    <row r="143" spans="1:17" ht="14.45" customHeight="1" x14ac:dyDescent="0.2">
      <c r="A143" s="696" t="s">
        <v>4173</v>
      </c>
      <c r="B143" s="697" t="s">
        <v>4174</v>
      </c>
      <c r="C143" s="697" t="s">
        <v>2899</v>
      </c>
      <c r="D143" s="697" t="s">
        <v>4327</v>
      </c>
      <c r="E143" s="697" t="s">
        <v>4328</v>
      </c>
      <c r="F143" s="701"/>
      <c r="G143" s="701"/>
      <c r="H143" s="701"/>
      <c r="I143" s="701"/>
      <c r="J143" s="701">
        <v>3</v>
      </c>
      <c r="K143" s="701">
        <v>570</v>
      </c>
      <c r="L143" s="701"/>
      <c r="M143" s="701">
        <v>190</v>
      </c>
      <c r="N143" s="701">
        <v>3</v>
      </c>
      <c r="O143" s="701">
        <v>579</v>
      </c>
      <c r="P143" s="726"/>
      <c r="Q143" s="702">
        <v>193</v>
      </c>
    </row>
    <row r="144" spans="1:17" ht="14.45" customHeight="1" x14ac:dyDescent="0.2">
      <c r="A144" s="696" t="s">
        <v>4173</v>
      </c>
      <c r="B144" s="697" t="s">
        <v>4174</v>
      </c>
      <c r="C144" s="697" t="s">
        <v>2899</v>
      </c>
      <c r="D144" s="697" t="s">
        <v>4329</v>
      </c>
      <c r="E144" s="697" t="s">
        <v>4330</v>
      </c>
      <c r="F144" s="701"/>
      <c r="G144" s="701"/>
      <c r="H144" s="701"/>
      <c r="I144" s="701"/>
      <c r="J144" s="701"/>
      <c r="K144" s="701"/>
      <c r="L144" s="701"/>
      <c r="M144" s="701"/>
      <c r="N144" s="701">
        <v>1</v>
      </c>
      <c r="O144" s="701">
        <v>271</v>
      </c>
      <c r="P144" s="726"/>
      <c r="Q144" s="702">
        <v>271</v>
      </c>
    </row>
    <row r="145" spans="1:17" ht="14.45" customHeight="1" x14ac:dyDescent="0.2">
      <c r="A145" s="696" t="s">
        <v>4173</v>
      </c>
      <c r="B145" s="697" t="s">
        <v>4174</v>
      </c>
      <c r="C145" s="697" t="s">
        <v>2899</v>
      </c>
      <c r="D145" s="697" t="s">
        <v>4331</v>
      </c>
      <c r="E145" s="697" t="s">
        <v>4332</v>
      </c>
      <c r="F145" s="701"/>
      <c r="G145" s="701"/>
      <c r="H145" s="701"/>
      <c r="I145" s="701"/>
      <c r="J145" s="701">
        <v>2</v>
      </c>
      <c r="K145" s="701">
        <v>348</v>
      </c>
      <c r="L145" s="701"/>
      <c r="M145" s="701">
        <v>174</v>
      </c>
      <c r="N145" s="701">
        <v>1</v>
      </c>
      <c r="O145" s="701">
        <v>175</v>
      </c>
      <c r="P145" s="726"/>
      <c r="Q145" s="702">
        <v>175</v>
      </c>
    </row>
    <row r="146" spans="1:17" ht="14.45" customHeight="1" x14ac:dyDescent="0.2">
      <c r="A146" s="696" t="s">
        <v>4173</v>
      </c>
      <c r="B146" s="697" t="s">
        <v>4174</v>
      </c>
      <c r="C146" s="697" t="s">
        <v>2899</v>
      </c>
      <c r="D146" s="697" t="s">
        <v>4333</v>
      </c>
      <c r="E146" s="697" t="s">
        <v>4334</v>
      </c>
      <c r="F146" s="701">
        <v>365</v>
      </c>
      <c r="G146" s="701">
        <v>30660</v>
      </c>
      <c r="H146" s="701"/>
      <c r="I146" s="701">
        <v>84</v>
      </c>
      <c r="J146" s="701">
        <v>496</v>
      </c>
      <c r="K146" s="701">
        <v>41664</v>
      </c>
      <c r="L146" s="701"/>
      <c r="M146" s="701">
        <v>84</v>
      </c>
      <c r="N146" s="701">
        <v>168</v>
      </c>
      <c r="O146" s="701">
        <v>14280</v>
      </c>
      <c r="P146" s="726"/>
      <c r="Q146" s="702">
        <v>85</v>
      </c>
    </row>
    <row r="147" spans="1:17" ht="14.45" customHeight="1" x14ac:dyDescent="0.2">
      <c r="A147" s="696" t="s">
        <v>4173</v>
      </c>
      <c r="B147" s="697" t="s">
        <v>4174</v>
      </c>
      <c r="C147" s="697" t="s">
        <v>2899</v>
      </c>
      <c r="D147" s="697" t="s">
        <v>4335</v>
      </c>
      <c r="E147" s="697" t="s">
        <v>4336</v>
      </c>
      <c r="F147" s="701"/>
      <c r="G147" s="701"/>
      <c r="H147" s="701"/>
      <c r="I147" s="701"/>
      <c r="J147" s="701"/>
      <c r="K147" s="701"/>
      <c r="L147" s="701"/>
      <c r="M147" s="701"/>
      <c r="N147" s="701">
        <v>3</v>
      </c>
      <c r="O147" s="701">
        <v>240</v>
      </c>
      <c r="P147" s="726"/>
      <c r="Q147" s="702">
        <v>80</v>
      </c>
    </row>
    <row r="148" spans="1:17" ht="14.45" customHeight="1" x14ac:dyDescent="0.2">
      <c r="A148" s="696" t="s">
        <v>4173</v>
      </c>
      <c r="B148" s="697" t="s">
        <v>4174</v>
      </c>
      <c r="C148" s="697" t="s">
        <v>2899</v>
      </c>
      <c r="D148" s="697" t="s">
        <v>4337</v>
      </c>
      <c r="E148" s="697" t="s">
        <v>4338</v>
      </c>
      <c r="F148" s="701">
        <v>2</v>
      </c>
      <c r="G148" s="701">
        <v>604</v>
      </c>
      <c r="H148" s="701"/>
      <c r="I148" s="701">
        <v>302</v>
      </c>
      <c r="J148" s="701">
        <v>3</v>
      </c>
      <c r="K148" s="701">
        <v>909</v>
      </c>
      <c r="L148" s="701"/>
      <c r="M148" s="701">
        <v>303</v>
      </c>
      <c r="N148" s="701">
        <v>2</v>
      </c>
      <c r="O148" s="701">
        <v>610</v>
      </c>
      <c r="P148" s="726"/>
      <c r="Q148" s="702">
        <v>305</v>
      </c>
    </row>
    <row r="149" spans="1:17" ht="14.45" customHeight="1" x14ac:dyDescent="0.2">
      <c r="A149" s="696" t="s">
        <v>4173</v>
      </c>
      <c r="B149" s="697" t="s">
        <v>4174</v>
      </c>
      <c r="C149" s="697" t="s">
        <v>2899</v>
      </c>
      <c r="D149" s="697" t="s">
        <v>4339</v>
      </c>
      <c r="E149" s="697" t="s">
        <v>4340</v>
      </c>
      <c r="F149" s="701">
        <v>2</v>
      </c>
      <c r="G149" s="701">
        <v>44</v>
      </c>
      <c r="H149" s="701"/>
      <c r="I149" s="701">
        <v>22</v>
      </c>
      <c r="J149" s="701">
        <v>4</v>
      </c>
      <c r="K149" s="701">
        <v>88</v>
      </c>
      <c r="L149" s="701"/>
      <c r="M149" s="701">
        <v>22</v>
      </c>
      <c r="N149" s="701">
        <v>11</v>
      </c>
      <c r="O149" s="701">
        <v>253</v>
      </c>
      <c r="P149" s="726"/>
      <c r="Q149" s="702">
        <v>23</v>
      </c>
    </row>
    <row r="150" spans="1:17" ht="14.45" customHeight="1" x14ac:dyDescent="0.2">
      <c r="A150" s="696" t="s">
        <v>4173</v>
      </c>
      <c r="B150" s="697" t="s">
        <v>4174</v>
      </c>
      <c r="C150" s="697" t="s">
        <v>2899</v>
      </c>
      <c r="D150" s="697" t="s">
        <v>4341</v>
      </c>
      <c r="E150" s="697" t="s">
        <v>4342</v>
      </c>
      <c r="F150" s="701">
        <v>182</v>
      </c>
      <c r="G150" s="701">
        <v>4004</v>
      </c>
      <c r="H150" s="701"/>
      <c r="I150" s="701">
        <v>22</v>
      </c>
      <c r="J150" s="701">
        <v>184</v>
      </c>
      <c r="K150" s="701">
        <v>4048</v>
      </c>
      <c r="L150" s="701"/>
      <c r="M150" s="701">
        <v>22</v>
      </c>
      <c r="N150" s="701">
        <v>372</v>
      </c>
      <c r="O150" s="701">
        <v>8556</v>
      </c>
      <c r="P150" s="726"/>
      <c r="Q150" s="702">
        <v>23</v>
      </c>
    </row>
    <row r="151" spans="1:17" ht="14.45" customHeight="1" x14ac:dyDescent="0.2">
      <c r="A151" s="696" t="s">
        <v>4173</v>
      </c>
      <c r="B151" s="697" t="s">
        <v>4174</v>
      </c>
      <c r="C151" s="697" t="s">
        <v>2899</v>
      </c>
      <c r="D151" s="697" t="s">
        <v>4343</v>
      </c>
      <c r="E151" s="697" t="s">
        <v>4344</v>
      </c>
      <c r="F151" s="701">
        <v>3</v>
      </c>
      <c r="G151" s="701">
        <v>1485</v>
      </c>
      <c r="H151" s="701"/>
      <c r="I151" s="701">
        <v>495</v>
      </c>
      <c r="J151" s="701"/>
      <c r="K151" s="701"/>
      <c r="L151" s="701"/>
      <c r="M151" s="701"/>
      <c r="N151" s="701">
        <v>2</v>
      </c>
      <c r="O151" s="701">
        <v>992</v>
      </c>
      <c r="P151" s="726"/>
      <c r="Q151" s="702">
        <v>496</v>
      </c>
    </row>
    <row r="152" spans="1:17" ht="14.45" customHeight="1" x14ac:dyDescent="0.2">
      <c r="A152" s="696" t="s">
        <v>4173</v>
      </c>
      <c r="B152" s="697" t="s">
        <v>4174</v>
      </c>
      <c r="C152" s="697" t="s">
        <v>2899</v>
      </c>
      <c r="D152" s="697" t="s">
        <v>4345</v>
      </c>
      <c r="E152" s="697" t="s">
        <v>4346</v>
      </c>
      <c r="F152" s="701">
        <v>1</v>
      </c>
      <c r="G152" s="701">
        <v>192</v>
      </c>
      <c r="H152" s="701"/>
      <c r="I152" s="701">
        <v>192</v>
      </c>
      <c r="J152" s="701">
        <v>1</v>
      </c>
      <c r="K152" s="701">
        <v>193</v>
      </c>
      <c r="L152" s="701"/>
      <c r="M152" s="701">
        <v>193</v>
      </c>
      <c r="N152" s="701">
        <v>4</v>
      </c>
      <c r="O152" s="701">
        <v>780</v>
      </c>
      <c r="P152" s="726"/>
      <c r="Q152" s="702">
        <v>195</v>
      </c>
    </row>
    <row r="153" spans="1:17" ht="14.45" customHeight="1" x14ac:dyDescent="0.2">
      <c r="A153" s="696" t="s">
        <v>4173</v>
      </c>
      <c r="B153" s="697" t="s">
        <v>4174</v>
      </c>
      <c r="C153" s="697" t="s">
        <v>2899</v>
      </c>
      <c r="D153" s="697" t="s">
        <v>4347</v>
      </c>
      <c r="E153" s="697" t="s">
        <v>4348</v>
      </c>
      <c r="F153" s="701">
        <v>2</v>
      </c>
      <c r="G153" s="701">
        <v>410</v>
      </c>
      <c r="H153" s="701"/>
      <c r="I153" s="701">
        <v>205</v>
      </c>
      <c r="J153" s="701">
        <v>1</v>
      </c>
      <c r="K153" s="701">
        <v>205</v>
      </c>
      <c r="L153" s="701"/>
      <c r="M153" s="701">
        <v>205</v>
      </c>
      <c r="N153" s="701">
        <v>13</v>
      </c>
      <c r="O153" s="701">
        <v>2678</v>
      </c>
      <c r="P153" s="726"/>
      <c r="Q153" s="702">
        <v>206</v>
      </c>
    </row>
    <row r="154" spans="1:17" ht="14.45" customHeight="1" x14ac:dyDescent="0.2">
      <c r="A154" s="696" t="s">
        <v>4173</v>
      </c>
      <c r="B154" s="697" t="s">
        <v>4174</v>
      </c>
      <c r="C154" s="697" t="s">
        <v>2899</v>
      </c>
      <c r="D154" s="697" t="s">
        <v>4349</v>
      </c>
      <c r="E154" s="697" t="s">
        <v>4350</v>
      </c>
      <c r="F154" s="701">
        <v>7</v>
      </c>
      <c r="G154" s="701">
        <v>1176</v>
      </c>
      <c r="H154" s="701"/>
      <c r="I154" s="701">
        <v>168</v>
      </c>
      <c r="J154" s="701">
        <v>4</v>
      </c>
      <c r="K154" s="701">
        <v>672</v>
      </c>
      <c r="L154" s="701"/>
      <c r="M154" s="701">
        <v>168</v>
      </c>
      <c r="N154" s="701"/>
      <c r="O154" s="701"/>
      <c r="P154" s="726"/>
      <c r="Q154" s="702"/>
    </row>
    <row r="155" spans="1:17" ht="14.45" customHeight="1" x14ac:dyDescent="0.2">
      <c r="A155" s="696" t="s">
        <v>4173</v>
      </c>
      <c r="B155" s="697" t="s">
        <v>4174</v>
      </c>
      <c r="C155" s="697" t="s">
        <v>2899</v>
      </c>
      <c r="D155" s="697" t="s">
        <v>4351</v>
      </c>
      <c r="E155" s="697" t="s">
        <v>4352</v>
      </c>
      <c r="F155" s="701"/>
      <c r="G155" s="701"/>
      <c r="H155" s="701"/>
      <c r="I155" s="701"/>
      <c r="J155" s="701"/>
      <c r="K155" s="701"/>
      <c r="L155" s="701"/>
      <c r="M155" s="701"/>
      <c r="N155" s="701">
        <v>1</v>
      </c>
      <c r="O155" s="701">
        <v>272</v>
      </c>
      <c r="P155" s="726"/>
      <c r="Q155" s="702">
        <v>272</v>
      </c>
    </row>
    <row r="156" spans="1:17" ht="14.45" customHeight="1" x14ac:dyDescent="0.2">
      <c r="A156" s="696" t="s">
        <v>4173</v>
      </c>
      <c r="B156" s="697" t="s">
        <v>4174</v>
      </c>
      <c r="C156" s="697" t="s">
        <v>2899</v>
      </c>
      <c r="D156" s="697" t="s">
        <v>4353</v>
      </c>
      <c r="E156" s="697" t="s">
        <v>4354</v>
      </c>
      <c r="F156" s="701">
        <v>1</v>
      </c>
      <c r="G156" s="701">
        <v>127</v>
      </c>
      <c r="H156" s="701"/>
      <c r="I156" s="701">
        <v>127</v>
      </c>
      <c r="J156" s="701">
        <v>3</v>
      </c>
      <c r="K156" s="701">
        <v>381</v>
      </c>
      <c r="L156" s="701"/>
      <c r="M156" s="701">
        <v>127</v>
      </c>
      <c r="N156" s="701">
        <v>4</v>
      </c>
      <c r="O156" s="701">
        <v>512</v>
      </c>
      <c r="P156" s="726"/>
      <c r="Q156" s="702">
        <v>128</v>
      </c>
    </row>
    <row r="157" spans="1:17" ht="14.45" customHeight="1" x14ac:dyDescent="0.2">
      <c r="A157" s="696" t="s">
        <v>4173</v>
      </c>
      <c r="B157" s="697" t="s">
        <v>4174</v>
      </c>
      <c r="C157" s="697" t="s">
        <v>2899</v>
      </c>
      <c r="D157" s="697" t="s">
        <v>4355</v>
      </c>
      <c r="E157" s="697" t="s">
        <v>4356</v>
      </c>
      <c r="F157" s="701">
        <v>3</v>
      </c>
      <c r="G157" s="701">
        <v>930</v>
      </c>
      <c r="H157" s="701"/>
      <c r="I157" s="701">
        <v>310</v>
      </c>
      <c r="J157" s="701"/>
      <c r="K157" s="701"/>
      <c r="L157" s="701"/>
      <c r="M157" s="701"/>
      <c r="N157" s="701">
        <v>2</v>
      </c>
      <c r="O157" s="701">
        <v>622</v>
      </c>
      <c r="P157" s="726"/>
      <c r="Q157" s="702">
        <v>311</v>
      </c>
    </row>
    <row r="158" spans="1:17" ht="14.45" customHeight="1" x14ac:dyDescent="0.2">
      <c r="A158" s="696" t="s">
        <v>4173</v>
      </c>
      <c r="B158" s="697" t="s">
        <v>4174</v>
      </c>
      <c r="C158" s="697" t="s">
        <v>2899</v>
      </c>
      <c r="D158" s="697" t="s">
        <v>4357</v>
      </c>
      <c r="E158" s="697" t="s">
        <v>4358</v>
      </c>
      <c r="F158" s="701">
        <v>7</v>
      </c>
      <c r="G158" s="701">
        <v>161</v>
      </c>
      <c r="H158" s="701"/>
      <c r="I158" s="701">
        <v>23</v>
      </c>
      <c r="J158" s="701">
        <v>9</v>
      </c>
      <c r="K158" s="701">
        <v>207</v>
      </c>
      <c r="L158" s="701"/>
      <c r="M158" s="701">
        <v>23</v>
      </c>
      <c r="N158" s="701">
        <v>24</v>
      </c>
      <c r="O158" s="701">
        <v>576</v>
      </c>
      <c r="P158" s="726"/>
      <c r="Q158" s="702">
        <v>24</v>
      </c>
    </row>
    <row r="159" spans="1:17" ht="14.45" customHeight="1" x14ac:dyDescent="0.2">
      <c r="A159" s="696" t="s">
        <v>4173</v>
      </c>
      <c r="B159" s="697" t="s">
        <v>4174</v>
      </c>
      <c r="C159" s="697" t="s">
        <v>2899</v>
      </c>
      <c r="D159" s="697" t="s">
        <v>4359</v>
      </c>
      <c r="E159" s="697" t="s">
        <v>4360</v>
      </c>
      <c r="F159" s="701">
        <v>7</v>
      </c>
      <c r="G159" s="701">
        <v>119</v>
      </c>
      <c r="H159" s="701"/>
      <c r="I159" s="701">
        <v>17</v>
      </c>
      <c r="J159" s="701">
        <v>5</v>
      </c>
      <c r="K159" s="701">
        <v>85</v>
      </c>
      <c r="L159" s="701"/>
      <c r="M159" s="701">
        <v>17</v>
      </c>
      <c r="N159" s="701">
        <v>1</v>
      </c>
      <c r="O159" s="701">
        <v>17</v>
      </c>
      <c r="P159" s="726"/>
      <c r="Q159" s="702">
        <v>17</v>
      </c>
    </row>
    <row r="160" spans="1:17" ht="14.45" customHeight="1" x14ac:dyDescent="0.2">
      <c r="A160" s="696" t="s">
        <v>4173</v>
      </c>
      <c r="B160" s="697" t="s">
        <v>4174</v>
      </c>
      <c r="C160" s="697" t="s">
        <v>2899</v>
      </c>
      <c r="D160" s="697" t="s">
        <v>4361</v>
      </c>
      <c r="E160" s="697" t="s">
        <v>4362</v>
      </c>
      <c r="F160" s="701"/>
      <c r="G160" s="701"/>
      <c r="H160" s="701"/>
      <c r="I160" s="701"/>
      <c r="J160" s="701"/>
      <c r="K160" s="701"/>
      <c r="L160" s="701"/>
      <c r="M160" s="701"/>
      <c r="N160" s="701">
        <v>9</v>
      </c>
      <c r="O160" s="701">
        <v>5886</v>
      </c>
      <c r="P160" s="726"/>
      <c r="Q160" s="702">
        <v>654</v>
      </c>
    </row>
    <row r="161" spans="1:17" ht="14.45" customHeight="1" x14ac:dyDescent="0.2">
      <c r="A161" s="696" t="s">
        <v>4173</v>
      </c>
      <c r="B161" s="697" t="s">
        <v>4174</v>
      </c>
      <c r="C161" s="697" t="s">
        <v>2899</v>
      </c>
      <c r="D161" s="697" t="s">
        <v>4363</v>
      </c>
      <c r="E161" s="697" t="s">
        <v>4364</v>
      </c>
      <c r="F161" s="701">
        <v>147</v>
      </c>
      <c r="G161" s="701">
        <v>43512</v>
      </c>
      <c r="H161" s="701"/>
      <c r="I161" s="701">
        <v>296</v>
      </c>
      <c r="J161" s="701">
        <v>173</v>
      </c>
      <c r="K161" s="701">
        <v>51208</v>
      </c>
      <c r="L161" s="701"/>
      <c r="M161" s="701">
        <v>296</v>
      </c>
      <c r="N161" s="701">
        <v>254</v>
      </c>
      <c r="O161" s="701">
        <v>75946</v>
      </c>
      <c r="P161" s="726"/>
      <c r="Q161" s="702">
        <v>299</v>
      </c>
    </row>
    <row r="162" spans="1:17" ht="14.45" customHeight="1" x14ac:dyDescent="0.2">
      <c r="A162" s="696" t="s">
        <v>4173</v>
      </c>
      <c r="B162" s="697" t="s">
        <v>4174</v>
      </c>
      <c r="C162" s="697" t="s">
        <v>2899</v>
      </c>
      <c r="D162" s="697" t="s">
        <v>4365</v>
      </c>
      <c r="E162" s="697" t="s">
        <v>4366</v>
      </c>
      <c r="F162" s="701">
        <v>4</v>
      </c>
      <c r="G162" s="701">
        <v>180</v>
      </c>
      <c r="H162" s="701"/>
      <c r="I162" s="701">
        <v>45</v>
      </c>
      <c r="J162" s="701">
        <v>3</v>
      </c>
      <c r="K162" s="701">
        <v>135</v>
      </c>
      <c r="L162" s="701"/>
      <c r="M162" s="701">
        <v>45</v>
      </c>
      <c r="N162" s="701">
        <v>13</v>
      </c>
      <c r="O162" s="701">
        <v>598</v>
      </c>
      <c r="P162" s="726"/>
      <c r="Q162" s="702">
        <v>46</v>
      </c>
    </row>
    <row r="163" spans="1:17" ht="14.45" customHeight="1" x14ac:dyDescent="0.2">
      <c r="A163" s="696" t="s">
        <v>4173</v>
      </c>
      <c r="B163" s="697" t="s">
        <v>4174</v>
      </c>
      <c r="C163" s="697" t="s">
        <v>2899</v>
      </c>
      <c r="D163" s="697" t="s">
        <v>4367</v>
      </c>
      <c r="E163" s="697" t="s">
        <v>4368</v>
      </c>
      <c r="F163" s="701"/>
      <c r="G163" s="701"/>
      <c r="H163" s="701"/>
      <c r="I163" s="701"/>
      <c r="J163" s="701"/>
      <c r="K163" s="701"/>
      <c r="L163" s="701"/>
      <c r="M163" s="701"/>
      <c r="N163" s="701">
        <v>1</v>
      </c>
      <c r="O163" s="701">
        <v>26</v>
      </c>
      <c r="P163" s="726"/>
      <c r="Q163" s="702">
        <v>26</v>
      </c>
    </row>
    <row r="164" spans="1:17" ht="14.45" customHeight="1" x14ac:dyDescent="0.2">
      <c r="A164" s="696" t="s">
        <v>4173</v>
      </c>
      <c r="B164" s="697" t="s">
        <v>4174</v>
      </c>
      <c r="C164" s="697" t="s">
        <v>2899</v>
      </c>
      <c r="D164" s="697" t="s">
        <v>4369</v>
      </c>
      <c r="E164" s="697" t="s">
        <v>4370</v>
      </c>
      <c r="F164" s="701">
        <v>7</v>
      </c>
      <c r="G164" s="701">
        <v>322</v>
      </c>
      <c r="H164" s="701"/>
      <c r="I164" s="701">
        <v>46</v>
      </c>
      <c r="J164" s="701">
        <v>17</v>
      </c>
      <c r="K164" s="701">
        <v>782</v>
      </c>
      <c r="L164" s="701"/>
      <c r="M164" s="701">
        <v>46</v>
      </c>
      <c r="N164" s="701">
        <v>12</v>
      </c>
      <c r="O164" s="701">
        <v>564</v>
      </c>
      <c r="P164" s="726"/>
      <c r="Q164" s="702">
        <v>47</v>
      </c>
    </row>
    <row r="165" spans="1:17" ht="14.45" customHeight="1" x14ac:dyDescent="0.2">
      <c r="A165" s="696" t="s">
        <v>4173</v>
      </c>
      <c r="B165" s="697" t="s">
        <v>4174</v>
      </c>
      <c r="C165" s="697" t="s">
        <v>2899</v>
      </c>
      <c r="D165" s="697" t="s">
        <v>4371</v>
      </c>
      <c r="E165" s="697" t="s">
        <v>4372</v>
      </c>
      <c r="F165" s="701">
        <v>3</v>
      </c>
      <c r="G165" s="701">
        <v>93</v>
      </c>
      <c r="H165" s="701"/>
      <c r="I165" s="701">
        <v>31</v>
      </c>
      <c r="J165" s="701">
        <v>2</v>
      </c>
      <c r="K165" s="701">
        <v>64</v>
      </c>
      <c r="L165" s="701"/>
      <c r="M165" s="701">
        <v>32</v>
      </c>
      <c r="N165" s="701">
        <v>3</v>
      </c>
      <c r="O165" s="701">
        <v>96</v>
      </c>
      <c r="P165" s="726"/>
      <c r="Q165" s="702">
        <v>32</v>
      </c>
    </row>
    <row r="166" spans="1:17" ht="14.45" customHeight="1" x14ac:dyDescent="0.2">
      <c r="A166" s="696" t="s">
        <v>4173</v>
      </c>
      <c r="B166" s="697" t="s">
        <v>4174</v>
      </c>
      <c r="C166" s="697" t="s">
        <v>2899</v>
      </c>
      <c r="D166" s="697" t="s">
        <v>4373</v>
      </c>
      <c r="E166" s="697" t="s">
        <v>4374</v>
      </c>
      <c r="F166" s="701">
        <v>7</v>
      </c>
      <c r="G166" s="701">
        <v>182</v>
      </c>
      <c r="H166" s="701"/>
      <c r="I166" s="701">
        <v>26</v>
      </c>
      <c r="J166" s="701"/>
      <c r="K166" s="701"/>
      <c r="L166" s="701"/>
      <c r="M166" s="701"/>
      <c r="N166" s="701">
        <v>5</v>
      </c>
      <c r="O166" s="701">
        <v>135</v>
      </c>
      <c r="P166" s="726"/>
      <c r="Q166" s="702">
        <v>27</v>
      </c>
    </row>
    <row r="167" spans="1:17" ht="14.45" customHeight="1" x14ac:dyDescent="0.2">
      <c r="A167" s="696" t="s">
        <v>4173</v>
      </c>
      <c r="B167" s="697" t="s">
        <v>4174</v>
      </c>
      <c r="C167" s="697" t="s">
        <v>2899</v>
      </c>
      <c r="D167" s="697" t="s">
        <v>4375</v>
      </c>
      <c r="E167" s="697" t="s">
        <v>4376</v>
      </c>
      <c r="F167" s="701"/>
      <c r="G167" s="701"/>
      <c r="H167" s="701"/>
      <c r="I167" s="701"/>
      <c r="J167" s="701">
        <v>2</v>
      </c>
      <c r="K167" s="701">
        <v>62</v>
      </c>
      <c r="L167" s="701"/>
      <c r="M167" s="701">
        <v>31</v>
      </c>
      <c r="N167" s="701">
        <v>2</v>
      </c>
      <c r="O167" s="701">
        <v>64</v>
      </c>
      <c r="P167" s="726"/>
      <c r="Q167" s="702">
        <v>32</v>
      </c>
    </row>
    <row r="168" spans="1:17" ht="14.45" customHeight="1" x14ac:dyDescent="0.2">
      <c r="A168" s="696" t="s">
        <v>4173</v>
      </c>
      <c r="B168" s="697" t="s">
        <v>4174</v>
      </c>
      <c r="C168" s="697" t="s">
        <v>2899</v>
      </c>
      <c r="D168" s="697" t="s">
        <v>4377</v>
      </c>
      <c r="E168" s="697" t="s">
        <v>4378</v>
      </c>
      <c r="F168" s="701"/>
      <c r="G168" s="701"/>
      <c r="H168" s="701"/>
      <c r="I168" s="701"/>
      <c r="J168" s="701"/>
      <c r="K168" s="701"/>
      <c r="L168" s="701"/>
      <c r="M168" s="701"/>
      <c r="N168" s="701">
        <v>4</v>
      </c>
      <c r="O168" s="701">
        <v>7172</v>
      </c>
      <c r="P168" s="726"/>
      <c r="Q168" s="702">
        <v>1793</v>
      </c>
    </row>
    <row r="169" spans="1:17" ht="14.45" customHeight="1" x14ac:dyDescent="0.2">
      <c r="A169" s="696" t="s">
        <v>4173</v>
      </c>
      <c r="B169" s="697" t="s">
        <v>4174</v>
      </c>
      <c r="C169" s="697" t="s">
        <v>2899</v>
      </c>
      <c r="D169" s="697" t="s">
        <v>4379</v>
      </c>
      <c r="E169" s="697" t="s">
        <v>4380</v>
      </c>
      <c r="F169" s="701"/>
      <c r="G169" s="701"/>
      <c r="H169" s="701"/>
      <c r="I169" s="701"/>
      <c r="J169" s="701"/>
      <c r="K169" s="701"/>
      <c r="L169" s="701"/>
      <c r="M169" s="701"/>
      <c r="N169" s="701">
        <v>2</v>
      </c>
      <c r="O169" s="701">
        <v>274</v>
      </c>
      <c r="P169" s="726"/>
      <c r="Q169" s="702">
        <v>137</v>
      </c>
    </row>
    <row r="170" spans="1:17" ht="14.45" customHeight="1" x14ac:dyDescent="0.2">
      <c r="A170" s="696" t="s">
        <v>4173</v>
      </c>
      <c r="B170" s="697" t="s">
        <v>4174</v>
      </c>
      <c r="C170" s="697" t="s">
        <v>2899</v>
      </c>
      <c r="D170" s="697" t="s">
        <v>4381</v>
      </c>
      <c r="E170" s="697" t="s">
        <v>4382</v>
      </c>
      <c r="F170" s="701"/>
      <c r="G170" s="701"/>
      <c r="H170" s="701"/>
      <c r="I170" s="701"/>
      <c r="J170" s="701"/>
      <c r="K170" s="701"/>
      <c r="L170" s="701"/>
      <c r="M170" s="701"/>
      <c r="N170" s="701">
        <v>1</v>
      </c>
      <c r="O170" s="701">
        <v>87</v>
      </c>
      <c r="P170" s="726"/>
      <c r="Q170" s="702">
        <v>87</v>
      </c>
    </row>
    <row r="171" spans="1:17" ht="14.45" customHeight="1" x14ac:dyDescent="0.2">
      <c r="A171" s="696" t="s">
        <v>4173</v>
      </c>
      <c r="B171" s="697" t="s">
        <v>4174</v>
      </c>
      <c r="C171" s="697" t="s">
        <v>2899</v>
      </c>
      <c r="D171" s="697" t="s">
        <v>4383</v>
      </c>
      <c r="E171" s="697" t="s">
        <v>4384</v>
      </c>
      <c r="F171" s="701"/>
      <c r="G171" s="701"/>
      <c r="H171" s="701"/>
      <c r="I171" s="701"/>
      <c r="J171" s="701">
        <v>1</v>
      </c>
      <c r="K171" s="701">
        <v>409</v>
      </c>
      <c r="L171" s="701"/>
      <c r="M171" s="701">
        <v>409</v>
      </c>
      <c r="N171" s="701"/>
      <c r="O171" s="701"/>
      <c r="P171" s="726"/>
      <c r="Q171" s="702"/>
    </row>
    <row r="172" spans="1:17" ht="14.45" customHeight="1" x14ac:dyDescent="0.2">
      <c r="A172" s="696" t="s">
        <v>4173</v>
      </c>
      <c r="B172" s="697" t="s">
        <v>4174</v>
      </c>
      <c r="C172" s="697" t="s">
        <v>2899</v>
      </c>
      <c r="D172" s="697" t="s">
        <v>4385</v>
      </c>
      <c r="E172" s="697" t="s">
        <v>4386</v>
      </c>
      <c r="F172" s="701">
        <v>1</v>
      </c>
      <c r="G172" s="701">
        <v>190</v>
      </c>
      <c r="H172" s="701"/>
      <c r="I172" s="701">
        <v>190</v>
      </c>
      <c r="J172" s="701">
        <v>1</v>
      </c>
      <c r="K172" s="701">
        <v>190</v>
      </c>
      <c r="L172" s="701"/>
      <c r="M172" s="701">
        <v>190</v>
      </c>
      <c r="N172" s="701">
        <v>1</v>
      </c>
      <c r="O172" s="701">
        <v>191</v>
      </c>
      <c r="P172" s="726"/>
      <c r="Q172" s="702">
        <v>191</v>
      </c>
    </row>
    <row r="173" spans="1:17" ht="14.45" customHeight="1" x14ac:dyDescent="0.2">
      <c r="A173" s="696" t="s">
        <v>4173</v>
      </c>
      <c r="B173" s="697" t="s">
        <v>4174</v>
      </c>
      <c r="C173" s="697" t="s">
        <v>2899</v>
      </c>
      <c r="D173" s="697" t="s">
        <v>4387</v>
      </c>
      <c r="E173" s="697" t="s">
        <v>4388</v>
      </c>
      <c r="F173" s="701">
        <v>7</v>
      </c>
      <c r="G173" s="701">
        <v>1918</v>
      </c>
      <c r="H173" s="701"/>
      <c r="I173" s="701">
        <v>274</v>
      </c>
      <c r="J173" s="701">
        <v>4</v>
      </c>
      <c r="K173" s="701">
        <v>1100</v>
      </c>
      <c r="L173" s="701"/>
      <c r="M173" s="701">
        <v>275</v>
      </c>
      <c r="N173" s="701">
        <v>1</v>
      </c>
      <c r="O173" s="701">
        <v>276</v>
      </c>
      <c r="P173" s="726"/>
      <c r="Q173" s="702">
        <v>276</v>
      </c>
    </row>
    <row r="174" spans="1:17" ht="14.45" customHeight="1" x14ac:dyDescent="0.2">
      <c r="A174" s="696" t="s">
        <v>4173</v>
      </c>
      <c r="B174" s="697" t="s">
        <v>4174</v>
      </c>
      <c r="C174" s="697" t="s">
        <v>2899</v>
      </c>
      <c r="D174" s="697" t="s">
        <v>4389</v>
      </c>
      <c r="E174" s="697" t="s">
        <v>4390</v>
      </c>
      <c r="F174" s="701">
        <v>8</v>
      </c>
      <c r="G174" s="701">
        <v>1064</v>
      </c>
      <c r="H174" s="701"/>
      <c r="I174" s="701">
        <v>133</v>
      </c>
      <c r="J174" s="701">
        <v>9</v>
      </c>
      <c r="K174" s="701">
        <v>1197</v>
      </c>
      <c r="L174" s="701"/>
      <c r="M174" s="701">
        <v>133</v>
      </c>
      <c r="N174" s="701">
        <v>15</v>
      </c>
      <c r="O174" s="701">
        <v>2010</v>
      </c>
      <c r="P174" s="726"/>
      <c r="Q174" s="702">
        <v>134</v>
      </c>
    </row>
    <row r="175" spans="1:17" ht="14.45" customHeight="1" x14ac:dyDescent="0.2">
      <c r="A175" s="696" t="s">
        <v>4173</v>
      </c>
      <c r="B175" s="697" t="s">
        <v>4174</v>
      </c>
      <c r="C175" s="697" t="s">
        <v>2899</v>
      </c>
      <c r="D175" s="697" t="s">
        <v>4391</v>
      </c>
      <c r="E175" s="697" t="s">
        <v>4392</v>
      </c>
      <c r="F175" s="701">
        <v>370</v>
      </c>
      <c r="G175" s="701">
        <v>13690</v>
      </c>
      <c r="H175" s="701"/>
      <c r="I175" s="701">
        <v>37</v>
      </c>
      <c r="J175" s="701">
        <v>457</v>
      </c>
      <c r="K175" s="701">
        <v>16909</v>
      </c>
      <c r="L175" s="701"/>
      <c r="M175" s="701">
        <v>37</v>
      </c>
      <c r="N175" s="701">
        <v>486</v>
      </c>
      <c r="O175" s="701">
        <v>18468</v>
      </c>
      <c r="P175" s="726"/>
      <c r="Q175" s="702">
        <v>38</v>
      </c>
    </row>
    <row r="176" spans="1:17" ht="14.45" customHeight="1" x14ac:dyDescent="0.2">
      <c r="A176" s="696" t="s">
        <v>4173</v>
      </c>
      <c r="B176" s="697" t="s">
        <v>4174</v>
      </c>
      <c r="C176" s="697" t="s">
        <v>2899</v>
      </c>
      <c r="D176" s="697" t="s">
        <v>4393</v>
      </c>
      <c r="E176" s="697" t="s">
        <v>4394</v>
      </c>
      <c r="F176" s="701"/>
      <c r="G176" s="701"/>
      <c r="H176" s="701"/>
      <c r="I176" s="701"/>
      <c r="J176" s="701"/>
      <c r="K176" s="701"/>
      <c r="L176" s="701"/>
      <c r="M176" s="701"/>
      <c r="N176" s="701">
        <v>1</v>
      </c>
      <c r="O176" s="701">
        <v>476</v>
      </c>
      <c r="P176" s="726"/>
      <c r="Q176" s="702">
        <v>476</v>
      </c>
    </row>
    <row r="177" spans="1:17" ht="14.45" customHeight="1" x14ac:dyDescent="0.2">
      <c r="A177" s="696" t="s">
        <v>4173</v>
      </c>
      <c r="B177" s="697" t="s">
        <v>4174</v>
      </c>
      <c r="C177" s="697" t="s">
        <v>2899</v>
      </c>
      <c r="D177" s="697" t="s">
        <v>4395</v>
      </c>
      <c r="E177" s="697" t="s">
        <v>4396</v>
      </c>
      <c r="F177" s="701">
        <v>1</v>
      </c>
      <c r="G177" s="701">
        <v>171</v>
      </c>
      <c r="H177" s="701"/>
      <c r="I177" s="701">
        <v>171</v>
      </c>
      <c r="J177" s="701">
        <v>4</v>
      </c>
      <c r="K177" s="701">
        <v>684</v>
      </c>
      <c r="L177" s="701"/>
      <c r="M177" s="701">
        <v>171</v>
      </c>
      <c r="N177" s="701">
        <v>3</v>
      </c>
      <c r="O177" s="701">
        <v>516</v>
      </c>
      <c r="P177" s="726"/>
      <c r="Q177" s="702">
        <v>172</v>
      </c>
    </row>
    <row r="178" spans="1:17" ht="14.45" customHeight="1" x14ac:dyDescent="0.2">
      <c r="A178" s="696" t="s">
        <v>4173</v>
      </c>
      <c r="B178" s="697" t="s">
        <v>4174</v>
      </c>
      <c r="C178" s="697" t="s">
        <v>2899</v>
      </c>
      <c r="D178" s="697" t="s">
        <v>4397</v>
      </c>
      <c r="E178" s="697" t="s">
        <v>4398</v>
      </c>
      <c r="F178" s="701"/>
      <c r="G178" s="701"/>
      <c r="H178" s="701"/>
      <c r="I178" s="701"/>
      <c r="J178" s="701">
        <v>1</v>
      </c>
      <c r="K178" s="701">
        <v>931</v>
      </c>
      <c r="L178" s="701"/>
      <c r="M178" s="701">
        <v>931</v>
      </c>
      <c r="N178" s="701">
        <v>1</v>
      </c>
      <c r="O178" s="701">
        <v>932</v>
      </c>
      <c r="P178" s="726"/>
      <c r="Q178" s="702">
        <v>932</v>
      </c>
    </row>
    <row r="179" spans="1:17" ht="14.45" customHeight="1" x14ac:dyDescent="0.2">
      <c r="A179" s="696" t="s">
        <v>4173</v>
      </c>
      <c r="B179" s="697" t="s">
        <v>4174</v>
      </c>
      <c r="C179" s="697" t="s">
        <v>2899</v>
      </c>
      <c r="D179" s="697" t="s">
        <v>4399</v>
      </c>
      <c r="E179" s="697" t="s">
        <v>4400</v>
      </c>
      <c r="F179" s="701"/>
      <c r="G179" s="701"/>
      <c r="H179" s="701"/>
      <c r="I179" s="701"/>
      <c r="J179" s="701">
        <v>2</v>
      </c>
      <c r="K179" s="701">
        <v>1866</v>
      </c>
      <c r="L179" s="701"/>
      <c r="M179" s="701">
        <v>933</v>
      </c>
      <c r="N179" s="701">
        <v>1</v>
      </c>
      <c r="O179" s="701">
        <v>934</v>
      </c>
      <c r="P179" s="726"/>
      <c r="Q179" s="702">
        <v>934</v>
      </c>
    </row>
    <row r="180" spans="1:17" ht="14.45" customHeight="1" x14ac:dyDescent="0.2">
      <c r="A180" s="696" t="s">
        <v>4173</v>
      </c>
      <c r="B180" s="697" t="s">
        <v>4174</v>
      </c>
      <c r="C180" s="697" t="s">
        <v>2899</v>
      </c>
      <c r="D180" s="697" t="s">
        <v>4401</v>
      </c>
      <c r="E180" s="697" t="s">
        <v>4402</v>
      </c>
      <c r="F180" s="701"/>
      <c r="G180" s="701"/>
      <c r="H180" s="701"/>
      <c r="I180" s="701"/>
      <c r="J180" s="701">
        <v>1</v>
      </c>
      <c r="K180" s="701">
        <v>840</v>
      </c>
      <c r="L180" s="701"/>
      <c r="M180" s="701">
        <v>840</v>
      </c>
      <c r="N180" s="701"/>
      <c r="O180" s="701"/>
      <c r="P180" s="726"/>
      <c r="Q180" s="702"/>
    </row>
    <row r="181" spans="1:17" ht="14.45" customHeight="1" x14ac:dyDescent="0.2">
      <c r="A181" s="696" t="s">
        <v>4173</v>
      </c>
      <c r="B181" s="697" t="s">
        <v>4174</v>
      </c>
      <c r="C181" s="697" t="s">
        <v>2899</v>
      </c>
      <c r="D181" s="697" t="s">
        <v>4403</v>
      </c>
      <c r="E181" s="697" t="s">
        <v>4404</v>
      </c>
      <c r="F181" s="701">
        <v>29</v>
      </c>
      <c r="G181" s="701">
        <v>2726</v>
      </c>
      <c r="H181" s="701"/>
      <c r="I181" s="701">
        <v>94</v>
      </c>
      <c r="J181" s="701">
        <v>41</v>
      </c>
      <c r="K181" s="701">
        <v>3854</v>
      </c>
      <c r="L181" s="701"/>
      <c r="M181" s="701">
        <v>94</v>
      </c>
      <c r="N181" s="701">
        <v>16</v>
      </c>
      <c r="O181" s="701">
        <v>1552</v>
      </c>
      <c r="P181" s="726"/>
      <c r="Q181" s="702">
        <v>97</v>
      </c>
    </row>
    <row r="182" spans="1:17" ht="14.45" customHeight="1" x14ac:dyDescent="0.2">
      <c r="A182" s="696" t="s">
        <v>4173</v>
      </c>
      <c r="B182" s="697" t="s">
        <v>4174</v>
      </c>
      <c r="C182" s="697" t="s">
        <v>2899</v>
      </c>
      <c r="D182" s="697" t="s">
        <v>4405</v>
      </c>
      <c r="E182" s="697" t="s">
        <v>4406</v>
      </c>
      <c r="F182" s="701">
        <v>4</v>
      </c>
      <c r="G182" s="701">
        <v>3768</v>
      </c>
      <c r="H182" s="701"/>
      <c r="I182" s="701">
        <v>942</v>
      </c>
      <c r="J182" s="701">
        <v>2</v>
      </c>
      <c r="K182" s="701">
        <v>1884</v>
      </c>
      <c r="L182" s="701"/>
      <c r="M182" s="701">
        <v>942</v>
      </c>
      <c r="N182" s="701">
        <v>2</v>
      </c>
      <c r="O182" s="701">
        <v>1888</v>
      </c>
      <c r="P182" s="726"/>
      <c r="Q182" s="702">
        <v>944</v>
      </c>
    </row>
    <row r="183" spans="1:17" ht="14.45" customHeight="1" x14ac:dyDescent="0.2">
      <c r="A183" s="696" t="s">
        <v>4173</v>
      </c>
      <c r="B183" s="697" t="s">
        <v>4174</v>
      </c>
      <c r="C183" s="697" t="s">
        <v>2899</v>
      </c>
      <c r="D183" s="697" t="s">
        <v>4407</v>
      </c>
      <c r="E183" s="697" t="s">
        <v>4408</v>
      </c>
      <c r="F183" s="701">
        <v>1</v>
      </c>
      <c r="G183" s="701">
        <v>94</v>
      </c>
      <c r="H183" s="701"/>
      <c r="I183" s="701">
        <v>94</v>
      </c>
      <c r="J183" s="701">
        <v>3</v>
      </c>
      <c r="K183" s="701">
        <v>282</v>
      </c>
      <c r="L183" s="701"/>
      <c r="M183" s="701">
        <v>94</v>
      </c>
      <c r="N183" s="701"/>
      <c r="O183" s="701"/>
      <c r="P183" s="726"/>
      <c r="Q183" s="702"/>
    </row>
    <row r="184" spans="1:17" ht="14.45" customHeight="1" x14ac:dyDescent="0.2">
      <c r="A184" s="696" t="s">
        <v>4173</v>
      </c>
      <c r="B184" s="697" t="s">
        <v>4174</v>
      </c>
      <c r="C184" s="697" t="s">
        <v>2899</v>
      </c>
      <c r="D184" s="697" t="s">
        <v>4409</v>
      </c>
      <c r="E184" s="697" t="s">
        <v>4410</v>
      </c>
      <c r="F184" s="701">
        <v>12</v>
      </c>
      <c r="G184" s="701">
        <v>6396</v>
      </c>
      <c r="H184" s="701"/>
      <c r="I184" s="701">
        <v>533</v>
      </c>
      <c r="J184" s="701">
        <v>136</v>
      </c>
      <c r="K184" s="701">
        <v>72624</v>
      </c>
      <c r="L184" s="701"/>
      <c r="M184" s="701">
        <v>534</v>
      </c>
      <c r="N184" s="701">
        <v>132</v>
      </c>
      <c r="O184" s="701">
        <v>70752</v>
      </c>
      <c r="P184" s="726"/>
      <c r="Q184" s="702">
        <v>536</v>
      </c>
    </row>
    <row r="185" spans="1:17" ht="14.45" customHeight="1" x14ac:dyDescent="0.2">
      <c r="A185" s="696" t="s">
        <v>4173</v>
      </c>
      <c r="B185" s="697" t="s">
        <v>4174</v>
      </c>
      <c r="C185" s="697" t="s">
        <v>2899</v>
      </c>
      <c r="D185" s="697" t="s">
        <v>4411</v>
      </c>
      <c r="E185" s="697" t="s">
        <v>4412</v>
      </c>
      <c r="F185" s="701"/>
      <c r="G185" s="701"/>
      <c r="H185" s="701"/>
      <c r="I185" s="701"/>
      <c r="J185" s="701">
        <v>1</v>
      </c>
      <c r="K185" s="701">
        <v>53</v>
      </c>
      <c r="L185" s="701"/>
      <c r="M185" s="701">
        <v>53</v>
      </c>
      <c r="N185" s="701">
        <v>1</v>
      </c>
      <c r="O185" s="701">
        <v>55</v>
      </c>
      <c r="P185" s="726"/>
      <c r="Q185" s="702">
        <v>55</v>
      </c>
    </row>
    <row r="186" spans="1:17" ht="14.45" customHeight="1" x14ac:dyDescent="0.2">
      <c r="A186" s="696" t="s">
        <v>4173</v>
      </c>
      <c r="B186" s="697" t="s">
        <v>4174</v>
      </c>
      <c r="C186" s="697" t="s">
        <v>2899</v>
      </c>
      <c r="D186" s="697" t="s">
        <v>4413</v>
      </c>
      <c r="E186" s="697" t="s">
        <v>4414</v>
      </c>
      <c r="F186" s="701"/>
      <c r="G186" s="701"/>
      <c r="H186" s="701"/>
      <c r="I186" s="701"/>
      <c r="J186" s="701">
        <v>14</v>
      </c>
      <c r="K186" s="701">
        <v>10822</v>
      </c>
      <c r="L186" s="701"/>
      <c r="M186" s="701">
        <v>773</v>
      </c>
      <c r="N186" s="701">
        <v>41</v>
      </c>
      <c r="O186" s="701">
        <v>31816</v>
      </c>
      <c r="P186" s="726"/>
      <c r="Q186" s="702">
        <v>776</v>
      </c>
    </row>
    <row r="187" spans="1:17" ht="14.45" customHeight="1" x14ac:dyDescent="0.2">
      <c r="A187" s="696" t="s">
        <v>4173</v>
      </c>
      <c r="B187" s="697" t="s">
        <v>4415</v>
      </c>
      <c r="C187" s="697" t="s">
        <v>2899</v>
      </c>
      <c r="D187" s="697" t="s">
        <v>4416</v>
      </c>
      <c r="E187" s="697" t="s">
        <v>4417</v>
      </c>
      <c r="F187" s="701">
        <v>16</v>
      </c>
      <c r="G187" s="701">
        <v>16624</v>
      </c>
      <c r="H187" s="701"/>
      <c r="I187" s="701">
        <v>1039</v>
      </c>
      <c r="J187" s="701">
        <v>6</v>
      </c>
      <c r="K187" s="701">
        <v>6240</v>
      </c>
      <c r="L187" s="701"/>
      <c r="M187" s="701">
        <v>1040</v>
      </c>
      <c r="N187" s="701"/>
      <c r="O187" s="701"/>
      <c r="P187" s="726"/>
      <c r="Q187" s="702"/>
    </row>
    <row r="188" spans="1:17" ht="14.45" customHeight="1" x14ac:dyDescent="0.2">
      <c r="A188" s="696" t="s">
        <v>4173</v>
      </c>
      <c r="B188" s="697" t="s">
        <v>4074</v>
      </c>
      <c r="C188" s="697" t="s">
        <v>2899</v>
      </c>
      <c r="D188" s="697" t="s">
        <v>4418</v>
      </c>
      <c r="E188" s="697" t="s">
        <v>4419</v>
      </c>
      <c r="F188" s="701"/>
      <c r="G188" s="701"/>
      <c r="H188" s="701"/>
      <c r="I188" s="701"/>
      <c r="J188" s="701"/>
      <c r="K188" s="701"/>
      <c r="L188" s="701"/>
      <c r="M188" s="701"/>
      <c r="N188" s="701">
        <v>1</v>
      </c>
      <c r="O188" s="701">
        <v>636</v>
      </c>
      <c r="P188" s="726"/>
      <c r="Q188" s="702">
        <v>636</v>
      </c>
    </row>
    <row r="189" spans="1:17" ht="14.45" customHeight="1" x14ac:dyDescent="0.2">
      <c r="A189" s="696" t="s">
        <v>4420</v>
      </c>
      <c r="B189" s="697" t="s">
        <v>4056</v>
      </c>
      <c r="C189" s="697" t="s">
        <v>3196</v>
      </c>
      <c r="D189" s="697" t="s">
        <v>3207</v>
      </c>
      <c r="E189" s="697" t="s">
        <v>3208</v>
      </c>
      <c r="F189" s="701">
        <v>0.14000000000000001</v>
      </c>
      <c r="G189" s="701">
        <v>680.84</v>
      </c>
      <c r="H189" s="701"/>
      <c r="I189" s="701">
        <v>4863.1428571428569</v>
      </c>
      <c r="J189" s="701">
        <v>0.66</v>
      </c>
      <c r="K189" s="701">
        <v>3085.18</v>
      </c>
      <c r="L189" s="701"/>
      <c r="M189" s="701">
        <v>4674.515151515151</v>
      </c>
      <c r="N189" s="701">
        <v>0.64999999999999991</v>
      </c>
      <c r="O189" s="701">
        <v>2975.99</v>
      </c>
      <c r="P189" s="726"/>
      <c r="Q189" s="702">
        <v>4578.4461538461537</v>
      </c>
    </row>
    <row r="190" spans="1:17" ht="14.45" customHeight="1" x14ac:dyDescent="0.2">
      <c r="A190" s="696" t="s">
        <v>4420</v>
      </c>
      <c r="B190" s="697" t="s">
        <v>4056</v>
      </c>
      <c r="C190" s="697" t="s">
        <v>3196</v>
      </c>
      <c r="D190" s="697" t="s">
        <v>4421</v>
      </c>
      <c r="E190" s="697" t="s">
        <v>3208</v>
      </c>
      <c r="F190" s="701">
        <v>4.8299999999999992</v>
      </c>
      <c r="G190" s="701">
        <v>42214.880000000005</v>
      </c>
      <c r="H190" s="701"/>
      <c r="I190" s="701">
        <v>8740.1407867494854</v>
      </c>
      <c r="J190" s="701">
        <v>3.5799999999999996</v>
      </c>
      <c r="K190" s="701">
        <v>31382.749999999996</v>
      </c>
      <c r="L190" s="701"/>
      <c r="M190" s="701">
        <v>8766.1312849162005</v>
      </c>
      <c r="N190" s="701">
        <v>5.7900000000000009</v>
      </c>
      <c r="O190" s="701">
        <v>50604.960000000014</v>
      </c>
      <c r="P190" s="726"/>
      <c r="Q190" s="702">
        <v>8740.062176165804</v>
      </c>
    </row>
    <row r="191" spans="1:17" ht="14.45" customHeight="1" x14ac:dyDescent="0.2">
      <c r="A191" s="696" t="s">
        <v>4420</v>
      </c>
      <c r="B191" s="697" t="s">
        <v>4056</v>
      </c>
      <c r="C191" s="697" t="s">
        <v>3196</v>
      </c>
      <c r="D191" s="697" t="s">
        <v>4422</v>
      </c>
      <c r="E191" s="697" t="s">
        <v>4423</v>
      </c>
      <c r="F191" s="701">
        <v>1</v>
      </c>
      <c r="G191" s="701">
        <v>5176.3500000000004</v>
      </c>
      <c r="H191" s="701"/>
      <c r="I191" s="701">
        <v>5176.3500000000004</v>
      </c>
      <c r="J191" s="701"/>
      <c r="K191" s="701"/>
      <c r="L191" s="701"/>
      <c r="M191" s="701"/>
      <c r="N191" s="701"/>
      <c r="O191" s="701"/>
      <c r="P191" s="726"/>
      <c r="Q191" s="702"/>
    </row>
    <row r="192" spans="1:17" ht="14.45" customHeight="1" x14ac:dyDescent="0.2">
      <c r="A192" s="696" t="s">
        <v>4420</v>
      </c>
      <c r="B192" s="697" t="s">
        <v>4056</v>
      </c>
      <c r="C192" s="697" t="s">
        <v>3196</v>
      </c>
      <c r="D192" s="697" t="s">
        <v>4424</v>
      </c>
      <c r="E192" s="697" t="s">
        <v>4425</v>
      </c>
      <c r="F192" s="701"/>
      <c r="G192" s="701"/>
      <c r="H192" s="701"/>
      <c r="I192" s="701"/>
      <c r="J192" s="701"/>
      <c r="K192" s="701"/>
      <c r="L192" s="701"/>
      <c r="M192" s="701"/>
      <c r="N192" s="701">
        <v>1</v>
      </c>
      <c r="O192" s="701">
        <v>1034</v>
      </c>
      <c r="P192" s="726"/>
      <c r="Q192" s="702">
        <v>1034</v>
      </c>
    </row>
    <row r="193" spans="1:17" ht="14.45" customHeight="1" x14ac:dyDescent="0.2">
      <c r="A193" s="696" t="s">
        <v>4420</v>
      </c>
      <c r="B193" s="697" t="s">
        <v>4056</v>
      </c>
      <c r="C193" s="697" t="s">
        <v>3196</v>
      </c>
      <c r="D193" s="697" t="s">
        <v>4426</v>
      </c>
      <c r="E193" s="697" t="s">
        <v>4427</v>
      </c>
      <c r="F193" s="701">
        <v>0.44999999999999996</v>
      </c>
      <c r="G193" s="701">
        <v>212.8</v>
      </c>
      <c r="H193" s="701"/>
      <c r="I193" s="701">
        <v>472.88888888888897</v>
      </c>
      <c r="J193" s="701">
        <v>0.25</v>
      </c>
      <c r="K193" s="701">
        <v>127.63</v>
      </c>
      <c r="L193" s="701"/>
      <c r="M193" s="701">
        <v>510.52</v>
      </c>
      <c r="N193" s="701">
        <v>0.15</v>
      </c>
      <c r="O193" s="701">
        <v>49.83</v>
      </c>
      <c r="P193" s="726"/>
      <c r="Q193" s="702">
        <v>332.2</v>
      </c>
    </row>
    <row r="194" spans="1:17" ht="14.45" customHeight="1" x14ac:dyDescent="0.2">
      <c r="A194" s="696" t="s">
        <v>4420</v>
      </c>
      <c r="B194" s="697" t="s">
        <v>4056</v>
      </c>
      <c r="C194" s="697" t="s">
        <v>3196</v>
      </c>
      <c r="D194" s="697" t="s">
        <v>4428</v>
      </c>
      <c r="E194" s="697" t="s">
        <v>4429</v>
      </c>
      <c r="F194" s="701">
        <v>0.25</v>
      </c>
      <c r="G194" s="701">
        <v>179.61999999999998</v>
      </c>
      <c r="H194" s="701"/>
      <c r="I194" s="701">
        <v>718.4799999999999</v>
      </c>
      <c r="J194" s="701">
        <v>0.05</v>
      </c>
      <c r="K194" s="701">
        <v>35.909999999999997</v>
      </c>
      <c r="L194" s="701"/>
      <c r="M194" s="701">
        <v>718.19999999999993</v>
      </c>
      <c r="N194" s="701">
        <v>0.2</v>
      </c>
      <c r="O194" s="701">
        <v>143.63999999999999</v>
      </c>
      <c r="P194" s="726"/>
      <c r="Q194" s="702">
        <v>718.19999999999993</v>
      </c>
    </row>
    <row r="195" spans="1:17" ht="14.45" customHeight="1" x14ac:dyDescent="0.2">
      <c r="A195" s="696" t="s">
        <v>4420</v>
      </c>
      <c r="B195" s="697" t="s">
        <v>4056</v>
      </c>
      <c r="C195" s="697" t="s">
        <v>3196</v>
      </c>
      <c r="D195" s="697" t="s">
        <v>4430</v>
      </c>
      <c r="E195" s="697" t="s">
        <v>3279</v>
      </c>
      <c r="F195" s="701">
        <v>33.730000000000004</v>
      </c>
      <c r="G195" s="701">
        <v>22104.080000000005</v>
      </c>
      <c r="H195" s="701"/>
      <c r="I195" s="701">
        <v>655.32404387785357</v>
      </c>
      <c r="J195" s="701">
        <v>15.75</v>
      </c>
      <c r="K195" s="701">
        <v>11022.53</v>
      </c>
      <c r="L195" s="701"/>
      <c r="M195" s="701">
        <v>699.84317460317459</v>
      </c>
      <c r="N195" s="701">
        <v>15.329999999999998</v>
      </c>
      <c r="O195" s="701">
        <v>10413.140000000003</v>
      </c>
      <c r="P195" s="726"/>
      <c r="Q195" s="702">
        <v>679.26549249836944</v>
      </c>
    </row>
    <row r="196" spans="1:17" ht="14.45" customHeight="1" x14ac:dyDescent="0.2">
      <c r="A196" s="696" t="s">
        <v>4420</v>
      </c>
      <c r="B196" s="697" t="s">
        <v>4056</v>
      </c>
      <c r="C196" s="697" t="s">
        <v>3196</v>
      </c>
      <c r="D196" s="697" t="s">
        <v>4431</v>
      </c>
      <c r="E196" s="697" t="s">
        <v>3279</v>
      </c>
      <c r="F196" s="701">
        <v>0.79000000000000015</v>
      </c>
      <c r="G196" s="701">
        <v>9416.6200000000008</v>
      </c>
      <c r="H196" s="701"/>
      <c r="I196" s="701">
        <v>11919.772151898733</v>
      </c>
      <c r="J196" s="701">
        <v>2.0299999999999998</v>
      </c>
      <c r="K196" s="701">
        <v>34207.430000000015</v>
      </c>
      <c r="L196" s="701"/>
      <c r="M196" s="701">
        <v>16850.950738916265</v>
      </c>
      <c r="N196" s="701">
        <v>3.0399999999999996</v>
      </c>
      <c r="O196" s="701">
        <v>41668.299999999996</v>
      </c>
      <c r="P196" s="726"/>
      <c r="Q196" s="702">
        <v>13706.677631578948</v>
      </c>
    </row>
    <row r="197" spans="1:17" ht="14.45" customHeight="1" x14ac:dyDescent="0.2">
      <c r="A197" s="696" t="s">
        <v>4420</v>
      </c>
      <c r="B197" s="697" t="s">
        <v>4056</v>
      </c>
      <c r="C197" s="697" t="s">
        <v>3196</v>
      </c>
      <c r="D197" s="697" t="s">
        <v>3278</v>
      </c>
      <c r="E197" s="697" t="s">
        <v>3279</v>
      </c>
      <c r="F197" s="701">
        <v>0.7</v>
      </c>
      <c r="G197" s="701">
        <v>1147.6300000000001</v>
      </c>
      <c r="H197" s="701"/>
      <c r="I197" s="701">
        <v>1639.4714285714288</v>
      </c>
      <c r="J197" s="701">
        <v>1.1199999999999999</v>
      </c>
      <c r="K197" s="701">
        <v>2243.33</v>
      </c>
      <c r="L197" s="701"/>
      <c r="M197" s="701">
        <v>2002.9732142857144</v>
      </c>
      <c r="N197" s="701">
        <v>0.14000000000000001</v>
      </c>
      <c r="O197" s="701">
        <v>229.52</v>
      </c>
      <c r="P197" s="726"/>
      <c r="Q197" s="702">
        <v>1639.4285714285713</v>
      </c>
    </row>
    <row r="198" spans="1:17" ht="14.45" customHeight="1" x14ac:dyDescent="0.2">
      <c r="A198" s="696" t="s">
        <v>4420</v>
      </c>
      <c r="B198" s="697" t="s">
        <v>4056</v>
      </c>
      <c r="C198" s="697" t="s">
        <v>3196</v>
      </c>
      <c r="D198" s="697" t="s">
        <v>4432</v>
      </c>
      <c r="E198" s="697" t="s">
        <v>4433</v>
      </c>
      <c r="F198" s="701">
        <v>2.67</v>
      </c>
      <c r="G198" s="701">
        <v>3889.0699999999997</v>
      </c>
      <c r="H198" s="701"/>
      <c r="I198" s="701">
        <v>1456.5805243445693</v>
      </c>
      <c r="J198" s="701"/>
      <c r="K198" s="701"/>
      <c r="L198" s="701"/>
      <c r="M198" s="701"/>
      <c r="N198" s="701">
        <v>1.01</v>
      </c>
      <c r="O198" s="701">
        <v>1471.15</v>
      </c>
      <c r="P198" s="726"/>
      <c r="Q198" s="702">
        <v>1456.5841584158416</v>
      </c>
    </row>
    <row r="199" spans="1:17" ht="14.45" customHeight="1" x14ac:dyDescent="0.2">
      <c r="A199" s="696" t="s">
        <v>4420</v>
      </c>
      <c r="B199" s="697" t="s">
        <v>4056</v>
      </c>
      <c r="C199" s="697" t="s">
        <v>3196</v>
      </c>
      <c r="D199" s="697" t="s">
        <v>4434</v>
      </c>
      <c r="E199" s="697" t="s">
        <v>4433</v>
      </c>
      <c r="F199" s="701">
        <v>0.2</v>
      </c>
      <c r="G199" s="701">
        <v>728.21</v>
      </c>
      <c r="H199" s="701"/>
      <c r="I199" s="701">
        <v>3641.05</v>
      </c>
      <c r="J199" s="701"/>
      <c r="K199" s="701"/>
      <c r="L199" s="701"/>
      <c r="M199" s="701"/>
      <c r="N199" s="701">
        <v>0.8</v>
      </c>
      <c r="O199" s="701">
        <v>2912.83</v>
      </c>
      <c r="P199" s="726"/>
      <c r="Q199" s="702">
        <v>3641.0374999999999</v>
      </c>
    </row>
    <row r="200" spans="1:17" ht="14.45" customHeight="1" x14ac:dyDescent="0.2">
      <c r="A200" s="696" t="s">
        <v>4420</v>
      </c>
      <c r="B200" s="697" t="s">
        <v>4056</v>
      </c>
      <c r="C200" s="697" t="s">
        <v>3196</v>
      </c>
      <c r="D200" s="697" t="s">
        <v>4435</v>
      </c>
      <c r="E200" s="697" t="s">
        <v>3279</v>
      </c>
      <c r="F200" s="701">
        <v>3.1000000000000005</v>
      </c>
      <c r="G200" s="701">
        <v>1650.13</v>
      </c>
      <c r="H200" s="701"/>
      <c r="I200" s="701">
        <v>532.29999999999995</v>
      </c>
      <c r="J200" s="701">
        <v>2.6</v>
      </c>
      <c r="K200" s="701">
        <v>1667.38</v>
      </c>
      <c r="L200" s="701"/>
      <c r="M200" s="701">
        <v>641.30000000000007</v>
      </c>
      <c r="N200" s="701">
        <v>4</v>
      </c>
      <c r="O200" s="701">
        <v>2117.9100000000003</v>
      </c>
      <c r="P200" s="726"/>
      <c r="Q200" s="702">
        <v>529.47750000000008</v>
      </c>
    </row>
    <row r="201" spans="1:17" ht="14.45" customHeight="1" x14ac:dyDescent="0.2">
      <c r="A201" s="696" t="s">
        <v>4420</v>
      </c>
      <c r="B201" s="697" t="s">
        <v>4056</v>
      </c>
      <c r="C201" s="697" t="s">
        <v>3196</v>
      </c>
      <c r="D201" s="697" t="s">
        <v>4436</v>
      </c>
      <c r="E201" s="697" t="s">
        <v>3279</v>
      </c>
      <c r="F201" s="701"/>
      <c r="G201" s="701"/>
      <c r="H201" s="701"/>
      <c r="I201" s="701"/>
      <c r="J201" s="701">
        <v>0.1</v>
      </c>
      <c r="K201" s="701">
        <v>327.58999999999997</v>
      </c>
      <c r="L201" s="701"/>
      <c r="M201" s="701">
        <v>3275.8999999999996</v>
      </c>
      <c r="N201" s="701">
        <v>0.29000000000000004</v>
      </c>
      <c r="O201" s="701">
        <v>1065.17</v>
      </c>
      <c r="P201" s="726"/>
      <c r="Q201" s="702">
        <v>3673</v>
      </c>
    </row>
    <row r="202" spans="1:17" ht="14.45" customHeight="1" x14ac:dyDescent="0.2">
      <c r="A202" s="696" t="s">
        <v>4420</v>
      </c>
      <c r="B202" s="697" t="s">
        <v>4056</v>
      </c>
      <c r="C202" s="697" t="s">
        <v>3333</v>
      </c>
      <c r="D202" s="697" t="s">
        <v>4437</v>
      </c>
      <c r="E202" s="697" t="s">
        <v>4438</v>
      </c>
      <c r="F202" s="701">
        <v>2</v>
      </c>
      <c r="G202" s="701">
        <v>900.08</v>
      </c>
      <c r="H202" s="701"/>
      <c r="I202" s="701">
        <v>450.04</v>
      </c>
      <c r="J202" s="701"/>
      <c r="K202" s="701"/>
      <c r="L202" s="701"/>
      <c r="M202" s="701"/>
      <c r="N202" s="701">
        <v>2</v>
      </c>
      <c r="O202" s="701">
        <v>620.98</v>
      </c>
      <c r="P202" s="726"/>
      <c r="Q202" s="702">
        <v>310.49</v>
      </c>
    </row>
    <row r="203" spans="1:17" ht="14.45" customHeight="1" x14ac:dyDescent="0.2">
      <c r="A203" s="696" t="s">
        <v>4420</v>
      </c>
      <c r="B203" s="697" t="s">
        <v>4056</v>
      </c>
      <c r="C203" s="697" t="s">
        <v>3333</v>
      </c>
      <c r="D203" s="697" t="s">
        <v>4439</v>
      </c>
      <c r="E203" s="697" t="s">
        <v>4440</v>
      </c>
      <c r="F203" s="701"/>
      <c r="G203" s="701"/>
      <c r="H203" s="701"/>
      <c r="I203" s="701"/>
      <c r="J203" s="701">
        <v>1</v>
      </c>
      <c r="K203" s="701">
        <v>1707.1</v>
      </c>
      <c r="L203" s="701"/>
      <c r="M203" s="701">
        <v>1707.1</v>
      </c>
      <c r="N203" s="701"/>
      <c r="O203" s="701"/>
      <c r="P203" s="726"/>
      <c r="Q203" s="702"/>
    </row>
    <row r="204" spans="1:17" ht="14.45" customHeight="1" x14ac:dyDescent="0.2">
      <c r="A204" s="696" t="s">
        <v>4420</v>
      </c>
      <c r="B204" s="697" t="s">
        <v>4056</v>
      </c>
      <c r="C204" s="697" t="s">
        <v>3333</v>
      </c>
      <c r="D204" s="697" t="s">
        <v>4441</v>
      </c>
      <c r="E204" s="697" t="s">
        <v>4442</v>
      </c>
      <c r="F204" s="701"/>
      <c r="G204" s="701"/>
      <c r="H204" s="701"/>
      <c r="I204" s="701"/>
      <c r="J204" s="701">
        <v>4</v>
      </c>
      <c r="K204" s="701">
        <v>4195.8600000000006</v>
      </c>
      <c r="L204" s="701"/>
      <c r="M204" s="701">
        <v>1048.9650000000001</v>
      </c>
      <c r="N204" s="701">
        <v>7</v>
      </c>
      <c r="O204" s="701">
        <v>7070.8700000000008</v>
      </c>
      <c r="P204" s="726"/>
      <c r="Q204" s="702">
        <v>1010.1242857142859</v>
      </c>
    </row>
    <row r="205" spans="1:17" ht="14.45" customHeight="1" x14ac:dyDescent="0.2">
      <c r="A205" s="696" t="s">
        <v>4420</v>
      </c>
      <c r="B205" s="697" t="s">
        <v>4056</v>
      </c>
      <c r="C205" s="697" t="s">
        <v>3333</v>
      </c>
      <c r="D205" s="697" t="s">
        <v>4443</v>
      </c>
      <c r="E205" s="697" t="s">
        <v>3405</v>
      </c>
      <c r="F205" s="701">
        <v>11</v>
      </c>
      <c r="G205" s="701">
        <v>9926.2899999999991</v>
      </c>
      <c r="H205" s="701"/>
      <c r="I205" s="701">
        <v>902.38999999999987</v>
      </c>
      <c r="J205" s="701">
        <v>11</v>
      </c>
      <c r="K205" s="701">
        <v>7874.6</v>
      </c>
      <c r="L205" s="701"/>
      <c r="M205" s="701">
        <v>715.87272727272727</v>
      </c>
      <c r="N205" s="701">
        <v>15</v>
      </c>
      <c r="O205" s="701">
        <v>10738.65</v>
      </c>
      <c r="P205" s="726"/>
      <c r="Q205" s="702">
        <v>715.91</v>
      </c>
    </row>
    <row r="206" spans="1:17" ht="14.45" customHeight="1" x14ac:dyDescent="0.2">
      <c r="A206" s="696" t="s">
        <v>4420</v>
      </c>
      <c r="B206" s="697" t="s">
        <v>4056</v>
      </c>
      <c r="C206" s="697" t="s">
        <v>3333</v>
      </c>
      <c r="D206" s="697" t="s">
        <v>4444</v>
      </c>
      <c r="E206" s="697" t="s">
        <v>3405</v>
      </c>
      <c r="F206" s="701">
        <v>1</v>
      </c>
      <c r="G206" s="701">
        <v>1408.42</v>
      </c>
      <c r="H206" s="701"/>
      <c r="I206" s="701">
        <v>1408.42</v>
      </c>
      <c r="J206" s="701"/>
      <c r="K206" s="701"/>
      <c r="L206" s="701"/>
      <c r="M206" s="701"/>
      <c r="N206" s="701"/>
      <c r="O206" s="701"/>
      <c r="P206" s="726"/>
      <c r="Q206" s="702"/>
    </row>
    <row r="207" spans="1:17" ht="14.45" customHeight="1" x14ac:dyDescent="0.2">
      <c r="A207" s="696" t="s">
        <v>4420</v>
      </c>
      <c r="B207" s="697" t="s">
        <v>4056</v>
      </c>
      <c r="C207" s="697" t="s">
        <v>3333</v>
      </c>
      <c r="D207" s="697" t="s">
        <v>3404</v>
      </c>
      <c r="E207" s="697" t="s">
        <v>3405</v>
      </c>
      <c r="F207" s="701">
        <v>33</v>
      </c>
      <c r="G207" s="701">
        <v>34114.199999999997</v>
      </c>
      <c r="H207" s="701"/>
      <c r="I207" s="701">
        <v>1033.7636363636364</v>
      </c>
      <c r="J207" s="701">
        <v>28</v>
      </c>
      <c r="K207" s="701">
        <v>26103.64</v>
      </c>
      <c r="L207" s="701"/>
      <c r="M207" s="701">
        <v>932.27285714285711</v>
      </c>
      <c r="N207" s="701">
        <v>39</v>
      </c>
      <c r="O207" s="701">
        <v>35376.42</v>
      </c>
      <c r="P207" s="726"/>
      <c r="Q207" s="702">
        <v>907.08769230769224</v>
      </c>
    </row>
    <row r="208" spans="1:17" ht="14.45" customHeight="1" x14ac:dyDescent="0.2">
      <c r="A208" s="696" t="s">
        <v>4420</v>
      </c>
      <c r="B208" s="697" t="s">
        <v>4056</v>
      </c>
      <c r="C208" s="697" t="s">
        <v>3333</v>
      </c>
      <c r="D208" s="697" t="s">
        <v>4445</v>
      </c>
      <c r="E208" s="697" t="s">
        <v>3405</v>
      </c>
      <c r="F208" s="701">
        <v>6</v>
      </c>
      <c r="G208" s="701">
        <v>8506.8499999999985</v>
      </c>
      <c r="H208" s="701"/>
      <c r="I208" s="701">
        <v>1417.8083333333332</v>
      </c>
      <c r="J208" s="701">
        <v>3</v>
      </c>
      <c r="K208" s="701">
        <v>3932.49</v>
      </c>
      <c r="L208" s="701"/>
      <c r="M208" s="701">
        <v>1310.83</v>
      </c>
      <c r="N208" s="701">
        <v>8</v>
      </c>
      <c r="O208" s="701">
        <v>10486.64</v>
      </c>
      <c r="P208" s="726"/>
      <c r="Q208" s="702">
        <v>1310.83</v>
      </c>
    </row>
    <row r="209" spans="1:17" ht="14.45" customHeight="1" x14ac:dyDescent="0.2">
      <c r="A209" s="696" t="s">
        <v>4420</v>
      </c>
      <c r="B209" s="697" t="s">
        <v>4056</v>
      </c>
      <c r="C209" s="697" t="s">
        <v>3333</v>
      </c>
      <c r="D209" s="697" t="s">
        <v>4446</v>
      </c>
      <c r="E209" s="697" t="s">
        <v>4447</v>
      </c>
      <c r="F209" s="701">
        <v>12</v>
      </c>
      <c r="G209" s="701">
        <v>10509.85</v>
      </c>
      <c r="H209" s="701"/>
      <c r="I209" s="701">
        <v>875.82083333333333</v>
      </c>
      <c r="J209" s="701">
        <v>16</v>
      </c>
      <c r="K209" s="701">
        <v>8582.68</v>
      </c>
      <c r="L209" s="701"/>
      <c r="M209" s="701">
        <v>536.41750000000002</v>
      </c>
      <c r="N209" s="701">
        <v>27</v>
      </c>
      <c r="O209" s="701">
        <v>14483.880000000001</v>
      </c>
      <c r="P209" s="726"/>
      <c r="Q209" s="702">
        <v>536.44000000000005</v>
      </c>
    </row>
    <row r="210" spans="1:17" ht="14.45" customHeight="1" x14ac:dyDescent="0.2">
      <c r="A210" s="696" t="s">
        <v>4420</v>
      </c>
      <c r="B210" s="697" t="s">
        <v>4056</v>
      </c>
      <c r="C210" s="697" t="s">
        <v>3333</v>
      </c>
      <c r="D210" s="697" t="s">
        <v>4448</v>
      </c>
      <c r="E210" s="697" t="s">
        <v>4447</v>
      </c>
      <c r="F210" s="701">
        <v>22</v>
      </c>
      <c r="G210" s="701">
        <v>26037.159999999996</v>
      </c>
      <c r="H210" s="701"/>
      <c r="I210" s="701">
        <v>1183.5072727272725</v>
      </c>
      <c r="J210" s="701">
        <v>10</v>
      </c>
      <c r="K210" s="701">
        <v>10586.24</v>
      </c>
      <c r="L210" s="701"/>
      <c r="M210" s="701">
        <v>1058.624</v>
      </c>
      <c r="N210" s="701">
        <v>12</v>
      </c>
      <c r="O210" s="701">
        <v>11380.08</v>
      </c>
      <c r="P210" s="726"/>
      <c r="Q210" s="702">
        <v>948.34</v>
      </c>
    </row>
    <row r="211" spans="1:17" ht="14.45" customHeight="1" x14ac:dyDescent="0.2">
      <c r="A211" s="696" t="s">
        <v>4420</v>
      </c>
      <c r="B211" s="697" t="s">
        <v>4056</v>
      </c>
      <c r="C211" s="697" t="s">
        <v>3333</v>
      </c>
      <c r="D211" s="697" t="s">
        <v>4449</v>
      </c>
      <c r="E211" s="697" t="s">
        <v>4450</v>
      </c>
      <c r="F211" s="701">
        <v>1</v>
      </c>
      <c r="G211" s="701">
        <v>8536.5499999999993</v>
      </c>
      <c r="H211" s="701"/>
      <c r="I211" s="701">
        <v>8536.5499999999993</v>
      </c>
      <c r="J211" s="701"/>
      <c r="K211" s="701"/>
      <c r="L211" s="701"/>
      <c r="M211" s="701"/>
      <c r="N211" s="701"/>
      <c r="O211" s="701"/>
      <c r="P211" s="726"/>
      <c r="Q211" s="702"/>
    </row>
    <row r="212" spans="1:17" ht="14.45" customHeight="1" x14ac:dyDescent="0.2">
      <c r="A212" s="696" t="s">
        <v>4420</v>
      </c>
      <c r="B212" s="697" t="s">
        <v>4056</v>
      </c>
      <c r="C212" s="697" t="s">
        <v>3333</v>
      </c>
      <c r="D212" s="697" t="s">
        <v>4451</v>
      </c>
      <c r="E212" s="697" t="s">
        <v>4452</v>
      </c>
      <c r="F212" s="701"/>
      <c r="G212" s="701"/>
      <c r="H212" s="701"/>
      <c r="I212" s="701"/>
      <c r="J212" s="701"/>
      <c r="K212" s="701"/>
      <c r="L212" s="701"/>
      <c r="M212" s="701"/>
      <c r="N212" s="701">
        <v>4</v>
      </c>
      <c r="O212" s="701">
        <v>4137.62</v>
      </c>
      <c r="P212" s="726"/>
      <c r="Q212" s="702">
        <v>1034.405</v>
      </c>
    </row>
    <row r="213" spans="1:17" ht="14.45" customHeight="1" x14ac:dyDescent="0.2">
      <c r="A213" s="696" t="s">
        <v>4420</v>
      </c>
      <c r="B213" s="697" t="s">
        <v>4056</v>
      </c>
      <c r="C213" s="697" t="s">
        <v>3333</v>
      </c>
      <c r="D213" s="697" t="s">
        <v>4453</v>
      </c>
      <c r="E213" s="697" t="s">
        <v>4454</v>
      </c>
      <c r="F213" s="701"/>
      <c r="G213" s="701"/>
      <c r="H213" s="701"/>
      <c r="I213" s="701"/>
      <c r="J213" s="701"/>
      <c r="K213" s="701"/>
      <c r="L213" s="701"/>
      <c r="M213" s="701"/>
      <c r="N213" s="701">
        <v>4</v>
      </c>
      <c r="O213" s="701">
        <v>33101.9</v>
      </c>
      <c r="P213" s="726"/>
      <c r="Q213" s="702">
        <v>8275.4750000000004</v>
      </c>
    </row>
    <row r="214" spans="1:17" ht="14.45" customHeight="1" x14ac:dyDescent="0.2">
      <c r="A214" s="696" t="s">
        <v>4420</v>
      </c>
      <c r="B214" s="697" t="s">
        <v>4056</v>
      </c>
      <c r="C214" s="697" t="s">
        <v>3333</v>
      </c>
      <c r="D214" s="697" t="s">
        <v>4455</v>
      </c>
      <c r="E214" s="697" t="s">
        <v>4456</v>
      </c>
      <c r="F214" s="701">
        <v>1</v>
      </c>
      <c r="G214" s="701">
        <v>26703</v>
      </c>
      <c r="H214" s="701"/>
      <c r="I214" s="701">
        <v>26703</v>
      </c>
      <c r="J214" s="701"/>
      <c r="K214" s="701"/>
      <c r="L214" s="701"/>
      <c r="M214" s="701"/>
      <c r="N214" s="701"/>
      <c r="O214" s="701"/>
      <c r="P214" s="726"/>
      <c r="Q214" s="702"/>
    </row>
    <row r="215" spans="1:17" ht="14.45" customHeight="1" x14ac:dyDescent="0.2">
      <c r="A215" s="696" t="s">
        <v>4420</v>
      </c>
      <c r="B215" s="697" t="s">
        <v>4056</v>
      </c>
      <c r="C215" s="697" t="s">
        <v>3333</v>
      </c>
      <c r="D215" s="697" t="s">
        <v>4457</v>
      </c>
      <c r="E215" s="697" t="s">
        <v>4458</v>
      </c>
      <c r="F215" s="701"/>
      <c r="G215" s="701"/>
      <c r="H215" s="701"/>
      <c r="I215" s="701"/>
      <c r="J215" s="701"/>
      <c r="K215" s="701"/>
      <c r="L215" s="701"/>
      <c r="M215" s="701"/>
      <c r="N215" s="701">
        <v>2</v>
      </c>
      <c r="O215" s="701">
        <v>5027.2</v>
      </c>
      <c r="P215" s="726"/>
      <c r="Q215" s="702">
        <v>2513.6</v>
      </c>
    </row>
    <row r="216" spans="1:17" ht="14.45" customHeight="1" x14ac:dyDescent="0.2">
      <c r="A216" s="696" t="s">
        <v>4420</v>
      </c>
      <c r="B216" s="697" t="s">
        <v>4056</v>
      </c>
      <c r="C216" s="697" t="s">
        <v>3333</v>
      </c>
      <c r="D216" s="697" t="s">
        <v>4459</v>
      </c>
      <c r="E216" s="697" t="s">
        <v>4460</v>
      </c>
      <c r="F216" s="701">
        <v>1</v>
      </c>
      <c r="G216" s="701">
        <v>2635.73</v>
      </c>
      <c r="H216" s="701"/>
      <c r="I216" s="701">
        <v>2635.73</v>
      </c>
      <c r="J216" s="701"/>
      <c r="K216" s="701"/>
      <c r="L216" s="701"/>
      <c r="M216" s="701"/>
      <c r="N216" s="701"/>
      <c r="O216" s="701"/>
      <c r="P216" s="726"/>
      <c r="Q216" s="702"/>
    </row>
    <row r="217" spans="1:17" ht="14.45" customHeight="1" x14ac:dyDescent="0.2">
      <c r="A217" s="696" t="s">
        <v>4420</v>
      </c>
      <c r="B217" s="697" t="s">
        <v>4056</v>
      </c>
      <c r="C217" s="697" t="s">
        <v>3333</v>
      </c>
      <c r="D217" s="697" t="s">
        <v>4461</v>
      </c>
      <c r="E217" s="697" t="s">
        <v>4462</v>
      </c>
      <c r="F217" s="701">
        <v>2</v>
      </c>
      <c r="G217" s="701">
        <v>4473</v>
      </c>
      <c r="H217" s="701"/>
      <c r="I217" s="701">
        <v>2236.5</v>
      </c>
      <c r="J217" s="701"/>
      <c r="K217" s="701"/>
      <c r="L217" s="701"/>
      <c r="M217" s="701"/>
      <c r="N217" s="701">
        <v>2</v>
      </c>
      <c r="O217" s="701">
        <v>3138.74</v>
      </c>
      <c r="P217" s="726"/>
      <c r="Q217" s="702">
        <v>1569.37</v>
      </c>
    </row>
    <row r="218" spans="1:17" ht="14.45" customHeight="1" x14ac:dyDescent="0.2">
      <c r="A218" s="696" t="s">
        <v>4420</v>
      </c>
      <c r="B218" s="697" t="s">
        <v>4056</v>
      </c>
      <c r="C218" s="697" t="s">
        <v>3333</v>
      </c>
      <c r="D218" s="697" t="s">
        <v>4463</v>
      </c>
      <c r="E218" s="697" t="s">
        <v>4464</v>
      </c>
      <c r="F218" s="701">
        <v>2</v>
      </c>
      <c r="G218" s="701">
        <v>39092.44</v>
      </c>
      <c r="H218" s="701"/>
      <c r="I218" s="701">
        <v>19546.22</v>
      </c>
      <c r="J218" s="701">
        <v>7</v>
      </c>
      <c r="K218" s="701">
        <v>80502</v>
      </c>
      <c r="L218" s="701"/>
      <c r="M218" s="701">
        <v>11500.285714285714</v>
      </c>
      <c r="N218" s="701">
        <v>1</v>
      </c>
      <c r="O218" s="701">
        <v>11500.3</v>
      </c>
      <c r="P218" s="726"/>
      <c r="Q218" s="702">
        <v>11500.3</v>
      </c>
    </row>
    <row r="219" spans="1:17" ht="14.45" customHeight="1" x14ac:dyDescent="0.2">
      <c r="A219" s="696" t="s">
        <v>4420</v>
      </c>
      <c r="B219" s="697" t="s">
        <v>4056</v>
      </c>
      <c r="C219" s="697" t="s">
        <v>3333</v>
      </c>
      <c r="D219" s="697" t="s">
        <v>4465</v>
      </c>
      <c r="E219" s="697" t="s">
        <v>3405</v>
      </c>
      <c r="F219" s="701"/>
      <c r="G219" s="701"/>
      <c r="H219" s="701"/>
      <c r="I219" s="701"/>
      <c r="J219" s="701">
        <v>1</v>
      </c>
      <c r="K219" s="701">
        <v>1445.95</v>
      </c>
      <c r="L219" s="701"/>
      <c r="M219" s="701">
        <v>1445.95</v>
      </c>
      <c r="N219" s="701"/>
      <c r="O219" s="701"/>
      <c r="P219" s="726"/>
      <c r="Q219" s="702"/>
    </row>
    <row r="220" spans="1:17" ht="14.45" customHeight="1" x14ac:dyDescent="0.2">
      <c r="A220" s="696" t="s">
        <v>4420</v>
      </c>
      <c r="B220" s="697" t="s">
        <v>4056</v>
      </c>
      <c r="C220" s="697" t="s">
        <v>3333</v>
      </c>
      <c r="D220" s="697" t="s">
        <v>4466</v>
      </c>
      <c r="E220" s="697" t="s">
        <v>4467</v>
      </c>
      <c r="F220" s="701">
        <v>5</v>
      </c>
      <c r="G220" s="701">
        <v>18617.36</v>
      </c>
      <c r="H220" s="701"/>
      <c r="I220" s="701">
        <v>3723.4720000000002</v>
      </c>
      <c r="J220" s="701">
        <v>1</v>
      </c>
      <c r="K220" s="701">
        <v>3097.77</v>
      </c>
      <c r="L220" s="701"/>
      <c r="M220" s="701">
        <v>3097.77</v>
      </c>
      <c r="N220" s="701">
        <v>3</v>
      </c>
      <c r="O220" s="701">
        <v>9293.7900000000009</v>
      </c>
      <c r="P220" s="726"/>
      <c r="Q220" s="702">
        <v>3097.9300000000003</v>
      </c>
    </row>
    <row r="221" spans="1:17" ht="14.45" customHeight="1" x14ac:dyDescent="0.2">
      <c r="A221" s="696" t="s">
        <v>4420</v>
      </c>
      <c r="B221" s="697" t="s">
        <v>4056</v>
      </c>
      <c r="C221" s="697" t="s">
        <v>3333</v>
      </c>
      <c r="D221" s="697" t="s">
        <v>4468</v>
      </c>
      <c r="E221" s="697" t="s">
        <v>4469</v>
      </c>
      <c r="F221" s="701"/>
      <c r="G221" s="701"/>
      <c r="H221" s="701"/>
      <c r="I221" s="701"/>
      <c r="J221" s="701"/>
      <c r="K221" s="701"/>
      <c r="L221" s="701"/>
      <c r="M221" s="701"/>
      <c r="N221" s="701">
        <v>7</v>
      </c>
      <c r="O221" s="701">
        <v>15633.99</v>
      </c>
      <c r="P221" s="726"/>
      <c r="Q221" s="702">
        <v>2233.4271428571428</v>
      </c>
    </row>
    <row r="222" spans="1:17" ht="14.45" customHeight="1" x14ac:dyDescent="0.2">
      <c r="A222" s="696" t="s">
        <v>4420</v>
      </c>
      <c r="B222" s="697" t="s">
        <v>4056</v>
      </c>
      <c r="C222" s="697" t="s">
        <v>3333</v>
      </c>
      <c r="D222" s="697" t="s">
        <v>4470</v>
      </c>
      <c r="E222" s="697" t="s">
        <v>4471</v>
      </c>
      <c r="F222" s="701">
        <v>35</v>
      </c>
      <c r="G222" s="701">
        <v>31530.400000000001</v>
      </c>
      <c r="H222" s="701"/>
      <c r="I222" s="701">
        <v>900.8685714285715</v>
      </c>
      <c r="J222" s="701">
        <v>26</v>
      </c>
      <c r="K222" s="701">
        <v>17704.369999999995</v>
      </c>
      <c r="L222" s="701"/>
      <c r="M222" s="701">
        <v>680.93730769230751</v>
      </c>
      <c r="N222" s="701">
        <v>42</v>
      </c>
      <c r="O222" s="701">
        <v>28459.199999999997</v>
      </c>
      <c r="P222" s="726"/>
      <c r="Q222" s="702">
        <v>677.59999999999991</v>
      </c>
    </row>
    <row r="223" spans="1:17" ht="14.45" customHeight="1" x14ac:dyDescent="0.2">
      <c r="A223" s="696" t="s">
        <v>4420</v>
      </c>
      <c r="B223" s="697" t="s">
        <v>4056</v>
      </c>
      <c r="C223" s="697" t="s">
        <v>3333</v>
      </c>
      <c r="D223" s="697" t="s">
        <v>4472</v>
      </c>
      <c r="E223" s="697" t="s">
        <v>4473</v>
      </c>
      <c r="F223" s="701">
        <v>4</v>
      </c>
      <c r="G223" s="701">
        <v>25192.959999999999</v>
      </c>
      <c r="H223" s="701"/>
      <c r="I223" s="701">
        <v>6298.24</v>
      </c>
      <c r="J223" s="701">
        <v>2</v>
      </c>
      <c r="K223" s="701">
        <v>9888.5600000000013</v>
      </c>
      <c r="L223" s="701"/>
      <c r="M223" s="701">
        <v>4944.2800000000007</v>
      </c>
      <c r="N223" s="701">
        <v>3</v>
      </c>
      <c r="O223" s="701">
        <v>14832.71</v>
      </c>
      <c r="P223" s="726"/>
      <c r="Q223" s="702">
        <v>4944.2366666666667</v>
      </c>
    </row>
    <row r="224" spans="1:17" ht="14.45" customHeight="1" x14ac:dyDescent="0.2">
      <c r="A224" s="696" t="s">
        <v>4420</v>
      </c>
      <c r="B224" s="697" t="s">
        <v>4056</v>
      </c>
      <c r="C224" s="697" t="s">
        <v>3333</v>
      </c>
      <c r="D224" s="697" t="s">
        <v>4474</v>
      </c>
      <c r="E224" s="697" t="s">
        <v>4475</v>
      </c>
      <c r="F224" s="701">
        <v>27</v>
      </c>
      <c r="G224" s="701">
        <v>132849.21</v>
      </c>
      <c r="H224" s="701"/>
      <c r="I224" s="701">
        <v>4920.3411111111109</v>
      </c>
      <c r="J224" s="701">
        <v>23</v>
      </c>
      <c r="K224" s="701">
        <v>85785.48000000001</v>
      </c>
      <c r="L224" s="701"/>
      <c r="M224" s="701">
        <v>3729.8034782608702</v>
      </c>
      <c r="N224" s="701">
        <v>34</v>
      </c>
      <c r="O224" s="701">
        <v>101021.81999999999</v>
      </c>
      <c r="P224" s="726"/>
      <c r="Q224" s="702">
        <v>2971.2299999999996</v>
      </c>
    </row>
    <row r="225" spans="1:17" ht="14.45" customHeight="1" x14ac:dyDescent="0.2">
      <c r="A225" s="696" t="s">
        <v>4420</v>
      </c>
      <c r="B225" s="697" t="s">
        <v>4056</v>
      </c>
      <c r="C225" s="697" t="s">
        <v>3333</v>
      </c>
      <c r="D225" s="697" t="s">
        <v>4476</v>
      </c>
      <c r="E225" s="697" t="s">
        <v>4477</v>
      </c>
      <c r="F225" s="701">
        <v>3</v>
      </c>
      <c r="G225" s="701">
        <v>5030.6099999999997</v>
      </c>
      <c r="H225" s="701"/>
      <c r="I225" s="701">
        <v>1676.87</v>
      </c>
      <c r="J225" s="701">
        <v>1</v>
      </c>
      <c r="K225" s="701">
        <v>936.54</v>
      </c>
      <c r="L225" s="701"/>
      <c r="M225" s="701">
        <v>936.54</v>
      </c>
      <c r="N225" s="701">
        <v>3</v>
      </c>
      <c r="O225" s="701">
        <v>2809.62</v>
      </c>
      <c r="P225" s="726"/>
      <c r="Q225" s="702">
        <v>936.54</v>
      </c>
    </row>
    <row r="226" spans="1:17" ht="14.45" customHeight="1" x14ac:dyDescent="0.2">
      <c r="A226" s="696" t="s">
        <v>4420</v>
      </c>
      <c r="B226" s="697" t="s">
        <v>4056</v>
      </c>
      <c r="C226" s="697" t="s">
        <v>3333</v>
      </c>
      <c r="D226" s="697" t="s">
        <v>4478</v>
      </c>
      <c r="E226" s="697" t="s">
        <v>4479</v>
      </c>
      <c r="F226" s="701">
        <v>7</v>
      </c>
      <c r="G226" s="701">
        <v>5255.32</v>
      </c>
      <c r="H226" s="701"/>
      <c r="I226" s="701">
        <v>750.76</v>
      </c>
      <c r="J226" s="701">
        <v>2</v>
      </c>
      <c r="K226" s="701">
        <v>1355.2</v>
      </c>
      <c r="L226" s="701"/>
      <c r="M226" s="701">
        <v>677.6</v>
      </c>
      <c r="N226" s="701">
        <v>6</v>
      </c>
      <c r="O226" s="701">
        <v>3964.77</v>
      </c>
      <c r="P226" s="726"/>
      <c r="Q226" s="702">
        <v>660.79499999999996</v>
      </c>
    </row>
    <row r="227" spans="1:17" ht="14.45" customHeight="1" x14ac:dyDescent="0.2">
      <c r="A227" s="696" t="s">
        <v>4420</v>
      </c>
      <c r="B227" s="697" t="s">
        <v>4056</v>
      </c>
      <c r="C227" s="697" t="s">
        <v>3333</v>
      </c>
      <c r="D227" s="697" t="s">
        <v>4480</v>
      </c>
      <c r="E227" s="697" t="s">
        <v>4481</v>
      </c>
      <c r="F227" s="701">
        <v>1</v>
      </c>
      <c r="G227" s="701">
        <v>10072.94</v>
      </c>
      <c r="H227" s="701"/>
      <c r="I227" s="701">
        <v>10072.94</v>
      </c>
      <c r="J227" s="701">
        <v>2</v>
      </c>
      <c r="K227" s="701">
        <v>18865.5</v>
      </c>
      <c r="L227" s="701"/>
      <c r="M227" s="701">
        <v>9432.75</v>
      </c>
      <c r="N227" s="701">
        <v>3</v>
      </c>
      <c r="O227" s="701">
        <v>28250.980000000003</v>
      </c>
      <c r="P227" s="726"/>
      <c r="Q227" s="702">
        <v>9416.9933333333338</v>
      </c>
    </row>
    <row r="228" spans="1:17" ht="14.45" customHeight="1" x14ac:dyDescent="0.2">
      <c r="A228" s="696" t="s">
        <v>4420</v>
      </c>
      <c r="B228" s="697" t="s">
        <v>4056</v>
      </c>
      <c r="C228" s="697" t="s">
        <v>3333</v>
      </c>
      <c r="D228" s="697" t="s">
        <v>4482</v>
      </c>
      <c r="E228" s="697" t="s">
        <v>4483</v>
      </c>
      <c r="F228" s="701"/>
      <c r="G228" s="701"/>
      <c r="H228" s="701"/>
      <c r="I228" s="701"/>
      <c r="J228" s="701"/>
      <c r="K228" s="701"/>
      <c r="L228" s="701"/>
      <c r="M228" s="701"/>
      <c r="N228" s="701">
        <v>2</v>
      </c>
      <c r="O228" s="701">
        <v>5498.42</v>
      </c>
      <c r="P228" s="726"/>
      <c r="Q228" s="702">
        <v>2749.21</v>
      </c>
    </row>
    <row r="229" spans="1:17" ht="14.45" customHeight="1" x14ac:dyDescent="0.2">
      <c r="A229" s="696" t="s">
        <v>4420</v>
      </c>
      <c r="B229" s="697" t="s">
        <v>4056</v>
      </c>
      <c r="C229" s="697" t="s">
        <v>3333</v>
      </c>
      <c r="D229" s="697" t="s">
        <v>4484</v>
      </c>
      <c r="E229" s="697" t="s">
        <v>4485</v>
      </c>
      <c r="F229" s="701">
        <v>4</v>
      </c>
      <c r="G229" s="701">
        <v>11085.68</v>
      </c>
      <c r="H229" s="701"/>
      <c r="I229" s="701">
        <v>2771.42</v>
      </c>
      <c r="J229" s="701">
        <v>2</v>
      </c>
      <c r="K229" s="701">
        <v>4365.68</v>
      </c>
      <c r="L229" s="701"/>
      <c r="M229" s="701">
        <v>2182.84</v>
      </c>
      <c r="N229" s="701"/>
      <c r="O229" s="701"/>
      <c r="P229" s="726"/>
      <c r="Q229" s="702"/>
    </row>
    <row r="230" spans="1:17" ht="14.45" customHeight="1" x14ac:dyDescent="0.2">
      <c r="A230" s="696" t="s">
        <v>4420</v>
      </c>
      <c r="B230" s="697" t="s">
        <v>4056</v>
      </c>
      <c r="C230" s="697" t="s">
        <v>3333</v>
      </c>
      <c r="D230" s="697" t="s">
        <v>4486</v>
      </c>
      <c r="E230" s="697" t="s">
        <v>4487</v>
      </c>
      <c r="F230" s="701">
        <v>20</v>
      </c>
      <c r="G230" s="701">
        <v>63306.189999999995</v>
      </c>
      <c r="H230" s="701"/>
      <c r="I230" s="701">
        <v>3165.3094999999998</v>
      </c>
      <c r="J230" s="701">
        <v>12</v>
      </c>
      <c r="K230" s="701">
        <v>38030.800000000003</v>
      </c>
      <c r="L230" s="701"/>
      <c r="M230" s="701">
        <v>3169.2333333333336</v>
      </c>
      <c r="N230" s="701">
        <v>17</v>
      </c>
      <c r="O230" s="701">
        <v>50900.740000000005</v>
      </c>
      <c r="P230" s="726"/>
      <c r="Q230" s="702">
        <v>2994.1611764705885</v>
      </c>
    </row>
    <row r="231" spans="1:17" ht="14.45" customHeight="1" x14ac:dyDescent="0.2">
      <c r="A231" s="696" t="s">
        <v>4420</v>
      </c>
      <c r="B231" s="697" t="s">
        <v>4056</v>
      </c>
      <c r="C231" s="697" t="s">
        <v>3333</v>
      </c>
      <c r="D231" s="697" t="s">
        <v>4488</v>
      </c>
      <c r="E231" s="697" t="s">
        <v>4489</v>
      </c>
      <c r="F231" s="701">
        <v>1</v>
      </c>
      <c r="G231" s="701">
        <v>1064.47</v>
      </c>
      <c r="H231" s="701"/>
      <c r="I231" s="701">
        <v>1064.47</v>
      </c>
      <c r="J231" s="701"/>
      <c r="K231" s="701"/>
      <c r="L231" s="701"/>
      <c r="M231" s="701"/>
      <c r="N231" s="701"/>
      <c r="O231" s="701"/>
      <c r="P231" s="726"/>
      <c r="Q231" s="702"/>
    </row>
    <row r="232" spans="1:17" ht="14.45" customHeight="1" x14ac:dyDescent="0.2">
      <c r="A232" s="696" t="s">
        <v>4420</v>
      </c>
      <c r="B232" s="697" t="s">
        <v>4056</v>
      </c>
      <c r="C232" s="697" t="s">
        <v>3333</v>
      </c>
      <c r="D232" s="697" t="s">
        <v>4490</v>
      </c>
      <c r="E232" s="697" t="s">
        <v>4491</v>
      </c>
      <c r="F232" s="701"/>
      <c r="G232" s="701"/>
      <c r="H232" s="701"/>
      <c r="I232" s="701"/>
      <c r="J232" s="701">
        <v>1</v>
      </c>
      <c r="K232" s="701">
        <v>40481.4</v>
      </c>
      <c r="L232" s="701"/>
      <c r="M232" s="701">
        <v>40481.4</v>
      </c>
      <c r="N232" s="701"/>
      <c r="O232" s="701"/>
      <c r="P232" s="726"/>
      <c r="Q232" s="702"/>
    </row>
    <row r="233" spans="1:17" ht="14.45" customHeight="1" x14ac:dyDescent="0.2">
      <c r="A233" s="696" t="s">
        <v>4420</v>
      </c>
      <c r="B233" s="697" t="s">
        <v>4056</v>
      </c>
      <c r="C233" s="697" t="s">
        <v>3333</v>
      </c>
      <c r="D233" s="697" t="s">
        <v>4492</v>
      </c>
      <c r="E233" s="697" t="s">
        <v>4493</v>
      </c>
      <c r="F233" s="701">
        <v>2</v>
      </c>
      <c r="G233" s="701">
        <v>43655.56</v>
      </c>
      <c r="H233" s="701"/>
      <c r="I233" s="701">
        <v>21827.78</v>
      </c>
      <c r="J233" s="701"/>
      <c r="K233" s="701"/>
      <c r="L233" s="701"/>
      <c r="M233" s="701"/>
      <c r="N233" s="701"/>
      <c r="O233" s="701"/>
      <c r="P233" s="726"/>
      <c r="Q233" s="702"/>
    </row>
    <row r="234" spans="1:17" ht="14.45" customHeight="1" x14ac:dyDescent="0.2">
      <c r="A234" s="696" t="s">
        <v>4420</v>
      </c>
      <c r="B234" s="697" t="s">
        <v>4056</v>
      </c>
      <c r="C234" s="697" t="s">
        <v>3333</v>
      </c>
      <c r="D234" s="697" t="s">
        <v>4494</v>
      </c>
      <c r="E234" s="697" t="s">
        <v>4495</v>
      </c>
      <c r="F234" s="701">
        <v>6</v>
      </c>
      <c r="G234" s="701">
        <v>3179.4000000000005</v>
      </c>
      <c r="H234" s="701"/>
      <c r="I234" s="701">
        <v>529.90000000000009</v>
      </c>
      <c r="J234" s="701">
        <v>6</v>
      </c>
      <c r="K234" s="701">
        <v>2394.11</v>
      </c>
      <c r="L234" s="701"/>
      <c r="M234" s="701">
        <v>399.01833333333337</v>
      </c>
      <c r="N234" s="701">
        <v>3</v>
      </c>
      <c r="O234" s="701">
        <v>1191.69</v>
      </c>
      <c r="P234" s="726"/>
      <c r="Q234" s="702">
        <v>397.23</v>
      </c>
    </row>
    <row r="235" spans="1:17" ht="14.45" customHeight="1" x14ac:dyDescent="0.2">
      <c r="A235" s="696" t="s">
        <v>4420</v>
      </c>
      <c r="B235" s="697" t="s">
        <v>4056</v>
      </c>
      <c r="C235" s="697" t="s">
        <v>3333</v>
      </c>
      <c r="D235" s="697" t="s">
        <v>4496</v>
      </c>
      <c r="E235" s="697" t="s">
        <v>4497</v>
      </c>
      <c r="F235" s="701">
        <v>5</v>
      </c>
      <c r="G235" s="701">
        <v>3579.7999999999997</v>
      </c>
      <c r="H235" s="701"/>
      <c r="I235" s="701">
        <v>715.95999999999992</v>
      </c>
      <c r="J235" s="701">
        <v>3</v>
      </c>
      <c r="K235" s="701">
        <v>2061.48</v>
      </c>
      <c r="L235" s="701"/>
      <c r="M235" s="701">
        <v>687.16</v>
      </c>
      <c r="N235" s="701">
        <v>4</v>
      </c>
      <c r="O235" s="701">
        <v>2747.8999999999996</v>
      </c>
      <c r="P235" s="726"/>
      <c r="Q235" s="702">
        <v>686.97499999999991</v>
      </c>
    </row>
    <row r="236" spans="1:17" ht="14.45" customHeight="1" x14ac:dyDescent="0.2">
      <c r="A236" s="696" t="s">
        <v>4420</v>
      </c>
      <c r="B236" s="697" t="s">
        <v>4056</v>
      </c>
      <c r="C236" s="697" t="s">
        <v>3333</v>
      </c>
      <c r="D236" s="697" t="s">
        <v>4498</v>
      </c>
      <c r="E236" s="697" t="s">
        <v>4497</v>
      </c>
      <c r="F236" s="701">
        <v>1</v>
      </c>
      <c r="G236" s="701">
        <v>888.06</v>
      </c>
      <c r="H236" s="701"/>
      <c r="I236" s="701">
        <v>888.06</v>
      </c>
      <c r="J236" s="701">
        <v>7</v>
      </c>
      <c r="K236" s="701">
        <v>4812.05</v>
      </c>
      <c r="L236" s="701"/>
      <c r="M236" s="701">
        <v>687.43571428571431</v>
      </c>
      <c r="N236" s="701">
        <v>12</v>
      </c>
      <c r="O236" s="701">
        <v>8243.36</v>
      </c>
      <c r="P236" s="726"/>
      <c r="Q236" s="702">
        <v>686.94666666666672</v>
      </c>
    </row>
    <row r="237" spans="1:17" ht="14.45" customHeight="1" x14ac:dyDescent="0.2">
      <c r="A237" s="696" t="s">
        <v>4420</v>
      </c>
      <c r="B237" s="697" t="s">
        <v>4056</v>
      </c>
      <c r="C237" s="697" t="s">
        <v>3333</v>
      </c>
      <c r="D237" s="697" t="s">
        <v>4499</v>
      </c>
      <c r="E237" s="697" t="s">
        <v>4500</v>
      </c>
      <c r="F237" s="701"/>
      <c r="G237" s="701"/>
      <c r="H237" s="701"/>
      <c r="I237" s="701"/>
      <c r="J237" s="701">
        <v>1</v>
      </c>
      <c r="K237" s="701">
        <v>2205</v>
      </c>
      <c r="L237" s="701"/>
      <c r="M237" s="701">
        <v>2205</v>
      </c>
      <c r="N237" s="701"/>
      <c r="O237" s="701"/>
      <c r="P237" s="726"/>
      <c r="Q237" s="702"/>
    </row>
    <row r="238" spans="1:17" ht="14.45" customHeight="1" x14ac:dyDescent="0.2">
      <c r="A238" s="696" t="s">
        <v>4420</v>
      </c>
      <c r="B238" s="697" t="s">
        <v>4056</v>
      </c>
      <c r="C238" s="697" t="s">
        <v>3333</v>
      </c>
      <c r="D238" s="697" t="s">
        <v>4501</v>
      </c>
      <c r="E238" s="697" t="s">
        <v>4502</v>
      </c>
      <c r="F238" s="701">
        <v>5</v>
      </c>
      <c r="G238" s="701">
        <v>6560.7000000000007</v>
      </c>
      <c r="H238" s="701"/>
      <c r="I238" s="701">
        <v>1312.14</v>
      </c>
      <c r="J238" s="701">
        <v>5</v>
      </c>
      <c r="K238" s="701">
        <v>5287.4699999999993</v>
      </c>
      <c r="L238" s="701"/>
      <c r="M238" s="701">
        <v>1057.4939999999999</v>
      </c>
      <c r="N238" s="701">
        <v>7</v>
      </c>
      <c r="O238" s="701">
        <v>7393.12</v>
      </c>
      <c r="P238" s="726"/>
      <c r="Q238" s="702">
        <v>1056.1600000000001</v>
      </c>
    </row>
    <row r="239" spans="1:17" ht="14.45" customHeight="1" x14ac:dyDescent="0.2">
      <c r="A239" s="696" t="s">
        <v>4420</v>
      </c>
      <c r="B239" s="697" t="s">
        <v>4056</v>
      </c>
      <c r="C239" s="697" t="s">
        <v>3333</v>
      </c>
      <c r="D239" s="697" t="s">
        <v>4503</v>
      </c>
      <c r="E239" s="697" t="s">
        <v>4504</v>
      </c>
      <c r="F239" s="701">
        <v>29</v>
      </c>
      <c r="G239" s="701">
        <v>93896.84</v>
      </c>
      <c r="H239" s="701"/>
      <c r="I239" s="701">
        <v>3237.8220689655172</v>
      </c>
      <c r="J239" s="701">
        <v>27</v>
      </c>
      <c r="K239" s="701">
        <v>84809.26</v>
      </c>
      <c r="L239" s="701"/>
      <c r="M239" s="701">
        <v>3141.0837037037036</v>
      </c>
      <c r="N239" s="701">
        <v>37</v>
      </c>
      <c r="O239" s="701">
        <v>115124.66</v>
      </c>
      <c r="P239" s="726"/>
      <c r="Q239" s="702">
        <v>3111.4772972972974</v>
      </c>
    </row>
    <row r="240" spans="1:17" ht="14.45" customHeight="1" x14ac:dyDescent="0.2">
      <c r="A240" s="696" t="s">
        <v>4420</v>
      </c>
      <c r="B240" s="697" t="s">
        <v>4056</v>
      </c>
      <c r="C240" s="697" t="s">
        <v>3333</v>
      </c>
      <c r="D240" s="697" t="s">
        <v>4505</v>
      </c>
      <c r="E240" s="697" t="s">
        <v>4506</v>
      </c>
      <c r="F240" s="701">
        <v>26</v>
      </c>
      <c r="G240" s="701">
        <v>27440.260000000002</v>
      </c>
      <c r="H240" s="701"/>
      <c r="I240" s="701">
        <v>1055.3946153846155</v>
      </c>
      <c r="J240" s="701">
        <v>2</v>
      </c>
      <c r="K240" s="701">
        <v>1972.3</v>
      </c>
      <c r="L240" s="701"/>
      <c r="M240" s="701">
        <v>986.15</v>
      </c>
      <c r="N240" s="701"/>
      <c r="O240" s="701"/>
      <c r="P240" s="726"/>
      <c r="Q240" s="702"/>
    </row>
    <row r="241" spans="1:17" ht="14.45" customHeight="1" x14ac:dyDescent="0.2">
      <c r="A241" s="696" t="s">
        <v>4420</v>
      </c>
      <c r="B241" s="697" t="s">
        <v>4056</v>
      </c>
      <c r="C241" s="697" t="s">
        <v>3333</v>
      </c>
      <c r="D241" s="697" t="s">
        <v>4507</v>
      </c>
      <c r="E241" s="697" t="s">
        <v>4508</v>
      </c>
      <c r="F241" s="701">
        <v>1</v>
      </c>
      <c r="G241" s="701">
        <v>12020.1</v>
      </c>
      <c r="H241" s="701"/>
      <c r="I241" s="701">
        <v>12020.1</v>
      </c>
      <c r="J241" s="701"/>
      <c r="K241" s="701"/>
      <c r="L241" s="701"/>
      <c r="M241" s="701"/>
      <c r="N241" s="701"/>
      <c r="O241" s="701"/>
      <c r="P241" s="726"/>
      <c r="Q241" s="702"/>
    </row>
    <row r="242" spans="1:17" ht="14.45" customHeight="1" x14ac:dyDescent="0.2">
      <c r="A242" s="696" t="s">
        <v>4420</v>
      </c>
      <c r="B242" s="697" t="s">
        <v>4056</v>
      </c>
      <c r="C242" s="697" t="s">
        <v>3333</v>
      </c>
      <c r="D242" s="697" t="s">
        <v>4509</v>
      </c>
      <c r="E242" s="697" t="s">
        <v>4510</v>
      </c>
      <c r="F242" s="701">
        <v>18</v>
      </c>
      <c r="G242" s="701">
        <v>5973.35</v>
      </c>
      <c r="H242" s="701"/>
      <c r="I242" s="701">
        <v>331.85277777777782</v>
      </c>
      <c r="J242" s="701">
        <v>2</v>
      </c>
      <c r="K242" s="701">
        <v>626.62</v>
      </c>
      <c r="L242" s="701"/>
      <c r="M242" s="701">
        <v>313.31</v>
      </c>
      <c r="N242" s="701"/>
      <c r="O242" s="701"/>
      <c r="P242" s="726"/>
      <c r="Q242" s="702"/>
    </row>
    <row r="243" spans="1:17" ht="14.45" customHeight="1" x14ac:dyDescent="0.2">
      <c r="A243" s="696" t="s">
        <v>4420</v>
      </c>
      <c r="B243" s="697" t="s">
        <v>4056</v>
      </c>
      <c r="C243" s="697" t="s">
        <v>3333</v>
      </c>
      <c r="D243" s="697" t="s">
        <v>4511</v>
      </c>
      <c r="E243" s="697" t="s">
        <v>4512</v>
      </c>
      <c r="F243" s="701"/>
      <c r="G243" s="701"/>
      <c r="H243" s="701"/>
      <c r="I243" s="701"/>
      <c r="J243" s="701"/>
      <c r="K243" s="701"/>
      <c r="L243" s="701"/>
      <c r="M243" s="701"/>
      <c r="N243" s="701">
        <v>1</v>
      </c>
      <c r="O243" s="701">
        <v>411.4</v>
      </c>
      <c r="P243" s="726"/>
      <c r="Q243" s="702">
        <v>411.4</v>
      </c>
    </row>
    <row r="244" spans="1:17" ht="14.45" customHeight="1" x14ac:dyDescent="0.2">
      <c r="A244" s="696" t="s">
        <v>4420</v>
      </c>
      <c r="B244" s="697" t="s">
        <v>4056</v>
      </c>
      <c r="C244" s="697" t="s">
        <v>3333</v>
      </c>
      <c r="D244" s="697" t="s">
        <v>4513</v>
      </c>
      <c r="E244" s="697" t="s">
        <v>4514</v>
      </c>
      <c r="F244" s="701">
        <v>9</v>
      </c>
      <c r="G244" s="701">
        <v>128346.59999999999</v>
      </c>
      <c r="H244" s="701"/>
      <c r="I244" s="701">
        <v>14260.733333333332</v>
      </c>
      <c r="J244" s="701">
        <v>8</v>
      </c>
      <c r="K244" s="701">
        <v>114081.8</v>
      </c>
      <c r="L244" s="701"/>
      <c r="M244" s="701">
        <v>14260.225</v>
      </c>
      <c r="N244" s="701">
        <v>10</v>
      </c>
      <c r="O244" s="701">
        <v>142608.5</v>
      </c>
      <c r="P244" s="726"/>
      <c r="Q244" s="702">
        <v>14260.85</v>
      </c>
    </row>
    <row r="245" spans="1:17" ht="14.45" customHeight="1" x14ac:dyDescent="0.2">
      <c r="A245" s="696" t="s">
        <v>4420</v>
      </c>
      <c r="B245" s="697" t="s">
        <v>4056</v>
      </c>
      <c r="C245" s="697" t="s">
        <v>3333</v>
      </c>
      <c r="D245" s="697" t="s">
        <v>4515</v>
      </c>
      <c r="E245" s="697" t="s">
        <v>4516</v>
      </c>
      <c r="F245" s="701"/>
      <c r="G245" s="701"/>
      <c r="H245" s="701"/>
      <c r="I245" s="701"/>
      <c r="J245" s="701">
        <v>3</v>
      </c>
      <c r="K245" s="701">
        <v>12676.170000000002</v>
      </c>
      <c r="L245" s="701"/>
      <c r="M245" s="701">
        <v>4225.3900000000003</v>
      </c>
      <c r="N245" s="701">
        <v>6</v>
      </c>
      <c r="O245" s="701">
        <v>25352.399999999998</v>
      </c>
      <c r="P245" s="726"/>
      <c r="Q245" s="702">
        <v>4225.3999999999996</v>
      </c>
    </row>
    <row r="246" spans="1:17" ht="14.45" customHeight="1" x14ac:dyDescent="0.2">
      <c r="A246" s="696" t="s">
        <v>4420</v>
      </c>
      <c r="B246" s="697" t="s">
        <v>4056</v>
      </c>
      <c r="C246" s="697" t="s">
        <v>3333</v>
      </c>
      <c r="D246" s="697" t="s">
        <v>4517</v>
      </c>
      <c r="E246" s="697" t="s">
        <v>4518</v>
      </c>
      <c r="F246" s="701">
        <v>17</v>
      </c>
      <c r="G246" s="701">
        <v>67363.33</v>
      </c>
      <c r="H246" s="701"/>
      <c r="I246" s="701">
        <v>3962.5488235294119</v>
      </c>
      <c r="J246" s="701">
        <v>12</v>
      </c>
      <c r="K246" s="701">
        <v>42031.13</v>
      </c>
      <c r="L246" s="701"/>
      <c r="M246" s="701">
        <v>3502.5941666666663</v>
      </c>
      <c r="N246" s="701">
        <v>24</v>
      </c>
      <c r="O246" s="701">
        <v>84143.88</v>
      </c>
      <c r="P246" s="726"/>
      <c r="Q246" s="702">
        <v>3505.9950000000003</v>
      </c>
    </row>
    <row r="247" spans="1:17" ht="14.45" customHeight="1" x14ac:dyDescent="0.2">
      <c r="A247" s="696" t="s">
        <v>4420</v>
      </c>
      <c r="B247" s="697" t="s">
        <v>4056</v>
      </c>
      <c r="C247" s="697" t="s">
        <v>3333</v>
      </c>
      <c r="D247" s="697" t="s">
        <v>4519</v>
      </c>
      <c r="E247" s="697" t="s">
        <v>4520</v>
      </c>
      <c r="F247" s="701">
        <v>6</v>
      </c>
      <c r="G247" s="701">
        <v>10358.4</v>
      </c>
      <c r="H247" s="701"/>
      <c r="I247" s="701">
        <v>1726.3999999999999</v>
      </c>
      <c r="J247" s="701">
        <v>5</v>
      </c>
      <c r="K247" s="701">
        <v>8632</v>
      </c>
      <c r="L247" s="701"/>
      <c r="M247" s="701">
        <v>1726.4</v>
      </c>
      <c r="N247" s="701">
        <v>3</v>
      </c>
      <c r="O247" s="701">
        <v>5177.32</v>
      </c>
      <c r="P247" s="726"/>
      <c r="Q247" s="702">
        <v>1725.7733333333333</v>
      </c>
    </row>
    <row r="248" spans="1:17" ht="14.45" customHeight="1" x14ac:dyDescent="0.2">
      <c r="A248" s="696" t="s">
        <v>4420</v>
      </c>
      <c r="B248" s="697" t="s">
        <v>4056</v>
      </c>
      <c r="C248" s="697" t="s">
        <v>3333</v>
      </c>
      <c r="D248" s="697" t="s">
        <v>4521</v>
      </c>
      <c r="E248" s="697" t="s">
        <v>4522</v>
      </c>
      <c r="F248" s="701">
        <v>4</v>
      </c>
      <c r="G248" s="701">
        <v>69385.06</v>
      </c>
      <c r="H248" s="701"/>
      <c r="I248" s="701">
        <v>17346.264999999999</v>
      </c>
      <c r="J248" s="701">
        <v>4</v>
      </c>
      <c r="K248" s="701">
        <v>46464</v>
      </c>
      <c r="L248" s="701"/>
      <c r="M248" s="701">
        <v>11616</v>
      </c>
      <c r="N248" s="701">
        <v>5</v>
      </c>
      <c r="O248" s="701">
        <v>58080</v>
      </c>
      <c r="P248" s="726"/>
      <c r="Q248" s="702">
        <v>11616</v>
      </c>
    </row>
    <row r="249" spans="1:17" ht="14.45" customHeight="1" x14ac:dyDescent="0.2">
      <c r="A249" s="696" t="s">
        <v>4420</v>
      </c>
      <c r="B249" s="697" t="s">
        <v>4056</v>
      </c>
      <c r="C249" s="697" t="s">
        <v>3333</v>
      </c>
      <c r="D249" s="697" t="s">
        <v>4523</v>
      </c>
      <c r="E249" s="697" t="s">
        <v>4524</v>
      </c>
      <c r="F249" s="701">
        <v>1</v>
      </c>
      <c r="G249" s="701">
        <v>20300.7</v>
      </c>
      <c r="H249" s="701"/>
      <c r="I249" s="701">
        <v>20300.7</v>
      </c>
      <c r="J249" s="701"/>
      <c r="K249" s="701"/>
      <c r="L249" s="701"/>
      <c r="M249" s="701"/>
      <c r="N249" s="701"/>
      <c r="O249" s="701"/>
      <c r="P249" s="726"/>
      <c r="Q249" s="702"/>
    </row>
    <row r="250" spans="1:17" ht="14.45" customHeight="1" x14ac:dyDescent="0.2">
      <c r="A250" s="696" t="s">
        <v>4420</v>
      </c>
      <c r="B250" s="697" t="s">
        <v>4056</v>
      </c>
      <c r="C250" s="697" t="s">
        <v>3333</v>
      </c>
      <c r="D250" s="697" t="s">
        <v>4525</v>
      </c>
      <c r="E250" s="697" t="s">
        <v>4526</v>
      </c>
      <c r="F250" s="701">
        <v>5</v>
      </c>
      <c r="G250" s="701">
        <v>316246.75</v>
      </c>
      <c r="H250" s="701"/>
      <c r="I250" s="701">
        <v>63249.35</v>
      </c>
      <c r="J250" s="701">
        <v>2</v>
      </c>
      <c r="K250" s="701">
        <v>78682.8</v>
      </c>
      <c r="L250" s="701"/>
      <c r="M250" s="701">
        <v>39341.4</v>
      </c>
      <c r="N250" s="701">
        <v>9</v>
      </c>
      <c r="O250" s="701">
        <v>569244.15</v>
      </c>
      <c r="P250" s="726"/>
      <c r="Q250" s="702">
        <v>63249.350000000006</v>
      </c>
    </row>
    <row r="251" spans="1:17" ht="14.45" customHeight="1" x14ac:dyDescent="0.2">
      <c r="A251" s="696" t="s">
        <v>4420</v>
      </c>
      <c r="B251" s="697" t="s">
        <v>4056</v>
      </c>
      <c r="C251" s="697" t="s">
        <v>3333</v>
      </c>
      <c r="D251" s="697" t="s">
        <v>4527</v>
      </c>
      <c r="E251" s="697" t="s">
        <v>4528</v>
      </c>
      <c r="F251" s="701">
        <v>1</v>
      </c>
      <c r="G251" s="701">
        <v>21829</v>
      </c>
      <c r="H251" s="701"/>
      <c r="I251" s="701">
        <v>21829</v>
      </c>
      <c r="J251" s="701"/>
      <c r="K251" s="701"/>
      <c r="L251" s="701"/>
      <c r="M251" s="701"/>
      <c r="N251" s="701"/>
      <c r="O251" s="701"/>
      <c r="P251" s="726"/>
      <c r="Q251" s="702"/>
    </row>
    <row r="252" spans="1:17" ht="14.45" customHeight="1" x14ac:dyDescent="0.2">
      <c r="A252" s="696" t="s">
        <v>4420</v>
      </c>
      <c r="B252" s="697" t="s">
        <v>4056</v>
      </c>
      <c r="C252" s="697" t="s">
        <v>3333</v>
      </c>
      <c r="D252" s="697" t="s">
        <v>4529</v>
      </c>
      <c r="E252" s="697" t="s">
        <v>4530</v>
      </c>
      <c r="F252" s="701">
        <v>11</v>
      </c>
      <c r="G252" s="701">
        <v>38828.769999999997</v>
      </c>
      <c r="H252" s="701"/>
      <c r="I252" s="701">
        <v>3529.8881818181817</v>
      </c>
      <c r="J252" s="701">
        <v>9</v>
      </c>
      <c r="K252" s="701">
        <v>30214.89</v>
      </c>
      <c r="L252" s="701"/>
      <c r="M252" s="701">
        <v>3357.21</v>
      </c>
      <c r="N252" s="701">
        <v>18</v>
      </c>
      <c r="O252" s="701">
        <v>60429.78</v>
      </c>
      <c r="P252" s="726"/>
      <c r="Q252" s="702">
        <v>3357.21</v>
      </c>
    </row>
    <row r="253" spans="1:17" ht="14.45" customHeight="1" x14ac:dyDescent="0.2">
      <c r="A253" s="696" t="s">
        <v>4420</v>
      </c>
      <c r="B253" s="697" t="s">
        <v>4056</v>
      </c>
      <c r="C253" s="697" t="s">
        <v>3333</v>
      </c>
      <c r="D253" s="697" t="s">
        <v>4531</v>
      </c>
      <c r="E253" s="697" t="s">
        <v>4532</v>
      </c>
      <c r="F253" s="701">
        <v>2</v>
      </c>
      <c r="G253" s="701">
        <v>4752.1000000000004</v>
      </c>
      <c r="H253" s="701"/>
      <c r="I253" s="701">
        <v>2376.0500000000002</v>
      </c>
      <c r="J253" s="701"/>
      <c r="K253" s="701"/>
      <c r="L253" s="701"/>
      <c r="M253" s="701"/>
      <c r="N253" s="701"/>
      <c r="O253" s="701"/>
      <c r="P253" s="726"/>
      <c r="Q253" s="702"/>
    </row>
    <row r="254" spans="1:17" ht="14.45" customHeight="1" x14ac:dyDescent="0.2">
      <c r="A254" s="696" t="s">
        <v>4420</v>
      </c>
      <c r="B254" s="697" t="s">
        <v>4056</v>
      </c>
      <c r="C254" s="697" t="s">
        <v>3333</v>
      </c>
      <c r="D254" s="697" t="s">
        <v>4533</v>
      </c>
      <c r="E254" s="697" t="s">
        <v>4534</v>
      </c>
      <c r="F254" s="701">
        <v>3</v>
      </c>
      <c r="G254" s="701">
        <v>51570.21</v>
      </c>
      <c r="H254" s="701"/>
      <c r="I254" s="701">
        <v>17190.07</v>
      </c>
      <c r="J254" s="701">
        <v>4</v>
      </c>
      <c r="K254" s="701">
        <v>50139.8</v>
      </c>
      <c r="L254" s="701"/>
      <c r="M254" s="701">
        <v>12534.95</v>
      </c>
      <c r="N254" s="701">
        <v>3</v>
      </c>
      <c r="O254" s="701">
        <v>37605</v>
      </c>
      <c r="P254" s="726"/>
      <c r="Q254" s="702">
        <v>12535</v>
      </c>
    </row>
    <row r="255" spans="1:17" ht="14.45" customHeight="1" x14ac:dyDescent="0.2">
      <c r="A255" s="696" t="s">
        <v>4420</v>
      </c>
      <c r="B255" s="697" t="s">
        <v>4056</v>
      </c>
      <c r="C255" s="697" t="s">
        <v>3333</v>
      </c>
      <c r="D255" s="697" t="s">
        <v>4535</v>
      </c>
      <c r="E255" s="697" t="s">
        <v>4536</v>
      </c>
      <c r="F255" s="701">
        <v>1</v>
      </c>
      <c r="G255" s="701">
        <v>3178.63</v>
      </c>
      <c r="H255" s="701"/>
      <c r="I255" s="701">
        <v>3178.63</v>
      </c>
      <c r="J255" s="701">
        <v>1</v>
      </c>
      <c r="K255" s="701">
        <v>3178.63</v>
      </c>
      <c r="L255" s="701"/>
      <c r="M255" s="701">
        <v>3178.63</v>
      </c>
      <c r="N255" s="701">
        <v>8</v>
      </c>
      <c r="O255" s="701">
        <v>25429.040000000001</v>
      </c>
      <c r="P255" s="726"/>
      <c r="Q255" s="702">
        <v>3178.63</v>
      </c>
    </row>
    <row r="256" spans="1:17" ht="14.45" customHeight="1" x14ac:dyDescent="0.2">
      <c r="A256" s="696" t="s">
        <v>4420</v>
      </c>
      <c r="B256" s="697" t="s">
        <v>4056</v>
      </c>
      <c r="C256" s="697" t="s">
        <v>3333</v>
      </c>
      <c r="D256" s="697" t="s">
        <v>4537</v>
      </c>
      <c r="E256" s="697" t="s">
        <v>4538</v>
      </c>
      <c r="F256" s="701">
        <v>2</v>
      </c>
      <c r="G256" s="701">
        <v>113849</v>
      </c>
      <c r="H256" s="701"/>
      <c r="I256" s="701">
        <v>56924.5</v>
      </c>
      <c r="J256" s="701">
        <v>1</v>
      </c>
      <c r="K256" s="701">
        <v>61566</v>
      </c>
      <c r="L256" s="701"/>
      <c r="M256" s="701">
        <v>61566</v>
      </c>
      <c r="N256" s="701">
        <v>3</v>
      </c>
      <c r="O256" s="701">
        <v>291352.5</v>
      </c>
      <c r="P256" s="726"/>
      <c r="Q256" s="702">
        <v>97117.5</v>
      </c>
    </row>
    <row r="257" spans="1:17" ht="14.45" customHeight="1" x14ac:dyDescent="0.2">
      <c r="A257" s="696" t="s">
        <v>4420</v>
      </c>
      <c r="B257" s="697" t="s">
        <v>4056</v>
      </c>
      <c r="C257" s="697" t="s">
        <v>3333</v>
      </c>
      <c r="D257" s="697" t="s">
        <v>4539</v>
      </c>
      <c r="E257" s="697" t="s">
        <v>4540</v>
      </c>
      <c r="F257" s="701"/>
      <c r="G257" s="701"/>
      <c r="H257" s="701"/>
      <c r="I257" s="701"/>
      <c r="J257" s="701"/>
      <c r="K257" s="701"/>
      <c r="L257" s="701"/>
      <c r="M257" s="701"/>
      <c r="N257" s="701">
        <v>1</v>
      </c>
      <c r="O257" s="701">
        <v>975.27</v>
      </c>
      <c r="P257" s="726"/>
      <c r="Q257" s="702">
        <v>975.27</v>
      </c>
    </row>
    <row r="258" spans="1:17" ht="14.45" customHeight="1" x14ac:dyDescent="0.2">
      <c r="A258" s="696" t="s">
        <v>4420</v>
      </c>
      <c r="B258" s="697" t="s">
        <v>4056</v>
      </c>
      <c r="C258" s="697" t="s">
        <v>3333</v>
      </c>
      <c r="D258" s="697" t="s">
        <v>4541</v>
      </c>
      <c r="E258" s="697" t="s">
        <v>4542</v>
      </c>
      <c r="F258" s="701"/>
      <c r="G258" s="701"/>
      <c r="H258" s="701"/>
      <c r="I258" s="701"/>
      <c r="J258" s="701">
        <v>1</v>
      </c>
      <c r="K258" s="701">
        <v>9922</v>
      </c>
      <c r="L258" s="701"/>
      <c r="M258" s="701">
        <v>9922</v>
      </c>
      <c r="N258" s="701"/>
      <c r="O258" s="701"/>
      <c r="P258" s="726"/>
      <c r="Q258" s="702"/>
    </row>
    <row r="259" spans="1:17" ht="14.45" customHeight="1" x14ac:dyDescent="0.2">
      <c r="A259" s="696" t="s">
        <v>4420</v>
      </c>
      <c r="B259" s="697" t="s">
        <v>4056</v>
      </c>
      <c r="C259" s="697" t="s">
        <v>3333</v>
      </c>
      <c r="D259" s="697" t="s">
        <v>4543</v>
      </c>
      <c r="E259" s="697" t="s">
        <v>4544</v>
      </c>
      <c r="F259" s="701"/>
      <c r="G259" s="701"/>
      <c r="H259" s="701"/>
      <c r="I259" s="701"/>
      <c r="J259" s="701"/>
      <c r="K259" s="701"/>
      <c r="L259" s="701"/>
      <c r="M259" s="701"/>
      <c r="N259" s="701">
        <v>2</v>
      </c>
      <c r="O259" s="701">
        <v>620</v>
      </c>
      <c r="P259" s="726"/>
      <c r="Q259" s="702">
        <v>310</v>
      </c>
    </row>
    <row r="260" spans="1:17" ht="14.45" customHeight="1" x14ac:dyDescent="0.2">
      <c r="A260" s="696" t="s">
        <v>4420</v>
      </c>
      <c r="B260" s="697" t="s">
        <v>4056</v>
      </c>
      <c r="C260" s="697" t="s">
        <v>3333</v>
      </c>
      <c r="D260" s="697" t="s">
        <v>4545</v>
      </c>
      <c r="E260" s="697" t="s">
        <v>4546</v>
      </c>
      <c r="F260" s="701"/>
      <c r="G260" s="701"/>
      <c r="H260" s="701"/>
      <c r="I260" s="701"/>
      <c r="J260" s="701">
        <v>1</v>
      </c>
      <c r="K260" s="701">
        <v>510.57</v>
      </c>
      <c r="L260" s="701"/>
      <c r="M260" s="701">
        <v>510.57</v>
      </c>
      <c r="N260" s="701"/>
      <c r="O260" s="701"/>
      <c r="P260" s="726"/>
      <c r="Q260" s="702"/>
    </row>
    <row r="261" spans="1:17" ht="14.45" customHeight="1" x14ac:dyDescent="0.2">
      <c r="A261" s="696" t="s">
        <v>4420</v>
      </c>
      <c r="B261" s="697" t="s">
        <v>4056</v>
      </c>
      <c r="C261" s="697" t="s">
        <v>3333</v>
      </c>
      <c r="D261" s="697" t="s">
        <v>4547</v>
      </c>
      <c r="E261" s="697" t="s">
        <v>4528</v>
      </c>
      <c r="F261" s="701">
        <v>1</v>
      </c>
      <c r="G261" s="701">
        <v>16952.3</v>
      </c>
      <c r="H261" s="701"/>
      <c r="I261" s="701">
        <v>16952.3</v>
      </c>
      <c r="J261" s="701"/>
      <c r="K261" s="701"/>
      <c r="L261" s="701"/>
      <c r="M261" s="701"/>
      <c r="N261" s="701">
        <v>3</v>
      </c>
      <c r="O261" s="701">
        <v>50856.9</v>
      </c>
      <c r="P261" s="726"/>
      <c r="Q261" s="702">
        <v>16952.3</v>
      </c>
    </row>
    <row r="262" spans="1:17" ht="14.45" customHeight="1" x14ac:dyDescent="0.2">
      <c r="A262" s="696" t="s">
        <v>4420</v>
      </c>
      <c r="B262" s="697" t="s">
        <v>4056</v>
      </c>
      <c r="C262" s="697" t="s">
        <v>3333</v>
      </c>
      <c r="D262" s="697" t="s">
        <v>4548</v>
      </c>
      <c r="E262" s="697" t="s">
        <v>4549</v>
      </c>
      <c r="F262" s="701">
        <v>1</v>
      </c>
      <c r="G262" s="701">
        <v>44071.360000000001</v>
      </c>
      <c r="H262" s="701"/>
      <c r="I262" s="701">
        <v>44071.360000000001</v>
      </c>
      <c r="J262" s="701"/>
      <c r="K262" s="701"/>
      <c r="L262" s="701"/>
      <c r="M262" s="701"/>
      <c r="N262" s="701">
        <v>1</v>
      </c>
      <c r="O262" s="701">
        <v>42642</v>
      </c>
      <c r="P262" s="726"/>
      <c r="Q262" s="702">
        <v>42642</v>
      </c>
    </row>
    <row r="263" spans="1:17" ht="14.45" customHeight="1" x14ac:dyDescent="0.2">
      <c r="A263" s="696" t="s">
        <v>4420</v>
      </c>
      <c r="B263" s="697" t="s">
        <v>4056</v>
      </c>
      <c r="C263" s="697" t="s">
        <v>3333</v>
      </c>
      <c r="D263" s="697" t="s">
        <v>4550</v>
      </c>
      <c r="E263" s="697" t="s">
        <v>4551</v>
      </c>
      <c r="F263" s="701">
        <v>1</v>
      </c>
      <c r="G263" s="701">
        <v>75000</v>
      </c>
      <c r="H263" s="701"/>
      <c r="I263" s="701">
        <v>75000</v>
      </c>
      <c r="J263" s="701"/>
      <c r="K263" s="701"/>
      <c r="L263" s="701"/>
      <c r="M263" s="701"/>
      <c r="N263" s="701"/>
      <c r="O263" s="701"/>
      <c r="P263" s="726"/>
      <c r="Q263" s="702"/>
    </row>
    <row r="264" spans="1:17" ht="14.45" customHeight="1" x14ac:dyDescent="0.2">
      <c r="A264" s="696" t="s">
        <v>4420</v>
      </c>
      <c r="B264" s="697" t="s">
        <v>4056</v>
      </c>
      <c r="C264" s="697" t="s">
        <v>3333</v>
      </c>
      <c r="D264" s="697" t="s">
        <v>4552</v>
      </c>
      <c r="E264" s="697" t="s">
        <v>4553</v>
      </c>
      <c r="F264" s="701">
        <v>2</v>
      </c>
      <c r="G264" s="701">
        <v>53406</v>
      </c>
      <c r="H264" s="701"/>
      <c r="I264" s="701">
        <v>26703</v>
      </c>
      <c r="J264" s="701"/>
      <c r="K264" s="701"/>
      <c r="L264" s="701"/>
      <c r="M264" s="701"/>
      <c r="N264" s="701"/>
      <c r="O264" s="701"/>
      <c r="P264" s="726"/>
      <c r="Q264" s="702"/>
    </row>
    <row r="265" spans="1:17" ht="14.45" customHeight="1" x14ac:dyDescent="0.2">
      <c r="A265" s="696" t="s">
        <v>4420</v>
      </c>
      <c r="B265" s="697" t="s">
        <v>4056</v>
      </c>
      <c r="C265" s="697" t="s">
        <v>3333</v>
      </c>
      <c r="D265" s="697" t="s">
        <v>4554</v>
      </c>
      <c r="E265" s="697" t="s">
        <v>4555</v>
      </c>
      <c r="F265" s="701"/>
      <c r="G265" s="701"/>
      <c r="H265" s="701"/>
      <c r="I265" s="701"/>
      <c r="J265" s="701"/>
      <c r="K265" s="701"/>
      <c r="L265" s="701"/>
      <c r="M265" s="701"/>
      <c r="N265" s="701">
        <v>1</v>
      </c>
      <c r="O265" s="701">
        <v>1932.09</v>
      </c>
      <c r="P265" s="726"/>
      <c r="Q265" s="702">
        <v>1932.09</v>
      </c>
    </row>
    <row r="266" spans="1:17" ht="14.45" customHeight="1" x14ac:dyDescent="0.2">
      <c r="A266" s="696" t="s">
        <v>4420</v>
      </c>
      <c r="B266" s="697" t="s">
        <v>4056</v>
      </c>
      <c r="C266" s="697" t="s">
        <v>3333</v>
      </c>
      <c r="D266" s="697" t="s">
        <v>4556</v>
      </c>
      <c r="E266" s="697" t="s">
        <v>4557</v>
      </c>
      <c r="F266" s="701"/>
      <c r="G266" s="701"/>
      <c r="H266" s="701"/>
      <c r="I266" s="701"/>
      <c r="J266" s="701">
        <v>1</v>
      </c>
      <c r="K266" s="701">
        <v>5511.55</v>
      </c>
      <c r="L266" s="701"/>
      <c r="M266" s="701">
        <v>5511.55</v>
      </c>
      <c r="N266" s="701"/>
      <c r="O266" s="701"/>
      <c r="P266" s="726"/>
      <c r="Q266" s="702"/>
    </row>
    <row r="267" spans="1:17" ht="14.45" customHeight="1" x14ac:dyDescent="0.2">
      <c r="A267" s="696" t="s">
        <v>4420</v>
      </c>
      <c r="B267" s="697" t="s">
        <v>4056</v>
      </c>
      <c r="C267" s="697" t="s">
        <v>3333</v>
      </c>
      <c r="D267" s="697" t="s">
        <v>4558</v>
      </c>
      <c r="E267" s="697" t="s">
        <v>4559</v>
      </c>
      <c r="F267" s="701"/>
      <c r="G267" s="701"/>
      <c r="H267" s="701"/>
      <c r="I267" s="701"/>
      <c r="J267" s="701">
        <v>1</v>
      </c>
      <c r="K267" s="701">
        <v>26500</v>
      </c>
      <c r="L267" s="701"/>
      <c r="M267" s="701">
        <v>26500</v>
      </c>
      <c r="N267" s="701">
        <v>1</v>
      </c>
      <c r="O267" s="701">
        <v>13133</v>
      </c>
      <c r="P267" s="726"/>
      <c r="Q267" s="702">
        <v>13133</v>
      </c>
    </row>
    <row r="268" spans="1:17" ht="14.45" customHeight="1" x14ac:dyDescent="0.2">
      <c r="A268" s="696" t="s">
        <v>4420</v>
      </c>
      <c r="B268" s="697" t="s">
        <v>4056</v>
      </c>
      <c r="C268" s="697" t="s">
        <v>3333</v>
      </c>
      <c r="D268" s="697" t="s">
        <v>4560</v>
      </c>
      <c r="E268" s="697" t="s">
        <v>4561</v>
      </c>
      <c r="F268" s="701">
        <v>1</v>
      </c>
      <c r="G268" s="701">
        <v>4857</v>
      </c>
      <c r="H268" s="701"/>
      <c r="I268" s="701">
        <v>4857</v>
      </c>
      <c r="J268" s="701"/>
      <c r="K268" s="701"/>
      <c r="L268" s="701"/>
      <c r="M268" s="701"/>
      <c r="N268" s="701">
        <v>1</v>
      </c>
      <c r="O268" s="701">
        <v>4857</v>
      </c>
      <c r="P268" s="726"/>
      <c r="Q268" s="702">
        <v>4857</v>
      </c>
    </row>
    <row r="269" spans="1:17" ht="14.45" customHeight="1" x14ac:dyDescent="0.2">
      <c r="A269" s="696" t="s">
        <v>4420</v>
      </c>
      <c r="B269" s="697" t="s">
        <v>4056</v>
      </c>
      <c r="C269" s="697" t="s">
        <v>3333</v>
      </c>
      <c r="D269" s="697" t="s">
        <v>4562</v>
      </c>
      <c r="E269" s="697" t="s">
        <v>4563</v>
      </c>
      <c r="F269" s="701"/>
      <c r="G269" s="701"/>
      <c r="H269" s="701"/>
      <c r="I269" s="701"/>
      <c r="J269" s="701">
        <v>1</v>
      </c>
      <c r="K269" s="701">
        <v>790.75</v>
      </c>
      <c r="L269" s="701"/>
      <c r="M269" s="701">
        <v>790.75</v>
      </c>
      <c r="N269" s="701">
        <v>1</v>
      </c>
      <c r="O269" s="701">
        <v>790.75</v>
      </c>
      <c r="P269" s="726"/>
      <c r="Q269" s="702">
        <v>790.75</v>
      </c>
    </row>
    <row r="270" spans="1:17" ht="14.45" customHeight="1" x14ac:dyDescent="0.2">
      <c r="A270" s="696" t="s">
        <v>4420</v>
      </c>
      <c r="B270" s="697" t="s">
        <v>4056</v>
      </c>
      <c r="C270" s="697" t="s">
        <v>3333</v>
      </c>
      <c r="D270" s="697" t="s">
        <v>4564</v>
      </c>
      <c r="E270" s="697" t="s">
        <v>4565</v>
      </c>
      <c r="F270" s="701"/>
      <c r="G270" s="701"/>
      <c r="H270" s="701"/>
      <c r="I270" s="701"/>
      <c r="J270" s="701">
        <v>4</v>
      </c>
      <c r="K270" s="701">
        <v>11567.6</v>
      </c>
      <c r="L270" s="701"/>
      <c r="M270" s="701">
        <v>2891.9</v>
      </c>
      <c r="N270" s="701">
        <v>1</v>
      </c>
      <c r="O270" s="701">
        <v>2891.9</v>
      </c>
      <c r="P270" s="726"/>
      <c r="Q270" s="702">
        <v>2891.9</v>
      </c>
    </row>
    <row r="271" spans="1:17" ht="14.45" customHeight="1" x14ac:dyDescent="0.2">
      <c r="A271" s="696" t="s">
        <v>4420</v>
      </c>
      <c r="B271" s="697" t="s">
        <v>4056</v>
      </c>
      <c r="C271" s="697" t="s">
        <v>3333</v>
      </c>
      <c r="D271" s="697" t="s">
        <v>4566</v>
      </c>
      <c r="E271" s="697" t="s">
        <v>4567</v>
      </c>
      <c r="F271" s="701">
        <v>3</v>
      </c>
      <c r="G271" s="701">
        <v>8893.5</v>
      </c>
      <c r="H271" s="701"/>
      <c r="I271" s="701">
        <v>2964.5</v>
      </c>
      <c r="J271" s="701"/>
      <c r="K271" s="701"/>
      <c r="L271" s="701"/>
      <c r="M271" s="701"/>
      <c r="N271" s="701">
        <v>1</v>
      </c>
      <c r="O271" s="701">
        <v>2964.5</v>
      </c>
      <c r="P271" s="726"/>
      <c r="Q271" s="702">
        <v>2964.5</v>
      </c>
    </row>
    <row r="272" spans="1:17" ht="14.45" customHeight="1" x14ac:dyDescent="0.2">
      <c r="A272" s="696" t="s">
        <v>4420</v>
      </c>
      <c r="B272" s="697" t="s">
        <v>4056</v>
      </c>
      <c r="C272" s="697" t="s">
        <v>3333</v>
      </c>
      <c r="D272" s="697" t="s">
        <v>4568</v>
      </c>
      <c r="E272" s="697" t="s">
        <v>4551</v>
      </c>
      <c r="F272" s="701">
        <v>4</v>
      </c>
      <c r="G272" s="701">
        <v>256000</v>
      </c>
      <c r="H272" s="701"/>
      <c r="I272" s="701">
        <v>64000</v>
      </c>
      <c r="J272" s="701"/>
      <c r="K272" s="701"/>
      <c r="L272" s="701"/>
      <c r="M272" s="701"/>
      <c r="N272" s="701"/>
      <c r="O272" s="701"/>
      <c r="P272" s="726"/>
      <c r="Q272" s="702"/>
    </row>
    <row r="273" spans="1:17" ht="14.45" customHeight="1" x14ac:dyDescent="0.2">
      <c r="A273" s="696" t="s">
        <v>4420</v>
      </c>
      <c r="B273" s="697" t="s">
        <v>4056</v>
      </c>
      <c r="C273" s="697" t="s">
        <v>3333</v>
      </c>
      <c r="D273" s="697" t="s">
        <v>4569</v>
      </c>
      <c r="E273" s="697" t="s">
        <v>4570</v>
      </c>
      <c r="F273" s="701"/>
      <c r="G273" s="701"/>
      <c r="H273" s="701"/>
      <c r="I273" s="701"/>
      <c r="J273" s="701">
        <v>21</v>
      </c>
      <c r="K273" s="701">
        <v>39849.39</v>
      </c>
      <c r="L273" s="701"/>
      <c r="M273" s="701">
        <v>1897.59</v>
      </c>
      <c r="N273" s="701">
        <v>29</v>
      </c>
      <c r="O273" s="701">
        <v>55030.11</v>
      </c>
      <c r="P273" s="726"/>
      <c r="Q273" s="702">
        <v>1897.59</v>
      </c>
    </row>
    <row r="274" spans="1:17" ht="14.45" customHeight="1" x14ac:dyDescent="0.2">
      <c r="A274" s="696" t="s">
        <v>4420</v>
      </c>
      <c r="B274" s="697" t="s">
        <v>4056</v>
      </c>
      <c r="C274" s="697" t="s">
        <v>3333</v>
      </c>
      <c r="D274" s="697" t="s">
        <v>4571</v>
      </c>
      <c r="E274" s="697" t="s">
        <v>4572</v>
      </c>
      <c r="F274" s="701">
        <v>2</v>
      </c>
      <c r="G274" s="701">
        <v>13847.2</v>
      </c>
      <c r="H274" s="701"/>
      <c r="I274" s="701">
        <v>6923.6</v>
      </c>
      <c r="J274" s="701">
        <v>1</v>
      </c>
      <c r="K274" s="701">
        <v>3630</v>
      </c>
      <c r="L274" s="701"/>
      <c r="M274" s="701">
        <v>3630</v>
      </c>
      <c r="N274" s="701">
        <v>3</v>
      </c>
      <c r="O274" s="701">
        <v>10890</v>
      </c>
      <c r="P274" s="726"/>
      <c r="Q274" s="702">
        <v>3630</v>
      </c>
    </row>
    <row r="275" spans="1:17" ht="14.45" customHeight="1" x14ac:dyDescent="0.2">
      <c r="A275" s="696" t="s">
        <v>4420</v>
      </c>
      <c r="B275" s="697" t="s">
        <v>4056</v>
      </c>
      <c r="C275" s="697" t="s">
        <v>3333</v>
      </c>
      <c r="D275" s="697" t="s">
        <v>4573</v>
      </c>
      <c r="E275" s="697" t="s">
        <v>4574</v>
      </c>
      <c r="F275" s="701">
        <v>1</v>
      </c>
      <c r="G275" s="701">
        <v>6632.73</v>
      </c>
      <c r="H275" s="701"/>
      <c r="I275" s="701">
        <v>6632.73</v>
      </c>
      <c r="J275" s="701"/>
      <c r="K275" s="701"/>
      <c r="L275" s="701"/>
      <c r="M275" s="701"/>
      <c r="N275" s="701">
        <v>5</v>
      </c>
      <c r="O275" s="701">
        <v>14520</v>
      </c>
      <c r="P275" s="726"/>
      <c r="Q275" s="702">
        <v>2904</v>
      </c>
    </row>
    <row r="276" spans="1:17" ht="14.45" customHeight="1" x14ac:dyDescent="0.2">
      <c r="A276" s="696" t="s">
        <v>4420</v>
      </c>
      <c r="B276" s="697" t="s">
        <v>4056</v>
      </c>
      <c r="C276" s="697" t="s">
        <v>3333</v>
      </c>
      <c r="D276" s="697" t="s">
        <v>4575</v>
      </c>
      <c r="E276" s="697" t="s">
        <v>4576</v>
      </c>
      <c r="F276" s="701"/>
      <c r="G276" s="701"/>
      <c r="H276" s="701"/>
      <c r="I276" s="701"/>
      <c r="J276" s="701">
        <v>1</v>
      </c>
      <c r="K276" s="701">
        <v>3535.24</v>
      </c>
      <c r="L276" s="701"/>
      <c r="M276" s="701">
        <v>3535.24</v>
      </c>
      <c r="N276" s="701"/>
      <c r="O276" s="701"/>
      <c r="P276" s="726"/>
      <c r="Q276" s="702"/>
    </row>
    <row r="277" spans="1:17" ht="14.45" customHeight="1" x14ac:dyDescent="0.2">
      <c r="A277" s="696" t="s">
        <v>4420</v>
      </c>
      <c r="B277" s="697" t="s">
        <v>4056</v>
      </c>
      <c r="C277" s="697" t="s">
        <v>3333</v>
      </c>
      <c r="D277" s="697" t="s">
        <v>4577</v>
      </c>
      <c r="E277" s="697" t="s">
        <v>4578</v>
      </c>
      <c r="F277" s="701"/>
      <c r="G277" s="701"/>
      <c r="H277" s="701"/>
      <c r="I277" s="701"/>
      <c r="J277" s="701">
        <v>1</v>
      </c>
      <c r="K277" s="701">
        <v>148350</v>
      </c>
      <c r="L277" s="701"/>
      <c r="M277" s="701">
        <v>148350</v>
      </c>
      <c r="N277" s="701"/>
      <c r="O277" s="701"/>
      <c r="P277" s="726"/>
      <c r="Q277" s="702"/>
    </row>
    <row r="278" spans="1:17" ht="14.45" customHeight="1" x14ac:dyDescent="0.2">
      <c r="A278" s="696" t="s">
        <v>4420</v>
      </c>
      <c r="B278" s="697" t="s">
        <v>4056</v>
      </c>
      <c r="C278" s="697" t="s">
        <v>3333</v>
      </c>
      <c r="D278" s="697" t="s">
        <v>4579</v>
      </c>
      <c r="E278" s="697" t="s">
        <v>4580</v>
      </c>
      <c r="F278" s="701"/>
      <c r="G278" s="701"/>
      <c r="H278" s="701"/>
      <c r="I278" s="701"/>
      <c r="J278" s="701"/>
      <c r="K278" s="701"/>
      <c r="L278" s="701"/>
      <c r="M278" s="701"/>
      <c r="N278" s="701">
        <v>1</v>
      </c>
      <c r="O278" s="701">
        <v>1408.46</v>
      </c>
      <c r="P278" s="726"/>
      <c r="Q278" s="702">
        <v>1408.46</v>
      </c>
    </row>
    <row r="279" spans="1:17" ht="14.45" customHeight="1" x14ac:dyDescent="0.2">
      <c r="A279" s="696" t="s">
        <v>4420</v>
      </c>
      <c r="B279" s="697" t="s">
        <v>4056</v>
      </c>
      <c r="C279" s="697" t="s">
        <v>3333</v>
      </c>
      <c r="D279" s="697" t="s">
        <v>4581</v>
      </c>
      <c r="E279" s="697" t="s">
        <v>4582</v>
      </c>
      <c r="F279" s="701"/>
      <c r="G279" s="701"/>
      <c r="H279" s="701"/>
      <c r="I279" s="701"/>
      <c r="J279" s="701">
        <v>1</v>
      </c>
      <c r="K279" s="701">
        <v>4563.12</v>
      </c>
      <c r="L279" s="701"/>
      <c r="M279" s="701">
        <v>4563.12</v>
      </c>
      <c r="N279" s="701">
        <v>1</v>
      </c>
      <c r="O279" s="701">
        <v>4563.12</v>
      </c>
      <c r="P279" s="726"/>
      <c r="Q279" s="702">
        <v>4563.12</v>
      </c>
    </row>
    <row r="280" spans="1:17" ht="14.45" customHeight="1" x14ac:dyDescent="0.2">
      <c r="A280" s="696" t="s">
        <v>4420</v>
      </c>
      <c r="B280" s="697" t="s">
        <v>4056</v>
      </c>
      <c r="C280" s="697" t="s">
        <v>3333</v>
      </c>
      <c r="D280" s="697" t="s">
        <v>4583</v>
      </c>
      <c r="E280" s="697" t="s">
        <v>4584</v>
      </c>
      <c r="F280" s="701">
        <v>2</v>
      </c>
      <c r="G280" s="701">
        <v>1482</v>
      </c>
      <c r="H280" s="701"/>
      <c r="I280" s="701">
        <v>741</v>
      </c>
      <c r="J280" s="701"/>
      <c r="K280" s="701"/>
      <c r="L280" s="701"/>
      <c r="M280" s="701"/>
      <c r="N280" s="701"/>
      <c r="O280" s="701"/>
      <c r="P280" s="726"/>
      <c r="Q280" s="702"/>
    </row>
    <row r="281" spans="1:17" ht="14.45" customHeight="1" x14ac:dyDescent="0.2">
      <c r="A281" s="696" t="s">
        <v>4420</v>
      </c>
      <c r="B281" s="697" t="s">
        <v>4056</v>
      </c>
      <c r="C281" s="697" t="s">
        <v>3333</v>
      </c>
      <c r="D281" s="697" t="s">
        <v>4585</v>
      </c>
      <c r="E281" s="697" t="s">
        <v>4462</v>
      </c>
      <c r="F281" s="701">
        <v>5</v>
      </c>
      <c r="G281" s="701">
        <v>8702.11</v>
      </c>
      <c r="H281" s="701"/>
      <c r="I281" s="701">
        <v>1740.422</v>
      </c>
      <c r="J281" s="701">
        <v>1</v>
      </c>
      <c r="K281" s="701">
        <v>1569.37</v>
      </c>
      <c r="L281" s="701"/>
      <c r="M281" s="701">
        <v>1569.37</v>
      </c>
      <c r="N281" s="701">
        <v>3</v>
      </c>
      <c r="O281" s="701">
        <v>4708.1099999999997</v>
      </c>
      <c r="P281" s="726"/>
      <c r="Q281" s="702">
        <v>1569.37</v>
      </c>
    </row>
    <row r="282" spans="1:17" ht="14.45" customHeight="1" x14ac:dyDescent="0.2">
      <c r="A282" s="696" t="s">
        <v>4420</v>
      </c>
      <c r="B282" s="697" t="s">
        <v>4056</v>
      </c>
      <c r="C282" s="697" t="s">
        <v>3333</v>
      </c>
      <c r="D282" s="697" t="s">
        <v>4586</v>
      </c>
      <c r="E282" s="697" t="s">
        <v>4587</v>
      </c>
      <c r="F282" s="701"/>
      <c r="G282" s="701"/>
      <c r="H282" s="701"/>
      <c r="I282" s="701"/>
      <c r="J282" s="701"/>
      <c r="K282" s="701"/>
      <c r="L282" s="701"/>
      <c r="M282" s="701"/>
      <c r="N282" s="701">
        <v>3</v>
      </c>
      <c r="O282" s="701">
        <v>35583.42</v>
      </c>
      <c r="P282" s="726"/>
      <c r="Q282" s="702">
        <v>11861.14</v>
      </c>
    </row>
    <row r="283" spans="1:17" ht="14.45" customHeight="1" x14ac:dyDescent="0.2">
      <c r="A283" s="696" t="s">
        <v>4420</v>
      </c>
      <c r="B283" s="697" t="s">
        <v>4056</v>
      </c>
      <c r="C283" s="697" t="s">
        <v>3333</v>
      </c>
      <c r="D283" s="697" t="s">
        <v>4588</v>
      </c>
      <c r="E283" s="697" t="s">
        <v>4589</v>
      </c>
      <c r="F283" s="701">
        <v>1</v>
      </c>
      <c r="G283" s="701">
        <v>11283.67</v>
      </c>
      <c r="H283" s="701"/>
      <c r="I283" s="701">
        <v>11283.67</v>
      </c>
      <c r="J283" s="701"/>
      <c r="K283" s="701"/>
      <c r="L283" s="701"/>
      <c r="M283" s="701"/>
      <c r="N283" s="701"/>
      <c r="O283" s="701"/>
      <c r="P283" s="726"/>
      <c r="Q283" s="702"/>
    </row>
    <row r="284" spans="1:17" ht="14.45" customHeight="1" x14ac:dyDescent="0.2">
      <c r="A284" s="696" t="s">
        <v>4420</v>
      </c>
      <c r="B284" s="697" t="s">
        <v>4056</v>
      </c>
      <c r="C284" s="697" t="s">
        <v>3333</v>
      </c>
      <c r="D284" s="697" t="s">
        <v>4590</v>
      </c>
      <c r="E284" s="697" t="s">
        <v>4591</v>
      </c>
      <c r="F284" s="701"/>
      <c r="G284" s="701"/>
      <c r="H284" s="701"/>
      <c r="I284" s="701"/>
      <c r="J284" s="701">
        <v>9</v>
      </c>
      <c r="K284" s="701">
        <v>6231.51</v>
      </c>
      <c r="L284" s="701"/>
      <c r="M284" s="701">
        <v>692.39</v>
      </c>
      <c r="N284" s="701">
        <v>7</v>
      </c>
      <c r="O284" s="701">
        <v>4846.7299999999996</v>
      </c>
      <c r="P284" s="726"/>
      <c r="Q284" s="702">
        <v>692.39</v>
      </c>
    </row>
    <row r="285" spans="1:17" ht="14.45" customHeight="1" x14ac:dyDescent="0.2">
      <c r="A285" s="696" t="s">
        <v>4420</v>
      </c>
      <c r="B285" s="697" t="s">
        <v>4056</v>
      </c>
      <c r="C285" s="697" t="s">
        <v>3333</v>
      </c>
      <c r="D285" s="697" t="s">
        <v>4592</v>
      </c>
      <c r="E285" s="697" t="s">
        <v>4593</v>
      </c>
      <c r="F285" s="701"/>
      <c r="G285" s="701"/>
      <c r="H285" s="701"/>
      <c r="I285" s="701"/>
      <c r="J285" s="701"/>
      <c r="K285" s="701"/>
      <c r="L285" s="701"/>
      <c r="M285" s="701"/>
      <c r="N285" s="701">
        <v>1</v>
      </c>
      <c r="O285" s="701">
        <v>5108.51</v>
      </c>
      <c r="P285" s="726"/>
      <c r="Q285" s="702">
        <v>5108.51</v>
      </c>
    </row>
    <row r="286" spans="1:17" ht="14.45" customHeight="1" x14ac:dyDescent="0.2">
      <c r="A286" s="696" t="s">
        <v>4420</v>
      </c>
      <c r="B286" s="697" t="s">
        <v>4056</v>
      </c>
      <c r="C286" s="697" t="s">
        <v>3333</v>
      </c>
      <c r="D286" s="697" t="s">
        <v>4594</v>
      </c>
      <c r="E286" s="697" t="s">
        <v>4595</v>
      </c>
      <c r="F286" s="701"/>
      <c r="G286" s="701"/>
      <c r="H286" s="701"/>
      <c r="I286" s="701"/>
      <c r="J286" s="701">
        <v>1</v>
      </c>
      <c r="K286" s="701">
        <v>859.66</v>
      </c>
      <c r="L286" s="701"/>
      <c r="M286" s="701">
        <v>859.66</v>
      </c>
      <c r="N286" s="701"/>
      <c r="O286" s="701"/>
      <c r="P286" s="726"/>
      <c r="Q286" s="702"/>
    </row>
    <row r="287" spans="1:17" ht="14.45" customHeight="1" x14ac:dyDescent="0.2">
      <c r="A287" s="696" t="s">
        <v>4420</v>
      </c>
      <c r="B287" s="697" t="s">
        <v>4056</v>
      </c>
      <c r="C287" s="697" t="s">
        <v>3333</v>
      </c>
      <c r="D287" s="697" t="s">
        <v>4596</v>
      </c>
      <c r="E287" s="697" t="s">
        <v>4597</v>
      </c>
      <c r="F287" s="701"/>
      <c r="G287" s="701"/>
      <c r="H287" s="701"/>
      <c r="I287" s="701"/>
      <c r="J287" s="701"/>
      <c r="K287" s="701"/>
      <c r="L287" s="701"/>
      <c r="M287" s="701"/>
      <c r="N287" s="701">
        <v>1</v>
      </c>
      <c r="O287" s="701">
        <v>3420</v>
      </c>
      <c r="P287" s="726"/>
      <c r="Q287" s="702">
        <v>3420</v>
      </c>
    </row>
    <row r="288" spans="1:17" ht="14.45" customHeight="1" x14ac:dyDescent="0.2">
      <c r="A288" s="696" t="s">
        <v>4420</v>
      </c>
      <c r="B288" s="697" t="s">
        <v>4056</v>
      </c>
      <c r="C288" s="697" t="s">
        <v>3333</v>
      </c>
      <c r="D288" s="697" t="s">
        <v>4598</v>
      </c>
      <c r="E288" s="697" t="s">
        <v>4599</v>
      </c>
      <c r="F288" s="701"/>
      <c r="G288" s="701"/>
      <c r="H288" s="701"/>
      <c r="I288" s="701"/>
      <c r="J288" s="701"/>
      <c r="K288" s="701"/>
      <c r="L288" s="701"/>
      <c r="M288" s="701"/>
      <c r="N288" s="701">
        <v>13</v>
      </c>
      <c r="O288" s="701">
        <v>11789</v>
      </c>
      <c r="P288" s="726"/>
      <c r="Q288" s="702">
        <v>906.84615384615381</v>
      </c>
    </row>
    <row r="289" spans="1:17" ht="14.45" customHeight="1" x14ac:dyDescent="0.2">
      <c r="A289" s="696" t="s">
        <v>4420</v>
      </c>
      <c r="B289" s="697" t="s">
        <v>4056</v>
      </c>
      <c r="C289" s="697" t="s">
        <v>3333</v>
      </c>
      <c r="D289" s="697" t="s">
        <v>4600</v>
      </c>
      <c r="E289" s="697" t="s">
        <v>4601</v>
      </c>
      <c r="F289" s="701"/>
      <c r="G289" s="701"/>
      <c r="H289" s="701"/>
      <c r="I289" s="701"/>
      <c r="J289" s="701"/>
      <c r="K289" s="701"/>
      <c r="L289" s="701"/>
      <c r="M289" s="701"/>
      <c r="N289" s="701">
        <v>1</v>
      </c>
      <c r="O289" s="701">
        <v>49000</v>
      </c>
      <c r="P289" s="726"/>
      <c r="Q289" s="702">
        <v>49000</v>
      </c>
    </row>
    <row r="290" spans="1:17" ht="14.45" customHeight="1" x14ac:dyDescent="0.2">
      <c r="A290" s="696" t="s">
        <v>4420</v>
      </c>
      <c r="B290" s="697" t="s">
        <v>4056</v>
      </c>
      <c r="C290" s="697" t="s">
        <v>2899</v>
      </c>
      <c r="D290" s="697" t="s">
        <v>4602</v>
      </c>
      <c r="E290" s="697" t="s">
        <v>4603</v>
      </c>
      <c r="F290" s="701">
        <v>1</v>
      </c>
      <c r="G290" s="701">
        <v>156</v>
      </c>
      <c r="H290" s="701"/>
      <c r="I290" s="701">
        <v>156</v>
      </c>
      <c r="J290" s="701"/>
      <c r="K290" s="701"/>
      <c r="L290" s="701"/>
      <c r="M290" s="701"/>
      <c r="N290" s="701"/>
      <c r="O290" s="701"/>
      <c r="P290" s="726"/>
      <c r="Q290" s="702"/>
    </row>
    <row r="291" spans="1:17" ht="14.45" customHeight="1" x14ac:dyDescent="0.2">
      <c r="A291" s="696" t="s">
        <v>4420</v>
      </c>
      <c r="B291" s="697" t="s">
        <v>4056</v>
      </c>
      <c r="C291" s="697" t="s">
        <v>2899</v>
      </c>
      <c r="D291" s="697" t="s">
        <v>4604</v>
      </c>
      <c r="E291" s="697" t="s">
        <v>4605</v>
      </c>
      <c r="F291" s="701">
        <v>2</v>
      </c>
      <c r="G291" s="701">
        <v>376</v>
      </c>
      <c r="H291" s="701"/>
      <c r="I291" s="701">
        <v>188</v>
      </c>
      <c r="J291" s="701">
        <v>7</v>
      </c>
      <c r="K291" s="701">
        <v>1323</v>
      </c>
      <c r="L291" s="701"/>
      <c r="M291" s="701">
        <v>189</v>
      </c>
      <c r="N291" s="701">
        <v>1</v>
      </c>
      <c r="O291" s="701">
        <v>194</v>
      </c>
      <c r="P291" s="726"/>
      <c r="Q291" s="702">
        <v>194</v>
      </c>
    </row>
    <row r="292" spans="1:17" ht="14.45" customHeight="1" x14ac:dyDescent="0.2">
      <c r="A292" s="696" t="s">
        <v>4420</v>
      </c>
      <c r="B292" s="697" t="s">
        <v>4056</v>
      </c>
      <c r="C292" s="697" t="s">
        <v>2899</v>
      </c>
      <c r="D292" s="697" t="s">
        <v>4606</v>
      </c>
      <c r="E292" s="697" t="s">
        <v>4607</v>
      </c>
      <c r="F292" s="701">
        <v>36</v>
      </c>
      <c r="G292" s="701">
        <v>4644</v>
      </c>
      <c r="H292" s="701"/>
      <c r="I292" s="701">
        <v>129</v>
      </c>
      <c r="J292" s="701">
        <v>48</v>
      </c>
      <c r="K292" s="701">
        <v>6240</v>
      </c>
      <c r="L292" s="701"/>
      <c r="M292" s="701">
        <v>130</v>
      </c>
      <c r="N292" s="701">
        <v>20</v>
      </c>
      <c r="O292" s="701">
        <v>2680</v>
      </c>
      <c r="P292" s="726"/>
      <c r="Q292" s="702">
        <v>134</v>
      </c>
    </row>
    <row r="293" spans="1:17" ht="14.45" customHeight="1" x14ac:dyDescent="0.2">
      <c r="A293" s="696" t="s">
        <v>4420</v>
      </c>
      <c r="B293" s="697" t="s">
        <v>4056</v>
      </c>
      <c r="C293" s="697" t="s">
        <v>2899</v>
      </c>
      <c r="D293" s="697" t="s">
        <v>4608</v>
      </c>
      <c r="E293" s="697" t="s">
        <v>4609</v>
      </c>
      <c r="F293" s="701">
        <v>63</v>
      </c>
      <c r="G293" s="701">
        <v>14175</v>
      </c>
      <c r="H293" s="701"/>
      <c r="I293" s="701">
        <v>225</v>
      </c>
      <c r="J293" s="701">
        <v>55</v>
      </c>
      <c r="K293" s="701">
        <v>12430</v>
      </c>
      <c r="L293" s="701"/>
      <c r="M293" s="701">
        <v>226</v>
      </c>
      <c r="N293" s="701">
        <v>65</v>
      </c>
      <c r="O293" s="701">
        <v>15015</v>
      </c>
      <c r="P293" s="726"/>
      <c r="Q293" s="702">
        <v>231</v>
      </c>
    </row>
    <row r="294" spans="1:17" ht="14.45" customHeight="1" x14ac:dyDescent="0.2">
      <c r="A294" s="696" t="s">
        <v>4420</v>
      </c>
      <c r="B294" s="697" t="s">
        <v>4056</v>
      </c>
      <c r="C294" s="697" t="s">
        <v>2899</v>
      </c>
      <c r="D294" s="697" t="s">
        <v>4610</v>
      </c>
      <c r="E294" s="697" t="s">
        <v>4611</v>
      </c>
      <c r="F294" s="701">
        <v>2</v>
      </c>
      <c r="G294" s="701">
        <v>450</v>
      </c>
      <c r="H294" s="701"/>
      <c r="I294" s="701">
        <v>225</v>
      </c>
      <c r="J294" s="701">
        <v>1</v>
      </c>
      <c r="K294" s="701">
        <v>226</v>
      </c>
      <c r="L294" s="701"/>
      <c r="M294" s="701">
        <v>226</v>
      </c>
      <c r="N294" s="701"/>
      <c r="O294" s="701"/>
      <c r="P294" s="726"/>
      <c r="Q294" s="702"/>
    </row>
    <row r="295" spans="1:17" ht="14.45" customHeight="1" x14ac:dyDescent="0.2">
      <c r="A295" s="696" t="s">
        <v>4420</v>
      </c>
      <c r="B295" s="697" t="s">
        <v>4056</v>
      </c>
      <c r="C295" s="697" t="s">
        <v>2899</v>
      </c>
      <c r="D295" s="697" t="s">
        <v>4612</v>
      </c>
      <c r="E295" s="697" t="s">
        <v>4613</v>
      </c>
      <c r="F295" s="701">
        <v>81</v>
      </c>
      <c r="G295" s="701">
        <v>18387</v>
      </c>
      <c r="H295" s="701"/>
      <c r="I295" s="701">
        <v>227</v>
      </c>
      <c r="J295" s="701">
        <v>65</v>
      </c>
      <c r="K295" s="701">
        <v>14820</v>
      </c>
      <c r="L295" s="701"/>
      <c r="M295" s="701">
        <v>228</v>
      </c>
      <c r="N295" s="701">
        <v>78</v>
      </c>
      <c r="O295" s="701">
        <v>18174</v>
      </c>
      <c r="P295" s="726"/>
      <c r="Q295" s="702">
        <v>233</v>
      </c>
    </row>
    <row r="296" spans="1:17" ht="14.45" customHeight="1" x14ac:dyDescent="0.2">
      <c r="A296" s="696" t="s">
        <v>4420</v>
      </c>
      <c r="B296" s="697" t="s">
        <v>4056</v>
      </c>
      <c r="C296" s="697" t="s">
        <v>2899</v>
      </c>
      <c r="D296" s="697" t="s">
        <v>4614</v>
      </c>
      <c r="E296" s="697" t="s">
        <v>4615</v>
      </c>
      <c r="F296" s="701">
        <v>3</v>
      </c>
      <c r="G296" s="701">
        <v>1887</v>
      </c>
      <c r="H296" s="701"/>
      <c r="I296" s="701">
        <v>629</v>
      </c>
      <c r="J296" s="701">
        <v>2</v>
      </c>
      <c r="K296" s="701">
        <v>1262</v>
      </c>
      <c r="L296" s="701"/>
      <c r="M296" s="701">
        <v>631</v>
      </c>
      <c r="N296" s="701">
        <v>3</v>
      </c>
      <c r="O296" s="701">
        <v>1938</v>
      </c>
      <c r="P296" s="726"/>
      <c r="Q296" s="702">
        <v>646</v>
      </c>
    </row>
    <row r="297" spans="1:17" ht="14.45" customHeight="1" x14ac:dyDescent="0.2">
      <c r="A297" s="696" t="s">
        <v>4420</v>
      </c>
      <c r="B297" s="697" t="s">
        <v>4056</v>
      </c>
      <c r="C297" s="697" t="s">
        <v>2899</v>
      </c>
      <c r="D297" s="697" t="s">
        <v>4616</v>
      </c>
      <c r="E297" s="697" t="s">
        <v>4617</v>
      </c>
      <c r="F297" s="701"/>
      <c r="G297" s="701"/>
      <c r="H297" s="701"/>
      <c r="I297" s="701"/>
      <c r="J297" s="701"/>
      <c r="K297" s="701"/>
      <c r="L297" s="701"/>
      <c r="M297" s="701"/>
      <c r="N297" s="701">
        <v>2</v>
      </c>
      <c r="O297" s="701">
        <v>758</v>
      </c>
      <c r="P297" s="726"/>
      <c r="Q297" s="702">
        <v>379</v>
      </c>
    </row>
    <row r="298" spans="1:17" ht="14.45" customHeight="1" x14ac:dyDescent="0.2">
      <c r="A298" s="696" t="s">
        <v>4420</v>
      </c>
      <c r="B298" s="697" t="s">
        <v>4056</v>
      </c>
      <c r="C298" s="697" t="s">
        <v>2899</v>
      </c>
      <c r="D298" s="697" t="s">
        <v>4618</v>
      </c>
      <c r="E298" s="697" t="s">
        <v>4619</v>
      </c>
      <c r="F298" s="701"/>
      <c r="G298" s="701"/>
      <c r="H298" s="701"/>
      <c r="I298" s="701"/>
      <c r="J298" s="701"/>
      <c r="K298" s="701"/>
      <c r="L298" s="701"/>
      <c r="M298" s="701"/>
      <c r="N298" s="701">
        <v>2</v>
      </c>
      <c r="O298" s="701">
        <v>28036</v>
      </c>
      <c r="P298" s="726"/>
      <c r="Q298" s="702">
        <v>14018</v>
      </c>
    </row>
    <row r="299" spans="1:17" ht="14.45" customHeight="1" x14ac:dyDescent="0.2">
      <c r="A299" s="696" t="s">
        <v>4420</v>
      </c>
      <c r="B299" s="697" t="s">
        <v>4056</v>
      </c>
      <c r="C299" s="697" t="s">
        <v>2899</v>
      </c>
      <c r="D299" s="697" t="s">
        <v>4620</v>
      </c>
      <c r="E299" s="697" t="s">
        <v>4621</v>
      </c>
      <c r="F299" s="701">
        <v>18</v>
      </c>
      <c r="G299" s="701">
        <v>75114</v>
      </c>
      <c r="H299" s="701"/>
      <c r="I299" s="701">
        <v>4173</v>
      </c>
      <c r="J299" s="701">
        <v>12</v>
      </c>
      <c r="K299" s="701">
        <v>50148</v>
      </c>
      <c r="L299" s="701"/>
      <c r="M299" s="701">
        <v>4179</v>
      </c>
      <c r="N299" s="701">
        <v>19</v>
      </c>
      <c r="O299" s="701">
        <v>80047</v>
      </c>
      <c r="P299" s="726"/>
      <c r="Q299" s="702">
        <v>4213</v>
      </c>
    </row>
    <row r="300" spans="1:17" ht="14.45" customHeight="1" x14ac:dyDescent="0.2">
      <c r="A300" s="696" t="s">
        <v>4420</v>
      </c>
      <c r="B300" s="697" t="s">
        <v>4056</v>
      </c>
      <c r="C300" s="697" t="s">
        <v>2899</v>
      </c>
      <c r="D300" s="697" t="s">
        <v>4622</v>
      </c>
      <c r="E300" s="697" t="s">
        <v>4623</v>
      </c>
      <c r="F300" s="701">
        <v>4</v>
      </c>
      <c r="G300" s="701">
        <v>1136</v>
      </c>
      <c r="H300" s="701"/>
      <c r="I300" s="701">
        <v>284</v>
      </c>
      <c r="J300" s="701">
        <v>1</v>
      </c>
      <c r="K300" s="701">
        <v>285</v>
      </c>
      <c r="L300" s="701"/>
      <c r="M300" s="701">
        <v>285</v>
      </c>
      <c r="N300" s="701"/>
      <c r="O300" s="701"/>
      <c r="P300" s="726"/>
      <c r="Q300" s="702"/>
    </row>
    <row r="301" spans="1:17" ht="14.45" customHeight="1" x14ac:dyDescent="0.2">
      <c r="A301" s="696" t="s">
        <v>4420</v>
      </c>
      <c r="B301" s="697" t="s">
        <v>4056</v>
      </c>
      <c r="C301" s="697" t="s">
        <v>2899</v>
      </c>
      <c r="D301" s="697" t="s">
        <v>4624</v>
      </c>
      <c r="E301" s="697" t="s">
        <v>4625</v>
      </c>
      <c r="F301" s="701">
        <v>3</v>
      </c>
      <c r="G301" s="701">
        <v>18993</v>
      </c>
      <c r="H301" s="701"/>
      <c r="I301" s="701">
        <v>6331</v>
      </c>
      <c r="J301" s="701">
        <v>1</v>
      </c>
      <c r="K301" s="701">
        <v>6338</v>
      </c>
      <c r="L301" s="701"/>
      <c r="M301" s="701">
        <v>6338</v>
      </c>
      <c r="N301" s="701">
        <v>2</v>
      </c>
      <c r="O301" s="701">
        <v>12814</v>
      </c>
      <c r="P301" s="726"/>
      <c r="Q301" s="702">
        <v>6407</v>
      </c>
    </row>
    <row r="302" spans="1:17" ht="14.45" customHeight="1" x14ac:dyDescent="0.2">
      <c r="A302" s="696" t="s">
        <v>4420</v>
      </c>
      <c r="B302" s="697" t="s">
        <v>4056</v>
      </c>
      <c r="C302" s="697" t="s">
        <v>2899</v>
      </c>
      <c r="D302" s="697" t="s">
        <v>4626</v>
      </c>
      <c r="E302" s="697" t="s">
        <v>4627</v>
      </c>
      <c r="F302" s="701"/>
      <c r="G302" s="701"/>
      <c r="H302" s="701"/>
      <c r="I302" s="701"/>
      <c r="J302" s="701">
        <v>1</v>
      </c>
      <c r="K302" s="701">
        <v>1590</v>
      </c>
      <c r="L302" s="701"/>
      <c r="M302" s="701">
        <v>1590</v>
      </c>
      <c r="N302" s="701"/>
      <c r="O302" s="701"/>
      <c r="P302" s="726"/>
      <c r="Q302" s="702"/>
    </row>
    <row r="303" spans="1:17" ht="14.45" customHeight="1" x14ac:dyDescent="0.2">
      <c r="A303" s="696" t="s">
        <v>4420</v>
      </c>
      <c r="B303" s="697" t="s">
        <v>4056</v>
      </c>
      <c r="C303" s="697" t="s">
        <v>2899</v>
      </c>
      <c r="D303" s="697" t="s">
        <v>4628</v>
      </c>
      <c r="E303" s="697" t="s">
        <v>4629</v>
      </c>
      <c r="F303" s="701">
        <v>9</v>
      </c>
      <c r="G303" s="701">
        <v>137520</v>
      </c>
      <c r="H303" s="701"/>
      <c r="I303" s="701">
        <v>15280</v>
      </c>
      <c r="J303" s="701">
        <v>6</v>
      </c>
      <c r="K303" s="701">
        <v>91752</v>
      </c>
      <c r="L303" s="701"/>
      <c r="M303" s="701">
        <v>15292</v>
      </c>
      <c r="N303" s="701">
        <v>5</v>
      </c>
      <c r="O303" s="701">
        <v>77565</v>
      </c>
      <c r="P303" s="726"/>
      <c r="Q303" s="702">
        <v>15513</v>
      </c>
    </row>
    <row r="304" spans="1:17" ht="14.45" customHeight="1" x14ac:dyDescent="0.2">
      <c r="A304" s="696" t="s">
        <v>4420</v>
      </c>
      <c r="B304" s="697" t="s">
        <v>4056</v>
      </c>
      <c r="C304" s="697" t="s">
        <v>2899</v>
      </c>
      <c r="D304" s="697" t="s">
        <v>4630</v>
      </c>
      <c r="E304" s="697" t="s">
        <v>4631</v>
      </c>
      <c r="F304" s="701">
        <v>78</v>
      </c>
      <c r="G304" s="701">
        <v>301626</v>
      </c>
      <c r="H304" s="701"/>
      <c r="I304" s="701">
        <v>3867</v>
      </c>
      <c r="J304" s="701">
        <v>64</v>
      </c>
      <c r="K304" s="701">
        <v>247744</v>
      </c>
      <c r="L304" s="701"/>
      <c r="M304" s="701">
        <v>3871</v>
      </c>
      <c r="N304" s="701">
        <v>80</v>
      </c>
      <c r="O304" s="701">
        <v>313200</v>
      </c>
      <c r="P304" s="726"/>
      <c r="Q304" s="702">
        <v>3915</v>
      </c>
    </row>
    <row r="305" spans="1:17" ht="14.45" customHeight="1" x14ac:dyDescent="0.2">
      <c r="A305" s="696" t="s">
        <v>4420</v>
      </c>
      <c r="B305" s="697" t="s">
        <v>4056</v>
      </c>
      <c r="C305" s="697" t="s">
        <v>2899</v>
      </c>
      <c r="D305" s="697" t="s">
        <v>4632</v>
      </c>
      <c r="E305" s="697" t="s">
        <v>4633</v>
      </c>
      <c r="F305" s="701">
        <v>1</v>
      </c>
      <c r="G305" s="701">
        <v>5219</v>
      </c>
      <c r="H305" s="701"/>
      <c r="I305" s="701">
        <v>5219</v>
      </c>
      <c r="J305" s="701"/>
      <c r="K305" s="701"/>
      <c r="L305" s="701"/>
      <c r="M305" s="701"/>
      <c r="N305" s="701">
        <v>3</v>
      </c>
      <c r="O305" s="701">
        <v>15852</v>
      </c>
      <c r="P305" s="726"/>
      <c r="Q305" s="702">
        <v>5284</v>
      </c>
    </row>
    <row r="306" spans="1:17" ht="14.45" customHeight="1" x14ac:dyDescent="0.2">
      <c r="A306" s="696" t="s">
        <v>4420</v>
      </c>
      <c r="B306" s="697" t="s">
        <v>4056</v>
      </c>
      <c r="C306" s="697" t="s">
        <v>2899</v>
      </c>
      <c r="D306" s="697" t="s">
        <v>4634</v>
      </c>
      <c r="E306" s="697" t="s">
        <v>4635</v>
      </c>
      <c r="F306" s="701">
        <v>40</v>
      </c>
      <c r="G306" s="701">
        <v>317520</v>
      </c>
      <c r="H306" s="701"/>
      <c r="I306" s="701">
        <v>7938</v>
      </c>
      <c r="J306" s="701">
        <v>35</v>
      </c>
      <c r="K306" s="701">
        <v>278145</v>
      </c>
      <c r="L306" s="701"/>
      <c r="M306" s="701">
        <v>7947</v>
      </c>
      <c r="N306" s="701">
        <v>58</v>
      </c>
      <c r="O306" s="701">
        <v>466088</v>
      </c>
      <c r="P306" s="726"/>
      <c r="Q306" s="702">
        <v>8036</v>
      </c>
    </row>
    <row r="307" spans="1:17" ht="14.45" customHeight="1" x14ac:dyDescent="0.2">
      <c r="A307" s="696" t="s">
        <v>4420</v>
      </c>
      <c r="B307" s="697" t="s">
        <v>4056</v>
      </c>
      <c r="C307" s="697" t="s">
        <v>2899</v>
      </c>
      <c r="D307" s="697" t="s">
        <v>4636</v>
      </c>
      <c r="E307" s="697" t="s">
        <v>4637</v>
      </c>
      <c r="F307" s="701">
        <v>4</v>
      </c>
      <c r="G307" s="701">
        <v>6836</v>
      </c>
      <c r="H307" s="701"/>
      <c r="I307" s="701">
        <v>1709</v>
      </c>
      <c r="J307" s="701">
        <v>1</v>
      </c>
      <c r="K307" s="701">
        <v>1713</v>
      </c>
      <c r="L307" s="701"/>
      <c r="M307" s="701">
        <v>1713</v>
      </c>
      <c r="N307" s="701">
        <v>2</v>
      </c>
      <c r="O307" s="701">
        <v>3514</v>
      </c>
      <c r="P307" s="726"/>
      <c r="Q307" s="702">
        <v>1757</v>
      </c>
    </row>
    <row r="308" spans="1:17" ht="14.45" customHeight="1" x14ac:dyDescent="0.2">
      <c r="A308" s="696" t="s">
        <v>4420</v>
      </c>
      <c r="B308" s="697" t="s">
        <v>4056</v>
      </c>
      <c r="C308" s="697" t="s">
        <v>2899</v>
      </c>
      <c r="D308" s="697" t="s">
        <v>4638</v>
      </c>
      <c r="E308" s="697" t="s">
        <v>4639</v>
      </c>
      <c r="F308" s="701">
        <v>77</v>
      </c>
      <c r="G308" s="701">
        <v>99869</v>
      </c>
      <c r="H308" s="701"/>
      <c r="I308" s="701">
        <v>1297</v>
      </c>
      <c r="J308" s="701">
        <v>61</v>
      </c>
      <c r="K308" s="701">
        <v>79239</v>
      </c>
      <c r="L308" s="701"/>
      <c r="M308" s="701">
        <v>1299</v>
      </c>
      <c r="N308" s="701">
        <v>85</v>
      </c>
      <c r="O308" s="701">
        <v>111690</v>
      </c>
      <c r="P308" s="726"/>
      <c r="Q308" s="702">
        <v>1314</v>
      </c>
    </row>
    <row r="309" spans="1:17" ht="14.45" customHeight="1" x14ac:dyDescent="0.2">
      <c r="A309" s="696" t="s">
        <v>4420</v>
      </c>
      <c r="B309" s="697" t="s">
        <v>4056</v>
      </c>
      <c r="C309" s="697" t="s">
        <v>2899</v>
      </c>
      <c r="D309" s="697" t="s">
        <v>4640</v>
      </c>
      <c r="E309" s="697" t="s">
        <v>4641</v>
      </c>
      <c r="F309" s="701">
        <v>66</v>
      </c>
      <c r="G309" s="701">
        <v>77880</v>
      </c>
      <c r="H309" s="701"/>
      <c r="I309" s="701">
        <v>1180</v>
      </c>
      <c r="J309" s="701">
        <v>42</v>
      </c>
      <c r="K309" s="701">
        <v>49644</v>
      </c>
      <c r="L309" s="701"/>
      <c r="M309" s="701">
        <v>1182</v>
      </c>
      <c r="N309" s="701">
        <v>67</v>
      </c>
      <c r="O309" s="701">
        <v>80065</v>
      </c>
      <c r="P309" s="726"/>
      <c r="Q309" s="702">
        <v>1195</v>
      </c>
    </row>
    <row r="310" spans="1:17" ht="14.45" customHeight="1" x14ac:dyDescent="0.2">
      <c r="A310" s="696" t="s">
        <v>4420</v>
      </c>
      <c r="B310" s="697" t="s">
        <v>4056</v>
      </c>
      <c r="C310" s="697" t="s">
        <v>2899</v>
      </c>
      <c r="D310" s="697" t="s">
        <v>4642</v>
      </c>
      <c r="E310" s="697" t="s">
        <v>4643</v>
      </c>
      <c r="F310" s="701">
        <v>14</v>
      </c>
      <c r="G310" s="701">
        <v>72268</v>
      </c>
      <c r="H310" s="701"/>
      <c r="I310" s="701">
        <v>5162</v>
      </c>
      <c r="J310" s="701">
        <v>20</v>
      </c>
      <c r="K310" s="701">
        <v>103320</v>
      </c>
      <c r="L310" s="701"/>
      <c r="M310" s="701">
        <v>5166</v>
      </c>
      <c r="N310" s="701">
        <v>22</v>
      </c>
      <c r="O310" s="701">
        <v>115720</v>
      </c>
      <c r="P310" s="726"/>
      <c r="Q310" s="702">
        <v>5260</v>
      </c>
    </row>
    <row r="311" spans="1:17" ht="14.45" customHeight="1" x14ac:dyDescent="0.2">
      <c r="A311" s="696" t="s">
        <v>4420</v>
      </c>
      <c r="B311" s="697" t="s">
        <v>4056</v>
      </c>
      <c r="C311" s="697" t="s">
        <v>2899</v>
      </c>
      <c r="D311" s="697" t="s">
        <v>4644</v>
      </c>
      <c r="E311" s="697" t="s">
        <v>4645</v>
      </c>
      <c r="F311" s="701"/>
      <c r="G311" s="701"/>
      <c r="H311" s="701"/>
      <c r="I311" s="701"/>
      <c r="J311" s="701">
        <v>2</v>
      </c>
      <c r="K311" s="701">
        <v>11260</v>
      </c>
      <c r="L311" s="701"/>
      <c r="M311" s="701">
        <v>5630</v>
      </c>
      <c r="N311" s="701"/>
      <c r="O311" s="701"/>
      <c r="P311" s="726"/>
      <c r="Q311" s="702"/>
    </row>
    <row r="312" spans="1:17" ht="14.45" customHeight="1" x14ac:dyDescent="0.2">
      <c r="A312" s="696" t="s">
        <v>4420</v>
      </c>
      <c r="B312" s="697" t="s">
        <v>4056</v>
      </c>
      <c r="C312" s="697" t="s">
        <v>2899</v>
      </c>
      <c r="D312" s="697" t="s">
        <v>4646</v>
      </c>
      <c r="E312" s="697" t="s">
        <v>4647</v>
      </c>
      <c r="F312" s="701">
        <v>11</v>
      </c>
      <c r="G312" s="701">
        <v>8888</v>
      </c>
      <c r="H312" s="701"/>
      <c r="I312" s="701">
        <v>808</v>
      </c>
      <c r="J312" s="701">
        <v>7</v>
      </c>
      <c r="K312" s="701">
        <v>5691</v>
      </c>
      <c r="L312" s="701"/>
      <c r="M312" s="701">
        <v>813</v>
      </c>
      <c r="N312" s="701">
        <v>10</v>
      </c>
      <c r="O312" s="701">
        <v>8710</v>
      </c>
      <c r="P312" s="726"/>
      <c r="Q312" s="702">
        <v>871</v>
      </c>
    </row>
    <row r="313" spans="1:17" ht="14.45" customHeight="1" x14ac:dyDescent="0.2">
      <c r="A313" s="696" t="s">
        <v>4420</v>
      </c>
      <c r="B313" s="697" t="s">
        <v>4056</v>
      </c>
      <c r="C313" s="697" t="s">
        <v>2899</v>
      </c>
      <c r="D313" s="697" t="s">
        <v>4648</v>
      </c>
      <c r="E313" s="697" t="s">
        <v>4649</v>
      </c>
      <c r="F313" s="701">
        <v>855</v>
      </c>
      <c r="G313" s="701">
        <v>153045</v>
      </c>
      <c r="H313" s="701"/>
      <c r="I313" s="701">
        <v>179</v>
      </c>
      <c r="J313" s="701">
        <v>875</v>
      </c>
      <c r="K313" s="701">
        <v>157500</v>
      </c>
      <c r="L313" s="701"/>
      <c r="M313" s="701">
        <v>180</v>
      </c>
      <c r="N313" s="701">
        <v>934</v>
      </c>
      <c r="O313" s="701">
        <v>170922</v>
      </c>
      <c r="P313" s="726"/>
      <c r="Q313" s="702">
        <v>183</v>
      </c>
    </row>
    <row r="314" spans="1:17" ht="14.45" customHeight="1" x14ac:dyDescent="0.2">
      <c r="A314" s="696" t="s">
        <v>4420</v>
      </c>
      <c r="B314" s="697" t="s">
        <v>4056</v>
      </c>
      <c r="C314" s="697" t="s">
        <v>2899</v>
      </c>
      <c r="D314" s="697" t="s">
        <v>4650</v>
      </c>
      <c r="E314" s="697" t="s">
        <v>4651</v>
      </c>
      <c r="F314" s="701">
        <v>57</v>
      </c>
      <c r="G314" s="701">
        <v>117021</v>
      </c>
      <c r="H314" s="701"/>
      <c r="I314" s="701">
        <v>2053</v>
      </c>
      <c r="J314" s="701">
        <v>82</v>
      </c>
      <c r="K314" s="701">
        <v>168592</v>
      </c>
      <c r="L314" s="701"/>
      <c r="M314" s="701">
        <v>2056</v>
      </c>
      <c r="N314" s="701">
        <v>125</v>
      </c>
      <c r="O314" s="701">
        <v>263750</v>
      </c>
      <c r="P314" s="726"/>
      <c r="Q314" s="702">
        <v>2110</v>
      </c>
    </row>
    <row r="315" spans="1:17" ht="14.45" customHeight="1" x14ac:dyDescent="0.2">
      <c r="A315" s="696" t="s">
        <v>4420</v>
      </c>
      <c r="B315" s="697" t="s">
        <v>4056</v>
      </c>
      <c r="C315" s="697" t="s">
        <v>2899</v>
      </c>
      <c r="D315" s="697" t="s">
        <v>4652</v>
      </c>
      <c r="E315" s="697" t="s">
        <v>4653</v>
      </c>
      <c r="F315" s="701">
        <v>4</v>
      </c>
      <c r="G315" s="701">
        <v>10960</v>
      </c>
      <c r="H315" s="701"/>
      <c r="I315" s="701">
        <v>2740</v>
      </c>
      <c r="J315" s="701">
        <v>3</v>
      </c>
      <c r="K315" s="701">
        <v>8226</v>
      </c>
      <c r="L315" s="701"/>
      <c r="M315" s="701">
        <v>2742</v>
      </c>
      <c r="N315" s="701">
        <v>7</v>
      </c>
      <c r="O315" s="701">
        <v>19516</v>
      </c>
      <c r="P315" s="726"/>
      <c r="Q315" s="702">
        <v>2788</v>
      </c>
    </row>
    <row r="316" spans="1:17" ht="14.45" customHeight="1" x14ac:dyDescent="0.2">
      <c r="A316" s="696" t="s">
        <v>4420</v>
      </c>
      <c r="B316" s="697" t="s">
        <v>4056</v>
      </c>
      <c r="C316" s="697" t="s">
        <v>2899</v>
      </c>
      <c r="D316" s="697" t="s">
        <v>4654</v>
      </c>
      <c r="E316" s="697" t="s">
        <v>4655</v>
      </c>
      <c r="F316" s="701"/>
      <c r="G316" s="701"/>
      <c r="H316" s="701"/>
      <c r="I316" s="701"/>
      <c r="J316" s="701">
        <v>1</v>
      </c>
      <c r="K316" s="701">
        <v>5278</v>
      </c>
      <c r="L316" s="701"/>
      <c r="M316" s="701">
        <v>5278</v>
      </c>
      <c r="N316" s="701"/>
      <c r="O316" s="701"/>
      <c r="P316" s="726"/>
      <c r="Q316" s="702"/>
    </row>
    <row r="317" spans="1:17" ht="14.45" customHeight="1" x14ac:dyDescent="0.2">
      <c r="A317" s="696" t="s">
        <v>4420</v>
      </c>
      <c r="B317" s="697" t="s">
        <v>4056</v>
      </c>
      <c r="C317" s="697" t="s">
        <v>2899</v>
      </c>
      <c r="D317" s="697" t="s">
        <v>4656</v>
      </c>
      <c r="E317" s="697" t="s">
        <v>4657</v>
      </c>
      <c r="F317" s="701">
        <v>2</v>
      </c>
      <c r="G317" s="701">
        <v>1356</v>
      </c>
      <c r="H317" s="701"/>
      <c r="I317" s="701">
        <v>678</v>
      </c>
      <c r="J317" s="701">
        <v>1</v>
      </c>
      <c r="K317" s="701">
        <v>680</v>
      </c>
      <c r="L317" s="701"/>
      <c r="M317" s="701">
        <v>680</v>
      </c>
      <c r="N317" s="701">
        <v>2</v>
      </c>
      <c r="O317" s="701">
        <v>1390</v>
      </c>
      <c r="P317" s="726"/>
      <c r="Q317" s="702">
        <v>695</v>
      </c>
    </row>
    <row r="318" spans="1:17" ht="14.45" customHeight="1" x14ac:dyDescent="0.2">
      <c r="A318" s="696" t="s">
        <v>4420</v>
      </c>
      <c r="B318" s="697" t="s">
        <v>4056</v>
      </c>
      <c r="C318" s="697" t="s">
        <v>2899</v>
      </c>
      <c r="D318" s="697" t="s">
        <v>4658</v>
      </c>
      <c r="E318" s="697" t="s">
        <v>4659</v>
      </c>
      <c r="F318" s="701">
        <v>12</v>
      </c>
      <c r="G318" s="701">
        <v>25404</v>
      </c>
      <c r="H318" s="701"/>
      <c r="I318" s="701">
        <v>2117</v>
      </c>
      <c r="J318" s="701">
        <v>13</v>
      </c>
      <c r="K318" s="701">
        <v>27560</v>
      </c>
      <c r="L318" s="701"/>
      <c r="M318" s="701">
        <v>2120</v>
      </c>
      <c r="N318" s="701">
        <v>11</v>
      </c>
      <c r="O318" s="701">
        <v>23650</v>
      </c>
      <c r="P318" s="726"/>
      <c r="Q318" s="702">
        <v>2150</v>
      </c>
    </row>
    <row r="319" spans="1:17" ht="14.45" customHeight="1" x14ac:dyDescent="0.2">
      <c r="A319" s="696" t="s">
        <v>4420</v>
      </c>
      <c r="B319" s="697" t="s">
        <v>4056</v>
      </c>
      <c r="C319" s="697" t="s">
        <v>2899</v>
      </c>
      <c r="D319" s="697" t="s">
        <v>4660</v>
      </c>
      <c r="E319" s="697" t="s">
        <v>4661</v>
      </c>
      <c r="F319" s="701">
        <v>5</v>
      </c>
      <c r="G319" s="701">
        <v>780</v>
      </c>
      <c r="H319" s="701"/>
      <c r="I319" s="701">
        <v>156</v>
      </c>
      <c r="J319" s="701">
        <v>6</v>
      </c>
      <c r="K319" s="701">
        <v>942</v>
      </c>
      <c r="L319" s="701"/>
      <c r="M319" s="701">
        <v>157</v>
      </c>
      <c r="N319" s="701">
        <v>5</v>
      </c>
      <c r="O319" s="701">
        <v>810</v>
      </c>
      <c r="P319" s="726"/>
      <c r="Q319" s="702">
        <v>162</v>
      </c>
    </row>
    <row r="320" spans="1:17" ht="14.45" customHeight="1" x14ac:dyDescent="0.2">
      <c r="A320" s="696" t="s">
        <v>4420</v>
      </c>
      <c r="B320" s="697" t="s">
        <v>4056</v>
      </c>
      <c r="C320" s="697" t="s">
        <v>2899</v>
      </c>
      <c r="D320" s="697" t="s">
        <v>4662</v>
      </c>
      <c r="E320" s="697" t="s">
        <v>4663</v>
      </c>
      <c r="F320" s="701">
        <v>6</v>
      </c>
      <c r="G320" s="701">
        <v>1206</v>
      </c>
      <c r="H320" s="701"/>
      <c r="I320" s="701">
        <v>201</v>
      </c>
      <c r="J320" s="701">
        <v>6</v>
      </c>
      <c r="K320" s="701">
        <v>1212</v>
      </c>
      <c r="L320" s="701"/>
      <c r="M320" s="701">
        <v>202</v>
      </c>
      <c r="N320" s="701">
        <v>2</v>
      </c>
      <c r="O320" s="701">
        <v>414</v>
      </c>
      <c r="P320" s="726"/>
      <c r="Q320" s="702">
        <v>207</v>
      </c>
    </row>
    <row r="321" spans="1:17" ht="14.45" customHeight="1" x14ac:dyDescent="0.2">
      <c r="A321" s="696" t="s">
        <v>4420</v>
      </c>
      <c r="B321" s="697" t="s">
        <v>4056</v>
      </c>
      <c r="C321" s="697" t="s">
        <v>2899</v>
      </c>
      <c r="D321" s="697" t="s">
        <v>4664</v>
      </c>
      <c r="E321" s="697" t="s">
        <v>4665</v>
      </c>
      <c r="F321" s="701">
        <v>408</v>
      </c>
      <c r="G321" s="701">
        <v>84456</v>
      </c>
      <c r="H321" s="701"/>
      <c r="I321" s="701">
        <v>207</v>
      </c>
      <c r="J321" s="701">
        <v>389</v>
      </c>
      <c r="K321" s="701">
        <v>80912</v>
      </c>
      <c r="L321" s="701"/>
      <c r="M321" s="701">
        <v>208</v>
      </c>
      <c r="N321" s="701">
        <v>222</v>
      </c>
      <c r="O321" s="701">
        <v>47508</v>
      </c>
      <c r="P321" s="726"/>
      <c r="Q321" s="702">
        <v>214</v>
      </c>
    </row>
    <row r="322" spans="1:17" ht="14.45" customHeight="1" x14ac:dyDescent="0.2">
      <c r="A322" s="696" t="s">
        <v>4420</v>
      </c>
      <c r="B322" s="697" t="s">
        <v>4056</v>
      </c>
      <c r="C322" s="697" t="s">
        <v>2899</v>
      </c>
      <c r="D322" s="697" t="s">
        <v>4666</v>
      </c>
      <c r="E322" s="697" t="s">
        <v>4667</v>
      </c>
      <c r="F322" s="701">
        <v>6</v>
      </c>
      <c r="G322" s="701">
        <v>2568</v>
      </c>
      <c r="H322" s="701"/>
      <c r="I322" s="701">
        <v>428</v>
      </c>
      <c r="J322" s="701">
        <v>12</v>
      </c>
      <c r="K322" s="701">
        <v>5160</v>
      </c>
      <c r="L322" s="701"/>
      <c r="M322" s="701">
        <v>430</v>
      </c>
      <c r="N322" s="701">
        <v>1</v>
      </c>
      <c r="O322" s="701">
        <v>441</v>
      </c>
      <c r="P322" s="726"/>
      <c r="Q322" s="702">
        <v>441</v>
      </c>
    </row>
    <row r="323" spans="1:17" ht="14.45" customHeight="1" x14ac:dyDescent="0.2">
      <c r="A323" s="696" t="s">
        <v>4420</v>
      </c>
      <c r="B323" s="697" t="s">
        <v>4056</v>
      </c>
      <c r="C323" s="697" t="s">
        <v>2899</v>
      </c>
      <c r="D323" s="697" t="s">
        <v>4668</v>
      </c>
      <c r="E323" s="697" t="s">
        <v>4669</v>
      </c>
      <c r="F323" s="701">
        <v>3</v>
      </c>
      <c r="G323" s="701">
        <v>1314</v>
      </c>
      <c r="H323" s="701"/>
      <c r="I323" s="701">
        <v>438</v>
      </c>
      <c r="J323" s="701">
        <v>1</v>
      </c>
      <c r="K323" s="701">
        <v>440</v>
      </c>
      <c r="L323" s="701"/>
      <c r="M323" s="701">
        <v>440</v>
      </c>
      <c r="N323" s="701">
        <v>2</v>
      </c>
      <c r="O323" s="701">
        <v>902</v>
      </c>
      <c r="P323" s="726"/>
      <c r="Q323" s="702">
        <v>451</v>
      </c>
    </row>
    <row r="324" spans="1:17" ht="14.45" customHeight="1" x14ac:dyDescent="0.2">
      <c r="A324" s="696" t="s">
        <v>4420</v>
      </c>
      <c r="B324" s="697" t="s">
        <v>4056</v>
      </c>
      <c r="C324" s="697" t="s">
        <v>2899</v>
      </c>
      <c r="D324" s="697" t="s">
        <v>4670</v>
      </c>
      <c r="E324" s="697" t="s">
        <v>4671</v>
      </c>
      <c r="F324" s="701">
        <v>112</v>
      </c>
      <c r="G324" s="701">
        <v>241808</v>
      </c>
      <c r="H324" s="701"/>
      <c r="I324" s="701">
        <v>2159</v>
      </c>
      <c r="J324" s="701">
        <v>162</v>
      </c>
      <c r="K324" s="701">
        <v>350244</v>
      </c>
      <c r="L324" s="701"/>
      <c r="M324" s="701">
        <v>2162</v>
      </c>
      <c r="N324" s="701">
        <v>215</v>
      </c>
      <c r="O324" s="701">
        <v>472785</v>
      </c>
      <c r="P324" s="726"/>
      <c r="Q324" s="702">
        <v>2199</v>
      </c>
    </row>
    <row r="325" spans="1:17" ht="14.45" customHeight="1" x14ac:dyDescent="0.2">
      <c r="A325" s="696" t="s">
        <v>4420</v>
      </c>
      <c r="B325" s="697" t="s">
        <v>4056</v>
      </c>
      <c r="C325" s="697" t="s">
        <v>2899</v>
      </c>
      <c r="D325" s="697" t="s">
        <v>4672</v>
      </c>
      <c r="E325" s="697" t="s">
        <v>4631</v>
      </c>
      <c r="F325" s="701">
        <v>89</v>
      </c>
      <c r="G325" s="701">
        <v>168388</v>
      </c>
      <c r="H325" s="701"/>
      <c r="I325" s="701">
        <v>1892</v>
      </c>
      <c r="J325" s="701">
        <v>76</v>
      </c>
      <c r="K325" s="701">
        <v>144020</v>
      </c>
      <c r="L325" s="701"/>
      <c r="M325" s="701">
        <v>1895</v>
      </c>
      <c r="N325" s="701">
        <v>105</v>
      </c>
      <c r="O325" s="701">
        <v>201495</v>
      </c>
      <c r="P325" s="726"/>
      <c r="Q325" s="702">
        <v>1919</v>
      </c>
    </row>
    <row r="326" spans="1:17" ht="14.45" customHeight="1" x14ac:dyDescent="0.2">
      <c r="A326" s="696" t="s">
        <v>4420</v>
      </c>
      <c r="B326" s="697" t="s">
        <v>4056</v>
      </c>
      <c r="C326" s="697" t="s">
        <v>2899</v>
      </c>
      <c r="D326" s="697" t="s">
        <v>4673</v>
      </c>
      <c r="E326" s="697" t="s">
        <v>4674</v>
      </c>
      <c r="F326" s="701">
        <v>2</v>
      </c>
      <c r="G326" s="701">
        <v>328</v>
      </c>
      <c r="H326" s="701"/>
      <c r="I326" s="701">
        <v>164</v>
      </c>
      <c r="J326" s="701"/>
      <c r="K326" s="701"/>
      <c r="L326" s="701"/>
      <c r="M326" s="701"/>
      <c r="N326" s="701">
        <v>1</v>
      </c>
      <c r="O326" s="701">
        <v>170</v>
      </c>
      <c r="P326" s="726"/>
      <c r="Q326" s="702">
        <v>170</v>
      </c>
    </row>
    <row r="327" spans="1:17" ht="14.45" customHeight="1" x14ac:dyDescent="0.2">
      <c r="A327" s="696" t="s">
        <v>4420</v>
      </c>
      <c r="B327" s="697" t="s">
        <v>4056</v>
      </c>
      <c r="C327" s="697" t="s">
        <v>2899</v>
      </c>
      <c r="D327" s="697" t="s">
        <v>4675</v>
      </c>
      <c r="E327" s="697" t="s">
        <v>4676</v>
      </c>
      <c r="F327" s="701">
        <v>1</v>
      </c>
      <c r="G327" s="701">
        <v>938</v>
      </c>
      <c r="H327" s="701"/>
      <c r="I327" s="701">
        <v>938</v>
      </c>
      <c r="J327" s="701">
        <v>1</v>
      </c>
      <c r="K327" s="701">
        <v>941</v>
      </c>
      <c r="L327" s="701"/>
      <c r="M327" s="701">
        <v>941</v>
      </c>
      <c r="N327" s="701">
        <v>2</v>
      </c>
      <c r="O327" s="701">
        <v>1924</v>
      </c>
      <c r="P327" s="726"/>
      <c r="Q327" s="702">
        <v>962</v>
      </c>
    </row>
    <row r="328" spans="1:17" ht="14.45" customHeight="1" x14ac:dyDescent="0.2">
      <c r="A328" s="696" t="s">
        <v>4420</v>
      </c>
      <c r="B328" s="697" t="s">
        <v>4056</v>
      </c>
      <c r="C328" s="697" t="s">
        <v>2899</v>
      </c>
      <c r="D328" s="697" t="s">
        <v>4677</v>
      </c>
      <c r="E328" s="697" t="s">
        <v>4678</v>
      </c>
      <c r="F328" s="701">
        <v>56</v>
      </c>
      <c r="G328" s="701">
        <v>474320</v>
      </c>
      <c r="H328" s="701"/>
      <c r="I328" s="701">
        <v>8470</v>
      </c>
      <c r="J328" s="701">
        <v>49</v>
      </c>
      <c r="K328" s="701">
        <v>415422</v>
      </c>
      <c r="L328" s="701"/>
      <c r="M328" s="701">
        <v>8478</v>
      </c>
      <c r="N328" s="701">
        <v>69</v>
      </c>
      <c r="O328" s="701">
        <v>590019</v>
      </c>
      <c r="P328" s="726"/>
      <c r="Q328" s="702">
        <v>8551</v>
      </c>
    </row>
    <row r="329" spans="1:17" ht="14.45" customHeight="1" x14ac:dyDescent="0.2">
      <c r="A329" s="696" t="s">
        <v>4420</v>
      </c>
      <c r="B329" s="697" t="s">
        <v>4056</v>
      </c>
      <c r="C329" s="697" t="s">
        <v>2899</v>
      </c>
      <c r="D329" s="697" t="s">
        <v>4679</v>
      </c>
      <c r="E329" s="697" t="s">
        <v>4680</v>
      </c>
      <c r="F329" s="701">
        <v>7</v>
      </c>
      <c r="G329" s="701">
        <v>14434</v>
      </c>
      <c r="H329" s="701"/>
      <c r="I329" s="701">
        <v>2062</v>
      </c>
      <c r="J329" s="701">
        <v>5</v>
      </c>
      <c r="K329" s="701">
        <v>10340</v>
      </c>
      <c r="L329" s="701"/>
      <c r="M329" s="701">
        <v>2068</v>
      </c>
      <c r="N329" s="701">
        <v>4</v>
      </c>
      <c r="O329" s="701">
        <v>8508</v>
      </c>
      <c r="P329" s="726"/>
      <c r="Q329" s="702">
        <v>2127</v>
      </c>
    </row>
    <row r="330" spans="1:17" ht="14.45" customHeight="1" x14ac:dyDescent="0.2">
      <c r="A330" s="696" t="s">
        <v>4420</v>
      </c>
      <c r="B330" s="697" t="s">
        <v>4056</v>
      </c>
      <c r="C330" s="697" t="s">
        <v>2899</v>
      </c>
      <c r="D330" s="697" t="s">
        <v>4681</v>
      </c>
      <c r="E330" s="697" t="s">
        <v>4682</v>
      </c>
      <c r="F330" s="701">
        <v>1</v>
      </c>
      <c r="G330" s="701">
        <v>2115</v>
      </c>
      <c r="H330" s="701"/>
      <c r="I330" s="701">
        <v>2115</v>
      </c>
      <c r="J330" s="701"/>
      <c r="K330" s="701"/>
      <c r="L330" s="701"/>
      <c r="M330" s="701"/>
      <c r="N330" s="701"/>
      <c r="O330" s="701"/>
      <c r="P330" s="726"/>
      <c r="Q330" s="702"/>
    </row>
    <row r="331" spans="1:17" ht="14.45" customHeight="1" x14ac:dyDescent="0.2">
      <c r="A331" s="696" t="s">
        <v>4420</v>
      </c>
      <c r="B331" s="697" t="s">
        <v>4056</v>
      </c>
      <c r="C331" s="697" t="s">
        <v>2899</v>
      </c>
      <c r="D331" s="697" t="s">
        <v>4683</v>
      </c>
      <c r="E331" s="697" t="s">
        <v>4684</v>
      </c>
      <c r="F331" s="701"/>
      <c r="G331" s="701"/>
      <c r="H331" s="701"/>
      <c r="I331" s="701"/>
      <c r="J331" s="701"/>
      <c r="K331" s="701"/>
      <c r="L331" s="701"/>
      <c r="M331" s="701"/>
      <c r="N331" s="701">
        <v>1</v>
      </c>
      <c r="O331" s="701">
        <v>0</v>
      </c>
      <c r="P331" s="726"/>
      <c r="Q331" s="702">
        <v>0</v>
      </c>
    </row>
    <row r="332" spans="1:17" ht="14.45" customHeight="1" x14ac:dyDescent="0.2">
      <c r="A332" s="696" t="s">
        <v>4420</v>
      </c>
      <c r="B332" s="697" t="s">
        <v>4056</v>
      </c>
      <c r="C332" s="697" t="s">
        <v>2899</v>
      </c>
      <c r="D332" s="697" t="s">
        <v>4685</v>
      </c>
      <c r="E332" s="697" t="s">
        <v>4686</v>
      </c>
      <c r="F332" s="701"/>
      <c r="G332" s="701"/>
      <c r="H332" s="701"/>
      <c r="I332" s="701"/>
      <c r="J332" s="701"/>
      <c r="K332" s="701"/>
      <c r="L332" s="701"/>
      <c r="M332" s="701"/>
      <c r="N332" s="701">
        <v>2</v>
      </c>
      <c r="O332" s="701">
        <v>0</v>
      </c>
      <c r="P332" s="726"/>
      <c r="Q332" s="702">
        <v>0</v>
      </c>
    </row>
    <row r="333" spans="1:17" ht="14.45" customHeight="1" x14ac:dyDescent="0.2">
      <c r="A333" s="696" t="s">
        <v>4420</v>
      </c>
      <c r="B333" s="697" t="s">
        <v>4056</v>
      </c>
      <c r="C333" s="697" t="s">
        <v>2899</v>
      </c>
      <c r="D333" s="697" t="s">
        <v>4687</v>
      </c>
      <c r="E333" s="697" t="s">
        <v>4688</v>
      </c>
      <c r="F333" s="701"/>
      <c r="G333" s="701"/>
      <c r="H333" s="701"/>
      <c r="I333" s="701"/>
      <c r="J333" s="701"/>
      <c r="K333" s="701"/>
      <c r="L333" s="701"/>
      <c r="M333" s="701"/>
      <c r="N333" s="701">
        <v>1</v>
      </c>
      <c r="O333" s="701">
        <v>12627</v>
      </c>
      <c r="P333" s="726"/>
      <c r="Q333" s="702">
        <v>12627</v>
      </c>
    </row>
    <row r="334" spans="1:17" ht="14.45" customHeight="1" x14ac:dyDescent="0.2">
      <c r="A334" s="696" t="s">
        <v>4420</v>
      </c>
      <c r="B334" s="697" t="s">
        <v>4056</v>
      </c>
      <c r="C334" s="697" t="s">
        <v>2899</v>
      </c>
      <c r="D334" s="697" t="s">
        <v>4689</v>
      </c>
      <c r="E334" s="697" t="s">
        <v>4690</v>
      </c>
      <c r="F334" s="701"/>
      <c r="G334" s="701"/>
      <c r="H334" s="701"/>
      <c r="I334" s="701"/>
      <c r="J334" s="701"/>
      <c r="K334" s="701"/>
      <c r="L334" s="701"/>
      <c r="M334" s="701"/>
      <c r="N334" s="701">
        <v>2</v>
      </c>
      <c r="O334" s="701">
        <v>0</v>
      </c>
      <c r="P334" s="726"/>
      <c r="Q334" s="702">
        <v>0</v>
      </c>
    </row>
    <row r="335" spans="1:17" ht="14.45" customHeight="1" x14ac:dyDescent="0.2">
      <c r="A335" s="696" t="s">
        <v>4420</v>
      </c>
      <c r="B335" s="697" t="s">
        <v>4056</v>
      </c>
      <c r="C335" s="697" t="s">
        <v>2899</v>
      </c>
      <c r="D335" s="697" t="s">
        <v>4691</v>
      </c>
      <c r="E335" s="697" t="s">
        <v>4692</v>
      </c>
      <c r="F335" s="701"/>
      <c r="G335" s="701"/>
      <c r="H335" s="701"/>
      <c r="I335" s="701"/>
      <c r="J335" s="701"/>
      <c r="K335" s="701"/>
      <c r="L335" s="701"/>
      <c r="M335" s="701"/>
      <c r="N335" s="701">
        <v>3</v>
      </c>
      <c r="O335" s="701">
        <v>0</v>
      </c>
      <c r="P335" s="726"/>
      <c r="Q335" s="702">
        <v>0</v>
      </c>
    </row>
    <row r="336" spans="1:17" ht="14.45" customHeight="1" x14ac:dyDescent="0.2">
      <c r="A336" s="696" t="s">
        <v>4420</v>
      </c>
      <c r="B336" s="697" t="s">
        <v>4056</v>
      </c>
      <c r="C336" s="697" t="s">
        <v>2899</v>
      </c>
      <c r="D336" s="697" t="s">
        <v>4693</v>
      </c>
      <c r="E336" s="697" t="s">
        <v>4694</v>
      </c>
      <c r="F336" s="701"/>
      <c r="G336" s="701"/>
      <c r="H336" s="701"/>
      <c r="I336" s="701"/>
      <c r="J336" s="701"/>
      <c r="K336" s="701"/>
      <c r="L336" s="701"/>
      <c r="M336" s="701"/>
      <c r="N336" s="701">
        <v>1</v>
      </c>
      <c r="O336" s="701">
        <v>0</v>
      </c>
      <c r="P336" s="726"/>
      <c r="Q336" s="702">
        <v>0</v>
      </c>
    </row>
    <row r="337" spans="1:17" ht="14.45" customHeight="1" x14ac:dyDescent="0.2">
      <c r="A337" s="696" t="s">
        <v>4695</v>
      </c>
      <c r="B337" s="697" t="s">
        <v>4696</v>
      </c>
      <c r="C337" s="697" t="s">
        <v>2899</v>
      </c>
      <c r="D337" s="697" t="s">
        <v>4697</v>
      </c>
      <c r="E337" s="697" t="s">
        <v>4698</v>
      </c>
      <c r="F337" s="701">
        <v>1319</v>
      </c>
      <c r="G337" s="701">
        <v>280947</v>
      </c>
      <c r="H337" s="701"/>
      <c r="I337" s="701">
        <v>213</v>
      </c>
      <c r="J337" s="701">
        <v>1314</v>
      </c>
      <c r="K337" s="701">
        <v>282510</v>
      </c>
      <c r="L337" s="701"/>
      <c r="M337" s="701">
        <v>215</v>
      </c>
      <c r="N337" s="701">
        <v>1436</v>
      </c>
      <c r="O337" s="701">
        <v>318792</v>
      </c>
      <c r="P337" s="726"/>
      <c r="Q337" s="702">
        <v>222</v>
      </c>
    </row>
    <row r="338" spans="1:17" ht="14.45" customHeight="1" x14ac:dyDescent="0.2">
      <c r="A338" s="696" t="s">
        <v>4695</v>
      </c>
      <c r="B338" s="697" t="s">
        <v>4696</v>
      </c>
      <c r="C338" s="697" t="s">
        <v>2899</v>
      </c>
      <c r="D338" s="697" t="s">
        <v>4699</v>
      </c>
      <c r="E338" s="697" t="s">
        <v>4698</v>
      </c>
      <c r="F338" s="701">
        <v>5</v>
      </c>
      <c r="G338" s="701">
        <v>440</v>
      </c>
      <c r="H338" s="701"/>
      <c r="I338" s="701">
        <v>88</v>
      </c>
      <c r="J338" s="701"/>
      <c r="K338" s="701"/>
      <c r="L338" s="701"/>
      <c r="M338" s="701"/>
      <c r="N338" s="701">
        <v>2</v>
      </c>
      <c r="O338" s="701">
        <v>184</v>
      </c>
      <c r="P338" s="726"/>
      <c r="Q338" s="702">
        <v>92</v>
      </c>
    </row>
    <row r="339" spans="1:17" ht="14.45" customHeight="1" x14ac:dyDescent="0.2">
      <c r="A339" s="696" t="s">
        <v>4695</v>
      </c>
      <c r="B339" s="697" t="s">
        <v>4696</v>
      </c>
      <c r="C339" s="697" t="s">
        <v>2899</v>
      </c>
      <c r="D339" s="697" t="s">
        <v>4700</v>
      </c>
      <c r="E339" s="697" t="s">
        <v>4701</v>
      </c>
      <c r="F339" s="701">
        <v>770</v>
      </c>
      <c r="G339" s="701">
        <v>233310</v>
      </c>
      <c r="H339" s="701"/>
      <c r="I339" s="701">
        <v>303</v>
      </c>
      <c r="J339" s="701">
        <v>954</v>
      </c>
      <c r="K339" s="701">
        <v>290970</v>
      </c>
      <c r="L339" s="701"/>
      <c r="M339" s="701">
        <v>305</v>
      </c>
      <c r="N339" s="701">
        <v>1601</v>
      </c>
      <c r="O339" s="701">
        <v>502714</v>
      </c>
      <c r="P339" s="726"/>
      <c r="Q339" s="702">
        <v>314</v>
      </c>
    </row>
    <row r="340" spans="1:17" ht="14.45" customHeight="1" x14ac:dyDescent="0.2">
      <c r="A340" s="696" t="s">
        <v>4695</v>
      </c>
      <c r="B340" s="697" t="s">
        <v>4696</v>
      </c>
      <c r="C340" s="697" t="s">
        <v>2899</v>
      </c>
      <c r="D340" s="697" t="s">
        <v>4702</v>
      </c>
      <c r="E340" s="697" t="s">
        <v>4703</v>
      </c>
      <c r="F340" s="701">
        <v>9</v>
      </c>
      <c r="G340" s="701">
        <v>900</v>
      </c>
      <c r="H340" s="701"/>
      <c r="I340" s="701">
        <v>100</v>
      </c>
      <c r="J340" s="701">
        <v>12</v>
      </c>
      <c r="K340" s="701">
        <v>1212</v>
      </c>
      <c r="L340" s="701"/>
      <c r="M340" s="701">
        <v>101</v>
      </c>
      <c r="N340" s="701">
        <v>18</v>
      </c>
      <c r="O340" s="701">
        <v>1908</v>
      </c>
      <c r="P340" s="726"/>
      <c r="Q340" s="702">
        <v>106</v>
      </c>
    </row>
    <row r="341" spans="1:17" ht="14.45" customHeight="1" x14ac:dyDescent="0.2">
      <c r="A341" s="696" t="s">
        <v>4695</v>
      </c>
      <c r="B341" s="697" t="s">
        <v>4696</v>
      </c>
      <c r="C341" s="697" t="s">
        <v>2899</v>
      </c>
      <c r="D341" s="697" t="s">
        <v>4704</v>
      </c>
      <c r="E341" s="697" t="s">
        <v>4705</v>
      </c>
      <c r="F341" s="701">
        <v>158</v>
      </c>
      <c r="G341" s="701">
        <v>21804</v>
      </c>
      <c r="H341" s="701"/>
      <c r="I341" s="701">
        <v>138</v>
      </c>
      <c r="J341" s="701">
        <v>201</v>
      </c>
      <c r="K341" s="701">
        <v>27939</v>
      </c>
      <c r="L341" s="701"/>
      <c r="M341" s="701">
        <v>139</v>
      </c>
      <c r="N341" s="701">
        <v>162</v>
      </c>
      <c r="O341" s="701">
        <v>23004</v>
      </c>
      <c r="P341" s="726"/>
      <c r="Q341" s="702">
        <v>142</v>
      </c>
    </row>
    <row r="342" spans="1:17" ht="14.45" customHeight="1" x14ac:dyDescent="0.2">
      <c r="A342" s="696" t="s">
        <v>4695</v>
      </c>
      <c r="B342" s="697" t="s">
        <v>4696</v>
      </c>
      <c r="C342" s="697" t="s">
        <v>2899</v>
      </c>
      <c r="D342" s="697" t="s">
        <v>4706</v>
      </c>
      <c r="E342" s="697" t="s">
        <v>4705</v>
      </c>
      <c r="F342" s="701">
        <v>4</v>
      </c>
      <c r="G342" s="701">
        <v>740</v>
      </c>
      <c r="H342" s="701"/>
      <c r="I342" s="701">
        <v>185</v>
      </c>
      <c r="J342" s="701"/>
      <c r="K342" s="701"/>
      <c r="L342" s="701"/>
      <c r="M342" s="701"/>
      <c r="N342" s="701">
        <v>1</v>
      </c>
      <c r="O342" s="701">
        <v>194</v>
      </c>
      <c r="P342" s="726"/>
      <c r="Q342" s="702">
        <v>194</v>
      </c>
    </row>
    <row r="343" spans="1:17" ht="14.45" customHeight="1" x14ac:dyDescent="0.2">
      <c r="A343" s="696" t="s">
        <v>4695</v>
      </c>
      <c r="B343" s="697" t="s">
        <v>4696</v>
      </c>
      <c r="C343" s="697" t="s">
        <v>2899</v>
      </c>
      <c r="D343" s="697" t="s">
        <v>4707</v>
      </c>
      <c r="E343" s="697" t="s">
        <v>4708</v>
      </c>
      <c r="F343" s="701"/>
      <c r="G343" s="701"/>
      <c r="H343" s="701"/>
      <c r="I343" s="701"/>
      <c r="J343" s="701">
        <v>1</v>
      </c>
      <c r="K343" s="701">
        <v>649</v>
      </c>
      <c r="L343" s="701"/>
      <c r="M343" s="701">
        <v>649</v>
      </c>
      <c r="N343" s="701">
        <v>1</v>
      </c>
      <c r="O343" s="701">
        <v>675</v>
      </c>
      <c r="P343" s="726"/>
      <c r="Q343" s="702">
        <v>675</v>
      </c>
    </row>
    <row r="344" spans="1:17" ht="14.45" customHeight="1" x14ac:dyDescent="0.2">
      <c r="A344" s="696" t="s">
        <v>4695</v>
      </c>
      <c r="B344" s="697" t="s">
        <v>4696</v>
      </c>
      <c r="C344" s="697" t="s">
        <v>2899</v>
      </c>
      <c r="D344" s="697" t="s">
        <v>4709</v>
      </c>
      <c r="E344" s="697" t="s">
        <v>4710</v>
      </c>
      <c r="F344" s="701">
        <v>28</v>
      </c>
      <c r="G344" s="701">
        <v>4900</v>
      </c>
      <c r="H344" s="701"/>
      <c r="I344" s="701">
        <v>175</v>
      </c>
      <c r="J344" s="701">
        <v>38</v>
      </c>
      <c r="K344" s="701">
        <v>6688</v>
      </c>
      <c r="L344" s="701"/>
      <c r="M344" s="701">
        <v>176</v>
      </c>
      <c r="N344" s="701">
        <v>45</v>
      </c>
      <c r="O344" s="701">
        <v>8550</v>
      </c>
      <c r="P344" s="726"/>
      <c r="Q344" s="702">
        <v>190</v>
      </c>
    </row>
    <row r="345" spans="1:17" ht="14.45" customHeight="1" x14ac:dyDescent="0.2">
      <c r="A345" s="696" t="s">
        <v>4695</v>
      </c>
      <c r="B345" s="697" t="s">
        <v>4696</v>
      </c>
      <c r="C345" s="697" t="s">
        <v>2899</v>
      </c>
      <c r="D345" s="697" t="s">
        <v>4711</v>
      </c>
      <c r="E345" s="697" t="s">
        <v>4712</v>
      </c>
      <c r="F345" s="701">
        <v>5</v>
      </c>
      <c r="G345" s="701">
        <v>1740</v>
      </c>
      <c r="H345" s="701"/>
      <c r="I345" s="701">
        <v>348</v>
      </c>
      <c r="J345" s="701">
        <v>1</v>
      </c>
      <c r="K345" s="701">
        <v>348</v>
      </c>
      <c r="L345" s="701"/>
      <c r="M345" s="701">
        <v>348</v>
      </c>
      <c r="N345" s="701"/>
      <c r="O345" s="701"/>
      <c r="P345" s="726"/>
      <c r="Q345" s="702"/>
    </row>
    <row r="346" spans="1:17" ht="14.45" customHeight="1" x14ac:dyDescent="0.2">
      <c r="A346" s="696" t="s">
        <v>4695</v>
      </c>
      <c r="B346" s="697" t="s">
        <v>4696</v>
      </c>
      <c r="C346" s="697" t="s">
        <v>2899</v>
      </c>
      <c r="D346" s="697" t="s">
        <v>4713</v>
      </c>
      <c r="E346" s="697" t="s">
        <v>4714</v>
      </c>
      <c r="F346" s="701">
        <v>255</v>
      </c>
      <c r="G346" s="701">
        <v>70635</v>
      </c>
      <c r="H346" s="701"/>
      <c r="I346" s="701">
        <v>277</v>
      </c>
      <c r="J346" s="701">
        <v>226</v>
      </c>
      <c r="K346" s="701">
        <v>63054</v>
      </c>
      <c r="L346" s="701"/>
      <c r="M346" s="701">
        <v>279</v>
      </c>
      <c r="N346" s="701">
        <v>252</v>
      </c>
      <c r="O346" s="701">
        <v>72828</v>
      </c>
      <c r="P346" s="726"/>
      <c r="Q346" s="702">
        <v>289</v>
      </c>
    </row>
    <row r="347" spans="1:17" ht="14.45" customHeight="1" x14ac:dyDescent="0.2">
      <c r="A347" s="696" t="s">
        <v>4695</v>
      </c>
      <c r="B347" s="697" t="s">
        <v>4696</v>
      </c>
      <c r="C347" s="697" t="s">
        <v>2899</v>
      </c>
      <c r="D347" s="697" t="s">
        <v>4715</v>
      </c>
      <c r="E347" s="697" t="s">
        <v>4716</v>
      </c>
      <c r="F347" s="701">
        <v>381</v>
      </c>
      <c r="G347" s="701">
        <v>53721</v>
      </c>
      <c r="H347" s="701"/>
      <c r="I347" s="701">
        <v>141</v>
      </c>
      <c r="J347" s="701">
        <v>401</v>
      </c>
      <c r="K347" s="701">
        <v>56942</v>
      </c>
      <c r="L347" s="701"/>
      <c r="M347" s="701">
        <v>142</v>
      </c>
      <c r="N347" s="701">
        <v>467</v>
      </c>
      <c r="O347" s="701">
        <v>66781</v>
      </c>
      <c r="P347" s="726"/>
      <c r="Q347" s="702">
        <v>143</v>
      </c>
    </row>
    <row r="348" spans="1:17" ht="14.45" customHeight="1" x14ac:dyDescent="0.2">
      <c r="A348" s="696" t="s">
        <v>4695</v>
      </c>
      <c r="B348" s="697" t="s">
        <v>4696</v>
      </c>
      <c r="C348" s="697" t="s">
        <v>2899</v>
      </c>
      <c r="D348" s="697" t="s">
        <v>4717</v>
      </c>
      <c r="E348" s="697" t="s">
        <v>4716</v>
      </c>
      <c r="F348" s="701">
        <v>158</v>
      </c>
      <c r="G348" s="701">
        <v>12482</v>
      </c>
      <c r="H348" s="701"/>
      <c r="I348" s="701">
        <v>79</v>
      </c>
      <c r="J348" s="701">
        <v>201</v>
      </c>
      <c r="K348" s="701">
        <v>15879</v>
      </c>
      <c r="L348" s="701"/>
      <c r="M348" s="701">
        <v>79</v>
      </c>
      <c r="N348" s="701">
        <v>162</v>
      </c>
      <c r="O348" s="701">
        <v>13122</v>
      </c>
      <c r="P348" s="726"/>
      <c r="Q348" s="702">
        <v>81</v>
      </c>
    </row>
    <row r="349" spans="1:17" ht="14.45" customHeight="1" x14ac:dyDescent="0.2">
      <c r="A349" s="696" t="s">
        <v>4695</v>
      </c>
      <c r="B349" s="697" t="s">
        <v>4696</v>
      </c>
      <c r="C349" s="697" t="s">
        <v>2899</v>
      </c>
      <c r="D349" s="697" t="s">
        <v>4718</v>
      </c>
      <c r="E349" s="697" t="s">
        <v>4719</v>
      </c>
      <c r="F349" s="701">
        <v>381</v>
      </c>
      <c r="G349" s="701">
        <v>120396</v>
      </c>
      <c r="H349" s="701"/>
      <c r="I349" s="701">
        <v>316</v>
      </c>
      <c r="J349" s="701">
        <v>401</v>
      </c>
      <c r="K349" s="701">
        <v>127518</v>
      </c>
      <c r="L349" s="701"/>
      <c r="M349" s="701">
        <v>318</v>
      </c>
      <c r="N349" s="701">
        <v>467</v>
      </c>
      <c r="O349" s="701">
        <v>153176</v>
      </c>
      <c r="P349" s="726"/>
      <c r="Q349" s="702">
        <v>328</v>
      </c>
    </row>
    <row r="350" spans="1:17" ht="14.45" customHeight="1" x14ac:dyDescent="0.2">
      <c r="A350" s="696" t="s">
        <v>4695</v>
      </c>
      <c r="B350" s="697" t="s">
        <v>4696</v>
      </c>
      <c r="C350" s="697" t="s">
        <v>2899</v>
      </c>
      <c r="D350" s="697" t="s">
        <v>4720</v>
      </c>
      <c r="E350" s="697" t="s">
        <v>4721</v>
      </c>
      <c r="F350" s="701">
        <v>4</v>
      </c>
      <c r="G350" s="701">
        <v>1316</v>
      </c>
      <c r="H350" s="701"/>
      <c r="I350" s="701">
        <v>329</v>
      </c>
      <c r="J350" s="701"/>
      <c r="K350" s="701"/>
      <c r="L350" s="701"/>
      <c r="M350" s="701"/>
      <c r="N350" s="701"/>
      <c r="O350" s="701"/>
      <c r="P350" s="726"/>
      <c r="Q350" s="702"/>
    </row>
    <row r="351" spans="1:17" ht="14.45" customHeight="1" x14ac:dyDescent="0.2">
      <c r="A351" s="696" t="s">
        <v>4695</v>
      </c>
      <c r="B351" s="697" t="s">
        <v>4696</v>
      </c>
      <c r="C351" s="697" t="s">
        <v>2899</v>
      </c>
      <c r="D351" s="697" t="s">
        <v>4722</v>
      </c>
      <c r="E351" s="697" t="s">
        <v>4723</v>
      </c>
      <c r="F351" s="701">
        <v>59</v>
      </c>
      <c r="G351" s="701">
        <v>9735</v>
      </c>
      <c r="H351" s="701"/>
      <c r="I351" s="701">
        <v>165</v>
      </c>
      <c r="J351" s="701">
        <v>87</v>
      </c>
      <c r="K351" s="701">
        <v>14442</v>
      </c>
      <c r="L351" s="701"/>
      <c r="M351" s="701">
        <v>166</v>
      </c>
      <c r="N351" s="701">
        <v>83</v>
      </c>
      <c r="O351" s="701">
        <v>14110</v>
      </c>
      <c r="P351" s="726"/>
      <c r="Q351" s="702">
        <v>170</v>
      </c>
    </row>
    <row r="352" spans="1:17" ht="14.45" customHeight="1" x14ac:dyDescent="0.2">
      <c r="A352" s="696" t="s">
        <v>4695</v>
      </c>
      <c r="B352" s="697" t="s">
        <v>4696</v>
      </c>
      <c r="C352" s="697" t="s">
        <v>2899</v>
      </c>
      <c r="D352" s="697" t="s">
        <v>4724</v>
      </c>
      <c r="E352" s="697" t="s">
        <v>4698</v>
      </c>
      <c r="F352" s="701">
        <v>577</v>
      </c>
      <c r="G352" s="701">
        <v>42698</v>
      </c>
      <c r="H352" s="701"/>
      <c r="I352" s="701">
        <v>74</v>
      </c>
      <c r="J352" s="701">
        <v>794</v>
      </c>
      <c r="K352" s="701">
        <v>58756</v>
      </c>
      <c r="L352" s="701"/>
      <c r="M352" s="701">
        <v>74</v>
      </c>
      <c r="N352" s="701">
        <v>751</v>
      </c>
      <c r="O352" s="701">
        <v>56325</v>
      </c>
      <c r="P352" s="726"/>
      <c r="Q352" s="702">
        <v>75</v>
      </c>
    </row>
    <row r="353" spans="1:17" ht="14.45" customHeight="1" x14ac:dyDescent="0.2">
      <c r="A353" s="696" t="s">
        <v>4695</v>
      </c>
      <c r="B353" s="697" t="s">
        <v>4696</v>
      </c>
      <c r="C353" s="697" t="s">
        <v>2899</v>
      </c>
      <c r="D353" s="697" t="s">
        <v>4725</v>
      </c>
      <c r="E353" s="697" t="s">
        <v>4726</v>
      </c>
      <c r="F353" s="701">
        <v>2</v>
      </c>
      <c r="G353" s="701">
        <v>466</v>
      </c>
      <c r="H353" s="701"/>
      <c r="I353" s="701">
        <v>233</v>
      </c>
      <c r="J353" s="701"/>
      <c r="K353" s="701"/>
      <c r="L353" s="701"/>
      <c r="M353" s="701"/>
      <c r="N353" s="701"/>
      <c r="O353" s="701"/>
      <c r="P353" s="726"/>
      <c r="Q353" s="702"/>
    </row>
    <row r="354" spans="1:17" ht="14.45" customHeight="1" x14ac:dyDescent="0.2">
      <c r="A354" s="696" t="s">
        <v>4695</v>
      </c>
      <c r="B354" s="697" t="s">
        <v>4696</v>
      </c>
      <c r="C354" s="697" t="s">
        <v>2899</v>
      </c>
      <c r="D354" s="697" t="s">
        <v>4727</v>
      </c>
      <c r="E354" s="697" t="s">
        <v>4728</v>
      </c>
      <c r="F354" s="701">
        <v>27</v>
      </c>
      <c r="G354" s="701">
        <v>32832</v>
      </c>
      <c r="H354" s="701"/>
      <c r="I354" s="701">
        <v>1216</v>
      </c>
      <c r="J354" s="701">
        <v>47</v>
      </c>
      <c r="K354" s="701">
        <v>57340</v>
      </c>
      <c r="L354" s="701"/>
      <c r="M354" s="701">
        <v>1220</v>
      </c>
      <c r="N354" s="701">
        <v>62</v>
      </c>
      <c r="O354" s="701">
        <v>76880</v>
      </c>
      <c r="P354" s="726"/>
      <c r="Q354" s="702">
        <v>1240</v>
      </c>
    </row>
    <row r="355" spans="1:17" ht="14.45" customHeight="1" x14ac:dyDescent="0.2">
      <c r="A355" s="696" t="s">
        <v>4695</v>
      </c>
      <c r="B355" s="697" t="s">
        <v>4696</v>
      </c>
      <c r="C355" s="697" t="s">
        <v>2899</v>
      </c>
      <c r="D355" s="697" t="s">
        <v>4729</v>
      </c>
      <c r="E355" s="697" t="s">
        <v>4730</v>
      </c>
      <c r="F355" s="701">
        <v>20</v>
      </c>
      <c r="G355" s="701">
        <v>2320</v>
      </c>
      <c r="H355" s="701"/>
      <c r="I355" s="701">
        <v>116</v>
      </c>
      <c r="J355" s="701">
        <v>24</v>
      </c>
      <c r="K355" s="701">
        <v>2808</v>
      </c>
      <c r="L355" s="701"/>
      <c r="M355" s="701">
        <v>117</v>
      </c>
      <c r="N355" s="701">
        <v>33</v>
      </c>
      <c r="O355" s="701">
        <v>4026</v>
      </c>
      <c r="P355" s="726"/>
      <c r="Q355" s="702">
        <v>122</v>
      </c>
    </row>
    <row r="356" spans="1:17" ht="14.45" customHeight="1" x14ac:dyDescent="0.2">
      <c r="A356" s="696" t="s">
        <v>4695</v>
      </c>
      <c r="B356" s="697" t="s">
        <v>4696</v>
      </c>
      <c r="C356" s="697" t="s">
        <v>2899</v>
      </c>
      <c r="D356" s="697" t="s">
        <v>4731</v>
      </c>
      <c r="E356" s="697" t="s">
        <v>4732</v>
      </c>
      <c r="F356" s="701">
        <v>7</v>
      </c>
      <c r="G356" s="701">
        <v>2450</v>
      </c>
      <c r="H356" s="701"/>
      <c r="I356" s="701">
        <v>350</v>
      </c>
      <c r="J356" s="701"/>
      <c r="K356" s="701"/>
      <c r="L356" s="701"/>
      <c r="M356" s="701"/>
      <c r="N356" s="701">
        <v>1</v>
      </c>
      <c r="O356" s="701">
        <v>380</v>
      </c>
      <c r="P356" s="726"/>
      <c r="Q356" s="702">
        <v>380</v>
      </c>
    </row>
    <row r="357" spans="1:17" ht="14.45" customHeight="1" x14ac:dyDescent="0.2">
      <c r="A357" s="696" t="s">
        <v>4695</v>
      </c>
      <c r="B357" s="697" t="s">
        <v>4696</v>
      </c>
      <c r="C357" s="697" t="s">
        <v>2899</v>
      </c>
      <c r="D357" s="697" t="s">
        <v>4733</v>
      </c>
      <c r="E357" s="697" t="s">
        <v>4734</v>
      </c>
      <c r="F357" s="701">
        <v>1</v>
      </c>
      <c r="G357" s="701">
        <v>1075</v>
      </c>
      <c r="H357" s="701"/>
      <c r="I357" s="701">
        <v>1075</v>
      </c>
      <c r="J357" s="701"/>
      <c r="K357" s="701"/>
      <c r="L357" s="701"/>
      <c r="M357" s="701"/>
      <c r="N357" s="701"/>
      <c r="O357" s="701"/>
      <c r="P357" s="726"/>
      <c r="Q357" s="702"/>
    </row>
    <row r="358" spans="1:17" ht="14.45" customHeight="1" x14ac:dyDescent="0.2">
      <c r="A358" s="696" t="s">
        <v>4695</v>
      </c>
      <c r="B358" s="697" t="s">
        <v>4696</v>
      </c>
      <c r="C358" s="697" t="s">
        <v>2899</v>
      </c>
      <c r="D358" s="697" t="s">
        <v>4735</v>
      </c>
      <c r="E358" s="697" t="s">
        <v>4736</v>
      </c>
      <c r="F358" s="701">
        <v>1</v>
      </c>
      <c r="G358" s="701">
        <v>304</v>
      </c>
      <c r="H358" s="701"/>
      <c r="I358" s="701">
        <v>304</v>
      </c>
      <c r="J358" s="701"/>
      <c r="K358" s="701"/>
      <c r="L358" s="701"/>
      <c r="M358" s="701"/>
      <c r="N358" s="701"/>
      <c r="O358" s="701"/>
      <c r="P358" s="726"/>
      <c r="Q358" s="702"/>
    </row>
    <row r="359" spans="1:17" ht="14.45" customHeight="1" x14ac:dyDescent="0.2">
      <c r="A359" s="696" t="s">
        <v>4737</v>
      </c>
      <c r="B359" s="697" t="s">
        <v>4738</v>
      </c>
      <c r="C359" s="697" t="s">
        <v>2899</v>
      </c>
      <c r="D359" s="697" t="s">
        <v>4739</v>
      </c>
      <c r="E359" s="697" t="s">
        <v>4740</v>
      </c>
      <c r="F359" s="701">
        <v>125</v>
      </c>
      <c r="G359" s="701">
        <v>7375</v>
      </c>
      <c r="H359" s="701"/>
      <c r="I359" s="701">
        <v>59</v>
      </c>
      <c r="J359" s="701">
        <v>120</v>
      </c>
      <c r="K359" s="701">
        <v>7080</v>
      </c>
      <c r="L359" s="701"/>
      <c r="M359" s="701">
        <v>59</v>
      </c>
      <c r="N359" s="701">
        <v>152</v>
      </c>
      <c r="O359" s="701">
        <v>9576</v>
      </c>
      <c r="P359" s="726"/>
      <c r="Q359" s="702">
        <v>63</v>
      </c>
    </row>
    <row r="360" spans="1:17" ht="14.45" customHeight="1" x14ac:dyDescent="0.2">
      <c r="A360" s="696" t="s">
        <v>4737</v>
      </c>
      <c r="B360" s="697" t="s">
        <v>4738</v>
      </c>
      <c r="C360" s="697" t="s">
        <v>2899</v>
      </c>
      <c r="D360" s="697" t="s">
        <v>4741</v>
      </c>
      <c r="E360" s="697" t="s">
        <v>4742</v>
      </c>
      <c r="F360" s="701">
        <v>112</v>
      </c>
      <c r="G360" s="701">
        <v>14784</v>
      </c>
      <c r="H360" s="701"/>
      <c r="I360" s="701">
        <v>132</v>
      </c>
      <c r="J360" s="701">
        <v>145</v>
      </c>
      <c r="K360" s="701">
        <v>19285</v>
      </c>
      <c r="L360" s="701"/>
      <c r="M360" s="701">
        <v>133</v>
      </c>
      <c r="N360" s="701">
        <v>185</v>
      </c>
      <c r="O360" s="701">
        <v>26455</v>
      </c>
      <c r="P360" s="726"/>
      <c r="Q360" s="702">
        <v>143</v>
      </c>
    </row>
    <row r="361" spans="1:17" ht="14.45" customHeight="1" x14ac:dyDescent="0.2">
      <c r="A361" s="696" t="s">
        <v>4737</v>
      </c>
      <c r="B361" s="697" t="s">
        <v>4738</v>
      </c>
      <c r="C361" s="697" t="s">
        <v>2899</v>
      </c>
      <c r="D361" s="697" t="s">
        <v>4743</v>
      </c>
      <c r="E361" s="697" t="s">
        <v>4744</v>
      </c>
      <c r="F361" s="701">
        <v>19</v>
      </c>
      <c r="G361" s="701">
        <v>3610</v>
      </c>
      <c r="H361" s="701"/>
      <c r="I361" s="701">
        <v>190</v>
      </c>
      <c r="J361" s="701">
        <v>23</v>
      </c>
      <c r="K361" s="701">
        <v>4416</v>
      </c>
      <c r="L361" s="701"/>
      <c r="M361" s="701">
        <v>192</v>
      </c>
      <c r="N361" s="701">
        <v>31</v>
      </c>
      <c r="O361" s="701">
        <v>6417</v>
      </c>
      <c r="P361" s="726"/>
      <c r="Q361" s="702">
        <v>207</v>
      </c>
    </row>
    <row r="362" spans="1:17" ht="14.45" customHeight="1" x14ac:dyDescent="0.2">
      <c r="A362" s="696" t="s">
        <v>4737</v>
      </c>
      <c r="B362" s="697" t="s">
        <v>4738</v>
      </c>
      <c r="C362" s="697" t="s">
        <v>2899</v>
      </c>
      <c r="D362" s="697" t="s">
        <v>4745</v>
      </c>
      <c r="E362" s="697" t="s">
        <v>4746</v>
      </c>
      <c r="F362" s="701">
        <v>55</v>
      </c>
      <c r="G362" s="701">
        <v>22605</v>
      </c>
      <c r="H362" s="701"/>
      <c r="I362" s="701">
        <v>411</v>
      </c>
      <c r="J362" s="701">
        <v>52</v>
      </c>
      <c r="K362" s="701">
        <v>21476</v>
      </c>
      <c r="L362" s="701"/>
      <c r="M362" s="701">
        <v>413</v>
      </c>
      <c r="N362" s="701">
        <v>60</v>
      </c>
      <c r="O362" s="701">
        <v>26460</v>
      </c>
      <c r="P362" s="726"/>
      <c r="Q362" s="702">
        <v>441</v>
      </c>
    </row>
    <row r="363" spans="1:17" ht="14.45" customHeight="1" x14ac:dyDescent="0.2">
      <c r="A363" s="696" t="s">
        <v>4737</v>
      </c>
      <c r="B363" s="697" t="s">
        <v>4738</v>
      </c>
      <c r="C363" s="697" t="s">
        <v>2899</v>
      </c>
      <c r="D363" s="697" t="s">
        <v>4747</v>
      </c>
      <c r="E363" s="697" t="s">
        <v>4748</v>
      </c>
      <c r="F363" s="701">
        <v>23</v>
      </c>
      <c r="G363" s="701">
        <v>4209</v>
      </c>
      <c r="H363" s="701"/>
      <c r="I363" s="701">
        <v>183</v>
      </c>
      <c r="J363" s="701">
        <v>33</v>
      </c>
      <c r="K363" s="701">
        <v>6105</v>
      </c>
      <c r="L363" s="701"/>
      <c r="M363" s="701">
        <v>185</v>
      </c>
      <c r="N363" s="701">
        <v>43</v>
      </c>
      <c r="O363" s="701">
        <v>8385</v>
      </c>
      <c r="P363" s="726"/>
      <c r="Q363" s="702">
        <v>195</v>
      </c>
    </row>
    <row r="364" spans="1:17" ht="14.45" customHeight="1" x14ac:dyDescent="0.2">
      <c r="A364" s="696" t="s">
        <v>4737</v>
      </c>
      <c r="B364" s="697" t="s">
        <v>4738</v>
      </c>
      <c r="C364" s="697" t="s">
        <v>2899</v>
      </c>
      <c r="D364" s="697" t="s">
        <v>4749</v>
      </c>
      <c r="E364" s="697" t="s">
        <v>4750</v>
      </c>
      <c r="F364" s="701"/>
      <c r="G364" s="701"/>
      <c r="H364" s="701"/>
      <c r="I364" s="701"/>
      <c r="J364" s="701">
        <v>1</v>
      </c>
      <c r="K364" s="701">
        <v>579</v>
      </c>
      <c r="L364" s="701"/>
      <c r="M364" s="701">
        <v>579</v>
      </c>
      <c r="N364" s="701"/>
      <c r="O364" s="701"/>
      <c r="P364" s="726"/>
      <c r="Q364" s="702"/>
    </row>
    <row r="365" spans="1:17" ht="14.45" customHeight="1" x14ac:dyDescent="0.2">
      <c r="A365" s="696" t="s">
        <v>4737</v>
      </c>
      <c r="B365" s="697" t="s">
        <v>4738</v>
      </c>
      <c r="C365" s="697" t="s">
        <v>2899</v>
      </c>
      <c r="D365" s="697" t="s">
        <v>4751</v>
      </c>
      <c r="E365" s="697" t="s">
        <v>4752</v>
      </c>
      <c r="F365" s="701">
        <v>20</v>
      </c>
      <c r="G365" s="701">
        <v>6820</v>
      </c>
      <c r="H365" s="701"/>
      <c r="I365" s="701">
        <v>341</v>
      </c>
      <c r="J365" s="701">
        <v>48</v>
      </c>
      <c r="K365" s="701">
        <v>16512</v>
      </c>
      <c r="L365" s="701"/>
      <c r="M365" s="701">
        <v>344</v>
      </c>
      <c r="N365" s="701">
        <v>61</v>
      </c>
      <c r="O365" s="701">
        <v>22204</v>
      </c>
      <c r="P365" s="726"/>
      <c r="Q365" s="702">
        <v>364</v>
      </c>
    </row>
    <row r="366" spans="1:17" ht="14.45" customHeight="1" x14ac:dyDescent="0.2">
      <c r="A366" s="696" t="s">
        <v>4737</v>
      </c>
      <c r="B366" s="697" t="s">
        <v>4738</v>
      </c>
      <c r="C366" s="697" t="s">
        <v>2899</v>
      </c>
      <c r="D366" s="697" t="s">
        <v>4753</v>
      </c>
      <c r="E366" s="697" t="s">
        <v>4754</v>
      </c>
      <c r="F366" s="701">
        <v>6</v>
      </c>
      <c r="G366" s="701">
        <v>2772</v>
      </c>
      <c r="H366" s="701"/>
      <c r="I366" s="701">
        <v>462</v>
      </c>
      <c r="J366" s="701">
        <v>1</v>
      </c>
      <c r="K366" s="701">
        <v>464</v>
      </c>
      <c r="L366" s="701"/>
      <c r="M366" s="701">
        <v>464</v>
      </c>
      <c r="N366" s="701"/>
      <c r="O366" s="701"/>
      <c r="P366" s="726"/>
      <c r="Q366" s="702"/>
    </row>
    <row r="367" spans="1:17" ht="14.45" customHeight="1" x14ac:dyDescent="0.2">
      <c r="A367" s="696" t="s">
        <v>4737</v>
      </c>
      <c r="B367" s="697" t="s">
        <v>4738</v>
      </c>
      <c r="C367" s="697" t="s">
        <v>2899</v>
      </c>
      <c r="D367" s="697" t="s">
        <v>4755</v>
      </c>
      <c r="E367" s="697" t="s">
        <v>4756</v>
      </c>
      <c r="F367" s="701">
        <v>145</v>
      </c>
      <c r="G367" s="701">
        <v>50895</v>
      </c>
      <c r="H367" s="701"/>
      <c r="I367" s="701">
        <v>351</v>
      </c>
      <c r="J367" s="701">
        <v>195</v>
      </c>
      <c r="K367" s="701">
        <v>68835</v>
      </c>
      <c r="L367" s="701"/>
      <c r="M367" s="701">
        <v>353</v>
      </c>
      <c r="N367" s="701">
        <v>323</v>
      </c>
      <c r="O367" s="701">
        <v>117572</v>
      </c>
      <c r="P367" s="726"/>
      <c r="Q367" s="702">
        <v>364</v>
      </c>
    </row>
    <row r="368" spans="1:17" ht="14.45" customHeight="1" x14ac:dyDescent="0.2">
      <c r="A368" s="696" t="s">
        <v>4737</v>
      </c>
      <c r="B368" s="697" t="s">
        <v>4738</v>
      </c>
      <c r="C368" s="697" t="s">
        <v>2899</v>
      </c>
      <c r="D368" s="697" t="s">
        <v>4757</v>
      </c>
      <c r="E368" s="697" t="s">
        <v>4758</v>
      </c>
      <c r="F368" s="701">
        <v>1</v>
      </c>
      <c r="G368" s="701">
        <v>1660</v>
      </c>
      <c r="H368" s="701"/>
      <c r="I368" s="701">
        <v>1660</v>
      </c>
      <c r="J368" s="701"/>
      <c r="K368" s="701"/>
      <c r="L368" s="701"/>
      <c r="M368" s="701"/>
      <c r="N368" s="701"/>
      <c r="O368" s="701"/>
      <c r="P368" s="726"/>
      <c r="Q368" s="702"/>
    </row>
    <row r="369" spans="1:17" ht="14.45" customHeight="1" x14ac:dyDescent="0.2">
      <c r="A369" s="696" t="s">
        <v>4737</v>
      </c>
      <c r="B369" s="697" t="s">
        <v>4738</v>
      </c>
      <c r="C369" s="697" t="s">
        <v>2899</v>
      </c>
      <c r="D369" s="697" t="s">
        <v>4759</v>
      </c>
      <c r="E369" s="697" t="s">
        <v>4760</v>
      </c>
      <c r="F369" s="701">
        <v>127</v>
      </c>
      <c r="G369" s="701">
        <v>14986</v>
      </c>
      <c r="H369" s="701"/>
      <c r="I369" s="701">
        <v>118</v>
      </c>
      <c r="J369" s="701">
        <v>80</v>
      </c>
      <c r="K369" s="701">
        <v>9520</v>
      </c>
      <c r="L369" s="701"/>
      <c r="M369" s="701">
        <v>119</v>
      </c>
      <c r="N369" s="701">
        <v>26</v>
      </c>
      <c r="O369" s="701">
        <v>3354</v>
      </c>
      <c r="P369" s="726"/>
      <c r="Q369" s="702">
        <v>129</v>
      </c>
    </row>
    <row r="370" spans="1:17" ht="14.45" customHeight="1" x14ac:dyDescent="0.2">
      <c r="A370" s="696" t="s">
        <v>4737</v>
      </c>
      <c r="B370" s="697" t="s">
        <v>4738</v>
      </c>
      <c r="C370" s="697" t="s">
        <v>2899</v>
      </c>
      <c r="D370" s="697" t="s">
        <v>4761</v>
      </c>
      <c r="E370" s="697" t="s">
        <v>4762</v>
      </c>
      <c r="F370" s="701">
        <v>2</v>
      </c>
      <c r="G370" s="701">
        <v>798</v>
      </c>
      <c r="H370" s="701"/>
      <c r="I370" s="701">
        <v>399</v>
      </c>
      <c r="J370" s="701">
        <v>3</v>
      </c>
      <c r="K370" s="701">
        <v>1215</v>
      </c>
      <c r="L370" s="701"/>
      <c r="M370" s="701">
        <v>405</v>
      </c>
      <c r="N370" s="701">
        <v>2</v>
      </c>
      <c r="O370" s="701">
        <v>848</v>
      </c>
      <c r="P370" s="726"/>
      <c r="Q370" s="702">
        <v>424</v>
      </c>
    </row>
    <row r="371" spans="1:17" ht="14.45" customHeight="1" x14ac:dyDescent="0.2">
      <c r="A371" s="696" t="s">
        <v>4737</v>
      </c>
      <c r="B371" s="697" t="s">
        <v>4738</v>
      </c>
      <c r="C371" s="697" t="s">
        <v>2899</v>
      </c>
      <c r="D371" s="697" t="s">
        <v>4763</v>
      </c>
      <c r="E371" s="697" t="s">
        <v>4764</v>
      </c>
      <c r="F371" s="701">
        <v>95</v>
      </c>
      <c r="G371" s="701">
        <v>3610</v>
      </c>
      <c r="H371" s="701"/>
      <c r="I371" s="701">
        <v>38</v>
      </c>
      <c r="J371" s="701">
        <v>76</v>
      </c>
      <c r="K371" s="701">
        <v>2964</v>
      </c>
      <c r="L371" s="701"/>
      <c r="M371" s="701">
        <v>39</v>
      </c>
      <c r="N371" s="701">
        <v>72</v>
      </c>
      <c r="O371" s="701">
        <v>2880</v>
      </c>
      <c r="P371" s="726"/>
      <c r="Q371" s="702">
        <v>40</v>
      </c>
    </row>
    <row r="372" spans="1:17" ht="14.45" customHeight="1" x14ac:dyDescent="0.2">
      <c r="A372" s="696" t="s">
        <v>4737</v>
      </c>
      <c r="B372" s="697" t="s">
        <v>4738</v>
      </c>
      <c r="C372" s="697" t="s">
        <v>2899</v>
      </c>
      <c r="D372" s="697" t="s">
        <v>4765</v>
      </c>
      <c r="E372" s="697" t="s">
        <v>4766</v>
      </c>
      <c r="F372" s="701">
        <v>2</v>
      </c>
      <c r="G372" s="701">
        <v>1426</v>
      </c>
      <c r="H372" s="701"/>
      <c r="I372" s="701">
        <v>713</v>
      </c>
      <c r="J372" s="701">
        <v>3</v>
      </c>
      <c r="K372" s="701">
        <v>2157</v>
      </c>
      <c r="L372" s="701"/>
      <c r="M372" s="701">
        <v>719</v>
      </c>
      <c r="N372" s="701">
        <v>2</v>
      </c>
      <c r="O372" s="701">
        <v>1512</v>
      </c>
      <c r="P372" s="726"/>
      <c r="Q372" s="702">
        <v>756</v>
      </c>
    </row>
    <row r="373" spans="1:17" ht="14.45" customHeight="1" x14ac:dyDescent="0.2">
      <c r="A373" s="696" t="s">
        <v>4737</v>
      </c>
      <c r="B373" s="697" t="s">
        <v>4738</v>
      </c>
      <c r="C373" s="697" t="s">
        <v>2899</v>
      </c>
      <c r="D373" s="697" t="s">
        <v>4767</v>
      </c>
      <c r="E373" s="697" t="s">
        <v>4768</v>
      </c>
      <c r="F373" s="701"/>
      <c r="G373" s="701"/>
      <c r="H373" s="701"/>
      <c r="I373" s="701"/>
      <c r="J373" s="701">
        <v>5</v>
      </c>
      <c r="K373" s="701">
        <v>755</v>
      </c>
      <c r="L373" s="701"/>
      <c r="M373" s="701">
        <v>151</v>
      </c>
      <c r="N373" s="701">
        <v>1</v>
      </c>
      <c r="O373" s="701">
        <v>162</v>
      </c>
      <c r="P373" s="726"/>
      <c r="Q373" s="702">
        <v>162</v>
      </c>
    </row>
    <row r="374" spans="1:17" ht="14.45" customHeight="1" x14ac:dyDescent="0.2">
      <c r="A374" s="696" t="s">
        <v>4737</v>
      </c>
      <c r="B374" s="697" t="s">
        <v>4738</v>
      </c>
      <c r="C374" s="697" t="s">
        <v>2899</v>
      </c>
      <c r="D374" s="697" t="s">
        <v>4769</v>
      </c>
      <c r="E374" s="697" t="s">
        <v>4770</v>
      </c>
      <c r="F374" s="701">
        <v>121</v>
      </c>
      <c r="G374" s="701">
        <v>37268</v>
      </c>
      <c r="H374" s="701"/>
      <c r="I374" s="701">
        <v>308</v>
      </c>
      <c r="J374" s="701">
        <v>154</v>
      </c>
      <c r="K374" s="701">
        <v>47740</v>
      </c>
      <c r="L374" s="701"/>
      <c r="M374" s="701">
        <v>310</v>
      </c>
      <c r="N374" s="701">
        <v>210</v>
      </c>
      <c r="O374" s="701">
        <v>69930</v>
      </c>
      <c r="P374" s="726"/>
      <c r="Q374" s="702">
        <v>333</v>
      </c>
    </row>
    <row r="375" spans="1:17" ht="14.45" customHeight="1" x14ac:dyDescent="0.2">
      <c r="A375" s="696" t="s">
        <v>4737</v>
      </c>
      <c r="B375" s="697" t="s">
        <v>4738</v>
      </c>
      <c r="C375" s="697" t="s">
        <v>2899</v>
      </c>
      <c r="D375" s="697" t="s">
        <v>4771</v>
      </c>
      <c r="E375" s="697" t="s">
        <v>4772</v>
      </c>
      <c r="F375" s="701">
        <v>103</v>
      </c>
      <c r="G375" s="701">
        <v>51397</v>
      </c>
      <c r="H375" s="701"/>
      <c r="I375" s="701">
        <v>499</v>
      </c>
      <c r="J375" s="701">
        <v>124</v>
      </c>
      <c r="K375" s="701">
        <v>62372</v>
      </c>
      <c r="L375" s="701"/>
      <c r="M375" s="701">
        <v>503</v>
      </c>
      <c r="N375" s="701">
        <v>172</v>
      </c>
      <c r="O375" s="701">
        <v>93052</v>
      </c>
      <c r="P375" s="726"/>
      <c r="Q375" s="702">
        <v>541</v>
      </c>
    </row>
    <row r="376" spans="1:17" ht="14.45" customHeight="1" x14ac:dyDescent="0.2">
      <c r="A376" s="696" t="s">
        <v>4737</v>
      </c>
      <c r="B376" s="697" t="s">
        <v>4738</v>
      </c>
      <c r="C376" s="697" t="s">
        <v>2899</v>
      </c>
      <c r="D376" s="697" t="s">
        <v>4773</v>
      </c>
      <c r="E376" s="697" t="s">
        <v>4774</v>
      </c>
      <c r="F376" s="701">
        <v>195</v>
      </c>
      <c r="G376" s="701">
        <v>73320</v>
      </c>
      <c r="H376" s="701"/>
      <c r="I376" s="701">
        <v>376</v>
      </c>
      <c r="J376" s="701">
        <v>260</v>
      </c>
      <c r="K376" s="701">
        <v>98800</v>
      </c>
      <c r="L376" s="701"/>
      <c r="M376" s="701">
        <v>380</v>
      </c>
      <c r="N376" s="701">
        <v>293</v>
      </c>
      <c r="O376" s="701">
        <v>117200</v>
      </c>
      <c r="P376" s="726"/>
      <c r="Q376" s="702">
        <v>400</v>
      </c>
    </row>
    <row r="377" spans="1:17" ht="14.45" customHeight="1" x14ac:dyDescent="0.2">
      <c r="A377" s="696" t="s">
        <v>4737</v>
      </c>
      <c r="B377" s="697" t="s">
        <v>4738</v>
      </c>
      <c r="C377" s="697" t="s">
        <v>2899</v>
      </c>
      <c r="D377" s="697" t="s">
        <v>4775</v>
      </c>
      <c r="E377" s="697" t="s">
        <v>4776</v>
      </c>
      <c r="F377" s="701"/>
      <c r="G377" s="701"/>
      <c r="H377" s="701"/>
      <c r="I377" s="701"/>
      <c r="J377" s="701"/>
      <c r="K377" s="701"/>
      <c r="L377" s="701"/>
      <c r="M377" s="701"/>
      <c r="N377" s="701">
        <v>2</v>
      </c>
      <c r="O377" s="701">
        <v>6750</v>
      </c>
      <c r="P377" s="726"/>
      <c r="Q377" s="702">
        <v>3375</v>
      </c>
    </row>
    <row r="378" spans="1:17" ht="14.45" customHeight="1" x14ac:dyDescent="0.2">
      <c r="A378" s="696" t="s">
        <v>4737</v>
      </c>
      <c r="B378" s="697" t="s">
        <v>4738</v>
      </c>
      <c r="C378" s="697" t="s">
        <v>2899</v>
      </c>
      <c r="D378" s="697" t="s">
        <v>4777</v>
      </c>
      <c r="E378" s="697" t="s">
        <v>4778</v>
      </c>
      <c r="F378" s="701"/>
      <c r="G378" s="701"/>
      <c r="H378" s="701"/>
      <c r="I378" s="701"/>
      <c r="J378" s="701"/>
      <c r="K378" s="701"/>
      <c r="L378" s="701"/>
      <c r="M378" s="701"/>
      <c r="N378" s="701">
        <v>1</v>
      </c>
      <c r="O378" s="701">
        <v>13</v>
      </c>
      <c r="P378" s="726"/>
      <c r="Q378" s="702">
        <v>13</v>
      </c>
    </row>
    <row r="379" spans="1:17" ht="14.45" customHeight="1" x14ac:dyDescent="0.2">
      <c r="A379" s="696" t="s">
        <v>4737</v>
      </c>
      <c r="B379" s="697" t="s">
        <v>4738</v>
      </c>
      <c r="C379" s="697" t="s">
        <v>2899</v>
      </c>
      <c r="D379" s="697" t="s">
        <v>4779</v>
      </c>
      <c r="E379" s="697" t="s">
        <v>4780</v>
      </c>
      <c r="F379" s="701">
        <v>3</v>
      </c>
      <c r="G379" s="701">
        <v>38412</v>
      </c>
      <c r="H379" s="701"/>
      <c r="I379" s="701">
        <v>12804</v>
      </c>
      <c r="J379" s="701">
        <v>1</v>
      </c>
      <c r="K379" s="701">
        <v>12811</v>
      </c>
      <c r="L379" s="701"/>
      <c r="M379" s="701">
        <v>12811</v>
      </c>
      <c r="N379" s="701"/>
      <c r="O379" s="701"/>
      <c r="P379" s="726"/>
      <c r="Q379" s="702"/>
    </row>
    <row r="380" spans="1:17" ht="14.45" customHeight="1" x14ac:dyDescent="0.2">
      <c r="A380" s="696" t="s">
        <v>4737</v>
      </c>
      <c r="B380" s="697" t="s">
        <v>4738</v>
      </c>
      <c r="C380" s="697" t="s">
        <v>2899</v>
      </c>
      <c r="D380" s="697" t="s">
        <v>4781</v>
      </c>
      <c r="E380" s="697" t="s">
        <v>4782</v>
      </c>
      <c r="F380" s="701">
        <v>3</v>
      </c>
      <c r="G380" s="701">
        <v>339</v>
      </c>
      <c r="H380" s="701"/>
      <c r="I380" s="701">
        <v>113</v>
      </c>
      <c r="J380" s="701">
        <v>7</v>
      </c>
      <c r="K380" s="701">
        <v>798</v>
      </c>
      <c r="L380" s="701"/>
      <c r="M380" s="701">
        <v>114</v>
      </c>
      <c r="N380" s="701">
        <v>14</v>
      </c>
      <c r="O380" s="701">
        <v>1708</v>
      </c>
      <c r="P380" s="726"/>
      <c r="Q380" s="702">
        <v>122</v>
      </c>
    </row>
    <row r="381" spans="1:17" ht="14.45" customHeight="1" x14ac:dyDescent="0.2">
      <c r="A381" s="696" t="s">
        <v>4737</v>
      </c>
      <c r="B381" s="697" t="s">
        <v>4738</v>
      </c>
      <c r="C381" s="697" t="s">
        <v>2899</v>
      </c>
      <c r="D381" s="697" t="s">
        <v>4783</v>
      </c>
      <c r="E381" s="697" t="s">
        <v>4784</v>
      </c>
      <c r="F381" s="701">
        <v>2</v>
      </c>
      <c r="G381" s="701">
        <v>252</v>
      </c>
      <c r="H381" s="701"/>
      <c r="I381" s="701">
        <v>126</v>
      </c>
      <c r="J381" s="701">
        <v>4</v>
      </c>
      <c r="K381" s="701">
        <v>504</v>
      </c>
      <c r="L381" s="701"/>
      <c r="M381" s="701">
        <v>126</v>
      </c>
      <c r="N381" s="701">
        <v>8</v>
      </c>
      <c r="O381" s="701">
        <v>1096</v>
      </c>
      <c r="P381" s="726"/>
      <c r="Q381" s="702">
        <v>137</v>
      </c>
    </row>
    <row r="382" spans="1:17" ht="14.45" customHeight="1" x14ac:dyDescent="0.2">
      <c r="A382" s="696" t="s">
        <v>4737</v>
      </c>
      <c r="B382" s="697" t="s">
        <v>4738</v>
      </c>
      <c r="C382" s="697" t="s">
        <v>2899</v>
      </c>
      <c r="D382" s="697" t="s">
        <v>4785</v>
      </c>
      <c r="E382" s="697" t="s">
        <v>4786</v>
      </c>
      <c r="F382" s="701">
        <v>115</v>
      </c>
      <c r="G382" s="701">
        <v>57500</v>
      </c>
      <c r="H382" s="701"/>
      <c r="I382" s="701">
        <v>500</v>
      </c>
      <c r="J382" s="701">
        <v>118</v>
      </c>
      <c r="K382" s="701">
        <v>59472</v>
      </c>
      <c r="L382" s="701"/>
      <c r="M382" s="701">
        <v>504</v>
      </c>
      <c r="N382" s="701">
        <v>108</v>
      </c>
      <c r="O382" s="701">
        <v>58536</v>
      </c>
      <c r="P382" s="726"/>
      <c r="Q382" s="702">
        <v>542</v>
      </c>
    </row>
    <row r="383" spans="1:17" ht="14.45" customHeight="1" x14ac:dyDescent="0.2">
      <c r="A383" s="696" t="s">
        <v>4737</v>
      </c>
      <c r="B383" s="697" t="s">
        <v>4738</v>
      </c>
      <c r="C383" s="697" t="s">
        <v>2899</v>
      </c>
      <c r="D383" s="697" t="s">
        <v>4787</v>
      </c>
      <c r="E383" s="697" t="s">
        <v>4788</v>
      </c>
      <c r="F383" s="701">
        <v>6</v>
      </c>
      <c r="G383" s="701">
        <v>2778</v>
      </c>
      <c r="H383" s="701"/>
      <c r="I383" s="701">
        <v>463</v>
      </c>
      <c r="J383" s="701">
        <v>25</v>
      </c>
      <c r="K383" s="701">
        <v>11675</v>
      </c>
      <c r="L383" s="701"/>
      <c r="M383" s="701">
        <v>467</v>
      </c>
      <c r="N383" s="701">
        <v>61</v>
      </c>
      <c r="O383" s="701">
        <v>30073</v>
      </c>
      <c r="P383" s="726"/>
      <c r="Q383" s="702">
        <v>493</v>
      </c>
    </row>
    <row r="384" spans="1:17" ht="14.45" customHeight="1" x14ac:dyDescent="0.2">
      <c r="A384" s="696" t="s">
        <v>4737</v>
      </c>
      <c r="B384" s="697" t="s">
        <v>4738</v>
      </c>
      <c r="C384" s="697" t="s">
        <v>2899</v>
      </c>
      <c r="D384" s="697" t="s">
        <v>4789</v>
      </c>
      <c r="E384" s="697" t="s">
        <v>4790</v>
      </c>
      <c r="F384" s="701">
        <v>12</v>
      </c>
      <c r="G384" s="701">
        <v>708</v>
      </c>
      <c r="H384" s="701"/>
      <c r="I384" s="701">
        <v>59</v>
      </c>
      <c r="J384" s="701">
        <v>19</v>
      </c>
      <c r="K384" s="701">
        <v>1121</v>
      </c>
      <c r="L384" s="701"/>
      <c r="M384" s="701">
        <v>59</v>
      </c>
      <c r="N384" s="701">
        <v>17</v>
      </c>
      <c r="O384" s="701">
        <v>1071</v>
      </c>
      <c r="P384" s="726"/>
      <c r="Q384" s="702">
        <v>63</v>
      </c>
    </row>
    <row r="385" spans="1:17" ht="14.45" customHeight="1" x14ac:dyDescent="0.2">
      <c r="A385" s="696" t="s">
        <v>4737</v>
      </c>
      <c r="B385" s="697" t="s">
        <v>4738</v>
      </c>
      <c r="C385" s="697" t="s">
        <v>2899</v>
      </c>
      <c r="D385" s="697" t="s">
        <v>4791</v>
      </c>
      <c r="E385" s="697" t="s">
        <v>4792</v>
      </c>
      <c r="F385" s="701">
        <v>1</v>
      </c>
      <c r="G385" s="701">
        <v>2179</v>
      </c>
      <c r="H385" s="701"/>
      <c r="I385" s="701">
        <v>2179</v>
      </c>
      <c r="J385" s="701"/>
      <c r="K385" s="701"/>
      <c r="L385" s="701"/>
      <c r="M385" s="701"/>
      <c r="N385" s="701"/>
      <c r="O385" s="701"/>
      <c r="P385" s="726"/>
      <c r="Q385" s="702"/>
    </row>
    <row r="386" spans="1:17" ht="14.45" customHeight="1" x14ac:dyDescent="0.2">
      <c r="A386" s="696" t="s">
        <v>4737</v>
      </c>
      <c r="B386" s="697" t="s">
        <v>4738</v>
      </c>
      <c r="C386" s="697" t="s">
        <v>2899</v>
      </c>
      <c r="D386" s="697" t="s">
        <v>4793</v>
      </c>
      <c r="E386" s="697" t="s">
        <v>4794</v>
      </c>
      <c r="F386" s="701"/>
      <c r="G386" s="701"/>
      <c r="H386" s="701"/>
      <c r="I386" s="701"/>
      <c r="J386" s="701"/>
      <c r="K386" s="701"/>
      <c r="L386" s="701"/>
      <c r="M386" s="701"/>
      <c r="N386" s="701">
        <v>4</v>
      </c>
      <c r="O386" s="701">
        <v>42420</v>
      </c>
      <c r="P386" s="726"/>
      <c r="Q386" s="702">
        <v>10605</v>
      </c>
    </row>
    <row r="387" spans="1:17" ht="14.45" customHeight="1" x14ac:dyDescent="0.2">
      <c r="A387" s="696" t="s">
        <v>4737</v>
      </c>
      <c r="B387" s="697" t="s">
        <v>4738</v>
      </c>
      <c r="C387" s="697" t="s">
        <v>2899</v>
      </c>
      <c r="D387" s="697" t="s">
        <v>4795</v>
      </c>
      <c r="E387" s="697" t="s">
        <v>4796</v>
      </c>
      <c r="F387" s="701">
        <v>1167</v>
      </c>
      <c r="G387" s="701">
        <v>208893</v>
      </c>
      <c r="H387" s="701"/>
      <c r="I387" s="701">
        <v>179</v>
      </c>
      <c r="J387" s="701">
        <v>1142</v>
      </c>
      <c r="K387" s="701">
        <v>206702</v>
      </c>
      <c r="L387" s="701"/>
      <c r="M387" s="701">
        <v>181</v>
      </c>
      <c r="N387" s="701">
        <v>2289</v>
      </c>
      <c r="O387" s="701">
        <v>434910</v>
      </c>
      <c r="P387" s="726"/>
      <c r="Q387" s="702">
        <v>190</v>
      </c>
    </row>
    <row r="388" spans="1:17" ht="14.45" customHeight="1" x14ac:dyDescent="0.2">
      <c r="A388" s="696" t="s">
        <v>4737</v>
      </c>
      <c r="B388" s="697" t="s">
        <v>4738</v>
      </c>
      <c r="C388" s="697" t="s">
        <v>2899</v>
      </c>
      <c r="D388" s="697" t="s">
        <v>4797</v>
      </c>
      <c r="E388" s="697" t="s">
        <v>4798</v>
      </c>
      <c r="F388" s="701">
        <v>4</v>
      </c>
      <c r="G388" s="701">
        <v>348</v>
      </c>
      <c r="H388" s="701"/>
      <c r="I388" s="701">
        <v>87</v>
      </c>
      <c r="J388" s="701">
        <v>8</v>
      </c>
      <c r="K388" s="701">
        <v>704</v>
      </c>
      <c r="L388" s="701"/>
      <c r="M388" s="701">
        <v>88</v>
      </c>
      <c r="N388" s="701">
        <v>4</v>
      </c>
      <c r="O388" s="701">
        <v>372</v>
      </c>
      <c r="P388" s="726"/>
      <c r="Q388" s="702">
        <v>93</v>
      </c>
    </row>
    <row r="389" spans="1:17" ht="14.45" customHeight="1" x14ac:dyDescent="0.2">
      <c r="A389" s="696" t="s">
        <v>4737</v>
      </c>
      <c r="B389" s="697" t="s">
        <v>4738</v>
      </c>
      <c r="C389" s="697" t="s">
        <v>2899</v>
      </c>
      <c r="D389" s="697" t="s">
        <v>4799</v>
      </c>
      <c r="E389" s="697" t="s">
        <v>4800</v>
      </c>
      <c r="F389" s="701">
        <v>5</v>
      </c>
      <c r="G389" s="701">
        <v>900</v>
      </c>
      <c r="H389" s="701"/>
      <c r="I389" s="701">
        <v>180</v>
      </c>
      <c r="J389" s="701">
        <v>1</v>
      </c>
      <c r="K389" s="701">
        <v>181</v>
      </c>
      <c r="L389" s="701"/>
      <c r="M389" s="701">
        <v>181</v>
      </c>
      <c r="N389" s="701"/>
      <c r="O389" s="701"/>
      <c r="P389" s="726"/>
      <c r="Q389" s="702"/>
    </row>
    <row r="390" spans="1:17" ht="14.45" customHeight="1" x14ac:dyDescent="0.2">
      <c r="A390" s="696" t="s">
        <v>4737</v>
      </c>
      <c r="B390" s="697" t="s">
        <v>4738</v>
      </c>
      <c r="C390" s="697" t="s">
        <v>2899</v>
      </c>
      <c r="D390" s="697" t="s">
        <v>4801</v>
      </c>
      <c r="E390" s="697" t="s">
        <v>4802</v>
      </c>
      <c r="F390" s="701">
        <v>17</v>
      </c>
      <c r="G390" s="701">
        <v>2924</v>
      </c>
      <c r="H390" s="701"/>
      <c r="I390" s="701">
        <v>172</v>
      </c>
      <c r="J390" s="701">
        <v>13</v>
      </c>
      <c r="K390" s="701">
        <v>2262</v>
      </c>
      <c r="L390" s="701"/>
      <c r="M390" s="701">
        <v>174</v>
      </c>
      <c r="N390" s="701">
        <v>12</v>
      </c>
      <c r="O390" s="701">
        <v>2196</v>
      </c>
      <c r="P390" s="726"/>
      <c r="Q390" s="702">
        <v>183</v>
      </c>
    </row>
    <row r="391" spans="1:17" ht="14.45" customHeight="1" x14ac:dyDescent="0.2">
      <c r="A391" s="696" t="s">
        <v>4737</v>
      </c>
      <c r="B391" s="697" t="s">
        <v>4738</v>
      </c>
      <c r="C391" s="697" t="s">
        <v>2899</v>
      </c>
      <c r="D391" s="697" t="s">
        <v>4803</v>
      </c>
      <c r="E391" s="697" t="s">
        <v>4804</v>
      </c>
      <c r="F391" s="701">
        <v>7</v>
      </c>
      <c r="G391" s="701">
        <v>217</v>
      </c>
      <c r="H391" s="701"/>
      <c r="I391" s="701">
        <v>31</v>
      </c>
      <c r="J391" s="701"/>
      <c r="K391" s="701"/>
      <c r="L391" s="701"/>
      <c r="M391" s="701"/>
      <c r="N391" s="701"/>
      <c r="O391" s="701"/>
      <c r="P391" s="726"/>
      <c r="Q391" s="702"/>
    </row>
    <row r="392" spans="1:17" ht="14.45" customHeight="1" x14ac:dyDescent="0.2">
      <c r="A392" s="696" t="s">
        <v>4737</v>
      </c>
      <c r="B392" s="697" t="s">
        <v>4738</v>
      </c>
      <c r="C392" s="697" t="s">
        <v>2899</v>
      </c>
      <c r="D392" s="697" t="s">
        <v>4805</v>
      </c>
      <c r="E392" s="697" t="s">
        <v>4806</v>
      </c>
      <c r="F392" s="701">
        <v>6</v>
      </c>
      <c r="G392" s="701">
        <v>1068</v>
      </c>
      <c r="H392" s="701"/>
      <c r="I392" s="701">
        <v>178</v>
      </c>
      <c r="J392" s="701">
        <v>2</v>
      </c>
      <c r="K392" s="701">
        <v>360</v>
      </c>
      <c r="L392" s="701"/>
      <c r="M392" s="701">
        <v>180</v>
      </c>
      <c r="N392" s="701">
        <v>3</v>
      </c>
      <c r="O392" s="701">
        <v>567</v>
      </c>
      <c r="P392" s="726"/>
      <c r="Q392" s="702">
        <v>189</v>
      </c>
    </row>
    <row r="393" spans="1:17" ht="14.45" customHeight="1" x14ac:dyDescent="0.2">
      <c r="A393" s="696" t="s">
        <v>4737</v>
      </c>
      <c r="B393" s="697" t="s">
        <v>4738</v>
      </c>
      <c r="C393" s="697" t="s">
        <v>2899</v>
      </c>
      <c r="D393" s="697" t="s">
        <v>4807</v>
      </c>
      <c r="E393" s="697" t="s">
        <v>4808</v>
      </c>
      <c r="F393" s="701">
        <v>52</v>
      </c>
      <c r="G393" s="701">
        <v>13884</v>
      </c>
      <c r="H393" s="701"/>
      <c r="I393" s="701">
        <v>267</v>
      </c>
      <c r="J393" s="701">
        <v>16</v>
      </c>
      <c r="K393" s="701">
        <v>4304</v>
      </c>
      <c r="L393" s="701"/>
      <c r="M393" s="701">
        <v>269</v>
      </c>
      <c r="N393" s="701">
        <v>40</v>
      </c>
      <c r="O393" s="701">
        <v>11520</v>
      </c>
      <c r="P393" s="726"/>
      <c r="Q393" s="702">
        <v>288</v>
      </c>
    </row>
    <row r="394" spans="1:17" ht="14.45" customHeight="1" x14ac:dyDescent="0.2">
      <c r="A394" s="696" t="s">
        <v>4737</v>
      </c>
      <c r="B394" s="697" t="s">
        <v>4738</v>
      </c>
      <c r="C394" s="697" t="s">
        <v>2899</v>
      </c>
      <c r="D394" s="697" t="s">
        <v>4809</v>
      </c>
      <c r="E394" s="697" t="s">
        <v>4810</v>
      </c>
      <c r="F394" s="701">
        <v>26</v>
      </c>
      <c r="G394" s="701">
        <v>55796</v>
      </c>
      <c r="H394" s="701"/>
      <c r="I394" s="701">
        <v>2146</v>
      </c>
      <c r="J394" s="701">
        <v>28</v>
      </c>
      <c r="K394" s="701">
        <v>60396</v>
      </c>
      <c r="L394" s="701"/>
      <c r="M394" s="701">
        <v>2157</v>
      </c>
      <c r="N394" s="701">
        <v>28</v>
      </c>
      <c r="O394" s="701">
        <v>64344</v>
      </c>
      <c r="P394" s="726"/>
      <c r="Q394" s="702">
        <v>2298</v>
      </c>
    </row>
    <row r="395" spans="1:17" ht="14.45" customHeight="1" x14ac:dyDescent="0.2">
      <c r="A395" s="696" t="s">
        <v>4737</v>
      </c>
      <c r="B395" s="697" t="s">
        <v>4738</v>
      </c>
      <c r="C395" s="697" t="s">
        <v>2899</v>
      </c>
      <c r="D395" s="697" t="s">
        <v>4811</v>
      </c>
      <c r="E395" s="697" t="s">
        <v>4812</v>
      </c>
      <c r="F395" s="701">
        <v>192</v>
      </c>
      <c r="G395" s="701">
        <v>46848</v>
      </c>
      <c r="H395" s="701"/>
      <c r="I395" s="701">
        <v>244</v>
      </c>
      <c r="J395" s="701">
        <v>155</v>
      </c>
      <c r="K395" s="701">
        <v>38130</v>
      </c>
      <c r="L395" s="701"/>
      <c r="M395" s="701">
        <v>246</v>
      </c>
      <c r="N395" s="701">
        <v>146</v>
      </c>
      <c r="O395" s="701">
        <v>38690</v>
      </c>
      <c r="P395" s="726"/>
      <c r="Q395" s="702">
        <v>265</v>
      </c>
    </row>
    <row r="396" spans="1:17" ht="14.45" customHeight="1" x14ac:dyDescent="0.2">
      <c r="A396" s="696" t="s">
        <v>4737</v>
      </c>
      <c r="B396" s="697" t="s">
        <v>4738</v>
      </c>
      <c r="C396" s="697" t="s">
        <v>2899</v>
      </c>
      <c r="D396" s="697" t="s">
        <v>4813</v>
      </c>
      <c r="E396" s="697" t="s">
        <v>4814</v>
      </c>
      <c r="F396" s="701">
        <v>10</v>
      </c>
      <c r="G396" s="701">
        <v>4350</v>
      </c>
      <c r="H396" s="701"/>
      <c r="I396" s="701">
        <v>435</v>
      </c>
      <c r="J396" s="701">
        <v>7</v>
      </c>
      <c r="K396" s="701">
        <v>3094</v>
      </c>
      <c r="L396" s="701"/>
      <c r="M396" s="701">
        <v>442</v>
      </c>
      <c r="N396" s="701">
        <v>26</v>
      </c>
      <c r="O396" s="701">
        <v>11856</v>
      </c>
      <c r="P396" s="726"/>
      <c r="Q396" s="702">
        <v>456</v>
      </c>
    </row>
    <row r="397" spans="1:17" ht="14.45" customHeight="1" x14ac:dyDescent="0.2">
      <c r="A397" s="696" t="s">
        <v>4737</v>
      </c>
      <c r="B397" s="697" t="s">
        <v>4738</v>
      </c>
      <c r="C397" s="697" t="s">
        <v>2899</v>
      </c>
      <c r="D397" s="697" t="s">
        <v>4815</v>
      </c>
      <c r="E397" s="697" t="s">
        <v>4816</v>
      </c>
      <c r="F397" s="701">
        <v>40</v>
      </c>
      <c r="G397" s="701">
        <v>43000</v>
      </c>
      <c r="H397" s="701"/>
      <c r="I397" s="701">
        <v>1075</v>
      </c>
      <c r="J397" s="701"/>
      <c r="K397" s="701"/>
      <c r="L397" s="701"/>
      <c r="M397" s="701"/>
      <c r="N397" s="701">
        <v>45</v>
      </c>
      <c r="O397" s="701">
        <v>50040</v>
      </c>
      <c r="P397" s="726"/>
      <c r="Q397" s="702">
        <v>1112</v>
      </c>
    </row>
    <row r="398" spans="1:17" ht="14.45" customHeight="1" x14ac:dyDescent="0.2">
      <c r="A398" s="696" t="s">
        <v>4737</v>
      </c>
      <c r="B398" s="697" t="s">
        <v>4738</v>
      </c>
      <c r="C398" s="697" t="s">
        <v>2899</v>
      </c>
      <c r="D398" s="697" t="s">
        <v>4817</v>
      </c>
      <c r="E398" s="697" t="s">
        <v>4818</v>
      </c>
      <c r="F398" s="701">
        <v>10</v>
      </c>
      <c r="G398" s="701">
        <v>2910</v>
      </c>
      <c r="H398" s="701"/>
      <c r="I398" s="701">
        <v>291</v>
      </c>
      <c r="J398" s="701">
        <v>9</v>
      </c>
      <c r="K398" s="701">
        <v>2637</v>
      </c>
      <c r="L398" s="701"/>
      <c r="M398" s="701">
        <v>293</v>
      </c>
      <c r="N398" s="701">
        <v>9</v>
      </c>
      <c r="O398" s="701">
        <v>2844</v>
      </c>
      <c r="P398" s="726"/>
      <c r="Q398" s="702">
        <v>316</v>
      </c>
    </row>
    <row r="399" spans="1:17" ht="14.45" customHeight="1" x14ac:dyDescent="0.2">
      <c r="A399" s="696" t="s">
        <v>4737</v>
      </c>
      <c r="B399" s="697" t="s">
        <v>4738</v>
      </c>
      <c r="C399" s="697" t="s">
        <v>2899</v>
      </c>
      <c r="D399" s="697" t="s">
        <v>4819</v>
      </c>
      <c r="E399" s="697" t="s">
        <v>4820</v>
      </c>
      <c r="F399" s="701"/>
      <c r="G399" s="701"/>
      <c r="H399" s="701"/>
      <c r="I399" s="701"/>
      <c r="J399" s="701"/>
      <c r="K399" s="701"/>
      <c r="L399" s="701"/>
      <c r="M399" s="701"/>
      <c r="N399" s="701">
        <v>15</v>
      </c>
      <c r="O399" s="701">
        <v>73335</v>
      </c>
      <c r="P399" s="726"/>
      <c r="Q399" s="702">
        <v>4889</v>
      </c>
    </row>
    <row r="400" spans="1:17" ht="14.45" customHeight="1" x14ac:dyDescent="0.2">
      <c r="A400" s="696" t="s">
        <v>4737</v>
      </c>
      <c r="B400" s="697" t="s">
        <v>4738</v>
      </c>
      <c r="C400" s="697" t="s">
        <v>2899</v>
      </c>
      <c r="D400" s="697" t="s">
        <v>4821</v>
      </c>
      <c r="E400" s="697" t="s">
        <v>4822</v>
      </c>
      <c r="F400" s="701">
        <v>2</v>
      </c>
      <c r="G400" s="701">
        <v>1224</v>
      </c>
      <c r="H400" s="701"/>
      <c r="I400" s="701">
        <v>612</v>
      </c>
      <c r="J400" s="701">
        <v>6</v>
      </c>
      <c r="K400" s="701">
        <v>3690</v>
      </c>
      <c r="L400" s="701"/>
      <c r="M400" s="701">
        <v>615</v>
      </c>
      <c r="N400" s="701">
        <v>12</v>
      </c>
      <c r="O400" s="701">
        <v>7704</v>
      </c>
      <c r="P400" s="726"/>
      <c r="Q400" s="702">
        <v>642</v>
      </c>
    </row>
    <row r="401" spans="1:17" ht="14.45" customHeight="1" x14ac:dyDescent="0.2">
      <c r="A401" s="696" t="s">
        <v>4737</v>
      </c>
      <c r="B401" s="697" t="s">
        <v>4738</v>
      </c>
      <c r="C401" s="697" t="s">
        <v>2899</v>
      </c>
      <c r="D401" s="697" t="s">
        <v>4823</v>
      </c>
      <c r="E401" s="697" t="s">
        <v>4824</v>
      </c>
      <c r="F401" s="701">
        <v>5</v>
      </c>
      <c r="G401" s="701">
        <v>14225</v>
      </c>
      <c r="H401" s="701"/>
      <c r="I401" s="701">
        <v>2845</v>
      </c>
      <c r="J401" s="701">
        <v>4</v>
      </c>
      <c r="K401" s="701">
        <v>11396</v>
      </c>
      <c r="L401" s="701"/>
      <c r="M401" s="701">
        <v>2849</v>
      </c>
      <c r="N401" s="701"/>
      <c r="O401" s="701"/>
      <c r="P401" s="726"/>
      <c r="Q401" s="702"/>
    </row>
    <row r="402" spans="1:17" ht="14.45" customHeight="1" x14ac:dyDescent="0.2">
      <c r="A402" s="696" t="s">
        <v>4737</v>
      </c>
      <c r="B402" s="697" t="s">
        <v>4738</v>
      </c>
      <c r="C402" s="697" t="s">
        <v>2899</v>
      </c>
      <c r="D402" s="697" t="s">
        <v>4825</v>
      </c>
      <c r="E402" s="697" t="s">
        <v>4826</v>
      </c>
      <c r="F402" s="701"/>
      <c r="G402" s="701"/>
      <c r="H402" s="701"/>
      <c r="I402" s="701"/>
      <c r="J402" s="701"/>
      <c r="K402" s="701"/>
      <c r="L402" s="701"/>
      <c r="M402" s="701"/>
      <c r="N402" s="701">
        <v>7</v>
      </c>
      <c r="O402" s="701">
        <v>112336</v>
      </c>
      <c r="P402" s="726"/>
      <c r="Q402" s="702">
        <v>16048</v>
      </c>
    </row>
    <row r="403" spans="1:17" ht="14.45" customHeight="1" x14ac:dyDescent="0.2">
      <c r="A403" s="696" t="s">
        <v>4737</v>
      </c>
      <c r="B403" s="697" t="s">
        <v>4738</v>
      </c>
      <c r="C403" s="697" t="s">
        <v>2899</v>
      </c>
      <c r="D403" s="697" t="s">
        <v>4827</v>
      </c>
      <c r="E403" s="697" t="s">
        <v>4828</v>
      </c>
      <c r="F403" s="701">
        <v>2</v>
      </c>
      <c r="G403" s="701">
        <v>7678</v>
      </c>
      <c r="H403" s="701"/>
      <c r="I403" s="701">
        <v>3839</v>
      </c>
      <c r="J403" s="701">
        <v>10</v>
      </c>
      <c r="K403" s="701">
        <v>38430</v>
      </c>
      <c r="L403" s="701"/>
      <c r="M403" s="701">
        <v>3843</v>
      </c>
      <c r="N403" s="701">
        <v>8</v>
      </c>
      <c r="O403" s="701">
        <v>31016</v>
      </c>
      <c r="P403" s="726"/>
      <c r="Q403" s="702">
        <v>3877</v>
      </c>
    </row>
    <row r="404" spans="1:17" ht="14.45" customHeight="1" x14ac:dyDescent="0.2">
      <c r="A404" s="696" t="s">
        <v>4737</v>
      </c>
      <c r="B404" s="697" t="s">
        <v>4738</v>
      </c>
      <c r="C404" s="697" t="s">
        <v>2899</v>
      </c>
      <c r="D404" s="697" t="s">
        <v>4829</v>
      </c>
      <c r="E404" s="697" t="s">
        <v>4830</v>
      </c>
      <c r="F404" s="701"/>
      <c r="G404" s="701"/>
      <c r="H404" s="701"/>
      <c r="I404" s="701"/>
      <c r="J404" s="701"/>
      <c r="K404" s="701"/>
      <c r="L404" s="701"/>
      <c r="M404" s="701"/>
      <c r="N404" s="701">
        <v>1</v>
      </c>
      <c r="O404" s="701">
        <v>406</v>
      </c>
      <c r="P404" s="726"/>
      <c r="Q404" s="702">
        <v>406</v>
      </c>
    </row>
    <row r="405" spans="1:17" ht="14.45" customHeight="1" x14ac:dyDescent="0.2">
      <c r="A405" s="696" t="s">
        <v>4831</v>
      </c>
      <c r="B405" s="697" t="s">
        <v>4832</v>
      </c>
      <c r="C405" s="697" t="s">
        <v>2899</v>
      </c>
      <c r="D405" s="697" t="s">
        <v>4833</v>
      </c>
      <c r="E405" s="697" t="s">
        <v>4834</v>
      </c>
      <c r="F405" s="701">
        <v>2174</v>
      </c>
      <c r="G405" s="701">
        <v>380450</v>
      </c>
      <c r="H405" s="701"/>
      <c r="I405" s="701">
        <v>175</v>
      </c>
      <c r="J405" s="701">
        <v>2359</v>
      </c>
      <c r="K405" s="701">
        <v>415184</v>
      </c>
      <c r="L405" s="701"/>
      <c r="M405" s="701">
        <v>176</v>
      </c>
      <c r="N405" s="701">
        <v>2536</v>
      </c>
      <c r="O405" s="701">
        <v>481840</v>
      </c>
      <c r="P405" s="726"/>
      <c r="Q405" s="702">
        <v>190</v>
      </c>
    </row>
    <row r="406" spans="1:17" ht="14.45" customHeight="1" x14ac:dyDescent="0.2">
      <c r="A406" s="696" t="s">
        <v>4831</v>
      </c>
      <c r="B406" s="697" t="s">
        <v>4832</v>
      </c>
      <c r="C406" s="697" t="s">
        <v>2899</v>
      </c>
      <c r="D406" s="697" t="s">
        <v>4835</v>
      </c>
      <c r="E406" s="697" t="s">
        <v>4836</v>
      </c>
      <c r="F406" s="701">
        <v>7</v>
      </c>
      <c r="G406" s="701">
        <v>7511</v>
      </c>
      <c r="H406" s="701"/>
      <c r="I406" s="701">
        <v>1073</v>
      </c>
      <c r="J406" s="701">
        <v>109</v>
      </c>
      <c r="K406" s="701">
        <v>117175</v>
      </c>
      <c r="L406" s="701"/>
      <c r="M406" s="701">
        <v>1075</v>
      </c>
      <c r="N406" s="701">
        <v>67</v>
      </c>
      <c r="O406" s="701">
        <v>72427</v>
      </c>
      <c r="P406" s="726"/>
      <c r="Q406" s="702">
        <v>1081</v>
      </c>
    </row>
    <row r="407" spans="1:17" ht="14.45" customHeight="1" x14ac:dyDescent="0.2">
      <c r="A407" s="696" t="s">
        <v>4831</v>
      </c>
      <c r="B407" s="697" t="s">
        <v>4832</v>
      </c>
      <c r="C407" s="697" t="s">
        <v>2899</v>
      </c>
      <c r="D407" s="697" t="s">
        <v>4837</v>
      </c>
      <c r="E407" s="697" t="s">
        <v>4838</v>
      </c>
      <c r="F407" s="701">
        <v>102</v>
      </c>
      <c r="G407" s="701">
        <v>4794</v>
      </c>
      <c r="H407" s="701"/>
      <c r="I407" s="701">
        <v>47</v>
      </c>
      <c r="J407" s="701">
        <v>109</v>
      </c>
      <c r="K407" s="701">
        <v>5123</v>
      </c>
      <c r="L407" s="701"/>
      <c r="M407" s="701">
        <v>47</v>
      </c>
      <c r="N407" s="701">
        <v>97</v>
      </c>
      <c r="O407" s="701">
        <v>4753</v>
      </c>
      <c r="P407" s="726"/>
      <c r="Q407" s="702">
        <v>49</v>
      </c>
    </row>
    <row r="408" spans="1:17" ht="14.45" customHeight="1" x14ac:dyDescent="0.2">
      <c r="A408" s="696" t="s">
        <v>4831</v>
      </c>
      <c r="B408" s="697" t="s">
        <v>4832</v>
      </c>
      <c r="C408" s="697" t="s">
        <v>2899</v>
      </c>
      <c r="D408" s="697" t="s">
        <v>4711</v>
      </c>
      <c r="E408" s="697" t="s">
        <v>4712</v>
      </c>
      <c r="F408" s="701">
        <v>31</v>
      </c>
      <c r="G408" s="701">
        <v>10788</v>
      </c>
      <c r="H408" s="701"/>
      <c r="I408" s="701">
        <v>348</v>
      </c>
      <c r="J408" s="701">
        <v>52</v>
      </c>
      <c r="K408" s="701">
        <v>18096</v>
      </c>
      <c r="L408" s="701"/>
      <c r="M408" s="701">
        <v>348</v>
      </c>
      <c r="N408" s="701">
        <v>34</v>
      </c>
      <c r="O408" s="701">
        <v>11866</v>
      </c>
      <c r="P408" s="726"/>
      <c r="Q408" s="702">
        <v>349</v>
      </c>
    </row>
    <row r="409" spans="1:17" ht="14.45" customHeight="1" x14ac:dyDescent="0.2">
      <c r="A409" s="696" t="s">
        <v>4831</v>
      </c>
      <c r="B409" s="697" t="s">
        <v>4832</v>
      </c>
      <c r="C409" s="697" t="s">
        <v>2899</v>
      </c>
      <c r="D409" s="697" t="s">
        <v>4839</v>
      </c>
      <c r="E409" s="697" t="s">
        <v>4840</v>
      </c>
      <c r="F409" s="701">
        <v>16</v>
      </c>
      <c r="G409" s="701">
        <v>816</v>
      </c>
      <c r="H409" s="701"/>
      <c r="I409" s="701">
        <v>51</v>
      </c>
      <c r="J409" s="701">
        <v>20</v>
      </c>
      <c r="K409" s="701">
        <v>1040</v>
      </c>
      <c r="L409" s="701"/>
      <c r="M409" s="701">
        <v>52</v>
      </c>
      <c r="N409" s="701">
        <v>7</v>
      </c>
      <c r="O409" s="701">
        <v>364</v>
      </c>
      <c r="P409" s="726"/>
      <c r="Q409" s="702">
        <v>52</v>
      </c>
    </row>
    <row r="410" spans="1:17" ht="14.45" customHeight="1" x14ac:dyDescent="0.2">
      <c r="A410" s="696" t="s">
        <v>4831</v>
      </c>
      <c r="B410" s="697" t="s">
        <v>4832</v>
      </c>
      <c r="C410" s="697" t="s">
        <v>2899</v>
      </c>
      <c r="D410" s="697" t="s">
        <v>4841</v>
      </c>
      <c r="E410" s="697" t="s">
        <v>4842</v>
      </c>
      <c r="F410" s="701">
        <v>55</v>
      </c>
      <c r="G410" s="701">
        <v>20790</v>
      </c>
      <c r="H410" s="701"/>
      <c r="I410" s="701">
        <v>378</v>
      </c>
      <c r="J410" s="701">
        <v>113</v>
      </c>
      <c r="K410" s="701">
        <v>42714</v>
      </c>
      <c r="L410" s="701"/>
      <c r="M410" s="701">
        <v>378</v>
      </c>
      <c r="N410" s="701">
        <v>213</v>
      </c>
      <c r="O410" s="701">
        <v>80727</v>
      </c>
      <c r="P410" s="726"/>
      <c r="Q410" s="702">
        <v>379</v>
      </c>
    </row>
    <row r="411" spans="1:17" ht="14.45" customHeight="1" x14ac:dyDescent="0.2">
      <c r="A411" s="696" t="s">
        <v>4831</v>
      </c>
      <c r="B411" s="697" t="s">
        <v>4832</v>
      </c>
      <c r="C411" s="697" t="s">
        <v>2899</v>
      </c>
      <c r="D411" s="697" t="s">
        <v>4843</v>
      </c>
      <c r="E411" s="697" t="s">
        <v>4844</v>
      </c>
      <c r="F411" s="701">
        <v>3</v>
      </c>
      <c r="G411" s="701">
        <v>102</v>
      </c>
      <c r="H411" s="701"/>
      <c r="I411" s="701">
        <v>34</v>
      </c>
      <c r="J411" s="701">
        <v>6</v>
      </c>
      <c r="K411" s="701">
        <v>210</v>
      </c>
      <c r="L411" s="701"/>
      <c r="M411" s="701">
        <v>35</v>
      </c>
      <c r="N411" s="701">
        <v>6</v>
      </c>
      <c r="O411" s="701">
        <v>210</v>
      </c>
      <c r="P411" s="726"/>
      <c r="Q411" s="702">
        <v>35</v>
      </c>
    </row>
    <row r="412" spans="1:17" ht="14.45" customHeight="1" x14ac:dyDescent="0.2">
      <c r="A412" s="696" t="s">
        <v>4831</v>
      </c>
      <c r="B412" s="697" t="s">
        <v>4832</v>
      </c>
      <c r="C412" s="697" t="s">
        <v>2899</v>
      </c>
      <c r="D412" s="697" t="s">
        <v>4845</v>
      </c>
      <c r="E412" s="697" t="s">
        <v>4846</v>
      </c>
      <c r="F412" s="701">
        <v>39</v>
      </c>
      <c r="G412" s="701">
        <v>20475</v>
      </c>
      <c r="H412" s="701"/>
      <c r="I412" s="701">
        <v>525</v>
      </c>
      <c r="J412" s="701">
        <v>63</v>
      </c>
      <c r="K412" s="701">
        <v>33075</v>
      </c>
      <c r="L412" s="701"/>
      <c r="M412" s="701">
        <v>525</v>
      </c>
      <c r="N412" s="701">
        <v>156</v>
      </c>
      <c r="O412" s="701">
        <v>82056</v>
      </c>
      <c r="P412" s="726"/>
      <c r="Q412" s="702">
        <v>526</v>
      </c>
    </row>
    <row r="413" spans="1:17" ht="14.45" customHeight="1" x14ac:dyDescent="0.2">
      <c r="A413" s="696" t="s">
        <v>4831</v>
      </c>
      <c r="B413" s="697" t="s">
        <v>4832</v>
      </c>
      <c r="C413" s="697" t="s">
        <v>2899</v>
      </c>
      <c r="D413" s="697" t="s">
        <v>4847</v>
      </c>
      <c r="E413" s="697" t="s">
        <v>4848</v>
      </c>
      <c r="F413" s="701">
        <v>18</v>
      </c>
      <c r="G413" s="701">
        <v>1044</v>
      </c>
      <c r="H413" s="701"/>
      <c r="I413" s="701">
        <v>58</v>
      </c>
      <c r="J413" s="701">
        <v>26</v>
      </c>
      <c r="K413" s="701">
        <v>1508</v>
      </c>
      <c r="L413" s="701"/>
      <c r="M413" s="701">
        <v>58</v>
      </c>
      <c r="N413" s="701">
        <v>41</v>
      </c>
      <c r="O413" s="701">
        <v>2419</v>
      </c>
      <c r="P413" s="726"/>
      <c r="Q413" s="702">
        <v>59</v>
      </c>
    </row>
    <row r="414" spans="1:17" ht="14.45" customHeight="1" x14ac:dyDescent="0.2">
      <c r="A414" s="696" t="s">
        <v>4831</v>
      </c>
      <c r="B414" s="697" t="s">
        <v>4832</v>
      </c>
      <c r="C414" s="697" t="s">
        <v>2899</v>
      </c>
      <c r="D414" s="697" t="s">
        <v>4849</v>
      </c>
      <c r="E414" s="697" t="s">
        <v>4850</v>
      </c>
      <c r="F414" s="701">
        <v>11</v>
      </c>
      <c r="G414" s="701">
        <v>2486</v>
      </c>
      <c r="H414" s="701"/>
      <c r="I414" s="701">
        <v>226</v>
      </c>
      <c r="J414" s="701">
        <v>2</v>
      </c>
      <c r="K414" s="701">
        <v>454</v>
      </c>
      <c r="L414" s="701"/>
      <c r="M414" s="701">
        <v>227</v>
      </c>
      <c r="N414" s="701">
        <v>6</v>
      </c>
      <c r="O414" s="701">
        <v>1380</v>
      </c>
      <c r="P414" s="726"/>
      <c r="Q414" s="702">
        <v>230</v>
      </c>
    </row>
    <row r="415" spans="1:17" ht="14.45" customHeight="1" x14ac:dyDescent="0.2">
      <c r="A415" s="696" t="s">
        <v>4831</v>
      </c>
      <c r="B415" s="697" t="s">
        <v>4832</v>
      </c>
      <c r="C415" s="697" t="s">
        <v>2899</v>
      </c>
      <c r="D415" s="697" t="s">
        <v>4851</v>
      </c>
      <c r="E415" s="697" t="s">
        <v>4852</v>
      </c>
      <c r="F415" s="701">
        <v>11</v>
      </c>
      <c r="G415" s="701">
        <v>6105</v>
      </c>
      <c r="H415" s="701"/>
      <c r="I415" s="701">
        <v>555</v>
      </c>
      <c r="J415" s="701">
        <v>2</v>
      </c>
      <c r="K415" s="701">
        <v>1114</v>
      </c>
      <c r="L415" s="701"/>
      <c r="M415" s="701">
        <v>557</v>
      </c>
      <c r="N415" s="701">
        <v>6</v>
      </c>
      <c r="O415" s="701">
        <v>3378</v>
      </c>
      <c r="P415" s="726"/>
      <c r="Q415" s="702">
        <v>563</v>
      </c>
    </row>
    <row r="416" spans="1:17" ht="14.45" customHeight="1" x14ac:dyDescent="0.2">
      <c r="A416" s="696" t="s">
        <v>4831</v>
      </c>
      <c r="B416" s="697" t="s">
        <v>4832</v>
      </c>
      <c r="C416" s="697" t="s">
        <v>2899</v>
      </c>
      <c r="D416" s="697" t="s">
        <v>4853</v>
      </c>
      <c r="E416" s="697" t="s">
        <v>4854</v>
      </c>
      <c r="F416" s="701"/>
      <c r="G416" s="701"/>
      <c r="H416" s="701"/>
      <c r="I416" s="701"/>
      <c r="J416" s="701">
        <v>2</v>
      </c>
      <c r="K416" s="701">
        <v>434</v>
      </c>
      <c r="L416" s="701"/>
      <c r="M416" s="701">
        <v>217</v>
      </c>
      <c r="N416" s="701">
        <v>1</v>
      </c>
      <c r="O416" s="701">
        <v>222</v>
      </c>
      <c r="P416" s="726"/>
      <c r="Q416" s="702">
        <v>222</v>
      </c>
    </row>
    <row r="417" spans="1:17" ht="14.45" customHeight="1" x14ac:dyDescent="0.2">
      <c r="A417" s="696" t="s">
        <v>4831</v>
      </c>
      <c r="B417" s="697" t="s">
        <v>4832</v>
      </c>
      <c r="C417" s="697" t="s">
        <v>2899</v>
      </c>
      <c r="D417" s="697" t="s">
        <v>4855</v>
      </c>
      <c r="E417" s="697" t="s">
        <v>4856</v>
      </c>
      <c r="F417" s="701">
        <v>2</v>
      </c>
      <c r="G417" s="701">
        <v>286</v>
      </c>
      <c r="H417" s="701"/>
      <c r="I417" s="701">
        <v>143</v>
      </c>
      <c r="J417" s="701"/>
      <c r="K417" s="701"/>
      <c r="L417" s="701"/>
      <c r="M417" s="701"/>
      <c r="N417" s="701"/>
      <c r="O417" s="701"/>
      <c r="P417" s="726"/>
      <c r="Q417" s="702"/>
    </row>
    <row r="418" spans="1:17" ht="14.45" customHeight="1" x14ac:dyDescent="0.2">
      <c r="A418" s="696" t="s">
        <v>4831</v>
      </c>
      <c r="B418" s="697" t="s">
        <v>4832</v>
      </c>
      <c r="C418" s="697" t="s">
        <v>2899</v>
      </c>
      <c r="D418" s="697" t="s">
        <v>4857</v>
      </c>
      <c r="E418" s="697" t="s">
        <v>4858</v>
      </c>
      <c r="F418" s="701">
        <v>3</v>
      </c>
      <c r="G418" s="701">
        <v>432</v>
      </c>
      <c r="H418" s="701"/>
      <c r="I418" s="701">
        <v>144</v>
      </c>
      <c r="J418" s="701">
        <v>10</v>
      </c>
      <c r="K418" s="701">
        <v>1450</v>
      </c>
      <c r="L418" s="701"/>
      <c r="M418" s="701">
        <v>145</v>
      </c>
      <c r="N418" s="701">
        <v>4</v>
      </c>
      <c r="O418" s="701">
        <v>596</v>
      </c>
      <c r="P418" s="726"/>
      <c r="Q418" s="702">
        <v>149</v>
      </c>
    </row>
    <row r="419" spans="1:17" ht="14.45" customHeight="1" x14ac:dyDescent="0.2">
      <c r="A419" s="696" t="s">
        <v>4831</v>
      </c>
      <c r="B419" s="697" t="s">
        <v>4832</v>
      </c>
      <c r="C419" s="697" t="s">
        <v>2899</v>
      </c>
      <c r="D419" s="697" t="s">
        <v>4859</v>
      </c>
      <c r="E419" s="697" t="s">
        <v>4860</v>
      </c>
      <c r="F419" s="701">
        <v>9</v>
      </c>
      <c r="G419" s="701">
        <v>594</v>
      </c>
      <c r="H419" s="701"/>
      <c r="I419" s="701">
        <v>66</v>
      </c>
      <c r="J419" s="701">
        <v>30</v>
      </c>
      <c r="K419" s="701">
        <v>2010</v>
      </c>
      <c r="L419" s="701"/>
      <c r="M419" s="701">
        <v>67</v>
      </c>
      <c r="N419" s="701">
        <v>19</v>
      </c>
      <c r="O419" s="701">
        <v>1311</v>
      </c>
      <c r="P419" s="726"/>
      <c r="Q419" s="702">
        <v>69</v>
      </c>
    </row>
    <row r="420" spans="1:17" ht="14.45" customHeight="1" x14ac:dyDescent="0.2">
      <c r="A420" s="696" t="s">
        <v>4831</v>
      </c>
      <c r="B420" s="697" t="s">
        <v>4832</v>
      </c>
      <c r="C420" s="697" t="s">
        <v>2899</v>
      </c>
      <c r="D420" s="697" t="s">
        <v>4861</v>
      </c>
      <c r="E420" s="697" t="s">
        <v>4862</v>
      </c>
      <c r="F420" s="701">
        <v>1816</v>
      </c>
      <c r="G420" s="701">
        <v>250608</v>
      </c>
      <c r="H420" s="701"/>
      <c r="I420" s="701">
        <v>138</v>
      </c>
      <c r="J420" s="701">
        <v>2035</v>
      </c>
      <c r="K420" s="701">
        <v>282865</v>
      </c>
      <c r="L420" s="701"/>
      <c r="M420" s="701">
        <v>139</v>
      </c>
      <c r="N420" s="701">
        <v>2315</v>
      </c>
      <c r="O420" s="701">
        <v>331045</v>
      </c>
      <c r="P420" s="726"/>
      <c r="Q420" s="702">
        <v>143</v>
      </c>
    </row>
    <row r="421" spans="1:17" ht="14.45" customHeight="1" x14ac:dyDescent="0.2">
      <c r="A421" s="696" t="s">
        <v>4831</v>
      </c>
      <c r="B421" s="697" t="s">
        <v>4832</v>
      </c>
      <c r="C421" s="697" t="s">
        <v>2899</v>
      </c>
      <c r="D421" s="697" t="s">
        <v>4863</v>
      </c>
      <c r="E421" s="697" t="s">
        <v>4864</v>
      </c>
      <c r="F421" s="701">
        <v>795</v>
      </c>
      <c r="G421" s="701">
        <v>73140</v>
      </c>
      <c r="H421" s="701"/>
      <c r="I421" s="701">
        <v>92</v>
      </c>
      <c r="J421" s="701">
        <v>936</v>
      </c>
      <c r="K421" s="701">
        <v>87048</v>
      </c>
      <c r="L421" s="701"/>
      <c r="M421" s="701">
        <v>93</v>
      </c>
      <c r="N421" s="701">
        <v>1146</v>
      </c>
      <c r="O421" s="701">
        <v>114600</v>
      </c>
      <c r="P421" s="726"/>
      <c r="Q421" s="702">
        <v>100</v>
      </c>
    </row>
    <row r="422" spans="1:17" ht="14.45" customHeight="1" x14ac:dyDescent="0.2">
      <c r="A422" s="696" t="s">
        <v>4831</v>
      </c>
      <c r="B422" s="697" t="s">
        <v>4832</v>
      </c>
      <c r="C422" s="697" t="s">
        <v>2899</v>
      </c>
      <c r="D422" s="697" t="s">
        <v>4865</v>
      </c>
      <c r="E422" s="697" t="s">
        <v>4866</v>
      </c>
      <c r="F422" s="701">
        <v>6</v>
      </c>
      <c r="G422" s="701">
        <v>840</v>
      </c>
      <c r="H422" s="701"/>
      <c r="I422" s="701">
        <v>140</v>
      </c>
      <c r="J422" s="701">
        <v>5</v>
      </c>
      <c r="K422" s="701">
        <v>705</v>
      </c>
      <c r="L422" s="701"/>
      <c r="M422" s="701">
        <v>141</v>
      </c>
      <c r="N422" s="701">
        <v>4</v>
      </c>
      <c r="O422" s="701">
        <v>576</v>
      </c>
      <c r="P422" s="726"/>
      <c r="Q422" s="702">
        <v>144</v>
      </c>
    </row>
    <row r="423" spans="1:17" ht="14.45" customHeight="1" x14ac:dyDescent="0.2">
      <c r="A423" s="696" t="s">
        <v>4831</v>
      </c>
      <c r="B423" s="697" t="s">
        <v>4832</v>
      </c>
      <c r="C423" s="697" t="s">
        <v>2899</v>
      </c>
      <c r="D423" s="697" t="s">
        <v>4867</v>
      </c>
      <c r="E423" s="697" t="s">
        <v>4868</v>
      </c>
      <c r="F423" s="701">
        <v>134</v>
      </c>
      <c r="G423" s="701">
        <v>8978</v>
      </c>
      <c r="H423" s="701"/>
      <c r="I423" s="701">
        <v>67</v>
      </c>
      <c r="J423" s="701">
        <v>145</v>
      </c>
      <c r="K423" s="701">
        <v>9715</v>
      </c>
      <c r="L423" s="701"/>
      <c r="M423" s="701">
        <v>67</v>
      </c>
      <c r="N423" s="701">
        <v>180</v>
      </c>
      <c r="O423" s="701">
        <v>12240</v>
      </c>
      <c r="P423" s="726"/>
      <c r="Q423" s="702">
        <v>68</v>
      </c>
    </row>
    <row r="424" spans="1:17" ht="14.45" customHeight="1" x14ac:dyDescent="0.2">
      <c r="A424" s="696" t="s">
        <v>4831</v>
      </c>
      <c r="B424" s="697" t="s">
        <v>4832</v>
      </c>
      <c r="C424" s="697" t="s">
        <v>2899</v>
      </c>
      <c r="D424" s="697" t="s">
        <v>4720</v>
      </c>
      <c r="E424" s="697" t="s">
        <v>4721</v>
      </c>
      <c r="F424" s="701">
        <v>62</v>
      </c>
      <c r="G424" s="701">
        <v>20398</v>
      </c>
      <c r="H424" s="701"/>
      <c r="I424" s="701">
        <v>329</v>
      </c>
      <c r="J424" s="701">
        <v>128</v>
      </c>
      <c r="K424" s="701">
        <v>42112</v>
      </c>
      <c r="L424" s="701"/>
      <c r="M424" s="701">
        <v>329</v>
      </c>
      <c r="N424" s="701">
        <v>145</v>
      </c>
      <c r="O424" s="701">
        <v>47850</v>
      </c>
      <c r="P424" s="726"/>
      <c r="Q424" s="702">
        <v>330</v>
      </c>
    </row>
    <row r="425" spans="1:17" ht="14.45" customHeight="1" x14ac:dyDescent="0.2">
      <c r="A425" s="696" t="s">
        <v>4831</v>
      </c>
      <c r="B425" s="697" t="s">
        <v>4832</v>
      </c>
      <c r="C425" s="697" t="s">
        <v>2899</v>
      </c>
      <c r="D425" s="697" t="s">
        <v>4869</v>
      </c>
      <c r="E425" s="697" t="s">
        <v>4870</v>
      </c>
      <c r="F425" s="701">
        <v>128</v>
      </c>
      <c r="G425" s="701">
        <v>6656</v>
      </c>
      <c r="H425" s="701"/>
      <c r="I425" s="701">
        <v>52</v>
      </c>
      <c r="J425" s="701">
        <v>162</v>
      </c>
      <c r="K425" s="701">
        <v>8424</v>
      </c>
      <c r="L425" s="701"/>
      <c r="M425" s="701">
        <v>52</v>
      </c>
      <c r="N425" s="701">
        <v>190</v>
      </c>
      <c r="O425" s="701">
        <v>10070</v>
      </c>
      <c r="P425" s="726"/>
      <c r="Q425" s="702">
        <v>53</v>
      </c>
    </row>
    <row r="426" spans="1:17" ht="14.45" customHeight="1" x14ac:dyDescent="0.2">
      <c r="A426" s="696" t="s">
        <v>4831</v>
      </c>
      <c r="B426" s="697" t="s">
        <v>4832</v>
      </c>
      <c r="C426" s="697" t="s">
        <v>2899</v>
      </c>
      <c r="D426" s="697" t="s">
        <v>4871</v>
      </c>
      <c r="E426" s="697" t="s">
        <v>4872</v>
      </c>
      <c r="F426" s="701">
        <v>4</v>
      </c>
      <c r="G426" s="701">
        <v>836</v>
      </c>
      <c r="H426" s="701"/>
      <c r="I426" s="701">
        <v>209</v>
      </c>
      <c r="J426" s="701">
        <v>11</v>
      </c>
      <c r="K426" s="701">
        <v>2321</v>
      </c>
      <c r="L426" s="701"/>
      <c r="M426" s="701">
        <v>211</v>
      </c>
      <c r="N426" s="701">
        <v>7</v>
      </c>
      <c r="O426" s="701">
        <v>1554</v>
      </c>
      <c r="P426" s="726"/>
      <c r="Q426" s="702">
        <v>222</v>
      </c>
    </row>
    <row r="427" spans="1:17" ht="14.45" customHeight="1" x14ac:dyDescent="0.2">
      <c r="A427" s="696" t="s">
        <v>4831</v>
      </c>
      <c r="B427" s="697" t="s">
        <v>4832</v>
      </c>
      <c r="C427" s="697" t="s">
        <v>2899</v>
      </c>
      <c r="D427" s="697" t="s">
        <v>4873</v>
      </c>
      <c r="E427" s="697" t="s">
        <v>4874</v>
      </c>
      <c r="F427" s="701">
        <v>49</v>
      </c>
      <c r="G427" s="701">
        <v>30135</v>
      </c>
      <c r="H427" s="701"/>
      <c r="I427" s="701">
        <v>615</v>
      </c>
      <c r="J427" s="701">
        <v>70</v>
      </c>
      <c r="K427" s="701">
        <v>43190</v>
      </c>
      <c r="L427" s="701"/>
      <c r="M427" s="701">
        <v>617</v>
      </c>
      <c r="N427" s="701">
        <v>119</v>
      </c>
      <c r="O427" s="701">
        <v>74494</v>
      </c>
      <c r="P427" s="726"/>
      <c r="Q427" s="702">
        <v>626</v>
      </c>
    </row>
    <row r="428" spans="1:17" ht="14.45" customHeight="1" x14ac:dyDescent="0.2">
      <c r="A428" s="696" t="s">
        <v>4831</v>
      </c>
      <c r="B428" s="697" t="s">
        <v>4832</v>
      </c>
      <c r="C428" s="697" t="s">
        <v>2899</v>
      </c>
      <c r="D428" s="697" t="s">
        <v>4875</v>
      </c>
      <c r="E428" s="697" t="s">
        <v>4876</v>
      </c>
      <c r="F428" s="701">
        <v>2</v>
      </c>
      <c r="G428" s="701">
        <v>3582</v>
      </c>
      <c r="H428" s="701"/>
      <c r="I428" s="701">
        <v>1791</v>
      </c>
      <c r="J428" s="701"/>
      <c r="K428" s="701"/>
      <c r="L428" s="701"/>
      <c r="M428" s="701"/>
      <c r="N428" s="701"/>
      <c r="O428" s="701"/>
      <c r="P428" s="726"/>
      <c r="Q428" s="702"/>
    </row>
    <row r="429" spans="1:17" ht="14.45" customHeight="1" x14ac:dyDescent="0.2">
      <c r="A429" s="696" t="s">
        <v>4831</v>
      </c>
      <c r="B429" s="697" t="s">
        <v>4832</v>
      </c>
      <c r="C429" s="697" t="s">
        <v>2899</v>
      </c>
      <c r="D429" s="697" t="s">
        <v>4877</v>
      </c>
      <c r="E429" s="697" t="s">
        <v>4878</v>
      </c>
      <c r="F429" s="701"/>
      <c r="G429" s="701"/>
      <c r="H429" s="701"/>
      <c r="I429" s="701"/>
      <c r="J429" s="701">
        <v>2</v>
      </c>
      <c r="K429" s="701">
        <v>552</v>
      </c>
      <c r="L429" s="701"/>
      <c r="M429" s="701">
        <v>276</v>
      </c>
      <c r="N429" s="701"/>
      <c r="O429" s="701"/>
      <c r="P429" s="726"/>
      <c r="Q429" s="702"/>
    </row>
    <row r="430" spans="1:17" ht="14.45" customHeight="1" x14ac:dyDescent="0.2">
      <c r="A430" s="696" t="s">
        <v>4831</v>
      </c>
      <c r="B430" s="697" t="s">
        <v>4832</v>
      </c>
      <c r="C430" s="697" t="s">
        <v>2899</v>
      </c>
      <c r="D430" s="697" t="s">
        <v>4879</v>
      </c>
      <c r="E430" s="697" t="s">
        <v>4880</v>
      </c>
      <c r="F430" s="701">
        <v>2</v>
      </c>
      <c r="G430" s="701">
        <v>94</v>
      </c>
      <c r="H430" s="701"/>
      <c r="I430" s="701">
        <v>47</v>
      </c>
      <c r="J430" s="701">
        <v>4</v>
      </c>
      <c r="K430" s="701">
        <v>188</v>
      </c>
      <c r="L430" s="701"/>
      <c r="M430" s="701">
        <v>47</v>
      </c>
      <c r="N430" s="701"/>
      <c r="O430" s="701"/>
      <c r="P430" s="726"/>
      <c r="Q430" s="702"/>
    </row>
    <row r="431" spans="1:17" ht="14.45" customHeight="1" x14ac:dyDescent="0.2">
      <c r="A431" s="696" t="s">
        <v>4831</v>
      </c>
      <c r="B431" s="697" t="s">
        <v>4832</v>
      </c>
      <c r="C431" s="697" t="s">
        <v>2899</v>
      </c>
      <c r="D431" s="697" t="s">
        <v>4881</v>
      </c>
      <c r="E431" s="697" t="s">
        <v>4882</v>
      </c>
      <c r="F431" s="701">
        <v>13</v>
      </c>
      <c r="G431" s="701">
        <v>19448</v>
      </c>
      <c r="H431" s="701"/>
      <c r="I431" s="701">
        <v>1496</v>
      </c>
      <c r="J431" s="701">
        <v>18</v>
      </c>
      <c r="K431" s="701">
        <v>26964</v>
      </c>
      <c r="L431" s="701"/>
      <c r="M431" s="701">
        <v>1498</v>
      </c>
      <c r="N431" s="701">
        <v>23</v>
      </c>
      <c r="O431" s="701">
        <v>34592</v>
      </c>
      <c r="P431" s="726"/>
      <c r="Q431" s="702">
        <v>1504</v>
      </c>
    </row>
    <row r="432" spans="1:17" ht="14.45" customHeight="1" x14ac:dyDescent="0.2">
      <c r="A432" s="696" t="s">
        <v>4831</v>
      </c>
      <c r="B432" s="697" t="s">
        <v>4832</v>
      </c>
      <c r="C432" s="697" t="s">
        <v>2899</v>
      </c>
      <c r="D432" s="697" t="s">
        <v>4883</v>
      </c>
      <c r="E432" s="697" t="s">
        <v>4884</v>
      </c>
      <c r="F432" s="701">
        <v>10</v>
      </c>
      <c r="G432" s="701">
        <v>3290</v>
      </c>
      <c r="H432" s="701"/>
      <c r="I432" s="701">
        <v>329</v>
      </c>
      <c r="J432" s="701">
        <v>34</v>
      </c>
      <c r="K432" s="701">
        <v>11254</v>
      </c>
      <c r="L432" s="701"/>
      <c r="M432" s="701">
        <v>331</v>
      </c>
      <c r="N432" s="701">
        <v>84</v>
      </c>
      <c r="O432" s="701">
        <v>28476</v>
      </c>
      <c r="P432" s="726"/>
      <c r="Q432" s="702">
        <v>339</v>
      </c>
    </row>
    <row r="433" spans="1:17" ht="14.45" customHeight="1" x14ac:dyDescent="0.2">
      <c r="A433" s="696" t="s">
        <v>4831</v>
      </c>
      <c r="B433" s="697" t="s">
        <v>4832</v>
      </c>
      <c r="C433" s="697" t="s">
        <v>2899</v>
      </c>
      <c r="D433" s="697" t="s">
        <v>4885</v>
      </c>
      <c r="E433" s="697" t="s">
        <v>4886</v>
      </c>
      <c r="F433" s="701">
        <v>5</v>
      </c>
      <c r="G433" s="701">
        <v>4455</v>
      </c>
      <c r="H433" s="701"/>
      <c r="I433" s="701">
        <v>891</v>
      </c>
      <c r="J433" s="701">
        <v>69</v>
      </c>
      <c r="K433" s="701">
        <v>61686</v>
      </c>
      <c r="L433" s="701"/>
      <c r="M433" s="701">
        <v>894</v>
      </c>
      <c r="N433" s="701">
        <v>5</v>
      </c>
      <c r="O433" s="701">
        <v>4545</v>
      </c>
      <c r="P433" s="726"/>
      <c r="Q433" s="702">
        <v>909</v>
      </c>
    </row>
    <row r="434" spans="1:17" ht="14.45" customHeight="1" x14ac:dyDescent="0.2">
      <c r="A434" s="696" t="s">
        <v>4831</v>
      </c>
      <c r="B434" s="697" t="s">
        <v>4832</v>
      </c>
      <c r="C434" s="697" t="s">
        <v>2899</v>
      </c>
      <c r="D434" s="697" t="s">
        <v>4887</v>
      </c>
      <c r="E434" s="697" t="s">
        <v>4888</v>
      </c>
      <c r="F434" s="701">
        <v>1126</v>
      </c>
      <c r="G434" s="701">
        <v>295012</v>
      </c>
      <c r="H434" s="701"/>
      <c r="I434" s="701">
        <v>262</v>
      </c>
      <c r="J434" s="701">
        <v>1394</v>
      </c>
      <c r="K434" s="701">
        <v>368016</v>
      </c>
      <c r="L434" s="701"/>
      <c r="M434" s="701">
        <v>264</v>
      </c>
      <c r="N434" s="701">
        <v>1503</v>
      </c>
      <c r="O434" s="701">
        <v>402804</v>
      </c>
      <c r="P434" s="726"/>
      <c r="Q434" s="702">
        <v>268</v>
      </c>
    </row>
    <row r="435" spans="1:17" ht="14.45" customHeight="1" x14ac:dyDescent="0.2">
      <c r="A435" s="696" t="s">
        <v>4831</v>
      </c>
      <c r="B435" s="697" t="s">
        <v>4832</v>
      </c>
      <c r="C435" s="697" t="s">
        <v>2899</v>
      </c>
      <c r="D435" s="697" t="s">
        <v>4889</v>
      </c>
      <c r="E435" s="697" t="s">
        <v>4890</v>
      </c>
      <c r="F435" s="701">
        <v>57</v>
      </c>
      <c r="G435" s="701">
        <v>9462</v>
      </c>
      <c r="H435" s="701"/>
      <c r="I435" s="701">
        <v>166</v>
      </c>
      <c r="J435" s="701">
        <v>178</v>
      </c>
      <c r="K435" s="701">
        <v>29726</v>
      </c>
      <c r="L435" s="701"/>
      <c r="M435" s="701">
        <v>167</v>
      </c>
      <c r="N435" s="701">
        <v>235</v>
      </c>
      <c r="O435" s="701">
        <v>39715</v>
      </c>
      <c r="P435" s="726"/>
      <c r="Q435" s="702">
        <v>169</v>
      </c>
    </row>
    <row r="436" spans="1:17" ht="14.45" customHeight="1" x14ac:dyDescent="0.2">
      <c r="A436" s="696" t="s">
        <v>4831</v>
      </c>
      <c r="B436" s="697" t="s">
        <v>4832</v>
      </c>
      <c r="C436" s="697" t="s">
        <v>2899</v>
      </c>
      <c r="D436" s="697" t="s">
        <v>4891</v>
      </c>
      <c r="E436" s="697" t="s">
        <v>4892</v>
      </c>
      <c r="F436" s="701">
        <v>12</v>
      </c>
      <c r="G436" s="701">
        <v>1824</v>
      </c>
      <c r="H436" s="701"/>
      <c r="I436" s="701">
        <v>152</v>
      </c>
      <c r="J436" s="701">
        <v>2</v>
      </c>
      <c r="K436" s="701">
        <v>306</v>
      </c>
      <c r="L436" s="701"/>
      <c r="M436" s="701">
        <v>153</v>
      </c>
      <c r="N436" s="701">
        <v>7</v>
      </c>
      <c r="O436" s="701">
        <v>1120</v>
      </c>
      <c r="P436" s="726"/>
      <c r="Q436" s="702">
        <v>160</v>
      </c>
    </row>
    <row r="437" spans="1:17" ht="14.45" customHeight="1" x14ac:dyDescent="0.2">
      <c r="A437" s="696" t="s">
        <v>4831</v>
      </c>
      <c r="B437" s="697" t="s">
        <v>4832</v>
      </c>
      <c r="C437" s="697" t="s">
        <v>2899</v>
      </c>
      <c r="D437" s="697" t="s">
        <v>4893</v>
      </c>
      <c r="E437" s="697" t="s">
        <v>4894</v>
      </c>
      <c r="F437" s="701"/>
      <c r="G437" s="701"/>
      <c r="H437" s="701"/>
      <c r="I437" s="701"/>
      <c r="J437" s="701"/>
      <c r="K437" s="701"/>
      <c r="L437" s="701"/>
      <c r="M437" s="701"/>
      <c r="N437" s="701">
        <v>113</v>
      </c>
      <c r="O437" s="701">
        <v>129934</v>
      </c>
      <c r="P437" s="726"/>
      <c r="Q437" s="702">
        <v>1149.858407079646</v>
      </c>
    </row>
    <row r="438" spans="1:17" ht="14.45" customHeight="1" x14ac:dyDescent="0.2">
      <c r="A438" s="696" t="s">
        <v>4831</v>
      </c>
      <c r="B438" s="697" t="s">
        <v>4832</v>
      </c>
      <c r="C438" s="697" t="s">
        <v>2899</v>
      </c>
      <c r="D438" s="697" t="s">
        <v>4895</v>
      </c>
      <c r="E438" s="697" t="s">
        <v>4894</v>
      </c>
      <c r="F438" s="701"/>
      <c r="G438" s="701"/>
      <c r="H438" s="701"/>
      <c r="I438" s="701"/>
      <c r="J438" s="701"/>
      <c r="K438" s="701"/>
      <c r="L438" s="701"/>
      <c r="M438" s="701"/>
      <c r="N438" s="701">
        <v>6</v>
      </c>
      <c r="O438" s="701">
        <v>7860</v>
      </c>
      <c r="P438" s="726"/>
      <c r="Q438" s="702">
        <v>1310</v>
      </c>
    </row>
    <row r="439" spans="1:17" ht="14.45" customHeight="1" x14ac:dyDescent="0.2">
      <c r="A439" s="696" t="s">
        <v>4831</v>
      </c>
      <c r="B439" s="697" t="s">
        <v>4832</v>
      </c>
      <c r="C439" s="697" t="s">
        <v>2899</v>
      </c>
      <c r="D439" s="697" t="s">
        <v>4896</v>
      </c>
      <c r="E439" s="697" t="s">
        <v>4897</v>
      </c>
      <c r="F439" s="701"/>
      <c r="G439" s="701"/>
      <c r="H439" s="701"/>
      <c r="I439" s="701"/>
      <c r="J439" s="701"/>
      <c r="K439" s="701"/>
      <c r="L439" s="701"/>
      <c r="M439" s="701"/>
      <c r="N439" s="701">
        <v>35</v>
      </c>
      <c r="O439" s="701">
        <v>74620</v>
      </c>
      <c r="P439" s="726"/>
      <c r="Q439" s="702">
        <v>2132</v>
      </c>
    </row>
    <row r="440" spans="1:17" ht="14.45" customHeight="1" x14ac:dyDescent="0.2">
      <c r="A440" s="696" t="s">
        <v>4898</v>
      </c>
      <c r="B440" s="697" t="s">
        <v>4415</v>
      </c>
      <c r="C440" s="697" t="s">
        <v>2899</v>
      </c>
      <c r="D440" s="697" t="s">
        <v>4899</v>
      </c>
      <c r="E440" s="697" t="s">
        <v>4900</v>
      </c>
      <c r="F440" s="701"/>
      <c r="G440" s="701"/>
      <c r="H440" s="701"/>
      <c r="I440" s="701"/>
      <c r="J440" s="701"/>
      <c r="K440" s="701"/>
      <c r="L440" s="701"/>
      <c r="M440" s="701"/>
      <c r="N440" s="701">
        <v>1</v>
      </c>
      <c r="O440" s="701">
        <v>3981</v>
      </c>
      <c r="P440" s="726"/>
      <c r="Q440" s="702">
        <v>3981</v>
      </c>
    </row>
    <row r="441" spans="1:17" ht="14.45" customHeight="1" x14ac:dyDescent="0.2">
      <c r="A441" s="696" t="s">
        <v>4898</v>
      </c>
      <c r="B441" s="697" t="s">
        <v>4415</v>
      </c>
      <c r="C441" s="697" t="s">
        <v>2899</v>
      </c>
      <c r="D441" s="697" t="s">
        <v>4901</v>
      </c>
      <c r="E441" s="697" t="s">
        <v>4902</v>
      </c>
      <c r="F441" s="701"/>
      <c r="G441" s="701"/>
      <c r="H441" s="701"/>
      <c r="I441" s="701"/>
      <c r="J441" s="701">
        <v>1</v>
      </c>
      <c r="K441" s="701">
        <v>663</v>
      </c>
      <c r="L441" s="701"/>
      <c r="M441" s="701">
        <v>663</v>
      </c>
      <c r="N441" s="701"/>
      <c r="O441" s="701"/>
      <c r="P441" s="726"/>
      <c r="Q441" s="702"/>
    </row>
    <row r="442" spans="1:17" ht="14.45" customHeight="1" x14ac:dyDescent="0.2">
      <c r="A442" s="696" t="s">
        <v>4898</v>
      </c>
      <c r="B442" s="697" t="s">
        <v>4415</v>
      </c>
      <c r="C442" s="697" t="s">
        <v>2899</v>
      </c>
      <c r="D442" s="697" t="s">
        <v>4903</v>
      </c>
      <c r="E442" s="697" t="s">
        <v>4904</v>
      </c>
      <c r="F442" s="701"/>
      <c r="G442" s="701"/>
      <c r="H442" s="701"/>
      <c r="I442" s="701"/>
      <c r="J442" s="701"/>
      <c r="K442" s="701"/>
      <c r="L442" s="701"/>
      <c r="M442" s="701"/>
      <c r="N442" s="701">
        <v>3</v>
      </c>
      <c r="O442" s="701">
        <v>3282</v>
      </c>
      <c r="P442" s="726"/>
      <c r="Q442" s="702">
        <v>1094</v>
      </c>
    </row>
    <row r="443" spans="1:17" ht="14.45" customHeight="1" x14ac:dyDescent="0.2">
      <c r="A443" s="696" t="s">
        <v>4898</v>
      </c>
      <c r="B443" s="697" t="s">
        <v>4415</v>
      </c>
      <c r="C443" s="697" t="s">
        <v>2899</v>
      </c>
      <c r="D443" s="697" t="s">
        <v>4905</v>
      </c>
      <c r="E443" s="697" t="s">
        <v>4906</v>
      </c>
      <c r="F443" s="701"/>
      <c r="G443" s="701"/>
      <c r="H443" s="701"/>
      <c r="I443" s="701"/>
      <c r="J443" s="701"/>
      <c r="K443" s="701"/>
      <c r="L443" s="701"/>
      <c r="M443" s="701"/>
      <c r="N443" s="701">
        <v>1</v>
      </c>
      <c r="O443" s="701">
        <v>1173</v>
      </c>
      <c r="P443" s="726"/>
      <c r="Q443" s="702">
        <v>1173</v>
      </c>
    </row>
    <row r="444" spans="1:17" ht="14.45" customHeight="1" x14ac:dyDescent="0.2">
      <c r="A444" s="696" t="s">
        <v>4898</v>
      </c>
      <c r="B444" s="697" t="s">
        <v>4415</v>
      </c>
      <c r="C444" s="697" t="s">
        <v>2899</v>
      </c>
      <c r="D444" s="697" t="s">
        <v>4907</v>
      </c>
      <c r="E444" s="697" t="s">
        <v>4908</v>
      </c>
      <c r="F444" s="701">
        <v>4</v>
      </c>
      <c r="G444" s="701">
        <v>3384</v>
      </c>
      <c r="H444" s="701"/>
      <c r="I444" s="701">
        <v>846</v>
      </c>
      <c r="J444" s="701"/>
      <c r="K444" s="701"/>
      <c r="L444" s="701"/>
      <c r="M444" s="701"/>
      <c r="N444" s="701"/>
      <c r="O444" s="701"/>
      <c r="P444" s="726"/>
      <c r="Q444" s="702"/>
    </row>
    <row r="445" spans="1:17" ht="14.45" customHeight="1" x14ac:dyDescent="0.2">
      <c r="A445" s="696" t="s">
        <v>4898</v>
      </c>
      <c r="B445" s="697" t="s">
        <v>4415</v>
      </c>
      <c r="C445" s="697" t="s">
        <v>2899</v>
      </c>
      <c r="D445" s="697" t="s">
        <v>4909</v>
      </c>
      <c r="E445" s="697" t="s">
        <v>4910</v>
      </c>
      <c r="F445" s="701"/>
      <c r="G445" s="701"/>
      <c r="H445" s="701"/>
      <c r="I445" s="701"/>
      <c r="J445" s="701">
        <v>1</v>
      </c>
      <c r="K445" s="701">
        <v>808</v>
      </c>
      <c r="L445" s="701"/>
      <c r="M445" s="701">
        <v>808</v>
      </c>
      <c r="N445" s="701">
        <v>2</v>
      </c>
      <c r="O445" s="701">
        <v>1622</v>
      </c>
      <c r="P445" s="726"/>
      <c r="Q445" s="702">
        <v>811</v>
      </c>
    </row>
    <row r="446" spans="1:17" ht="14.45" customHeight="1" x14ac:dyDescent="0.2">
      <c r="A446" s="696" t="s">
        <v>4898</v>
      </c>
      <c r="B446" s="697" t="s">
        <v>4415</v>
      </c>
      <c r="C446" s="697" t="s">
        <v>2899</v>
      </c>
      <c r="D446" s="697" t="s">
        <v>4911</v>
      </c>
      <c r="E446" s="697" t="s">
        <v>4912</v>
      </c>
      <c r="F446" s="701"/>
      <c r="G446" s="701"/>
      <c r="H446" s="701"/>
      <c r="I446" s="701"/>
      <c r="J446" s="701">
        <v>1</v>
      </c>
      <c r="K446" s="701">
        <v>808</v>
      </c>
      <c r="L446" s="701"/>
      <c r="M446" s="701">
        <v>808</v>
      </c>
      <c r="N446" s="701">
        <v>2</v>
      </c>
      <c r="O446" s="701">
        <v>1622</v>
      </c>
      <c r="P446" s="726"/>
      <c r="Q446" s="702">
        <v>811</v>
      </c>
    </row>
    <row r="447" spans="1:17" ht="14.45" customHeight="1" x14ac:dyDescent="0.2">
      <c r="A447" s="696" t="s">
        <v>4898</v>
      </c>
      <c r="B447" s="697" t="s">
        <v>4415</v>
      </c>
      <c r="C447" s="697" t="s">
        <v>2899</v>
      </c>
      <c r="D447" s="697" t="s">
        <v>4229</v>
      </c>
      <c r="E447" s="697" t="s">
        <v>4230</v>
      </c>
      <c r="F447" s="701">
        <v>8</v>
      </c>
      <c r="G447" s="701">
        <v>1344</v>
      </c>
      <c r="H447" s="701"/>
      <c r="I447" s="701">
        <v>168</v>
      </c>
      <c r="J447" s="701">
        <v>22</v>
      </c>
      <c r="K447" s="701">
        <v>3696</v>
      </c>
      <c r="L447" s="701"/>
      <c r="M447" s="701">
        <v>168</v>
      </c>
      <c r="N447" s="701">
        <v>27</v>
      </c>
      <c r="O447" s="701">
        <v>4563</v>
      </c>
      <c r="P447" s="726"/>
      <c r="Q447" s="702">
        <v>169</v>
      </c>
    </row>
    <row r="448" spans="1:17" ht="14.45" customHeight="1" x14ac:dyDescent="0.2">
      <c r="A448" s="696" t="s">
        <v>4898</v>
      </c>
      <c r="B448" s="697" t="s">
        <v>4415</v>
      </c>
      <c r="C448" s="697" t="s">
        <v>2899</v>
      </c>
      <c r="D448" s="697" t="s">
        <v>4913</v>
      </c>
      <c r="E448" s="697" t="s">
        <v>4914</v>
      </c>
      <c r="F448" s="701">
        <v>9</v>
      </c>
      <c r="G448" s="701">
        <v>1575</v>
      </c>
      <c r="H448" s="701"/>
      <c r="I448" s="701">
        <v>175</v>
      </c>
      <c r="J448" s="701">
        <v>20</v>
      </c>
      <c r="K448" s="701">
        <v>3500</v>
      </c>
      <c r="L448" s="701"/>
      <c r="M448" s="701">
        <v>175</v>
      </c>
      <c r="N448" s="701">
        <v>25</v>
      </c>
      <c r="O448" s="701">
        <v>4400</v>
      </c>
      <c r="P448" s="726"/>
      <c r="Q448" s="702">
        <v>176</v>
      </c>
    </row>
    <row r="449" spans="1:17" ht="14.45" customHeight="1" x14ac:dyDescent="0.2">
      <c r="A449" s="696" t="s">
        <v>4898</v>
      </c>
      <c r="B449" s="697" t="s">
        <v>4415</v>
      </c>
      <c r="C449" s="697" t="s">
        <v>2899</v>
      </c>
      <c r="D449" s="697" t="s">
        <v>4237</v>
      </c>
      <c r="E449" s="697" t="s">
        <v>4238</v>
      </c>
      <c r="F449" s="701"/>
      <c r="G449" s="701"/>
      <c r="H449" s="701"/>
      <c r="I449" s="701"/>
      <c r="J449" s="701">
        <v>1</v>
      </c>
      <c r="K449" s="701">
        <v>354</v>
      </c>
      <c r="L449" s="701"/>
      <c r="M449" s="701">
        <v>354</v>
      </c>
      <c r="N449" s="701">
        <v>1</v>
      </c>
      <c r="O449" s="701">
        <v>356</v>
      </c>
      <c r="P449" s="726"/>
      <c r="Q449" s="702">
        <v>356</v>
      </c>
    </row>
    <row r="450" spans="1:17" ht="14.45" customHeight="1" x14ac:dyDescent="0.2">
      <c r="A450" s="696" t="s">
        <v>4898</v>
      </c>
      <c r="B450" s="697" t="s">
        <v>4415</v>
      </c>
      <c r="C450" s="697" t="s">
        <v>2899</v>
      </c>
      <c r="D450" s="697" t="s">
        <v>4915</v>
      </c>
      <c r="E450" s="697" t="s">
        <v>4916</v>
      </c>
      <c r="F450" s="701"/>
      <c r="G450" s="701"/>
      <c r="H450" s="701"/>
      <c r="I450" s="701"/>
      <c r="J450" s="701">
        <v>1</v>
      </c>
      <c r="K450" s="701">
        <v>552</v>
      </c>
      <c r="L450" s="701"/>
      <c r="M450" s="701">
        <v>552</v>
      </c>
      <c r="N450" s="701">
        <v>1</v>
      </c>
      <c r="O450" s="701">
        <v>555</v>
      </c>
      <c r="P450" s="726"/>
      <c r="Q450" s="702">
        <v>555</v>
      </c>
    </row>
    <row r="451" spans="1:17" ht="14.45" customHeight="1" x14ac:dyDescent="0.2">
      <c r="A451" s="696" t="s">
        <v>4898</v>
      </c>
      <c r="B451" s="697" t="s">
        <v>4415</v>
      </c>
      <c r="C451" s="697" t="s">
        <v>2899</v>
      </c>
      <c r="D451" s="697" t="s">
        <v>4917</v>
      </c>
      <c r="E451" s="697" t="s">
        <v>4918</v>
      </c>
      <c r="F451" s="701"/>
      <c r="G451" s="701"/>
      <c r="H451" s="701"/>
      <c r="I451" s="701"/>
      <c r="J451" s="701"/>
      <c r="K451" s="701"/>
      <c r="L451" s="701"/>
      <c r="M451" s="701"/>
      <c r="N451" s="701">
        <v>1</v>
      </c>
      <c r="O451" s="701">
        <v>660</v>
      </c>
      <c r="P451" s="726"/>
      <c r="Q451" s="702">
        <v>660</v>
      </c>
    </row>
    <row r="452" spans="1:17" ht="14.45" customHeight="1" x14ac:dyDescent="0.2">
      <c r="A452" s="696" t="s">
        <v>4898</v>
      </c>
      <c r="B452" s="697" t="s">
        <v>4415</v>
      </c>
      <c r="C452" s="697" t="s">
        <v>2899</v>
      </c>
      <c r="D452" s="697" t="s">
        <v>4919</v>
      </c>
      <c r="E452" s="697" t="s">
        <v>4920</v>
      </c>
      <c r="F452" s="701"/>
      <c r="G452" s="701"/>
      <c r="H452" s="701"/>
      <c r="I452" s="701"/>
      <c r="J452" s="701"/>
      <c r="K452" s="701"/>
      <c r="L452" s="701"/>
      <c r="M452" s="701"/>
      <c r="N452" s="701">
        <v>1</v>
      </c>
      <c r="O452" s="701">
        <v>660</v>
      </c>
      <c r="P452" s="726"/>
      <c r="Q452" s="702">
        <v>660</v>
      </c>
    </row>
    <row r="453" spans="1:17" ht="14.45" customHeight="1" x14ac:dyDescent="0.2">
      <c r="A453" s="696" t="s">
        <v>4898</v>
      </c>
      <c r="B453" s="697" t="s">
        <v>4415</v>
      </c>
      <c r="C453" s="697" t="s">
        <v>2899</v>
      </c>
      <c r="D453" s="697" t="s">
        <v>4921</v>
      </c>
      <c r="E453" s="697" t="s">
        <v>4922</v>
      </c>
      <c r="F453" s="701">
        <v>1</v>
      </c>
      <c r="G453" s="701">
        <v>679</v>
      </c>
      <c r="H453" s="701"/>
      <c r="I453" s="701">
        <v>679</v>
      </c>
      <c r="J453" s="701">
        <v>1</v>
      </c>
      <c r="K453" s="701">
        <v>680</v>
      </c>
      <c r="L453" s="701"/>
      <c r="M453" s="701">
        <v>680</v>
      </c>
      <c r="N453" s="701">
        <v>1</v>
      </c>
      <c r="O453" s="701">
        <v>683</v>
      </c>
      <c r="P453" s="726"/>
      <c r="Q453" s="702">
        <v>683</v>
      </c>
    </row>
    <row r="454" spans="1:17" ht="14.45" customHeight="1" x14ac:dyDescent="0.2">
      <c r="A454" s="696" t="s">
        <v>4898</v>
      </c>
      <c r="B454" s="697" t="s">
        <v>4415</v>
      </c>
      <c r="C454" s="697" t="s">
        <v>2899</v>
      </c>
      <c r="D454" s="697" t="s">
        <v>4923</v>
      </c>
      <c r="E454" s="697" t="s">
        <v>4924</v>
      </c>
      <c r="F454" s="701"/>
      <c r="G454" s="701"/>
      <c r="H454" s="701"/>
      <c r="I454" s="701"/>
      <c r="J454" s="701">
        <v>2</v>
      </c>
      <c r="K454" s="701">
        <v>1032</v>
      </c>
      <c r="L454" s="701"/>
      <c r="M454" s="701">
        <v>516</v>
      </c>
      <c r="N454" s="701"/>
      <c r="O454" s="701"/>
      <c r="P454" s="726"/>
      <c r="Q454" s="702"/>
    </row>
    <row r="455" spans="1:17" ht="14.45" customHeight="1" x14ac:dyDescent="0.2">
      <c r="A455" s="696" t="s">
        <v>4898</v>
      </c>
      <c r="B455" s="697" t="s">
        <v>4415</v>
      </c>
      <c r="C455" s="697" t="s">
        <v>2899</v>
      </c>
      <c r="D455" s="697" t="s">
        <v>4925</v>
      </c>
      <c r="E455" s="697" t="s">
        <v>4926</v>
      </c>
      <c r="F455" s="701"/>
      <c r="G455" s="701"/>
      <c r="H455" s="701"/>
      <c r="I455" s="701"/>
      <c r="J455" s="701">
        <v>2</v>
      </c>
      <c r="K455" s="701">
        <v>852</v>
      </c>
      <c r="L455" s="701"/>
      <c r="M455" s="701">
        <v>426</v>
      </c>
      <c r="N455" s="701"/>
      <c r="O455" s="701"/>
      <c r="P455" s="726"/>
      <c r="Q455" s="702"/>
    </row>
    <row r="456" spans="1:17" ht="14.45" customHeight="1" x14ac:dyDescent="0.2">
      <c r="A456" s="696" t="s">
        <v>4898</v>
      </c>
      <c r="B456" s="697" t="s">
        <v>4415</v>
      </c>
      <c r="C456" s="697" t="s">
        <v>2899</v>
      </c>
      <c r="D456" s="697" t="s">
        <v>4927</v>
      </c>
      <c r="E456" s="697" t="s">
        <v>4928</v>
      </c>
      <c r="F456" s="701"/>
      <c r="G456" s="701"/>
      <c r="H456" s="701"/>
      <c r="I456" s="701"/>
      <c r="J456" s="701">
        <v>2</v>
      </c>
      <c r="K456" s="701">
        <v>706</v>
      </c>
      <c r="L456" s="701"/>
      <c r="M456" s="701">
        <v>353</v>
      </c>
      <c r="N456" s="701">
        <v>1</v>
      </c>
      <c r="O456" s="701">
        <v>357</v>
      </c>
      <c r="P456" s="726"/>
      <c r="Q456" s="702">
        <v>357</v>
      </c>
    </row>
    <row r="457" spans="1:17" ht="14.45" customHeight="1" x14ac:dyDescent="0.2">
      <c r="A457" s="696" t="s">
        <v>4898</v>
      </c>
      <c r="B457" s="697" t="s">
        <v>4415</v>
      </c>
      <c r="C457" s="697" t="s">
        <v>2899</v>
      </c>
      <c r="D457" s="697" t="s">
        <v>4929</v>
      </c>
      <c r="E457" s="697" t="s">
        <v>4930</v>
      </c>
      <c r="F457" s="701"/>
      <c r="G457" s="701"/>
      <c r="H457" s="701"/>
      <c r="I457" s="701"/>
      <c r="J457" s="701">
        <v>1</v>
      </c>
      <c r="K457" s="701">
        <v>224</v>
      </c>
      <c r="L457" s="701"/>
      <c r="M457" s="701">
        <v>224</v>
      </c>
      <c r="N457" s="701">
        <v>1</v>
      </c>
      <c r="O457" s="701">
        <v>227</v>
      </c>
      <c r="P457" s="726"/>
      <c r="Q457" s="702">
        <v>227</v>
      </c>
    </row>
    <row r="458" spans="1:17" ht="14.45" customHeight="1" x14ac:dyDescent="0.2">
      <c r="A458" s="696" t="s">
        <v>4898</v>
      </c>
      <c r="B458" s="697" t="s">
        <v>4415</v>
      </c>
      <c r="C458" s="697" t="s">
        <v>2899</v>
      </c>
      <c r="D458" s="697" t="s">
        <v>4931</v>
      </c>
      <c r="E458" s="697" t="s">
        <v>4932</v>
      </c>
      <c r="F458" s="701"/>
      <c r="G458" s="701"/>
      <c r="H458" s="701"/>
      <c r="I458" s="701"/>
      <c r="J458" s="701"/>
      <c r="K458" s="701"/>
      <c r="L458" s="701"/>
      <c r="M458" s="701"/>
      <c r="N458" s="701">
        <v>1</v>
      </c>
      <c r="O458" s="701">
        <v>112</v>
      </c>
      <c r="P458" s="726"/>
      <c r="Q458" s="702">
        <v>112</v>
      </c>
    </row>
    <row r="459" spans="1:17" ht="14.45" customHeight="1" x14ac:dyDescent="0.2">
      <c r="A459" s="696" t="s">
        <v>4898</v>
      </c>
      <c r="B459" s="697" t="s">
        <v>4415</v>
      </c>
      <c r="C459" s="697" t="s">
        <v>2899</v>
      </c>
      <c r="D459" s="697" t="s">
        <v>4933</v>
      </c>
      <c r="E459" s="697" t="s">
        <v>4934</v>
      </c>
      <c r="F459" s="701"/>
      <c r="G459" s="701"/>
      <c r="H459" s="701"/>
      <c r="I459" s="701"/>
      <c r="J459" s="701"/>
      <c r="K459" s="701"/>
      <c r="L459" s="701"/>
      <c r="M459" s="701"/>
      <c r="N459" s="701">
        <v>2</v>
      </c>
      <c r="O459" s="701">
        <v>628</v>
      </c>
      <c r="P459" s="726"/>
      <c r="Q459" s="702">
        <v>314</v>
      </c>
    </row>
    <row r="460" spans="1:17" ht="14.45" customHeight="1" x14ac:dyDescent="0.2">
      <c r="A460" s="696" t="s">
        <v>4898</v>
      </c>
      <c r="B460" s="697" t="s">
        <v>4415</v>
      </c>
      <c r="C460" s="697" t="s">
        <v>2899</v>
      </c>
      <c r="D460" s="697" t="s">
        <v>4101</v>
      </c>
      <c r="E460" s="697" t="s">
        <v>4102</v>
      </c>
      <c r="F460" s="701">
        <v>24</v>
      </c>
      <c r="G460" s="701">
        <v>8424</v>
      </c>
      <c r="H460" s="701"/>
      <c r="I460" s="701">
        <v>351</v>
      </c>
      <c r="J460" s="701">
        <v>60</v>
      </c>
      <c r="K460" s="701">
        <v>21120</v>
      </c>
      <c r="L460" s="701"/>
      <c r="M460" s="701">
        <v>352</v>
      </c>
      <c r="N460" s="701">
        <v>71</v>
      </c>
      <c r="O460" s="701">
        <v>25134</v>
      </c>
      <c r="P460" s="726"/>
      <c r="Q460" s="702">
        <v>354</v>
      </c>
    </row>
    <row r="461" spans="1:17" ht="14.45" customHeight="1" x14ac:dyDescent="0.2">
      <c r="A461" s="696" t="s">
        <v>4898</v>
      </c>
      <c r="B461" s="697" t="s">
        <v>4415</v>
      </c>
      <c r="C461" s="697" t="s">
        <v>2899</v>
      </c>
      <c r="D461" s="697" t="s">
        <v>4271</v>
      </c>
      <c r="E461" s="697" t="s">
        <v>4272</v>
      </c>
      <c r="F461" s="701"/>
      <c r="G461" s="701"/>
      <c r="H461" s="701"/>
      <c r="I461" s="701"/>
      <c r="J461" s="701"/>
      <c r="K461" s="701"/>
      <c r="L461" s="701"/>
      <c r="M461" s="701"/>
      <c r="N461" s="701">
        <v>1</v>
      </c>
      <c r="O461" s="701">
        <v>151</v>
      </c>
      <c r="P461" s="726"/>
      <c r="Q461" s="702">
        <v>151</v>
      </c>
    </row>
    <row r="462" spans="1:17" ht="14.45" customHeight="1" x14ac:dyDescent="0.2">
      <c r="A462" s="696" t="s">
        <v>4898</v>
      </c>
      <c r="B462" s="697" t="s">
        <v>4415</v>
      </c>
      <c r="C462" s="697" t="s">
        <v>2899</v>
      </c>
      <c r="D462" s="697" t="s">
        <v>4935</v>
      </c>
      <c r="E462" s="697" t="s">
        <v>4936</v>
      </c>
      <c r="F462" s="701">
        <v>1</v>
      </c>
      <c r="G462" s="701">
        <v>211</v>
      </c>
      <c r="H462" s="701"/>
      <c r="I462" s="701">
        <v>211</v>
      </c>
      <c r="J462" s="701">
        <v>2</v>
      </c>
      <c r="K462" s="701">
        <v>426</v>
      </c>
      <c r="L462" s="701"/>
      <c r="M462" s="701">
        <v>213</v>
      </c>
      <c r="N462" s="701">
        <v>1</v>
      </c>
      <c r="O462" s="701">
        <v>217</v>
      </c>
      <c r="P462" s="726"/>
      <c r="Q462" s="702">
        <v>217</v>
      </c>
    </row>
    <row r="463" spans="1:17" ht="14.45" customHeight="1" x14ac:dyDescent="0.2">
      <c r="A463" s="696" t="s">
        <v>4898</v>
      </c>
      <c r="B463" s="697" t="s">
        <v>4415</v>
      </c>
      <c r="C463" s="697" t="s">
        <v>2899</v>
      </c>
      <c r="D463" s="697" t="s">
        <v>4937</v>
      </c>
      <c r="E463" s="697" t="s">
        <v>4938</v>
      </c>
      <c r="F463" s="701">
        <v>5</v>
      </c>
      <c r="G463" s="701">
        <v>200</v>
      </c>
      <c r="H463" s="701"/>
      <c r="I463" s="701">
        <v>40</v>
      </c>
      <c r="J463" s="701">
        <v>3</v>
      </c>
      <c r="K463" s="701">
        <v>120</v>
      </c>
      <c r="L463" s="701"/>
      <c r="M463" s="701">
        <v>40</v>
      </c>
      <c r="N463" s="701">
        <v>6</v>
      </c>
      <c r="O463" s="701">
        <v>252</v>
      </c>
      <c r="P463" s="726"/>
      <c r="Q463" s="702">
        <v>42</v>
      </c>
    </row>
    <row r="464" spans="1:17" ht="14.45" customHeight="1" x14ac:dyDescent="0.2">
      <c r="A464" s="696" t="s">
        <v>4898</v>
      </c>
      <c r="B464" s="697" t="s">
        <v>4415</v>
      </c>
      <c r="C464" s="697" t="s">
        <v>2899</v>
      </c>
      <c r="D464" s="697" t="s">
        <v>4939</v>
      </c>
      <c r="E464" s="697" t="s">
        <v>4940</v>
      </c>
      <c r="F464" s="701">
        <v>1</v>
      </c>
      <c r="G464" s="701">
        <v>5030</v>
      </c>
      <c r="H464" s="701"/>
      <c r="I464" s="701">
        <v>5030</v>
      </c>
      <c r="J464" s="701"/>
      <c r="K464" s="701"/>
      <c r="L464" s="701"/>
      <c r="M464" s="701"/>
      <c r="N464" s="701"/>
      <c r="O464" s="701"/>
      <c r="P464" s="726"/>
      <c r="Q464" s="702"/>
    </row>
    <row r="465" spans="1:17" ht="14.45" customHeight="1" x14ac:dyDescent="0.2">
      <c r="A465" s="696" t="s">
        <v>4898</v>
      </c>
      <c r="B465" s="697" t="s">
        <v>4415</v>
      </c>
      <c r="C465" s="697" t="s">
        <v>2899</v>
      </c>
      <c r="D465" s="697" t="s">
        <v>4311</v>
      </c>
      <c r="E465" s="697" t="s">
        <v>4312</v>
      </c>
      <c r="F465" s="701">
        <v>8</v>
      </c>
      <c r="G465" s="701">
        <v>1368</v>
      </c>
      <c r="H465" s="701"/>
      <c r="I465" s="701">
        <v>171</v>
      </c>
      <c r="J465" s="701">
        <v>23</v>
      </c>
      <c r="K465" s="701">
        <v>3933</v>
      </c>
      <c r="L465" s="701"/>
      <c r="M465" s="701">
        <v>171</v>
      </c>
      <c r="N465" s="701">
        <v>27</v>
      </c>
      <c r="O465" s="701">
        <v>4644</v>
      </c>
      <c r="P465" s="726"/>
      <c r="Q465" s="702">
        <v>172</v>
      </c>
    </row>
    <row r="466" spans="1:17" ht="14.45" customHeight="1" x14ac:dyDescent="0.2">
      <c r="A466" s="696" t="s">
        <v>4898</v>
      </c>
      <c r="B466" s="697" t="s">
        <v>4415</v>
      </c>
      <c r="C466" s="697" t="s">
        <v>2899</v>
      </c>
      <c r="D466" s="697" t="s">
        <v>4941</v>
      </c>
      <c r="E466" s="697" t="s">
        <v>4942</v>
      </c>
      <c r="F466" s="701"/>
      <c r="G466" s="701"/>
      <c r="H466" s="701"/>
      <c r="I466" s="701"/>
      <c r="J466" s="701">
        <v>1</v>
      </c>
      <c r="K466" s="701">
        <v>351</v>
      </c>
      <c r="L466" s="701"/>
      <c r="M466" s="701">
        <v>351</v>
      </c>
      <c r="N466" s="701">
        <v>7</v>
      </c>
      <c r="O466" s="701">
        <v>2478</v>
      </c>
      <c r="P466" s="726"/>
      <c r="Q466" s="702">
        <v>354</v>
      </c>
    </row>
    <row r="467" spans="1:17" ht="14.45" customHeight="1" x14ac:dyDescent="0.2">
      <c r="A467" s="696" t="s">
        <v>4898</v>
      </c>
      <c r="B467" s="697" t="s">
        <v>4415</v>
      </c>
      <c r="C467" s="697" t="s">
        <v>2899</v>
      </c>
      <c r="D467" s="697" t="s">
        <v>4331</v>
      </c>
      <c r="E467" s="697" t="s">
        <v>4332</v>
      </c>
      <c r="F467" s="701">
        <v>8</v>
      </c>
      <c r="G467" s="701">
        <v>1392</v>
      </c>
      <c r="H467" s="701"/>
      <c r="I467" s="701">
        <v>174</v>
      </c>
      <c r="J467" s="701">
        <v>23</v>
      </c>
      <c r="K467" s="701">
        <v>4002</v>
      </c>
      <c r="L467" s="701"/>
      <c r="M467" s="701">
        <v>174</v>
      </c>
      <c r="N467" s="701">
        <v>27</v>
      </c>
      <c r="O467" s="701">
        <v>4725</v>
      </c>
      <c r="P467" s="726"/>
      <c r="Q467" s="702">
        <v>175</v>
      </c>
    </row>
    <row r="468" spans="1:17" ht="14.45" customHeight="1" x14ac:dyDescent="0.2">
      <c r="A468" s="696" t="s">
        <v>4898</v>
      </c>
      <c r="B468" s="697" t="s">
        <v>4415</v>
      </c>
      <c r="C468" s="697" t="s">
        <v>2899</v>
      </c>
      <c r="D468" s="697" t="s">
        <v>4943</v>
      </c>
      <c r="E468" s="697" t="s">
        <v>4944</v>
      </c>
      <c r="F468" s="701"/>
      <c r="G468" s="701"/>
      <c r="H468" s="701"/>
      <c r="I468" s="701"/>
      <c r="J468" s="701"/>
      <c r="K468" s="701"/>
      <c r="L468" s="701"/>
      <c r="M468" s="701"/>
      <c r="N468" s="701">
        <v>12</v>
      </c>
      <c r="O468" s="701">
        <v>4836</v>
      </c>
      <c r="P468" s="726"/>
      <c r="Q468" s="702">
        <v>403</v>
      </c>
    </row>
    <row r="469" spans="1:17" ht="14.45" customHeight="1" x14ac:dyDescent="0.2">
      <c r="A469" s="696" t="s">
        <v>4898</v>
      </c>
      <c r="B469" s="697" t="s">
        <v>4415</v>
      </c>
      <c r="C469" s="697" t="s">
        <v>2899</v>
      </c>
      <c r="D469" s="697" t="s">
        <v>4945</v>
      </c>
      <c r="E469" s="697" t="s">
        <v>4946</v>
      </c>
      <c r="F469" s="701"/>
      <c r="G469" s="701"/>
      <c r="H469" s="701"/>
      <c r="I469" s="701"/>
      <c r="J469" s="701"/>
      <c r="K469" s="701"/>
      <c r="L469" s="701"/>
      <c r="M469" s="701"/>
      <c r="N469" s="701">
        <v>1</v>
      </c>
      <c r="O469" s="701">
        <v>660</v>
      </c>
      <c r="P469" s="726"/>
      <c r="Q469" s="702">
        <v>660</v>
      </c>
    </row>
    <row r="470" spans="1:17" ht="14.45" customHeight="1" x14ac:dyDescent="0.2">
      <c r="A470" s="696" t="s">
        <v>4898</v>
      </c>
      <c r="B470" s="697" t="s">
        <v>4415</v>
      </c>
      <c r="C470" s="697" t="s">
        <v>2899</v>
      </c>
      <c r="D470" s="697" t="s">
        <v>4947</v>
      </c>
      <c r="E470" s="697" t="s">
        <v>4948</v>
      </c>
      <c r="F470" s="701"/>
      <c r="G470" s="701"/>
      <c r="H470" s="701"/>
      <c r="I470" s="701"/>
      <c r="J470" s="701"/>
      <c r="K470" s="701"/>
      <c r="L470" s="701"/>
      <c r="M470" s="701"/>
      <c r="N470" s="701">
        <v>1</v>
      </c>
      <c r="O470" s="701">
        <v>660</v>
      </c>
      <c r="P470" s="726"/>
      <c r="Q470" s="702">
        <v>660</v>
      </c>
    </row>
    <row r="471" spans="1:17" ht="14.45" customHeight="1" x14ac:dyDescent="0.2">
      <c r="A471" s="696" t="s">
        <v>4898</v>
      </c>
      <c r="B471" s="697" t="s">
        <v>4415</v>
      </c>
      <c r="C471" s="697" t="s">
        <v>2899</v>
      </c>
      <c r="D471" s="697" t="s">
        <v>4949</v>
      </c>
      <c r="E471" s="697" t="s">
        <v>4950</v>
      </c>
      <c r="F471" s="701">
        <v>1</v>
      </c>
      <c r="G471" s="701">
        <v>679</v>
      </c>
      <c r="H471" s="701"/>
      <c r="I471" s="701">
        <v>679</v>
      </c>
      <c r="J471" s="701">
        <v>1</v>
      </c>
      <c r="K471" s="701">
        <v>680</v>
      </c>
      <c r="L471" s="701"/>
      <c r="M471" s="701">
        <v>680</v>
      </c>
      <c r="N471" s="701">
        <v>1</v>
      </c>
      <c r="O471" s="701">
        <v>683</v>
      </c>
      <c r="P471" s="726"/>
      <c r="Q471" s="702">
        <v>683</v>
      </c>
    </row>
    <row r="472" spans="1:17" ht="14.45" customHeight="1" x14ac:dyDescent="0.2">
      <c r="A472" s="696" t="s">
        <v>4898</v>
      </c>
      <c r="B472" s="697" t="s">
        <v>4415</v>
      </c>
      <c r="C472" s="697" t="s">
        <v>2899</v>
      </c>
      <c r="D472" s="697" t="s">
        <v>4951</v>
      </c>
      <c r="E472" s="697" t="s">
        <v>4952</v>
      </c>
      <c r="F472" s="701"/>
      <c r="G472" s="701"/>
      <c r="H472" s="701"/>
      <c r="I472" s="701"/>
      <c r="J472" s="701"/>
      <c r="K472" s="701"/>
      <c r="L472" s="701"/>
      <c r="M472" s="701"/>
      <c r="N472" s="701">
        <v>1</v>
      </c>
      <c r="O472" s="701">
        <v>482</v>
      </c>
      <c r="P472" s="726"/>
      <c r="Q472" s="702">
        <v>482</v>
      </c>
    </row>
    <row r="473" spans="1:17" ht="14.45" customHeight="1" x14ac:dyDescent="0.2">
      <c r="A473" s="696" t="s">
        <v>4898</v>
      </c>
      <c r="B473" s="697" t="s">
        <v>4415</v>
      </c>
      <c r="C473" s="697" t="s">
        <v>2899</v>
      </c>
      <c r="D473" s="697" t="s">
        <v>4953</v>
      </c>
      <c r="E473" s="697" t="s">
        <v>4954</v>
      </c>
      <c r="F473" s="701"/>
      <c r="G473" s="701"/>
      <c r="H473" s="701"/>
      <c r="I473" s="701"/>
      <c r="J473" s="701">
        <v>2</v>
      </c>
      <c r="K473" s="701">
        <v>588</v>
      </c>
      <c r="L473" s="701"/>
      <c r="M473" s="701">
        <v>294</v>
      </c>
      <c r="N473" s="701"/>
      <c r="O473" s="701"/>
      <c r="P473" s="726"/>
      <c r="Q473" s="702"/>
    </row>
    <row r="474" spans="1:17" ht="14.45" customHeight="1" x14ac:dyDescent="0.2">
      <c r="A474" s="696" t="s">
        <v>4898</v>
      </c>
      <c r="B474" s="697" t="s">
        <v>4415</v>
      </c>
      <c r="C474" s="697" t="s">
        <v>2899</v>
      </c>
      <c r="D474" s="697" t="s">
        <v>4955</v>
      </c>
      <c r="E474" s="697" t="s">
        <v>4956</v>
      </c>
      <c r="F474" s="701"/>
      <c r="G474" s="701"/>
      <c r="H474" s="701"/>
      <c r="I474" s="701"/>
      <c r="J474" s="701">
        <v>1</v>
      </c>
      <c r="K474" s="701">
        <v>808</v>
      </c>
      <c r="L474" s="701"/>
      <c r="M474" s="701">
        <v>808</v>
      </c>
      <c r="N474" s="701">
        <v>2</v>
      </c>
      <c r="O474" s="701">
        <v>1622</v>
      </c>
      <c r="P474" s="726"/>
      <c r="Q474" s="702">
        <v>811</v>
      </c>
    </row>
    <row r="475" spans="1:17" ht="14.45" customHeight="1" x14ac:dyDescent="0.2">
      <c r="A475" s="696" t="s">
        <v>4898</v>
      </c>
      <c r="B475" s="697" t="s">
        <v>4415</v>
      </c>
      <c r="C475" s="697" t="s">
        <v>2899</v>
      </c>
      <c r="D475" s="697" t="s">
        <v>4957</v>
      </c>
      <c r="E475" s="697" t="s">
        <v>4958</v>
      </c>
      <c r="F475" s="701">
        <v>9</v>
      </c>
      <c r="G475" s="701">
        <v>1512</v>
      </c>
      <c r="H475" s="701"/>
      <c r="I475" s="701">
        <v>168</v>
      </c>
      <c r="J475" s="701">
        <v>20</v>
      </c>
      <c r="K475" s="701">
        <v>3360</v>
      </c>
      <c r="L475" s="701"/>
      <c r="M475" s="701">
        <v>168</v>
      </c>
      <c r="N475" s="701">
        <v>25</v>
      </c>
      <c r="O475" s="701">
        <v>4225</v>
      </c>
      <c r="P475" s="726"/>
      <c r="Q475" s="702">
        <v>169</v>
      </c>
    </row>
    <row r="476" spans="1:17" ht="14.45" customHeight="1" x14ac:dyDescent="0.2">
      <c r="A476" s="696" t="s">
        <v>4898</v>
      </c>
      <c r="B476" s="697" t="s">
        <v>4415</v>
      </c>
      <c r="C476" s="697" t="s">
        <v>2899</v>
      </c>
      <c r="D476" s="697" t="s">
        <v>4959</v>
      </c>
      <c r="E476" s="697" t="s">
        <v>4960</v>
      </c>
      <c r="F476" s="701"/>
      <c r="G476" s="701"/>
      <c r="H476" s="701"/>
      <c r="I476" s="701"/>
      <c r="J476" s="701"/>
      <c r="K476" s="701"/>
      <c r="L476" s="701"/>
      <c r="M476" s="701"/>
      <c r="N476" s="701">
        <v>1</v>
      </c>
      <c r="O476" s="701">
        <v>576</v>
      </c>
      <c r="P476" s="726"/>
      <c r="Q476" s="702">
        <v>576</v>
      </c>
    </row>
    <row r="477" spans="1:17" ht="14.45" customHeight="1" x14ac:dyDescent="0.2">
      <c r="A477" s="696" t="s">
        <v>4898</v>
      </c>
      <c r="B477" s="697" t="s">
        <v>4415</v>
      </c>
      <c r="C477" s="697" t="s">
        <v>2899</v>
      </c>
      <c r="D477" s="697" t="s">
        <v>4961</v>
      </c>
      <c r="E477" s="697" t="s">
        <v>4962</v>
      </c>
      <c r="F477" s="701"/>
      <c r="G477" s="701"/>
      <c r="H477" s="701"/>
      <c r="I477" s="701"/>
      <c r="J477" s="701"/>
      <c r="K477" s="701"/>
      <c r="L477" s="701"/>
      <c r="M477" s="701"/>
      <c r="N477" s="701">
        <v>1</v>
      </c>
      <c r="O477" s="701">
        <v>1404</v>
      </c>
      <c r="P477" s="726"/>
      <c r="Q477" s="702">
        <v>1404</v>
      </c>
    </row>
    <row r="478" spans="1:17" ht="14.45" customHeight="1" x14ac:dyDescent="0.2">
      <c r="A478" s="696" t="s">
        <v>4898</v>
      </c>
      <c r="B478" s="697" t="s">
        <v>4415</v>
      </c>
      <c r="C478" s="697" t="s">
        <v>2899</v>
      </c>
      <c r="D478" s="697" t="s">
        <v>4963</v>
      </c>
      <c r="E478" s="697" t="s">
        <v>4964</v>
      </c>
      <c r="F478" s="701"/>
      <c r="G478" s="701"/>
      <c r="H478" s="701"/>
      <c r="I478" s="701"/>
      <c r="J478" s="701">
        <v>1</v>
      </c>
      <c r="K478" s="701">
        <v>808</v>
      </c>
      <c r="L478" s="701"/>
      <c r="M478" s="701">
        <v>808</v>
      </c>
      <c r="N478" s="701">
        <v>2</v>
      </c>
      <c r="O478" s="701">
        <v>1622</v>
      </c>
      <c r="P478" s="726"/>
      <c r="Q478" s="702">
        <v>811</v>
      </c>
    </row>
    <row r="479" spans="1:17" ht="14.45" customHeight="1" x14ac:dyDescent="0.2">
      <c r="A479" s="696" t="s">
        <v>4898</v>
      </c>
      <c r="B479" s="697" t="s">
        <v>4415</v>
      </c>
      <c r="C479" s="697" t="s">
        <v>2899</v>
      </c>
      <c r="D479" s="697" t="s">
        <v>4965</v>
      </c>
      <c r="E479" s="697" t="s">
        <v>4966</v>
      </c>
      <c r="F479" s="701"/>
      <c r="G479" s="701"/>
      <c r="H479" s="701"/>
      <c r="I479" s="701"/>
      <c r="J479" s="701">
        <v>1</v>
      </c>
      <c r="K479" s="701">
        <v>350</v>
      </c>
      <c r="L479" s="701"/>
      <c r="M479" s="701">
        <v>350</v>
      </c>
      <c r="N479" s="701">
        <v>3</v>
      </c>
      <c r="O479" s="701">
        <v>1098</v>
      </c>
      <c r="P479" s="726"/>
      <c r="Q479" s="702">
        <v>366</v>
      </c>
    </row>
    <row r="480" spans="1:17" ht="14.45" customHeight="1" x14ac:dyDescent="0.2">
      <c r="A480" s="696" t="s">
        <v>4898</v>
      </c>
      <c r="B480" s="697" t="s">
        <v>4415</v>
      </c>
      <c r="C480" s="697" t="s">
        <v>2899</v>
      </c>
      <c r="D480" s="697" t="s">
        <v>4967</v>
      </c>
      <c r="E480" s="697" t="s">
        <v>4968</v>
      </c>
      <c r="F480" s="701">
        <v>2</v>
      </c>
      <c r="G480" s="701">
        <v>8204</v>
      </c>
      <c r="H480" s="701"/>
      <c r="I480" s="701">
        <v>4102</v>
      </c>
      <c r="J480" s="701"/>
      <c r="K480" s="701"/>
      <c r="L480" s="701"/>
      <c r="M480" s="701"/>
      <c r="N480" s="701"/>
      <c r="O480" s="701"/>
      <c r="P480" s="726"/>
      <c r="Q480" s="702"/>
    </row>
    <row r="481" spans="1:17" ht="14.45" customHeight="1" x14ac:dyDescent="0.2">
      <c r="A481" s="696" t="s">
        <v>4898</v>
      </c>
      <c r="B481" s="697" t="s">
        <v>4415</v>
      </c>
      <c r="C481" s="697" t="s">
        <v>2899</v>
      </c>
      <c r="D481" s="697" t="s">
        <v>4969</v>
      </c>
      <c r="E481" s="697" t="s">
        <v>4970</v>
      </c>
      <c r="F481" s="701"/>
      <c r="G481" s="701"/>
      <c r="H481" s="701"/>
      <c r="I481" s="701"/>
      <c r="J481" s="701">
        <v>1</v>
      </c>
      <c r="K481" s="701">
        <v>697</v>
      </c>
      <c r="L481" s="701"/>
      <c r="M481" s="701">
        <v>697</v>
      </c>
      <c r="N481" s="701"/>
      <c r="O481" s="701"/>
      <c r="P481" s="726"/>
      <c r="Q481" s="702"/>
    </row>
    <row r="482" spans="1:17" ht="14.45" customHeight="1" x14ac:dyDescent="0.2">
      <c r="A482" s="696" t="s">
        <v>537</v>
      </c>
      <c r="B482" s="697" t="s">
        <v>2898</v>
      </c>
      <c r="C482" s="697" t="s">
        <v>2899</v>
      </c>
      <c r="D482" s="697" t="s">
        <v>3743</v>
      </c>
      <c r="E482" s="697" t="s">
        <v>3744</v>
      </c>
      <c r="F482" s="701"/>
      <c r="G482" s="701"/>
      <c r="H482" s="701"/>
      <c r="I482" s="701"/>
      <c r="J482" s="701">
        <v>1</v>
      </c>
      <c r="K482" s="701">
        <v>268</v>
      </c>
      <c r="L482" s="701"/>
      <c r="M482" s="701">
        <v>268</v>
      </c>
      <c r="N482" s="701"/>
      <c r="O482" s="701"/>
      <c r="P482" s="726"/>
      <c r="Q482" s="702"/>
    </row>
    <row r="483" spans="1:17" ht="14.45" customHeight="1" x14ac:dyDescent="0.2">
      <c r="A483" s="696" t="s">
        <v>4971</v>
      </c>
      <c r="B483" s="697" t="s">
        <v>4832</v>
      </c>
      <c r="C483" s="697" t="s">
        <v>2899</v>
      </c>
      <c r="D483" s="697" t="s">
        <v>4841</v>
      </c>
      <c r="E483" s="697" t="s">
        <v>4842</v>
      </c>
      <c r="F483" s="701"/>
      <c r="G483" s="701"/>
      <c r="H483" s="701"/>
      <c r="I483" s="701"/>
      <c r="J483" s="701"/>
      <c r="K483" s="701"/>
      <c r="L483" s="701"/>
      <c r="M483" s="701"/>
      <c r="N483" s="701">
        <v>2</v>
      </c>
      <c r="O483" s="701">
        <v>758</v>
      </c>
      <c r="P483" s="726"/>
      <c r="Q483" s="702">
        <v>379</v>
      </c>
    </row>
    <row r="484" spans="1:17" ht="14.45" customHeight="1" x14ac:dyDescent="0.2">
      <c r="A484" s="696" t="s">
        <v>4971</v>
      </c>
      <c r="B484" s="697" t="s">
        <v>4832</v>
      </c>
      <c r="C484" s="697" t="s">
        <v>2899</v>
      </c>
      <c r="D484" s="697" t="s">
        <v>4893</v>
      </c>
      <c r="E484" s="697" t="s">
        <v>4894</v>
      </c>
      <c r="F484" s="701"/>
      <c r="G484" s="701"/>
      <c r="H484" s="701"/>
      <c r="I484" s="701"/>
      <c r="J484" s="701"/>
      <c r="K484" s="701"/>
      <c r="L484" s="701"/>
      <c r="M484" s="701"/>
      <c r="N484" s="701">
        <v>1</v>
      </c>
      <c r="O484" s="701">
        <v>1310</v>
      </c>
      <c r="P484" s="726"/>
      <c r="Q484" s="702">
        <v>1310</v>
      </c>
    </row>
    <row r="485" spans="1:17" ht="14.45" customHeight="1" x14ac:dyDescent="0.2">
      <c r="A485" s="696" t="s">
        <v>4971</v>
      </c>
      <c r="B485" s="697" t="s">
        <v>4972</v>
      </c>
      <c r="C485" s="697" t="s">
        <v>2899</v>
      </c>
      <c r="D485" s="697" t="s">
        <v>4793</v>
      </c>
      <c r="E485" s="697" t="s">
        <v>4794</v>
      </c>
      <c r="F485" s="701"/>
      <c r="G485" s="701"/>
      <c r="H485" s="701"/>
      <c r="I485" s="701"/>
      <c r="J485" s="701"/>
      <c r="K485" s="701"/>
      <c r="L485" s="701"/>
      <c r="M485" s="701"/>
      <c r="N485" s="701">
        <v>4</v>
      </c>
      <c r="O485" s="701">
        <v>42420</v>
      </c>
      <c r="P485" s="726"/>
      <c r="Q485" s="702">
        <v>10605</v>
      </c>
    </row>
    <row r="486" spans="1:17" ht="14.45" customHeight="1" x14ac:dyDescent="0.2">
      <c r="A486" s="696" t="s">
        <v>4971</v>
      </c>
      <c r="B486" s="697" t="s">
        <v>4972</v>
      </c>
      <c r="C486" s="697" t="s">
        <v>2899</v>
      </c>
      <c r="D486" s="697" t="s">
        <v>4973</v>
      </c>
      <c r="E486" s="697" t="s">
        <v>4974</v>
      </c>
      <c r="F486" s="701"/>
      <c r="G486" s="701"/>
      <c r="H486" s="701"/>
      <c r="I486" s="701"/>
      <c r="J486" s="701">
        <v>1</v>
      </c>
      <c r="K486" s="701">
        <v>1114</v>
      </c>
      <c r="L486" s="701"/>
      <c r="M486" s="701">
        <v>1114</v>
      </c>
      <c r="N486" s="701"/>
      <c r="O486" s="701"/>
      <c r="P486" s="726"/>
      <c r="Q486" s="702"/>
    </row>
    <row r="487" spans="1:17" ht="14.45" customHeight="1" thickBot="1" x14ac:dyDescent="0.25">
      <c r="A487" s="703" t="s">
        <v>4971</v>
      </c>
      <c r="B487" s="704" t="s">
        <v>4972</v>
      </c>
      <c r="C487" s="704" t="s">
        <v>2899</v>
      </c>
      <c r="D487" s="704" t="s">
        <v>4975</v>
      </c>
      <c r="E487" s="704" t="s">
        <v>4976</v>
      </c>
      <c r="F487" s="708"/>
      <c r="G487" s="708"/>
      <c r="H487" s="708"/>
      <c r="I487" s="708"/>
      <c r="J487" s="708">
        <v>1</v>
      </c>
      <c r="K487" s="708">
        <v>30555.56</v>
      </c>
      <c r="L487" s="708"/>
      <c r="M487" s="708">
        <v>30555.56</v>
      </c>
      <c r="N487" s="708"/>
      <c r="O487" s="708"/>
      <c r="P487" s="716"/>
      <c r="Q487" s="709"/>
    </row>
  </sheetData>
  <autoFilter ref="A5:Q5" xr:uid="{00000000-0009-0000-0000-000037000000}"/>
  <mergeCells count="11">
    <mergeCell ref="P4:P5"/>
    <mergeCell ref="Q4:Q5"/>
    <mergeCell ref="A1:Q1"/>
    <mergeCell ref="A4:A5"/>
    <mergeCell ref="B4:B5"/>
    <mergeCell ref="C4:C5"/>
    <mergeCell ref="D4:D5"/>
    <mergeCell ref="E4:E5"/>
    <mergeCell ref="F4:G4"/>
    <mergeCell ref="J4:K4"/>
    <mergeCell ref="N4:O4"/>
  </mergeCells>
  <conditionalFormatting sqref="P3">
    <cfRule type="cellIs" dxfId="3" priority="1" stopIfTrue="1" operator="greaterThan">
      <formula>1</formula>
    </cfRule>
  </conditionalFormatting>
  <hyperlinks>
    <hyperlink ref="A2" location="Obsah!A1" display="Zpět na Obsah  KL 01  1.-4.měsíc" xr:uid="{89EB61C4-A6E0-40AD-83E3-8949054AB2C1}"/>
  </hyperlinks>
  <pageMargins left="0.25" right="0.25" top="0.75" bottom="0.75" header="0.3" footer="0.3"/>
  <pageSetup paperSize="9" fitToHeight="0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sheetPr codeName="List25">
    <tabColor theme="0" tint="-0.249977111117893"/>
    <pageSetUpPr fitToPage="1"/>
  </sheetPr>
  <dimension ref="A1:N11"/>
  <sheetViews>
    <sheetView showGridLines="0" showRowColHeaders="0" zoomScaleNormal="100" workbookViewId="0">
      <pane ySplit="5" topLeftCell="A6" activePane="bottomLeft" state="frozen"/>
      <selection pane="bottomLeft" sqref="A1:N1"/>
    </sheetView>
  </sheetViews>
  <sheetFormatPr defaultColWidth="8.85546875" defaultRowHeight="14.45" customHeight="1" outlineLevelCol="1" x14ac:dyDescent="0.2"/>
  <cols>
    <col min="1" max="1" width="14.28515625" style="174" bestFit="1" customWidth="1"/>
    <col min="2" max="2" width="15.7109375" style="174" bestFit="1" customWidth="1"/>
    <col min="3" max="3" width="8.28515625" style="182" hidden="1" customWidth="1" outlineLevel="1"/>
    <col min="4" max="4" width="8.28515625" style="182" customWidth="1" collapsed="1"/>
    <col min="5" max="5" width="8.28515625" style="182" customWidth="1"/>
    <col min="6" max="6" width="6.140625" style="183" customWidth="1"/>
    <col min="7" max="7" width="8.28515625" style="182" hidden="1" customWidth="1" outlineLevel="1"/>
    <col min="8" max="8" width="8.28515625" style="182" customWidth="1" collapsed="1"/>
    <col min="9" max="9" width="8.28515625" style="182" customWidth="1"/>
    <col min="10" max="10" width="6.140625" style="183" customWidth="1"/>
    <col min="11" max="11" width="8.28515625" style="182" hidden="1" customWidth="1" outlineLevel="1"/>
    <col min="12" max="12" width="8.28515625" style="182" customWidth="1" collapsed="1"/>
    <col min="13" max="14" width="8.28515625" style="182" customWidth="1"/>
    <col min="15" max="16384" width="8.85546875" style="174"/>
  </cols>
  <sheetData>
    <row r="1" spans="1:14" ht="18.600000000000001" customHeight="1" thickBot="1" x14ac:dyDescent="0.35">
      <c r="A1" s="662" t="s">
        <v>164</v>
      </c>
      <c r="B1" s="663"/>
      <c r="C1" s="663"/>
      <c r="D1" s="663"/>
      <c r="E1" s="663"/>
      <c r="F1" s="663"/>
      <c r="G1" s="663"/>
      <c r="H1" s="663"/>
      <c r="I1" s="663"/>
      <c r="J1" s="663"/>
      <c r="K1" s="663"/>
      <c r="L1" s="663"/>
      <c r="M1" s="663"/>
      <c r="N1" s="663"/>
    </row>
    <row r="2" spans="1:14" ht="14.45" customHeight="1" thickBot="1" x14ac:dyDescent="0.25">
      <c r="A2" s="350" t="s">
        <v>305</v>
      </c>
      <c r="B2" s="175"/>
      <c r="C2" s="175"/>
      <c r="D2" s="175"/>
      <c r="E2" s="175"/>
      <c r="F2" s="175"/>
      <c r="G2" s="366"/>
      <c r="H2" s="366"/>
      <c r="I2" s="366"/>
      <c r="J2" s="175"/>
      <c r="K2" s="366"/>
      <c r="L2" s="366"/>
      <c r="M2" s="366"/>
      <c r="N2" s="175"/>
    </row>
    <row r="3" spans="1:14" ht="14.45" customHeight="1" thickBot="1" x14ac:dyDescent="0.25">
      <c r="A3" s="176"/>
      <c r="B3" s="177" t="s">
        <v>143</v>
      </c>
      <c r="C3" s="178">
        <f>SUBTOTAL(9,C6:C1048576)</f>
        <v>3437</v>
      </c>
      <c r="D3" s="179">
        <f>SUBTOTAL(9,D6:D1048576)</f>
        <v>3426</v>
      </c>
      <c r="E3" s="179">
        <f>SUBTOTAL(9,E6:E1048576)</f>
        <v>3015</v>
      </c>
      <c r="F3" s="180">
        <f>IF(OR(E3=0,D3=0),"",E3/D3)</f>
        <v>0.88003502626970231</v>
      </c>
      <c r="G3" s="367">
        <f>SUBTOTAL(9,G6:G1048576)</f>
        <v>37382.183620000011</v>
      </c>
      <c r="H3" s="368">
        <f>SUBTOTAL(9,H6:H1048576)</f>
        <v>44696.39310000003</v>
      </c>
      <c r="I3" s="368">
        <f>SUBTOTAL(9,I6:I1048576)</f>
        <v>42796.371200000001</v>
      </c>
      <c r="J3" s="180">
        <f>IF(OR(I3=0,H3=0),"",I3/H3)</f>
        <v>0.95749048707914586</v>
      </c>
      <c r="K3" s="367">
        <f>SUBTOTAL(9,K6:K1048576)</f>
        <v>7508.5</v>
      </c>
      <c r="L3" s="368">
        <f>SUBTOTAL(9,L6:L1048576)</f>
        <v>10984</v>
      </c>
      <c r="M3" s="368">
        <f>SUBTOTAL(9,M6:M1048576)</f>
        <v>11221</v>
      </c>
      <c r="N3" s="181">
        <f>IF(OR(M3=0,E3=0),"",M3*1000/E3)</f>
        <v>3721.7247097844111</v>
      </c>
    </row>
    <row r="4" spans="1:14" ht="14.45" customHeight="1" x14ac:dyDescent="0.2">
      <c r="A4" s="664" t="s">
        <v>76</v>
      </c>
      <c r="B4" s="665" t="s">
        <v>11</v>
      </c>
      <c r="C4" s="666" t="s">
        <v>77</v>
      </c>
      <c r="D4" s="666"/>
      <c r="E4" s="666"/>
      <c r="F4" s="667"/>
      <c r="G4" s="668" t="s">
        <v>240</v>
      </c>
      <c r="H4" s="666"/>
      <c r="I4" s="666"/>
      <c r="J4" s="667"/>
      <c r="K4" s="668" t="s">
        <v>78</v>
      </c>
      <c r="L4" s="666"/>
      <c r="M4" s="666"/>
      <c r="N4" s="669"/>
    </row>
    <row r="5" spans="1:14" ht="14.45" customHeight="1" thickBot="1" x14ac:dyDescent="0.25">
      <c r="A5" s="879"/>
      <c r="B5" s="880"/>
      <c r="C5" s="887">
        <v>2019</v>
      </c>
      <c r="D5" s="887">
        <v>2020</v>
      </c>
      <c r="E5" s="887">
        <v>2021</v>
      </c>
      <c r="F5" s="888" t="s">
        <v>2</v>
      </c>
      <c r="G5" s="898">
        <v>2019</v>
      </c>
      <c r="H5" s="887">
        <v>2020</v>
      </c>
      <c r="I5" s="887">
        <v>2021</v>
      </c>
      <c r="J5" s="888" t="s">
        <v>2</v>
      </c>
      <c r="K5" s="898">
        <v>2019</v>
      </c>
      <c r="L5" s="887">
        <v>2020</v>
      </c>
      <c r="M5" s="887">
        <v>2021</v>
      </c>
      <c r="N5" s="899" t="s">
        <v>79</v>
      </c>
    </row>
    <row r="6" spans="1:14" ht="14.45" customHeight="1" x14ac:dyDescent="0.2">
      <c r="A6" s="881" t="s">
        <v>3643</v>
      </c>
      <c r="B6" s="884" t="s">
        <v>4978</v>
      </c>
      <c r="C6" s="889">
        <v>4</v>
      </c>
      <c r="D6" s="890">
        <v>49</v>
      </c>
      <c r="E6" s="890">
        <v>70</v>
      </c>
      <c r="F6" s="895"/>
      <c r="G6" s="889">
        <v>115.10639999999999</v>
      </c>
      <c r="H6" s="890">
        <v>1410.1415999999997</v>
      </c>
      <c r="I6" s="890">
        <v>2014.6770000000004</v>
      </c>
      <c r="J6" s="895"/>
      <c r="K6" s="889">
        <v>44</v>
      </c>
      <c r="L6" s="890">
        <v>539</v>
      </c>
      <c r="M6" s="890">
        <v>770</v>
      </c>
      <c r="N6" s="900">
        <v>11000</v>
      </c>
    </row>
    <row r="7" spans="1:14" ht="14.45" customHeight="1" x14ac:dyDescent="0.2">
      <c r="A7" s="882" t="s">
        <v>3788</v>
      </c>
      <c r="B7" s="885" t="s">
        <v>4978</v>
      </c>
      <c r="C7" s="891">
        <v>34</v>
      </c>
      <c r="D7" s="892">
        <v>197</v>
      </c>
      <c r="E7" s="892">
        <v>278</v>
      </c>
      <c r="F7" s="896"/>
      <c r="G7" s="891">
        <v>855.9756000000001</v>
      </c>
      <c r="H7" s="892">
        <v>4960.1303999999991</v>
      </c>
      <c r="I7" s="892">
        <v>7000.3349999999964</v>
      </c>
      <c r="J7" s="896"/>
      <c r="K7" s="891">
        <v>306</v>
      </c>
      <c r="L7" s="892">
        <v>1773</v>
      </c>
      <c r="M7" s="892">
        <v>2502</v>
      </c>
      <c r="N7" s="901">
        <v>9000</v>
      </c>
    </row>
    <row r="8" spans="1:14" ht="14.45" customHeight="1" x14ac:dyDescent="0.2">
      <c r="A8" s="882" t="s">
        <v>3768</v>
      </c>
      <c r="B8" s="885" t="s">
        <v>4978</v>
      </c>
      <c r="C8" s="891">
        <v>145</v>
      </c>
      <c r="D8" s="892">
        <v>528</v>
      </c>
      <c r="E8" s="892">
        <v>570</v>
      </c>
      <c r="F8" s="896"/>
      <c r="G8" s="891">
        <v>3128.4936000000007</v>
      </c>
      <c r="H8" s="892">
        <v>11393.352000000014</v>
      </c>
      <c r="I8" s="892">
        <v>12328.053779999998</v>
      </c>
      <c r="J8" s="896"/>
      <c r="K8" s="891">
        <v>1015</v>
      </c>
      <c r="L8" s="892">
        <v>3696</v>
      </c>
      <c r="M8" s="892">
        <v>3990</v>
      </c>
      <c r="N8" s="901">
        <v>7000</v>
      </c>
    </row>
    <row r="9" spans="1:14" ht="14.45" customHeight="1" x14ac:dyDescent="0.2">
      <c r="A9" s="882" t="s">
        <v>3645</v>
      </c>
      <c r="B9" s="885" t="s">
        <v>4978</v>
      </c>
      <c r="C9" s="891">
        <v>2905</v>
      </c>
      <c r="D9" s="892">
        <v>2339</v>
      </c>
      <c r="E9" s="892">
        <v>1873</v>
      </c>
      <c r="F9" s="896"/>
      <c r="G9" s="891">
        <v>31215.461040000002</v>
      </c>
      <c r="H9" s="892">
        <v>25081.751700000026</v>
      </c>
      <c r="I9" s="892">
        <v>20126.690099999996</v>
      </c>
      <c r="J9" s="896"/>
      <c r="K9" s="891">
        <v>5810</v>
      </c>
      <c r="L9" s="892">
        <v>4678</v>
      </c>
      <c r="M9" s="892">
        <v>3746</v>
      </c>
      <c r="N9" s="901">
        <v>2000</v>
      </c>
    </row>
    <row r="10" spans="1:14" ht="14.45" customHeight="1" x14ac:dyDescent="0.2">
      <c r="A10" s="882" t="s">
        <v>3770</v>
      </c>
      <c r="B10" s="885" t="s">
        <v>4978</v>
      </c>
      <c r="C10" s="891">
        <v>318</v>
      </c>
      <c r="D10" s="892">
        <v>283</v>
      </c>
      <c r="E10" s="892">
        <v>202</v>
      </c>
      <c r="F10" s="896"/>
      <c r="G10" s="891">
        <v>1914.1937800000014</v>
      </c>
      <c r="H10" s="892">
        <v>1702.8971999999981</v>
      </c>
      <c r="I10" s="892">
        <v>1217.9331200000001</v>
      </c>
      <c r="J10" s="896"/>
      <c r="K10" s="891">
        <v>318</v>
      </c>
      <c r="L10" s="892">
        <v>283</v>
      </c>
      <c r="M10" s="892">
        <v>202</v>
      </c>
      <c r="N10" s="901">
        <v>1000</v>
      </c>
    </row>
    <row r="11" spans="1:14" ht="14.45" customHeight="1" thickBot="1" x14ac:dyDescent="0.25">
      <c r="A11" s="883" t="s">
        <v>3764</v>
      </c>
      <c r="B11" s="886" t="s">
        <v>4978</v>
      </c>
      <c r="C11" s="893">
        <v>31</v>
      </c>
      <c r="D11" s="894">
        <v>30</v>
      </c>
      <c r="E11" s="894">
        <v>22</v>
      </c>
      <c r="F11" s="897"/>
      <c r="G11" s="893">
        <v>152.95320000000004</v>
      </c>
      <c r="H11" s="894">
        <v>148.12019999999995</v>
      </c>
      <c r="I11" s="894">
        <v>108.68220000000002</v>
      </c>
      <c r="J11" s="897"/>
      <c r="K11" s="893">
        <v>15.5</v>
      </c>
      <c r="L11" s="894">
        <v>15</v>
      </c>
      <c r="M11" s="894">
        <v>11</v>
      </c>
      <c r="N11" s="902">
        <v>500</v>
      </c>
    </row>
  </sheetData>
  <autoFilter ref="A5:N5" xr:uid="{00000000-0009-0000-0000-000039000000}"/>
  <mergeCells count="6">
    <mergeCell ref="A1:N1"/>
    <mergeCell ref="A4:A5"/>
    <mergeCell ref="B4:B5"/>
    <mergeCell ref="C4:F4"/>
    <mergeCell ref="G4:J4"/>
    <mergeCell ref="K4:N4"/>
  </mergeCells>
  <conditionalFormatting sqref="F6:F65531 J6:J65531">
    <cfRule type="cellIs" dxfId="2" priority="6" stopIfTrue="1" operator="greaterThanOrEqual">
      <formula>1</formula>
    </cfRule>
  </conditionalFormatting>
  <conditionalFormatting sqref="F3">
    <cfRule type="cellIs" dxfId="1" priority="5" stopIfTrue="1" operator="greaterThanOrEqual">
      <formula>1</formula>
    </cfRule>
  </conditionalFormatting>
  <conditionalFormatting sqref="J3">
    <cfRule type="cellIs" dxfId="0" priority="4" stopIfTrue="1" operator="greaterThanOrEqual">
      <formula>1</formula>
    </cfRule>
  </conditionalFormatting>
  <conditionalFormatting sqref="E6:E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{F41FDF36-4DF6-49C1-AEE2-A4734489E57F}</x14:id>
        </ext>
      </extLst>
    </cfRule>
  </conditionalFormatting>
  <conditionalFormatting sqref="I6:I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{22F00197-2BD7-493E-BC02-3906F6130DA3}</x14:id>
        </ext>
      </extLst>
    </cfRule>
  </conditionalFormatting>
  <conditionalFormatting sqref="M6:M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{E60DB86E-BB07-4CC2-A6CD-752208150D74}</x14:id>
        </ext>
      </extLst>
    </cfRule>
  </conditionalFormatting>
  <hyperlinks>
    <hyperlink ref="A2" location="Obsah!A1" display="Zpět na Obsah  KL 01  1.-4.měsíc" xr:uid="{AAEA7B3D-6F21-49E2-97F8-DD7FD5C6BE4C}"/>
  </hyperlinks>
  <pageMargins left="0.25" right="0.25" top="0.75" bottom="0.75" header="0.3" footer="0.3"/>
  <pageSetup paperSize="9" fitToHeight="0" orientation="landscape" r:id="rId1"/>
  <headerFooter alignWithMargins="0"/>
  <ignoredErrors>
    <ignoredError sqref="K3:M3 C3:E3 G3:I3" formulaRange="1"/>
    <ignoredError sqref="F3 J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41FDF36-4DF6-49C1-AEE2-A4734489E57F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E6:E1048576</xm:sqref>
        </x14:conditionalFormatting>
        <x14:conditionalFormatting xmlns:xm="http://schemas.microsoft.com/office/excel/2006/main">
          <x14:cfRule type="dataBar" id="{22F00197-2BD7-493E-BC02-3906F6130DA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I6:I1048576</xm:sqref>
        </x14:conditionalFormatting>
        <x14:conditionalFormatting xmlns:xm="http://schemas.microsoft.com/office/excel/2006/main">
          <x14:cfRule type="dataBar" id="{E60DB86E-BB07-4CC2-A6CD-752208150D7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M6:M1048576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ColWidth="8.85546875" defaultRowHeight="14.45" customHeight="1" outlineLevelCol="1" x14ac:dyDescent="0.2"/>
  <cols>
    <col min="1" max="1" width="34.28515625" style="233" bestFit="1" customWidth="1"/>
    <col min="2" max="2" width="9.5703125" style="233" hidden="1" customWidth="1" outlineLevel="1"/>
    <col min="3" max="3" width="9.5703125" style="233" customWidth="1" collapsed="1"/>
    <col min="4" max="4" width="2.28515625" style="233" customWidth="1"/>
    <col min="5" max="8" width="9.5703125" style="233" customWidth="1"/>
    <col min="9" max="10" width="9.7109375" style="233" hidden="1" customWidth="1" outlineLevel="1"/>
    <col min="11" max="11" width="8.85546875" style="233" collapsed="1"/>
    <col min="12" max="16384" width="8.85546875" style="233"/>
  </cols>
  <sheetData>
    <row r="1" spans="1:10" ht="18.600000000000001" customHeight="1" thickBot="1" x14ac:dyDescent="0.35">
      <c r="A1" s="507" t="s">
        <v>159</v>
      </c>
      <c r="B1" s="507"/>
      <c r="C1" s="507"/>
      <c r="D1" s="507"/>
      <c r="E1" s="507"/>
      <c r="F1" s="507"/>
      <c r="G1" s="507"/>
      <c r="H1" s="507"/>
      <c r="I1" s="507"/>
      <c r="J1" s="507"/>
    </row>
    <row r="2" spans="1:10" ht="14.45" customHeight="1" thickBot="1" x14ac:dyDescent="0.25">
      <c r="A2" s="350" t="s">
        <v>305</v>
      </c>
      <c r="B2" s="206"/>
      <c r="C2" s="206"/>
      <c r="D2" s="206"/>
      <c r="E2" s="206"/>
      <c r="F2" s="206"/>
    </row>
    <row r="3" spans="1:10" ht="14.45" customHeight="1" x14ac:dyDescent="0.2">
      <c r="A3" s="498"/>
      <c r="B3" s="202">
        <v>2019</v>
      </c>
      <c r="C3" s="44">
        <v>2020</v>
      </c>
      <c r="D3" s="11"/>
      <c r="E3" s="502">
        <v>2021</v>
      </c>
      <c r="F3" s="503"/>
      <c r="G3" s="503"/>
      <c r="H3" s="504"/>
      <c r="I3" s="505">
        <v>2021</v>
      </c>
      <c r="J3" s="506"/>
    </row>
    <row r="4" spans="1:10" ht="14.45" customHeight="1" thickBot="1" x14ac:dyDescent="0.25">
      <c r="A4" s="499"/>
      <c r="B4" s="500" t="s">
        <v>80</v>
      </c>
      <c r="C4" s="501"/>
      <c r="D4" s="11"/>
      <c r="E4" s="223" t="s">
        <v>80</v>
      </c>
      <c r="F4" s="204" t="s">
        <v>81</v>
      </c>
      <c r="G4" s="204" t="s">
        <v>55</v>
      </c>
      <c r="H4" s="205" t="s">
        <v>82</v>
      </c>
      <c r="I4" s="412" t="s">
        <v>278</v>
      </c>
      <c r="J4" s="413" t="s">
        <v>279</v>
      </c>
    </row>
    <row r="5" spans="1:10" ht="14.45" customHeight="1" x14ac:dyDescent="0.2">
      <c r="A5" s="207" t="str">
        <f>HYPERLINK("#'Léky Žádanky'!A1","Léky (Kč)")</f>
        <v>Léky (Kč)</v>
      </c>
      <c r="B5" s="31">
        <v>8807.0236900000018</v>
      </c>
      <c r="C5" s="33">
        <v>12812.252350000002</v>
      </c>
      <c r="D5" s="12"/>
      <c r="E5" s="212">
        <v>10125.108469999999</v>
      </c>
      <c r="F5" s="32">
        <v>0</v>
      </c>
      <c r="G5" s="211">
        <f>E5-F5</f>
        <v>10125.108469999999</v>
      </c>
      <c r="H5" s="217" t="str">
        <f>IF(F5&lt;0.00000001,"",E5/F5)</f>
        <v/>
      </c>
    </row>
    <row r="6" spans="1:10" ht="14.45" customHeight="1" x14ac:dyDescent="0.2">
      <c r="A6" s="207" t="str">
        <f>HYPERLINK("#'Materiál Žádanky'!A1","Materiál - SZM (Kč)")</f>
        <v>Materiál - SZM (Kč)</v>
      </c>
      <c r="B6" s="14">
        <v>4371.8190199999999</v>
      </c>
      <c r="C6" s="35">
        <v>6594.0540399999991</v>
      </c>
      <c r="D6" s="12"/>
      <c r="E6" s="213">
        <v>4907.4824799999988</v>
      </c>
      <c r="F6" s="34">
        <v>0</v>
      </c>
      <c r="G6" s="214">
        <f>E6-F6</f>
        <v>4907.4824799999988</v>
      </c>
      <c r="H6" s="218" t="str">
        <f>IF(F6&lt;0.00000001,"",E6/F6)</f>
        <v/>
      </c>
    </row>
    <row r="7" spans="1:10" ht="14.45" customHeight="1" x14ac:dyDescent="0.2">
      <c r="A7" s="207" t="str">
        <f>HYPERLINK("#'Osobní náklady'!A1","Osobní náklady (Kč) *")</f>
        <v>Osobní náklady (Kč) *</v>
      </c>
      <c r="B7" s="14">
        <v>56204.077309999993</v>
      </c>
      <c r="C7" s="35">
        <v>72537.900869999998</v>
      </c>
      <c r="D7" s="12"/>
      <c r="E7" s="213">
        <v>63836.219189999996</v>
      </c>
      <c r="F7" s="34">
        <v>0</v>
      </c>
      <c r="G7" s="214">
        <f>E7-F7</f>
        <v>63836.219189999996</v>
      </c>
      <c r="H7" s="218" t="str">
        <f>IF(F7&lt;0.00000001,"",E7/F7)</f>
        <v/>
      </c>
    </row>
    <row r="8" spans="1:10" ht="14.45" customHeight="1" thickBot="1" x14ac:dyDescent="0.25">
      <c r="A8" s="1" t="s">
        <v>83</v>
      </c>
      <c r="B8" s="15">
        <v>10417.917590000008</v>
      </c>
      <c r="C8" s="37">
        <v>11879.247299999999</v>
      </c>
      <c r="D8" s="12"/>
      <c r="E8" s="215">
        <v>11987.495359999994</v>
      </c>
      <c r="F8" s="36">
        <v>0</v>
      </c>
      <c r="G8" s="216">
        <f>E8-F8</f>
        <v>11987.495359999994</v>
      </c>
      <c r="H8" s="219" t="str">
        <f>IF(F8&lt;0.00000001,"",E8/F8)</f>
        <v/>
      </c>
    </row>
    <row r="9" spans="1:10" ht="14.45" customHeight="1" thickBot="1" x14ac:dyDescent="0.25">
      <c r="A9" s="2" t="s">
        <v>84</v>
      </c>
      <c r="B9" s="3">
        <v>79800.837610000002</v>
      </c>
      <c r="C9" s="39">
        <v>103823.45456</v>
      </c>
      <c r="D9" s="12"/>
      <c r="E9" s="3">
        <v>90856.305499999988</v>
      </c>
      <c r="F9" s="38">
        <v>0</v>
      </c>
      <c r="G9" s="38">
        <f>E9-F9</f>
        <v>90856.305499999988</v>
      </c>
      <c r="H9" s="220" t="str">
        <f>IF(F9&lt;0.00000001,"",E9/F9)</f>
        <v/>
      </c>
    </row>
    <row r="10" spans="1:10" ht="14.45" customHeight="1" thickBot="1" x14ac:dyDescent="0.25">
      <c r="A10" s="16"/>
      <c r="B10" s="16"/>
      <c r="C10" s="203"/>
      <c r="D10" s="12"/>
      <c r="E10" s="16"/>
      <c r="F10" s="17"/>
    </row>
    <row r="11" spans="1:10" ht="14.45" customHeight="1" x14ac:dyDescent="0.2">
      <c r="A11" s="236" t="str">
        <f>HYPERLINK("#'ZV Vykáz.-A'!A1","Ambulance *")</f>
        <v>Ambulance *</v>
      </c>
      <c r="B11" s="13">
        <f>IF(ISERROR(VLOOKUP("Celkem:",'ZV Vykáz.-A'!A:H,2,0)),0,VLOOKUP("Celkem:",'ZV Vykáz.-A'!A:H,2,0)/1000)</f>
        <v>0</v>
      </c>
      <c r="C11" s="33">
        <f>IF(ISERROR(VLOOKUP("Celkem:",'ZV Vykáz.-A'!A:H,5,0)),0,VLOOKUP("Celkem:",'ZV Vykáz.-A'!A:H,5,0)/1000)</f>
        <v>0</v>
      </c>
      <c r="D11" s="12"/>
      <c r="E11" s="212">
        <f>IF(ISERROR(VLOOKUP("Celkem:",'ZV Vykáz.-A'!A:H,8,0)),0,VLOOKUP("Celkem:",'ZV Vykáz.-A'!A:H,8,0)/1000)</f>
        <v>0</v>
      </c>
      <c r="F11" s="32"/>
      <c r="G11" s="211">
        <f>E11-F11</f>
        <v>0</v>
      </c>
      <c r="H11" s="217" t="str">
        <f>IF(F11&lt;0.00000001,"",E11/F11)</f>
        <v/>
      </c>
      <c r="I11" s="211">
        <f>E11-B11</f>
        <v>0</v>
      </c>
      <c r="J11" s="217" t="str">
        <f>IF(B11&lt;0.00000001,"",E11/B11)</f>
        <v/>
      </c>
    </row>
    <row r="12" spans="1:10" ht="14.45" customHeight="1" thickBot="1" x14ac:dyDescent="0.25">
      <c r="A12" s="237" t="str">
        <f>HYPERLINK("#CaseMix!A1","Hospitalizace *")</f>
        <v>Hospitalizace *</v>
      </c>
      <c r="B12" s="15">
        <f>IF(ISERROR(VLOOKUP("Celkem",CaseMix!A:D,2,0)),0,VLOOKUP("Celkem",CaseMix!A:D,2,0)*30)</f>
        <v>13211.579999999998</v>
      </c>
      <c r="C12" s="37">
        <f>IF(ISERROR(VLOOKUP("Celkem",CaseMix!A:D,3,0)),0,VLOOKUP("Celkem",CaseMix!A:D,3,0)*30)</f>
        <v>19819.32</v>
      </c>
      <c r="D12" s="12"/>
      <c r="E12" s="215">
        <f>IF(ISERROR(VLOOKUP("Celkem",CaseMix!A:D,4,0)),0,VLOOKUP("Celkem",CaseMix!A:D,4,0)*30)</f>
        <v>23718.36</v>
      </c>
      <c r="F12" s="36"/>
      <c r="G12" s="216">
        <f>E12-F12</f>
        <v>23718.36</v>
      </c>
      <c r="H12" s="219" t="str">
        <f>IF(F12&lt;0.00000001,"",E12/F12)</f>
        <v/>
      </c>
      <c r="I12" s="216">
        <f>E12-B12</f>
        <v>10506.780000000002</v>
      </c>
      <c r="J12" s="219">
        <f>IF(B12&lt;0.00000001,"",E12/B12)</f>
        <v>1.795270512686598</v>
      </c>
    </row>
    <row r="13" spans="1:10" ht="14.45" customHeight="1" thickBot="1" x14ac:dyDescent="0.25">
      <c r="A13" s="4" t="s">
        <v>87</v>
      </c>
      <c r="B13" s="9">
        <f>SUM(B11:B12)</f>
        <v>13211.579999999998</v>
      </c>
      <c r="C13" s="41">
        <f>SUM(C11:C12)</f>
        <v>19819.32</v>
      </c>
      <c r="D13" s="12"/>
      <c r="E13" s="9">
        <f>SUM(E11:E12)</f>
        <v>23718.36</v>
      </c>
      <c r="F13" s="40"/>
      <c r="G13" s="40">
        <f>E13-F13</f>
        <v>23718.36</v>
      </c>
      <c r="H13" s="221" t="str">
        <f>IF(F13&lt;0.00000001,"",E13/F13)</f>
        <v/>
      </c>
      <c r="I13" s="40">
        <f>SUM(I11:I12)</f>
        <v>10506.780000000002</v>
      </c>
      <c r="J13" s="221">
        <f>IF(B13&lt;0.00000001,"",E13/B13)</f>
        <v>1.795270512686598</v>
      </c>
    </row>
    <row r="14" spans="1:10" ht="14.45" customHeight="1" thickBot="1" x14ac:dyDescent="0.25">
      <c r="A14" s="16"/>
      <c r="B14" s="16"/>
      <c r="C14" s="203"/>
      <c r="D14" s="12"/>
      <c r="E14" s="16"/>
      <c r="F14" s="17"/>
    </row>
    <row r="15" spans="1:10" ht="14.45" customHeight="1" thickBot="1" x14ac:dyDescent="0.25">
      <c r="A15" s="238" t="str">
        <f>HYPERLINK("#'HI Graf'!A1","Hospodářský index (Výnosy / Náklady) *")</f>
        <v>Hospodářský index (Výnosy / Náklady) *</v>
      </c>
      <c r="B15" s="10">
        <f>IF(B9=0,"",B13/B9)</f>
        <v>0.16555690887064609</v>
      </c>
      <c r="C15" s="43">
        <f>IF(C9=0,"",C13/C9)</f>
        <v>0.19089443790898264</v>
      </c>
      <c r="D15" s="12"/>
      <c r="E15" s="10">
        <f>IF(E9=0,"",E13/E9)</f>
        <v>0.26105353799577513</v>
      </c>
      <c r="F15" s="42"/>
      <c r="G15" s="42">
        <f>IF(ISERROR(F15-E15),"",E15-F15)</f>
        <v>0.26105353799577513</v>
      </c>
      <c r="H15" s="222" t="str">
        <f>IF(ISERROR(F15-E15),"",IF(F15&lt;0.00000001,"",E15/F15))</f>
        <v/>
      </c>
    </row>
    <row r="17" spans="1:8" ht="14.45" customHeight="1" x14ac:dyDescent="0.2">
      <c r="A17" s="208" t="s">
        <v>179</v>
      </c>
    </row>
    <row r="18" spans="1:8" ht="14.45" customHeight="1" x14ac:dyDescent="0.25">
      <c r="A18" s="353" t="s">
        <v>209</v>
      </c>
      <c r="B18" s="354"/>
      <c r="C18" s="354"/>
      <c r="D18" s="354"/>
      <c r="E18" s="354"/>
      <c r="F18" s="354"/>
      <c r="G18" s="354"/>
      <c r="H18" s="354"/>
    </row>
    <row r="19" spans="1:8" ht="15" x14ac:dyDescent="0.25">
      <c r="A19" s="352" t="s">
        <v>208</v>
      </c>
      <c r="B19" s="354"/>
      <c r="C19" s="354"/>
      <c r="D19" s="354"/>
      <c r="E19" s="354"/>
      <c r="F19" s="354"/>
      <c r="G19" s="354"/>
      <c r="H19" s="354"/>
    </row>
    <row r="20" spans="1:8" ht="14.45" customHeight="1" x14ac:dyDescent="0.2">
      <c r="A20" s="209" t="s">
        <v>229</v>
      </c>
    </row>
    <row r="21" spans="1:8" ht="14.45" customHeight="1" x14ac:dyDescent="0.2">
      <c r="A21" s="209" t="s">
        <v>180</v>
      </c>
    </row>
    <row r="22" spans="1:8" ht="14.45" customHeight="1" x14ac:dyDescent="0.2">
      <c r="A22" s="210" t="s">
        <v>277</v>
      </c>
    </row>
    <row r="23" spans="1:8" ht="14.45" customHeight="1" x14ac:dyDescent="0.2">
      <c r="A23" s="210" t="s">
        <v>181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70" priority="8" operator="greaterThan">
      <formula>0</formula>
    </cfRule>
  </conditionalFormatting>
  <conditionalFormatting sqref="G11:G13 G15">
    <cfRule type="cellIs" dxfId="69" priority="7" operator="lessThan">
      <formula>0</formula>
    </cfRule>
  </conditionalFormatting>
  <conditionalFormatting sqref="H5:H9">
    <cfRule type="cellIs" dxfId="68" priority="6" operator="greaterThan">
      <formula>1</formula>
    </cfRule>
  </conditionalFormatting>
  <conditionalFormatting sqref="H11:H13 H15">
    <cfRule type="cellIs" dxfId="67" priority="5" operator="lessThan">
      <formula>1</formula>
    </cfRule>
  </conditionalFormatting>
  <conditionalFormatting sqref="I11:I13">
    <cfRule type="cellIs" dxfId="66" priority="4" operator="lessThan">
      <formula>0</formula>
    </cfRule>
  </conditionalFormatting>
  <conditionalFormatting sqref="J11:J13">
    <cfRule type="cellIs" dxfId="65" priority="3" operator="lessThan">
      <formula>1</formula>
    </cfRule>
  </conditionalFormatting>
  <hyperlinks>
    <hyperlink ref="A2" location="Obsah!A1" display="Zpět na Obsah  KL 01  1.-4.měsíc" xr:uid="{AF5762EF-2291-42C9-B447-AA7A097A8453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ColWidth="8.85546875" defaultRowHeight="14.45" customHeight="1" x14ac:dyDescent="0.2"/>
  <cols>
    <col min="1" max="1" width="8.85546875" style="233"/>
    <col min="2" max="13" width="8.85546875" style="233" customWidth="1"/>
    <col min="14" max="16384" width="8.85546875" style="233"/>
  </cols>
  <sheetData>
    <row r="1" spans="1:13" ht="18.600000000000001" customHeight="1" thickBot="1" x14ac:dyDescent="0.35">
      <c r="A1" s="496" t="s">
        <v>114</v>
      </c>
      <c r="B1" s="496"/>
      <c r="C1" s="496"/>
      <c r="D1" s="496"/>
      <c r="E1" s="496"/>
      <c r="F1" s="496"/>
      <c r="G1" s="496"/>
      <c r="H1" s="496"/>
      <c r="I1" s="496"/>
      <c r="J1" s="496"/>
      <c r="K1" s="496"/>
      <c r="L1" s="496"/>
      <c r="M1" s="496"/>
    </row>
    <row r="2" spans="1:13" ht="14.45" customHeight="1" x14ac:dyDescent="0.2">
      <c r="A2" s="350" t="s">
        <v>305</v>
      </c>
      <c r="B2" s="234"/>
      <c r="C2" s="234"/>
      <c r="D2" s="234"/>
      <c r="E2" s="234"/>
      <c r="F2" s="234"/>
      <c r="G2" s="234"/>
      <c r="H2" s="234"/>
      <c r="I2" s="234"/>
      <c r="J2" s="234"/>
      <c r="K2" s="234"/>
      <c r="L2" s="234"/>
      <c r="M2" s="234"/>
    </row>
    <row r="3" spans="1:13" ht="14.45" customHeight="1" x14ac:dyDescent="0.2">
      <c r="A3" s="303"/>
      <c r="B3" s="304" t="s">
        <v>89</v>
      </c>
      <c r="C3" s="305" t="s">
        <v>90</v>
      </c>
      <c r="D3" s="305" t="s">
        <v>91</v>
      </c>
      <c r="E3" s="304" t="s">
        <v>92</v>
      </c>
      <c r="F3" s="305" t="s">
        <v>93</v>
      </c>
      <c r="G3" s="305" t="s">
        <v>94</v>
      </c>
      <c r="H3" s="305" t="s">
        <v>95</v>
      </c>
      <c r="I3" s="305" t="s">
        <v>96</v>
      </c>
      <c r="J3" s="305" t="s">
        <v>97</v>
      </c>
      <c r="K3" s="305" t="s">
        <v>98</v>
      </c>
      <c r="L3" s="305" t="s">
        <v>99</v>
      </c>
      <c r="M3" s="305" t="s">
        <v>100</v>
      </c>
    </row>
    <row r="4" spans="1:13" ht="14.45" customHeight="1" x14ac:dyDescent="0.2">
      <c r="A4" s="303" t="s">
        <v>88</v>
      </c>
      <c r="B4" s="306">
        <f>(B10+B8)/B6</f>
        <v>0.32004188195747835</v>
      </c>
      <c r="C4" s="306">
        <f t="shared" ref="C4:M4" si="0">(C10+C8)/C6</f>
        <v>0.33076167589853067</v>
      </c>
      <c r="D4" s="306">
        <f t="shared" si="0"/>
        <v>0.39277157625018105</v>
      </c>
      <c r="E4" s="306">
        <f t="shared" si="0"/>
        <v>0.33697027880423391</v>
      </c>
      <c r="F4" s="306">
        <f t="shared" si="0"/>
        <v>0.35424613596424842</v>
      </c>
      <c r="G4" s="306">
        <f t="shared" si="0"/>
        <v>0.34482539034282456</v>
      </c>
      <c r="H4" s="306">
        <f t="shared" si="0"/>
        <v>0.30265065855547435</v>
      </c>
      <c r="I4" s="306">
        <f t="shared" si="0"/>
        <v>0.27293617748761317</v>
      </c>
      <c r="J4" s="306">
        <f t="shared" si="0"/>
        <v>0.26860596655702823</v>
      </c>
      <c r="K4" s="306">
        <f t="shared" si="0"/>
        <v>0.25417176063821667</v>
      </c>
      <c r="L4" s="306">
        <f t="shared" si="0"/>
        <v>0.22844895790183001</v>
      </c>
      <c r="M4" s="306">
        <f t="shared" si="0"/>
        <v>0</v>
      </c>
    </row>
    <row r="5" spans="1:13" ht="14.45" customHeight="1" x14ac:dyDescent="0.2">
      <c r="A5" s="307" t="s">
        <v>40</v>
      </c>
      <c r="B5" s="306">
        <f>IF(ISERROR(VLOOKUP($A5,'Man Tab'!$A:$Q,COLUMN()+2,0)),0,VLOOKUP($A5,'Man Tab'!$A:$Q,COLUMN()+2,0))</f>
        <v>8232.8912199999995</v>
      </c>
      <c r="C5" s="306">
        <f>IF(ISERROR(VLOOKUP($A5,'Man Tab'!$A:$Q,COLUMN()+2,0)),0,VLOOKUP($A5,'Man Tab'!$A:$Q,COLUMN()+2,0))</f>
        <v>8387.7465400000001</v>
      </c>
      <c r="D5" s="306">
        <f>IF(ISERROR(VLOOKUP($A5,'Man Tab'!$A:$Q,COLUMN()+2,0)),0,VLOOKUP($A5,'Man Tab'!$A:$Q,COLUMN()+2,0))</f>
        <v>8078.9092199999996</v>
      </c>
      <c r="E5" s="306">
        <f>IF(ISERROR(VLOOKUP($A5,'Man Tab'!$A:$Q,COLUMN()+2,0)),0,VLOOKUP($A5,'Man Tab'!$A:$Q,COLUMN()+2,0))</f>
        <v>15906.853230000001</v>
      </c>
      <c r="F5" s="306">
        <f>IF(ISERROR(VLOOKUP($A5,'Man Tab'!$A:$Q,COLUMN()+2,0)),0,VLOOKUP($A5,'Man Tab'!$A:$Q,COLUMN()+2,0))</f>
        <v>10063.453820000001</v>
      </c>
      <c r="G5" s="306">
        <f>IF(ISERROR(VLOOKUP($A5,'Man Tab'!$A:$Q,COLUMN()+2,0)),0,VLOOKUP($A5,'Man Tab'!$A:$Q,COLUMN()+2,0))</f>
        <v>7940.3312000000005</v>
      </c>
      <c r="H5" s="306">
        <f>IF(ISERROR(VLOOKUP($A5,'Man Tab'!$A:$Q,COLUMN()+2,0)),0,VLOOKUP($A5,'Man Tab'!$A:$Q,COLUMN()+2,0))</f>
        <v>9973.3430500000013</v>
      </c>
      <c r="I5" s="306">
        <f>IF(ISERROR(VLOOKUP($A5,'Man Tab'!$A:$Q,COLUMN()+2,0)),0,VLOOKUP($A5,'Man Tab'!$A:$Q,COLUMN()+2,0))</f>
        <v>8343.0272000000004</v>
      </c>
      <c r="J5" s="306">
        <f>IF(ISERROR(VLOOKUP($A5,'Man Tab'!$A:$Q,COLUMN()+2,0)),0,VLOOKUP($A5,'Man Tab'!$A:$Q,COLUMN()+2,0))</f>
        <v>8609.7425199999998</v>
      </c>
      <c r="K5" s="306">
        <f>IF(ISERROR(VLOOKUP($A5,'Man Tab'!$A:$Q,COLUMN()+2,0)),0,VLOOKUP($A5,'Man Tab'!$A:$Q,COLUMN()+2,0))</f>
        <v>8610.9036400000005</v>
      </c>
      <c r="L5" s="306">
        <f>IF(ISERROR(VLOOKUP($A5,'Man Tab'!$A:$Q,COLUMN()+2,0)),0,VLOOKUP($A5,'Man Tab'!$A:$Q,COLUMN()+2,0))</f>
        <v>9676.2529200000008</v>
      </c>
      <c r="M5" s="306">
        <f>IF(ISERROR(VLOOKUP($A5,'Man Tab'!$A:$Q,COLUMN()+2,0)),0,VLOOKUP($A5,'Man Tab'!$A:$Q,COLUMN()+2,0))</f>
        <v>0</v>
      </c>
    </row>
    <row r="6" spans="1:13" ht="14.45" customHeight="1" x14ac:dyDescent="0.2">
      <c r="A6" s="307" t="s">
        <v>84</v>
      </c>
      <c r="B6" s="308">
        <f>B5</f>
        <v>8232.8912199999995</v>
      </c>
      <c r="C6" s="308">
        <f t="shared" ref="C6:M6" si="1">C5+B6</f>
        <v>16620.637759999998</v>
      </c>
      <c r="D6" s="308">
        <f t="shared" si="1"/>
        <v>24699.546979999999</v>
      </c>
      <c r="E6" s="308">
        <f t="shared" si="1"/>
        <v>40606.40021</v>
      </c>
      <c r="F6" s="308">
        <f t="shared" si="1"/>
        <v>50669.854030000002</v>
      </c>
      <c r="G6" s="308">
        <f t="shared" si="1"/>
        <v>58610.185230000003</v>
      </c>
      <c r="H6" s="308">
        <f t="shared" si="1"/>
        <v>68583.528279999999</v>
      </c>
      <c r="I6" s="308">
        <f t="shared" si="1"/>
        <v>76926.555479999995</v>
      </c>
      <c r="J6" s="308">
        <f t="shared" si="1"/>
        <v>85536.297999999995</v>
      </c>
      <c r="K6" s="308">
        <f t="shared" si="1"/>
        <v>94147.201639999999</v>
      </c>
      <c r="L6" s="308">
        <f t="shared" si="1"/>
        <v>103823.45456</v>
      </c>
      <c r="M6" s="308">
        <f t="shared" si="1"/>
        <v>103823.45456</v>
      </c>
    </row>
    <row r="7" spans="1:13" ht="14.45" customHeight="1" x14ac:dyDescent="0.2">
      <c r="A7" s="307" t="s">
        <v>112</v>
      </c>
      <c r="B7" s="307">
        <v>87.828999999999994</v>
      </c>
      <c r="C7" s="307">
        <v>183.249</v>
      </c>
      <c r="D7" s="307">
        <v>323.37599999999998</v>
      </c>
      <c r="E7" s="307">
        <v>456.10500000000002</v>
      </c>
      <c r="F7" s="307">
        <v>598.32000000000005</v>
      </c>
      <c r="G7" s="307">
        <v>673.67600000000004</v>
      </c>
      <c r="H7" s="307">
        <v>691.89499999999998</v>
      </c>
      <c r="I7" s="307">
        <v>699.86800000000005</v>
      </c>
      <c r="J7" s="307">
        <v>765.85199999999998</v>
      </c>
      <c r="K7" s="307">
        <v>797.65200000000004</v>
      </c>
      <c r="L7" s="307">
        <v>790.61199999999997</v>
      </c>
      <c r="M7" s="307"/>
    </row>
    <row r="8" spans="1:13" ht="14.45" customHeight="1" x14ac:dyDescent="0.2">
      <c r="A8" s="307" t="s">
        <v>85</v>
      </c>
      <c r="B8" s="308">
        <f>B7*30</f>
        <v>2634.87</v>
      </c>
      <c r="C8" s="308">
        <f t="shared" ref="C8:M8" si="2">C7*30</f>
        <v>5497.47</v>
      </c>
      <c r="D8" s="308">
        <f t="shared" si="2"/>
        <v>9701.2799999999988</v>
      </c>
      <c r="E8" s="308">
        <f t="shared" si="2"/>
        <v>13683.150000000001</v>
      </c>
      <c r="F8" s="308">
        <f t="shared" si="2"/>
        <v>17949.600000000002</v>
      </c>
      <c r="G8" s="308">
        <f t="shared" si="2"/>
        <v>20210.280000000002</v>
      </c>
      <c r="H8" s="308">
        <f t="shared" si="2"/>
        <v>20756.849999999999</v>
      </c>
      <c r="I8" s="308">
        <f t="shared" si="2"/>
        <v>20996.04</v>
      </c>
      <c r="J8" s="308">
        <f t="shared" si="2"/>
        <v>22975.559999999998</v>
      </c>
      <c r="K8" s="308">
        <f t="shared" si="2"/>
        <v>23929.56</v>
      </c>
      <c r="L8" s="308">
        <f t="shared" si="2"/>
        <v>23718.36</v>
      </c>
      <c r="M8" s="308">
        <f t="shared" si="2"/>
        <v>0</v>
      </c>
    </row>
    <row r="9" spans="1:13" ht="14.45" customHeight="1" x14ac:dyDescent="0.2">
      <c r="A9" s="307" t="s">
        <v>113</v>
      </c>
      <c r="B9" s="307"/>
      <c r="C9" s="307">
        <v>0</v>
      </c>
      <c r="D9" s="307">
        <v>0</v>
      </c>
      <c r="E9" s="307">
        <v>0</v>
      </c>
      <c r="F9" s="307">
        <v>0</v>
      </c>
      <c r="G9" s="307">
        <v>0</v>
      </c>
      <c r="H9" s="307">
        <v>0</v>
      </c>
      <c r="I9" s="307">
        <v>0</v>
      </c>
      <c r="J9" s="307">
        <v>0</v>
      </c>
      <c r="K9" s="307">
        <v>0</v>
      </c>
      <c r="L9" s="307">
        <v>0</v>
      </c>
      <c r="M9" s="307">
        <v>0</v>
      </c>
    </row>
    <row r="10" spans="1:13" ht="14.45" customHeight="1" x14ac:dyDescent="0.2">
      <c r="A10" s="307" t="s">
        <v>86</v>
      </c>
      <c r="B10" s="308">
        <f>B9/1000</f>
        <v>0</v>
      </c>
      <c r="C10" s="308">
        <f t="shared" ref="C10:M10" si="3">C9/1000+B10</f>
        <v>0</v>
      </c>
      <c r="D10" s="308">
        <f t="shared" si="3"/>
        <v>0</v>
      </c>
      <c r="E10" s="308">
        <f t="shared" si="3"/>
        <v>0</v>
      </c>
      <c r="F10" s="308">
        <f t="shared" si="3"/>
        <v>0</v>
      </c>
      <c r="G10" s="308">
        <f t="shared" si="3"/>
        <v>0</v>
      </c>
      <c r="H10" s="308">
        <f t="shared" si="3"/>
        <v>0</v>
      </c>
      <c r="I10" s="308">
        <f t="shared" si="3"/>
        <v>0</v>
      </c>
      <c r="J10" s="308">
        <f t="shared" si="3"/>
        <v>0</v>
      </c>
      <c r="K10" s="308">
        <f t="shared" si="3"/>
        <v>0</v>
      </c>
      <c r="L10" s="308">
        <f t="shared" si="3"/>
        <v>0</v>
      </c>
      <c r="M10" s="308">
        <f t="shared" si="3"/>
        <v>0</v>
      </c>
    </row>
    <row r="11" spans="1:13" ht="14.45" customHeight="1" x14ac:dyDescent="0.2">
      <c r="A11" s="303"/>
      <c r="B11" s="303" t="s">
        <v>102</v>
      </c>
      <c r="C11" s="303">
        <f ca="1">IF(MONTH(TODAY())=1,12,MONTH(TODAY())-1)</f>
        <v>11</v>
      </c>
      <c r="D11" s="303"/>
      <c r="E11" s="303"/>
      <c r="F11" s="303"/>
      <c r="G11" s="303"/>
      <c r="H11" s="303"/>
      <c r="I11" s="303"/>
      <c r="J11" s="303"/>
      <c r="K11" s="303"/>
      <c r="L11" s="303"/>
      <c r="M11" s="303"/>
    </row>
    <row r="12" spans="1:13" ht="14.45" customHeight="1" x14ac:dyDescent="0.2">
      <c r="A12" s="303">
        <v>0</v>
      </c>
      <c r="B12" s="306">
        <f>IF(ISERROR(HI!F15),#REF!,HI!F15)</f>
        <v>0</v>
      </c>
      <c r="C12" s="303"/>
      <c r="D12" s="303"/>
      <c r="E12" s="303"/>
      <c r="F12" s="303"/>
      <c r="G12" s="303"/>
      <c r="H12" s="303"/>
      <c r="I12" s="303"/>
      <c r="J12" s="303"/>
      <c r="K12" s="303"/>
      <c r="L12" s="303"/>
      <c r="M12" s="303"/>
    </row>
    <row r="13" spans="1:13" ht="14.45" customHeight="1" x14ac:dyDescent="0.2">
      <c r="A13" s="303">
        <v>1</v>
      </c>
      <c r="B13" s="306">
        <f>IF(ISERROR(HI!F15),#REF!,HI!F15)</f>
        <v>0</v>
      </c>
      <c r="C13" s="303"/>
      <c r="D13" s="303"/>
      <c r="E13" s="303"/>
      <c r="F13" s="303"/>
      <c r="G13" s="303"/>
      <c r="H13" s="303"/>
      <c r="I13" s="303"/>
      <c r="J13" s="303"/>
      <c r="K13" s="303"/>
      <c r="L13" s="303"/>
      <c r="M13" s="303"/>
    </row>
  </sheetData>
  <mergeCells count="1">
    <mergeCell ref="A1:M1"/>
  </mergeCells>
  <hyperlinks>
    <hyperlink ref="A2" location="Obsah!A1" display="Zpět na Obsah  KL 01  1.-4.měsíc" xr:uid="{3840AC0D-6D77-419D-9339-CFAC6DC3A1BA}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ColWidth="8.85546875" defaultRowHeight="14.45" customHeight="1" x14ac:dyDescent="0.2"/>
  <cols>
    <col min="1" max="1" width="42" style="233" bestFit="1" customWidth="1"/>
    <col min="2" max="2" width="12.7109375" style="233" bestFit="1" customWidth="1"/>
    <col min="3" max="3" width="13.7109375" style="233" bestFit="1" customWidth="1"/>
    <col min="4" max="15" width="7.7109375" style="233" bestFit="1" customWidth="1"/>
    <col min="16" max="16" width="8.85546875" style="233" customWidth="1"/>
    <col min="17" max="17" width="6.7109375" style="233" bestFit="1" customWidth="1"/>
    <col min="18" max="16384" width="8.85546875" style="233"/>
  </cols>
  <sheetData>
    <row r="1" spans="1:17" s="309" customFormat="1" ht="18.600000000000001" customHeight="1" thickBot="1" x14ac:dyDescent="0.35">
      <c r="A1" s="508" t="s">
        <v>307</v>
      </c>
      <c r="B1" s="508"/>
      <c r="C1" s="508"/>
      <c r="D1" s="508"/>
      <c r="E1" s="508"/>
      <c r="F1" s="508"/>
      <c r="G1" s="508"/>
      <c r="H1" s="496"/>
      <c r="I1" s="496"/>
      <c r="J1" s="496"/>
      <c r="K1" s="496"/>
      <c r="L1" s="496"/>
      <c r="M1" s="496"/>
      <c r="N1" s="496"/>
      <c r="O1" s="496"/>
      <c r="P1" s="496"/>
      <c r="Q1" s="496"/>
    </row>
    <row r="2" spans="1:17" s="309" customFormat="1" ht="14.45" customHeight="1" thickBot="1" x14ac:dyDescent="0.25">
      <c r="A2" s="350" t="s">
        <v>305</v>
      </c>
      <c r="B2" s="310"/>
      <c r="C2" s="310"/>
      <c r="D2" s="310"/>
      <c r="E2" s="310"/>
      <c r="F2" s="310"/>
      <c r="G2" s="310"/>
      <c r="H2" s="310"/>
      <c r="I2" s="310"/>
      <c r="J2" s="310"/>
      <c r="K2" s="310"/>
      <c r="L2" s="310"/>
      <c r="M2" s="310"/>
      <c r="N2" s="310"/>
      <c r="O2" s="310"/>
      <c r="P2" s="310"/>
      <c r="Q2" s="310"/>
    </row>
    <row r="3" spans="1:17" ht="14.45" customHeight="1" x14ac:dyDescent="0.2">
      <c r="A3" s="93"/>
      <c r="B3" s="509" t="s">
        <v>16</v>
      </c>
      <c r="C3" s="510"/>
      <c r="D3" s="510"/>
      <c r="E3" s="510"/>
      <c r="F3" s="510"/>
      <c r="G3" s="510"/>
      <c r="H3" s="510"/>
      <c r="I3" s="510"/>
      <c r="J3" s="510"/>
      <c r="K3" s="510"/>
      <c r="L3" s="510"/>
      <c r="M3" s="510"/>
      <c r="N3" s="510"/>
      <c r="O3" s="510"/>
      <c r="P3" s="242"/>
      <c r="Q3" s="244"/>
    </row>
    <row r="4" spans="1:17" ht="14.45" customHeight="1" x14ac:dyDescent="0.2">
      <c r="A4" s="94"/>
      <c r="B4" s="24">
        <v>2021</v>
      </c>
      <c r="C4" s="243" t="s">
        <v>17</v>
      </c>
      <c r="D4" s="385" t="s">
        <v>281</v>
      </c>
      <c r="E4" s="385" t="s">
        <v>282</v>
      </c>
      <c r="F4" s="385" t="s">
        <v>283</v>
      </c>
      <c r="G4" s="385" t="s">
        <v>284</v>
      </c>
      <c r="H4" s="385" t="s">
        <v>285</v>
      </c>
      <c r="I4" s="385" t="s">
        <v>286</v>
      </c>
      <c r="J4" s="385" t="s">
        <v>287</v>
      </c>
      <c r="K4" s="385" t="s">
        <v>288</v>
      </c>
      <c r="L4" s="385" t="s">
        <v>289</v>
      </c>
      <c r="M4" s="385" t="s">
        <v>290</v>
      </c>
      <c r="N4" s="385" t="s">
        <v>291</v>
      </c>
      <c r="O4" s="385" t="s">
        <v>292</v>
      </c>
      <c r="P4" s="511" t="s">
        <v>3</v>
      </c>
      <c r="Q4" s="512"/>
    </row>
    <row r="5" spans="1:17" ht="14.45" customHeight="1" thickBot="1" x14ac:dyDescent="0.25">
      <c r="A5" s="95"/>
      <c r="B5" s="25" t="s">
        <v>18</v>
      </c>
      <c r="C5" s="26" t="s">
        <v>18</v>
      </c>
      <c r="D5" s="26" t="s">
        <v>19</v>
      </c>
      <c r="E5" s="26" t="s">
        <v>19</v>
      </c>
      <c r="F5" s="26" t="s">
        <v>19</v>
      </c>
      <c r="G5" s="26" t="s">
        <v>19</v>
      </c>
      <c r="H5" s="26" t="s">
        <v>19</v>
      </c>
      <c r="I5" s="26" t="s">
        <v>19</v>
      </c>
      <c r="J5" s="26" t="s">
        <v>19</v>
      </c>
      <c r="K5" s="26" t="s">
        <v>19</v>
      </c>
      <c r="L5" s="26" t="s">
        <v>19</v>
      </c>
      <c r="M5" s="26" t="s">
        <v>19</v>
      </c>
      <c r="N5" s="26" t="s">
        <v>19</v>
      </c>
      <c r="O5" s="26" t="s">
        <v>19</v>
      </c>
      <c r="P5" s="26" t="s">
        <v>19</v>
      </c>
      <c r="Q5" s="27" t="s">
        <v>20</v>
      </c>
    </row>
    <row r="6" spans="1:17" ht="14.45" customHeight="1" x14ac:dyDescent="0.2">
      <c r="A6" s="18" t="s">
        <v>21</v>
      </c>
      <c r="B6" s="52">
        <v>0</v>
      </c>
      <c r="C6" s="53">
        <v>0</v>
      </c>
      <c r="D6" s="53">
        <v>0</v>
      </c>
      <c r="E6" s="53">
        <v>0</v>
      </c>
      <c r="F6" s="53">
        <v>0</v>
      </c>
      <c r="G6" s="53">
        <v>0</v>
      </c>
      <c r="H6" s="53">
        <v>0</v>
      </c>
      <c r="I6" s="53">
        <v>0</v>
      </c>
      <c r="J6" s="53">
        <v>0</v>
      </c>
      <c r="K6" s="53">
        <v>0</v>
      </c>
      <c r="L6" s="53">
        <v>0</v>
      </c>
      <c r="M6" s="53">
        <v>0</v>
      </c>
      <c r="N6" s="53">
        <v>0</v>
      </c>
      <c r="O6" s="53">
        <v>0</v>
      </c>
      <c r="P6" s="54">
        <v>0</v>
      </c>
      <c r="Q6" s="170" t="s">
        <v>306</v>
      </c>
    </row>
    <row r="7" spans="1:17" ht="14.45" customHeight="1" x14ac:dyDescent="0.2">
      <c r="A7" s="19" t="s">
        <v>22</v>
      </c>
      <c r="B7" s="55">
        <v>11049.999999900001</v>
      </c>
      <c r="C7" s="56">
        <v>920.83333332500013</v>
      </c>
      <c r="D7" s="56">
        <v>672.23629000000005</v>
      </c>
      <c r="E7" s="56">
        <v>1376.7891599999998</v>
      </c>
      <c r="F7" s="56">
        <v>1251.6622500000001</v>
      </c>
      <c r="G7" s="56">
        <v>1962.2666499999998</v>
      </c>
      <c r="H7" s="56">
        <v>1518.24368</v>
      </c>
      <c r="I7" s="56">
        <v>939.37029000000007</v>
      </c>
      <c r="J7" s="56">
        <v>817.21265000000005</v>
      </c>
      <c r="K7" s="56">
        <v>1150.8705500000001</v>
      </c>
      <c r="L7" s="56">
        <v>988.16028000000006</v>
      </c>
      <c r="M7" s="56">
        <v>928.16716000000008</v>
      </c>
      <c r="N7" s="56">
        <v>1207.2733899999998</v>
      </c>
      <c r="O7" s="56">
        <v>0</v>
      </c>
      <c r="P7" s="57">
        <v>12812.252350000001</v>
      </c>
      <c r="Q7" s="171">
        <v>1.2648871098427918</v>
      </c>
    </row>
    <row r="8" spans="1:17" ht="14.45" customHeight="1" x14ac:dyDescent="0.2">
      <c r="A8" s="19" t="s">
        <v>23</v>
      </c>
      <c r="B8" s="55">
        <v>4971.0153797000003</v>
      </c>
      <c r="C8" s="56">
        <v>414.25128164166671</v>
      </c>
      <c r="D8" s="56">
        <v>213.81</v>
      </c>
      <c r="E8" s="56">
        <v>532.86</v>
      </c>
      <c r="F8" s="56">
        <v>407.57</v>
      </c>
      <c r="G8" s="56">
        <v>533.79</v>
      </c>
      <c r="H8" s="56">
        <v>877.35</v>
      </c>
      <c r="I8" s="56">
        <v>286.27</v>
      </c>
      <c r="J8" s="56">
        <v>491.30500000000001</v>
      </c>
      <c r="K8" s="56">
        <v>311.13499999999999</v>
      </c>
      <c r="L8" s="56">
        <v>355.30500000000001</v>
      </c>
      <c r="M8" s="56">
        <v>367.6</v>
      </c>
      <c r="N8" s="56">
        <v>567.09500000000003</v>
      </c>
      <c r="O8" s="56">
        <v>0</v>
      </c>
      <c r="P8" s="57">
        <v>4944.09</v>
      </c>
      <c r="Q8" s="171">
        <v>1.0850002092727837</v>
      </c>
    </row>
    <row r="9" spans="1:17" ht="14.45" customHeight="1" x14ac:dyDescent="0.2">
      <c r="A9" s="19" t="s">
        <v>24</v>
      </c>
      <c r="B9" s="55">
        <v>5143.0000001999997</v>
      </c>
      <c r="C9" s="56">
        <v>428.58333334999998</v>
      </c>
      <c r="D9" s="56">
        <v>758.97681999999998</v>
      </c>
      <c r="E9" s="56">
        <v>611.74955</v>
      </c>
      <c r="F9" s="56">
        <v>595.80508999999995</v>
      </c>
      <c r="G9" s="56">
        <v>760.52787000000001</v>
      </c>
      <c r="H9" s="56">
        <v>809.78521999999998</v>
      </c>
      <c r="I9" s="56">
        <v>522.39442999999994</v>
      </c>
      <c r="J9" s="56">
        <v>436.15321</v>
      </c>
      <c r="K9" s="56">
        <v>566.44427000000007</v>
      </c>
      <c r="L9" s="56">
        <v>429.69693000000001</v>
      </c>
      <c r="M9" s="56">
        <v>544.39553999999998</v>
      </c>
      <c r="N9" s="56">
        <v>558.12510999999995</v>
      </c>
      <c r="O9" s="56">
        <v>0</v>
      </c>
      <c r="P9" s="57">
        <v>6594.05404</v>
      </c>
      <c r="Q9" s="171">
        <v>1.3986998829286561</v>
      </c>
    </row>
    <row r="10" spans="1:17" ht="14.45" customHeight="1" x14ac:dyDescent="0.2">
      <c r="A10" s="19" t="s">
        <v>25</v>
      </c>
      <c r="B10" s="55">
        <v>107.83481860000001</v>
      </c>
      <c r="C10" s="56">
        <v>8.9862348833333332</v>
      </c>
      <c r="D10" s="56">
        <v>7.5446</v>
      </c>
      <c r="E10" s="56">
        <v>9.3143999999999991</v>
      </c>
      <c r="F10" s="56">
        <v>10.00102</v>
      </c>
      <c r="G10" s="56">
        <v>8.3944799999999997</v>
      </c>
      <c r="H10" s="56">
        <v>11.128030000000001</v>
      </c>
      <c r="I10" s="56">
        <v>12.23577</v>
      </c>
      <c r="J10" s="56">
        <v>12.913790000000001</v>
      </c>
      <c r="K10" s="56">
        <v>9.0112800000000011</v>
      </c>
      <c r="L10" s="56">
        <v>10.792350000000001</v>
      </c>
      <c r="M10" s="56">
        <v>9.2733299999999996</v>
      </c>
      <c r="N10" s="56">
        <v>6.9886200000000001</v>
      </c>
      <c r="O10" s="56">
        <v>0</v>
      </c>
      <c r="P10" s="57">
        <v>107.59767000000001</v>
      </c>
      <c r="Q10" s="171">
        <v>1.0885099811688872</v>
      </c>
    </row>
    <row r="11" spans="1:17" ht="14.45" customHeight="1" x14ac:dyDescent="0.2">
      <c r="A11" s="19" t="s">
        <v>26</v>
      </c>
      <c r="B11" s="55">
        <v>478.89184280000001</v>
      </c>
      <c r="C11" s="56">
        <v>39.907653566666667</v>
      </c>
      <c r="D11" s="56">
        <v>47.889940000000003</v>
      </c>
      <c r="E11" s="56">
        <v>45.333030000000001</v>
      </c>
      <c r="F11" s="56">
        <v>53.308450000000001</v>
      </c>
      <c r="G11" s="56">
        <v>50.644669999999998</v>
      </c>
      <c r="H11" s="56">
        <v>30.710560000000001</v>
      </c>
      <c r="I11" s="56">
        <v>45.070160000000001</v>
      </c>
      <c r="J11" s="56">
        <v>27.971580000000003</v>
      </c>
      <c r="K11" s="56">
        <v>42.333199999999998</v>
      </c>
      <c r="L11" s="56">
        <v>35.567410000000002</v>
      </c>
      <c r="M11" s="56">
        <v>54.86403</v>
      </c>
      <c r="N11" s="56">
        <v>32.440390000000001</v>
      </c>
      <c r="O11" s="56">
        <v>0</v>
      </c>
      <c r="P11" s="57">
        <v>466.13341999999994</v>
      </c>
      <c r="Q11" s="171">
        <v>1.0618455776598277</v>
      </c>
    </row>
    <row r="12" spans="1:17" ht="14.45" customHeight="1" x14ac:dyDescent="0.2">
      <c r="A12" s="19" t="s">
        <v>27</v>
      </c>
      <c r="B12" s="55">
        <v>152.16994</v>
      </c>
      <c r="C12" s="56">
        <v>12.680828333333332</v>
      </c>
      <c r="D12" s="56">
        <v>0</v>
      </c>
      <c r="E12" s="56">
        <v>1.06254</v>
      </c>
      <c r="F12" s="56">
        <v>79.931389999999993</v>
      </c>
      <c r="G12" s="56">
        <v>40.785470000000004</v>
      </c>
      <c r="H12" s="56">
        <v>0</v>
      </c>
      <c r="I12" s="56">
        <v>2.7E-2</v>
      </c>
      <c r="J12" s="56">
        <v>0.17799999999999999</v>
      </c>
      <c r="K12" s="56">
        <v>18.983360000000001</v>
      </c>
      <c r="L12" s="56">
        <v>1.11151</v>
      </c>
      <c r="M12" s="56">
        <v>6.9586999999999994</v>
      </c>
      <c r="N12" s="56">
        <v>17.946669999999997</v>
      </c>
      <c r="O12" s="56">
        <v>0</v>
      </c>
      <c r="P12" s="57">
        <v>166.98464000000001</v>
      </c>
      <c r="Q12" s="171">
        <v>1.197115946935261</v>
      </c>
    </row>
    <row r="13" spans="1:17" ht="14.45" customHeight="1" x14ac:dyDescent="0.2">
      <c r="A13" s="19" t="s">
        <v>28</v>
      </c>
      <c r="B13" s="55">
        <v>398.99999989999998</v>
      </c>
      <c r="C13" s="56">
        <v>33.249999991666662</v>
      </c>
      <c r="D13" s="56">
        <v>59.576660000000004</v>
      </c>
      <c r="E13" s="56">
        <v>52.547719999999998</v>
      </c>
      <c r="F13" s="56">
        <v>95.773769999999999</v>
      </c>
      <c r="G13" s="56">
        <v>45.576689999999999</v>
      </c>
      <c r="H13" s="56">
        <v>57.953220000000002</v>
      </c>
      <c r="I13" s="56">
        <v>20.989540000000002</v>
      </c>
      <c r="J13" s="56">
        <v>26.494759999999999</v>
      </c>
      <c r="K13" s="56">
        <v>17.15091</v>
      </c>
      <c r="L13" s="56">
        <v>21.950689999999998</v>
      </c>
      <c r="M13" s="56">
        <v>18.845770000000002</v>
      </c>
      <c r="N13" s="56">
        <v>24.535040000000002</v>
      </c>
      <c r="O13" s="56">
        <v>0</v>
      </c>
      <c r="P13" s="57">
        <v>441.39476999999994</v>
      </c>
      <c r="Q13" s="171">
        <v>1.2068209709108004</v>
      </c>
    </row>
    <row r="14" spans="1:17" ht="14.45" customHeight="1" x14ac:dyDescent="0.2">
      <c r="A14" s="19" t="s">
        <v>29</v>
      </c>
      <c r="B14" s="55">
        <v>332.3923216</v>
      </c>
      <c r="C14" s="56">
        <v>27.699360133333332</v>
      </c>
      <c r="D14" s="56">
        <v>38.185000000000002</v>
      </c>
      <c r="E14" s="56">
        <v>34.976999999999997</v>
      </c>
      <c r="F14" s="56">
        <v>34.207999999999998</v>
      </c>
      <c r="G14" s="56">
        <v>27.658999999999999</v>
      </c>
      <c r="H14" s="56">
        <v>23.015999999999998</v>
      </c>
      <c r="I14" s="56">
        <v>18.614000000000001</v>
      </c>
      <c r="J14" s="56">
        <v>17.367999999999999</v>
      </c>
      <c r="K14" s="56">
        <v>18.46</v>
      </c>
      <c r="L14" s="56">
        <v>18.597000000000001</v>
      </c>
      <c r="M14" s="56">
        <v>26.324999999999999</v>
      </c>
      <c r="N14" s="56">
        <v>28.546650000000003</v>
      </c>
      <c r="O14" s="56">
        <v>0</v>
      </c>
      <c r="P14" s="57">
        <v>285.95564999999999</v>
      </c>
      <c r="Q14" s="171">
        <v>0.93850428517786255</v>
      </c>
    </row>
    <row r="15" spans="1:17" ht="14.45" customHeight="1" x14ac:dyDescent="0.2">
      <c r="A15" s="19" t="s">
        <v>30</v>
      </c>
      <c r="B15" s="55">
        <v>0</v>
      </c>
      <c r="C15" s="56">
        <v>0</v>
      </c>
      <c r="D15" s="56">
        <v>0</v>
      </c>
      <c r="E15" s="56">
        <v>0</v>
      </c>
      <c r="F15" s="56">
        <v>0</v>
      </c>
      <c r="G15" s="56">
        <v>0</v>
      </c>
      <c r="H15" s="56">
        <v>0</v>
      </c>
      <c r="I15" s="56">
        <v>0</v>
      </c>
      <c r="J15" s="56">
        <v>0</v>
      </c>
      <c r="K15" s="56">
        <v>0</v>
      </c>
      <c r="L15" s="56">
        <v>0</v>
      </c>
      <c r="M15" s="56">
        <v>0</v>
      </c>
      <c r="N15" s="56">
        <v>0</v>
      </c>
      <c r="O15" s="56">
        <v>0</v>
      </c>
      <c r="P15" s="57">
        <v>0</v>
      </c>
      <c r="Q15" s="171" t="s">
        <v>306</v>
      </c>
    </row>
    <row r="16" spans="1:17" ht="14.45" customHeight="1" x14ac:dyDescent="0.2">
      <c r="A16" s="19" t="s">
        <v>31</v>
      </c>
      <c r="B16" s="55">
        <v>0</v>
      </c>
      <c r="C16" s="56">
        <v>0</v>
      </c>
      <c r="D16" s="56">
        <v>0</v>
      </c>
      <c r="E16" s="56">
        <v>0</v>
      </c>
      <c r="F16" s="56">
        <v>0</v>
      </c>
      <c r="G16" s="56">
        <v>0</v>
      </c>
      <c r="H16" s="56">
        <v>0</v>
      </c>
      <c r="I16" s="56">
        <v>0</v>
      </c>
      <c r="J16" s="56">
        <v>0</v>
      </c>
      <c r="K16" s="56">
        <v>0</v>
      </c>
      <c r="L16" s="56">
        <v>0</v>
      </c>
      <c r="M16" s="56">
        <v>0</v>
      </c>
      <c r="N16" s="56">
        <v>0</v>
      </c>
      <c r="O16" s="56">
        <v>0</v>
      </c>
      <c r="P16" s="57">
        <v>0</v>
      </c>
      <c r="Q16" s="171" t="s">
        <v>306</v>
      </c>
    </row>
    <row r="17" spans="1:17" ht="14.45" customHeight="1" x14ac:dyDescent="0.2">
      <c r="A17" s="19" t="s">
        <v>32</v>
      </c>
      <c r="B17" s="55">
        <v>1439.5725519</v>
      </c>
      <c r="C17" s="56">
        <v>119.964379325</v>
      </c>
      <c r="D17" s="56">
        <v>109.08905</v>
      </c>
      <c r="E17" s="56">
        <v>57.707250000000002</v>
      </c>
      <c r="F17" s="56">
        <v>77.152559999999994</v>
      </c>
      <c r="G17" s="56">
        <v>103.05316000000001</v>
      </c>
      <c r="H17" s="56">
        <v>42.705359999999999</v>
      </c>
      <c r="I17" s="56">
        <v>36.345639999999996</v>
      </c>
      <c r="J17" s="56">
        <v>90.366740000000007</v>
      </c>
      <c r="K17" s="56">
        <v>20.410019999999999</v>
      </c>
      <c r="L17" s="56">
        <v>127.06310999999999</v>
      </c>
      <c r="M17" s="56">
        <v>20.73387</v>
      </c>
      <c r="N17" s="56">
        <v>37.34554</v>
      </c>
      <c r="O17" s="56">
        <v>0</v>
      </c>
      <c r="P17" s="57">
        <v>721.97230000000013</v>
      </c>
      <c r="Q17" s="171">
        <v>0.54711111601498263</v>
      </c>
    </row>
    <row r="18" spans="1:17" ht="14.45" customHeight="1" x14ac:dyDescent="0.2">
      <c r="A18" s="19" t="s">
        <v>33</v>
      </c>
      <c r="B18" s="55">
        <v>0</v>
      </c>
      <c r="C18" s="56">
        <v>0</v>
      </c>
      <c r="D18" s="56">
        <v>9.0999999999999998E-2</v>
      </c>
      <c r="E18" s="56">
        <v>0</v>
      </c>
      <c r="F18" s="56">
        <v>0</v>
      </c>
      <c r="G18" s="56">
        <v>0</v>
      </c>
      <c r="H18" s="56">
        <v>0</v>
      </c>
      <c r="I18" s="56">
        <v>0</v>
      </c>
      <c r="J18" s="56">
        <v>0</v>
      </c>
      <c r="K18" s="56">
        <v>0</v>
      </c>
      <c r="L18" s="56">
        <v>0</v>
      </c>
      <c r="M18" s="56">
        <v>1.962</v>
      </c>
      <c r="N18" s="56">
        <v>0</v>
      </c>
      <c r="O18" s="56">
        <v>0</v>
      </c>
      <c r="P18" s="57">
        <v>2.0529999999999999</v>
      </c>
      <c r="Q18" s="171" t="s">
        <v>306</v>
      </c>
    </row>
    <row r="19" spans="1:17" ht="14.45" customHeight="1" x14ac:dyDescent="0.2">
      <c r="A19" s="19" t="s">
        <v>34</v>
      </c>
      <c r="B19" s="55">
        <v>2151.0063383999995</v>
      </c>
      <c r="C19" s="56">
        <v>179.25052819999996</v>
      </c>
      <c r="D19" s="56">
        <v>157.95598999999999</v>
      </c>
      <c r="E19" s="56">
        <v>139.78642000000002</v>
      </c>
      <c r="F19" s="56">
        <v>154.59879999999998</v>
      </c>
      <c r="G19" s="56">
        <v>190.83894000000001</v>
      </c>
      <c r="H19" s="56">
        <v>209.30679999999998</v>
      </c>
      <c r="I19" s="56">
        <v>191.05554000000001</v>
      </c>
      <c r="J19" s="56">
        <v>159.50574</v>
      </c>
      <c r="K19" s="56">
        <v>220.03387000000001</v>
      </c>
      <c r="L19" s="56">
        <v>181.96539000000001</v>
      </c>
      <c r="M19" s="56">
        <v>162.36723999999998</v>
      </c>
      <c r="N19" s="56">
        <v>168.67740000000001</v>
      </c>
      <c r="O19" s="56">
        <v>0</v>
      </c>
      <c r="P19" s="57">
        <v>1936.0921300000002</v>
      </c>
      <c r="Q19" s="171">
        <v>0.98191272975309152</v>
      </c>
    </row>
    <row r="20" spans="1:17" ht="14.45" customHeight="1" x14ac:dyDescent="0.2">
      <c r="A20" s="19" t="s">
        <v>35</v>
      </c>
      <c r="B20" s="55">
        <v>71824.118594600004</v>
      </c>
      <c r="C20" s="56">
        <v>5985.3432162166673</v>
      </c>
      <c r="D20" s="56">
        <v>5916.3842599999998</v>
      </c>
      <c r="E20" s="56">
        <v>5301.3314700000001</v>
      </c>
      <c r="F20" s="56">
        <v>5034.3494500000006</v>
      </c>
      <c r="G20" s="56">
        <v>11928.78494</v>
      </c>
      <c r="H20" s="56">
        <v>6192.8072899999997</v>
      </c>
      <c r="I20" s="56">
        <v>5637.2455399999999</v>
      </c>
      <c r="J20" s="56">
        <v>7669.5597500000003</v>
      </c>
      <c r="K20" s="56">
        <v>5704.2537699999993</v>
      </c>
      <c r="L20" s="56">
        <v>6195.9290000000001</v>
      </c>
      <c r="M20" s="56">
        <v>6190.5237500000003</v>
      </c>
      <c r="N20" s="56">
        <v>6766.7316500000006</v>
      </c>
      <c r="O20" s="56">
        <v>0</v>
      </c>
      <c r="P20" s="57">
        <v>72537.900870000012</v>
      </c>
      <c r="Q20" s="171">
        <v>1.1017504571297991</v>
      </c>
    </row>
    <row r="21" spans="1:17" ht="14.45" customHeight="1" x14ac:dyDescent="0.2">
      <c r="A21" s="20" t="s">
        <v>36</v>
      </c>
      <c r="B21" s="55">
        <v>2643.2115180000001</v>
      </c>
      <c r="C21" s="56">
        <v>220.26762650000001</v>
      </c>
      <c r="D21" s="56">
        <v>232.78335000000001</v>
      </c>
      <c r="E21" s="56">
        <v>224.28844000000001</v>
      </c>
      <c r="F21" s="56">
        <v>224.28844000000001</v>
      </c>
      <c r="G21" s="56">
        <v>224.28832999999997</v>
      </c>
      <c r="H21" s="56">
        <v>224.28029000000001</v>
      </c>
      <c r="I21" s="56">
        <v>224.28029000000001</v>
      </c>
      <c r="J21" s="56">
        <v>224.31383</v>
      </c>
      <c r="K21" s="56">
        <v>224.08962</v>
      </c>
      <c r="L21" s="56">
        <v>210.22699</v>
      </c>
      <c r="M21" s="56">
        <v>210.23428000000001</v>
      </c>
      <c r="N21" s="56">
        <v>213.05727999999999</v>
      </c>
      <c r="O21" s="56">
        <v>0</v>
      </c>
      <c r="P21" s="57">
        <v>2436.13114</v>
      </c>
      <c r="Q21" s="171">
        <v>1.0054426553360407</v>
      </c>
    </row>
    <row r="22" spans="1:17" ht="14.45" customHeight="1" x14ac:dyDescent="0.2">
      <c r="A22" s="19" t="s">
        <v>37</v>
      </c>
      <c r="B22" s="55">
        <v>0</v>
      </c>
      <c r="C22" s="56">
        <v>0</v>
      </c>
      <c r="D22" s="56">
        <v>5.9362599999999999</v>
      </c>
      <c r="E22" s="56">
        <v>0</v>
      </c>
      <c r="F22" s="56">
        <v>0</v>
      </c>
      <c r="G22" s="56">
        <v>0</v>
      </c>
      <c r="H22" s="56">
        <v>2.5</v>
      </c>
      <c r="I22" s="56">
        <v>-2.5</v>
      </c>
      <c r="J22" s="56">
        <v>0</v>
      </c>
      <c r="K22" s="56">
        <v>39.851349999999996</v>
      </c>
      <c r="L22" s="56">
        <v>33.376860000000001</v>
      </c>
      <c r="M22" s="56">
        <v>60.062809999999999</v>
      </c>
      <c r="N22" s="56">
        <v>0</v>
      </c>
      <c r="O22" s="56">
        <v>0</v>
      </c>
      <c r="P22" s="57">
        <v>139.22728000000001</v>
      </c>
      <c r="Q22" s="171" t="s">
        <v>306</v>
      </c>
    </row>
    <row r="23" spans="1:17" ht="14.45" customHeight="1" x14ac:dyDescent="0.2">
      <c r="A23" s="20" t="s">
        <v>38</v>
      </c>
      <c r="B23" s="55">
        <v>0</v>
      </c>
      <c r="C23" s="56">
        <v>0</v>
      </c>
      <c r="D23" s="56">
        <v>0</v>
      </c>
      <c r="E23" s="56">
        <v>0</v>
      </c>
      <c r="F23" s="56">
        <v>0</v>
      </c>
      <c r="G23" s="56">
        <v>0</v>
      </c>
      <c r="H23" s="56">
        <v>0</v>
      </c>
      <c r="I23" s="56">
        <v>0</v>
      </c>
      <c r="J23" s="56">
        <v>0</v>
      </c>
      <c r="K23" s="56">
        <v>0</v>
      </c>
      <c r="L23" s="56">
        <v>0</v>
      </c>
      <c r="M23" s="56">
        <v>0</v>
      </c>
      <c r="N23" s="56">
        <v>0</v>
      </c>
      <c r="O23" s="56">
        <v>0</v>
      </c>
      <c r="P23" s="57">
        <v>0</v>
      </c>
      <c r="Q23" s="171" t="s">
        <v>306</v>
      </c>
    </row>
    <row r="24" spans="1:17" ht="14.45" customHeight="1" x14ac:dyDescent="0.2">
      <c r="A24" s="20" t="s">
        <v>39</v>
      </c>
      <c r="B24" s="55">
        <v>0</v>
      </c>
      <c r="C24" s="56">
        <v>0</v>
      </c>
      <c r="D24" s="56">
        <v>12.43199999999888</v>
      </c>
      <c r="E24" s="56">
        <v>-4.3999999979860149E-4</v>
      </c>
      <c r="F24" s="56">
        <v>60.259999999998399</v>
      </c>
      <c r="G24" s="56">
        <v>30.243030000001454</v>
      </c>
      <c r="H24" s="56">
        <v>63.667370000001029</v>
      </c>
      <c r="I24" s="56">
        <v>8.9330000000009022</v>
      </c>
      <c r="J24" s="56">
        <v>0</v>
      </c>
      <c r="K24" s="56">
        <v>0</v>
      </c>
      <c r="L24" s="56">
        <v>0</v>
      </c>
      <c r="M24" s="56">
        <v>8.5901599999997416</v>
      </c>
      <c r="N24" s="56">
        <v>47.490179999998873</v>
      </c>
      <c r="O24" s="56">
        <v>0</v>
      </c>
      <c r="P24" s="57">
        <v>231.61529999999948</v>
      </c>
      <c r="Q24" s="171" t="s">
        <v>306</v>
      </c>
    </row>
    <row r="25" spans="1:17" ht="14.45" customHeight="1" x14ac:dyDescent="0.2">
      <c r="A25" s="21" t="s">
        <v>40</v>
      </c>
      <c r="B25" s="58">
        <v>100692.2133056</v>
      </c>
      <c r="C25" s="59">
        <v>8391.0177754666674</v>
      </c>
      <c r="D25" s="59">
        <v>8232.8912199999995</v>
      </c>
      <c r="E25" s="59">
        <v>8387.7465400000001</v>
      </c>
      <c r="F25" s="59">
        <v>8078.9092199999996</v>
      </c>
      <c r="G25" s="59">
        <v>15906.853230000001</v>
      </c>
      <c r="H25" s="59">
        <v>10063.453820000001</v>
      </c>
      <c r="I25" s="59">
        <v>7940.3312000000005</v>
      </c>
      <c r="J25" s="59">
        <v>9973.3430500000013</v>
      </c>
      <c r="K25" s="59">
        <v>8343.0272000000004</v>
      </c>
      <c r="L25" s="59">
        <v>8609.7425199999998</v>
      </c>
      <c r="M25" s="59">
        <v>8610.9036400000005</v>
      </c>
      <c r="N25" s="59">
        <v>9676.2529200000008</v>
      </c>
      <c r="O25" s="59">
        <v>0</v>
      </c>
      <c r="P25" s="60">
        <v>103823.45456</v>
      </c>
      <c r="Q25" s="172">
        <v>1.1248332588076286</v>
      </c>
    </row>
    <row r="26" spans="1:17" ht="14.45" customHeight="1" x14ac:dyDescent="0.2">
      <c r="A26" s="19" t="s">
        <v>41</v>
      </c>
      <c r="B26" s="55">
        <v>0</v>
      </c>
      <c r="C26" s="56">
        <v>0</v>
      </c>
      <c r="D26" s="56">
        <v>979.0218000000001</v>
      </c>
      <c r="E26" s="56">
        <v>871.62141000000008</v>
      </c>
      <c r="F26" s="56">
        <v>870.82831999999996</v>
      </c>
      <c r="G26" s="56">
        <v>1255.32323</v>
      </c>
      <c r="H26" s="56">
        <v>861.95001999999999</v>
      </c>
      <c r="I26" s="56">
        <v>961.9325</v>
      </c>
      <c r="J26" s="56">
        <v>2767.8504700000003</v>
      </c>
      <c r="K26" s="56">
        <v>924.42836</v>
      </c>
      <c r="L26" s="56">
        <v>1016.1774</v>
      </c>
      <c r="M26" s="56">
        <v>1378.21092</v>
      </c>
      <c r="N26" s="56">
        <v>926.7724300000001</v>
      </c>
      <c r="O26" s="56">
        <v>0</v>
      </c>
      <c r="P26" s="57">
        <v>12814.116860000002</v>
      </c>
      <c r="Q26" s="171" t="s">
        <v>306</v>
      </c>
    </row>
    <row r="27" spans="1:17" ht="14.45" customHeight="1" x14ac:dyDescent="0.2">
      <c r="A27" s="22" t="s">
        <v>42</v>
      </c>
      <c r="B27" s="58">
        <v>100692.2133056</v>
      </c>
      <c r="C27" s="59">
        <v>8391.0177754666674</v>
      </c>
      <c r="D27" s="59">
        <v>9211.91302</v>
      </c>
      <c r="E27" s="59">
        <v>9259.3679499999998</v>
      </c>
      <c r="F27" s="59">
        <v>8949.7375400000001</v>
      </c>
      <c r="G27" s="59">
        <v>17162.176460000002</v>
      </c>
      <c r="H27" s="59">
        <v>10925.403840000001</v>
      </c>
      <c r="I27" s="59">
        <v>8902.2637000000013</v>
      </c>
      <c r="J27" s="59">
        <v>12741.193520000001</v>
      </c>
      <c r="K27" s="59">
        <v>9267.4555600000003</v>
      </c>
      <c r="L27" s="59">
        <v>9625.9199200000003</v>
      </c>
      <c r="M27" s="59">
        <v>9989.11456</v>
      </c>
      <c r="N27" s="59">
        <v>10603.025350000002</v>
      </c>
      <c r="O27" s="59">
        <v>0</v>
      </c>
      <c r="P27" s="60">
        <v>116637.57142000001</v>
      </c>
      <c r="Q27" s="172">
        <v>1.2636626291792898</v>
      </c>
    </row>
    <row r="28" spans="1:17" ht="14.45" customHeight="1" x14ac:dyDescent="0.2">
      <c r="A28" s="20" t="s">
        <v>43</v>
      </c>
      <c r="B28" s="55">
        <v>335.3315728</v>
      </c>
      <c r="C28" s="56">
        <v>27.944297733333332</v>
      </c>
      <c r="D28" s="56">
        <v>0</v>
      </c>
      <c r="E28" s="56">
        <v>5.2899999999999996E-2</v>
      </c>
      <c r="F28" s="56">
        <v>0</v>
      </c>
      <c r="G28" s="56">
        <v>0.35206999999999999</v>
      </c>
      <c r="H28" s="56">
        <v>0</v>
      </c>
      <c r="I28" s="56">
        <v>5.2899999999999996E-2</v>
      </c>
      <c r="J28" s="56">
        <v>0</v>
      </c>
      <c r="K28" s="56">
        <v>0.41323000000000004</v>
      </c>
      <c r="L28" s="56">
        <v>0.45806999999999998</v>
      </c>
      <c r="M28" s="56">
        <v>0</v>
      </c>
      <c r="N28" s="56">
        <v>0.18596000000000001</v>
      </c>
      <c r="O28" s="56">
        <v>0</v>
      </c>
      <c r="P28" s="57">
        <v>1.5151300000000001</v>
      </c>
      <c r="Q28" s="171">
        <v>4.92905895233105E-3</v>
      </c>
    </row>
    <row r="29" spans="1:17" ht="14.45" customHeight="1" x14ac:dyDescent="0.2">
      <c r="A29" s="20" t="s">
        <v>44</v>
      </c>
      <c r="B29" s="55">
        <v>0</v>
      </c>
      <c r="C29" s="56">
        <v>0</v>
      </c>
      <c r="D29" s="56">
        <v>0</v>
      </c>
      <c r="E29" s="56">
        <v>0</v>
      </c>
      <c r="F29" s="56">
        <v>0</v>
      </c>
      <c r="G29" s="56">
        <v>0</v>
      </c>
      <c r="H29" s="56">
        <v>0</v>
      </c>
      <c r="I29" s="56">
        <v>0</v>
      </c>
      <c r="J29" s="56">
        <v>0</v>
      </c>
      <c r="K29" s="56">
        <v>0</v>
      </c>
      <c r="L29" s="56">
        <v>0</v>
      </c>
      <c r="M29" s="56">
        <v>0</v>
      </c>
      <c r="N29" s="56">
        <v>0</v>
      </c>
      <c r="O29" s="56">
        <v>0</v>
      </c>
      <c r="P29" s="57">
        <v>0</v>
      </c>
      <c r="Q29" s="171" t="s">
        <v>306</v>
      </c>
    </row>
    <row r="30" spans="1:17" ht="14.45" customHeight="1" x14ac:dyDescent="0.2">
      <c r="A30" s="20" t="s">
        <v>45</v>
      </c>
      <c r="B30" s="55">
        <v>0</v>
      </c>
      <c r="C30" s="56">
        <v>0</v>
      </c>
      <c r="D30" s="56">
        <v>0</v>
      </c>
      <c r="E30" s="56">
        <v>0</v>
      </c>
      <c r="F30" s="56">
        <v>0</v>
      </c>
      <c r="G30" s="56">
        <v>0</v>
      </c>
      <c r="H30" s="56">
        <v>0</v>
      </c>
      <c r="I30" s="56">
        <v>0</v>
      </c>
      <c r="J30" s="56">
        <v>0</v>
      </c>
      <c r="K30" s="56">
        <v>0</v>
      </c>
      <c r="L30" s="56">
        <v>0</v>
      </c>
      <c r="M30" s="56">
        <v>0</v>
      </c>
      <c r="N30" s="56">
        <v>0</v>
      </c>
      <c r="O30" s="56">
        <v>0</v>
      </c>
      <c r="P30" s="57">
        <v>0</v>
      </c>
      <c r="Q30" s="171" t="s">
        <v>306</v>
      </c>
    </row>
    <row r="31" spans="1:17" ht="14.45" customHeight="1" thickBot="1" x14ac:dyDescent="0.25">
      <c r="A31" s="23" t="s">
        <v>46</v>
      </c>
      <c r="B31" s="61">
        <v>0</v>
      </c>
      <c r="C31" s="62">
        <v>0</v>
      </c>
      <c r="D31" s="62">
        <v>11.932</v>
      </c>
      <c r="E31" s="62">
        <v>0</v>
      </c>
      <c r="F31" s="62">
        <v>0</v>
      </c>
      <c r="G31" s="62">
        <v>0</v>
      </c>
      <c r="H31" s="62">
        <v>0</v>
      </c>
      <c r="I31" s="62">
        <v>0</v>
      </c>
      <c r="J31" s="62">
        <v>0</v>
      </c>
      <c r="K31" s="62">
        <v>0</v>
      </c>
      <c r="L31" s="62">
        <v>0</v>
      </c>
      <c r="M31" s="62">
        <v>0</v>
      </c>
      <c r="N31" s="62">
        <v>0</v>
      </c>
      <c r="O31" s="62">
        <v>0</v>
      </c>
      <c r="P31" s="63">
        <v>11.932</v>
      </c>
      <c r="Q31" s="173" t="s">
        <v>306</v>
      </c>
    </row>
    <row r="32" spans="1:17" ht="14.45" customHeight="1" x14ac:dyDescent="0.2">
      <c r="B32" s="234"/>
      <c r="C32" s="234"/>
      <c r="D32" s="234"/>
      <c r="E32" s="234"/>
      <c r="F32" s="234"/>
      <c r="G32" s="234"/>
      <c r="H32" s="234"/>
      <c r="I32" s="234"/>
      <c r="J32" s="234"/>
      <c r="K32" s="234"/>
      <c r="L32" s="234"/>
      <c r="M32" s="234"/>
      <c r="N32" s="234"/>
      <c r="O32" s="234"/>
      <c r="P32" s="234"/>
      <c r="Q32" s="234"/>
    </row>
    <row r="33" spans="1:17" ht="14.45" customHeight="1" x14ac:dyDescent="0.2">
      <c r="A33" s="208" t="s">
        <v>179</v>
      </c>
      <c r="B33" s="235"/>
      <c r="C33" s="235"/>
      <c r="D33" s="235"/>
      <c r="E33" s="235"/>
      <c r="F33" s="235"/>
      <c r="G33" s="235"/>
      <c r="H33" s="235"/>
      <c r="I33" s="235"/>
      <c r="J33" s="235"/>
      <c r="K33" s="235"/>
      <c r="L33" s="235"/>
      <c r="M33" s="235"/>
      <c r="N33" s="235"/>
      <c r="O33" s="235"/>
      <c r="P33" s="235"/>
      <c r="Q33" s="235"/>
    </row>
    <row r="34" spans="1:17" ht="14.45" customHeight="1" x14ac:dyDescent="0.2">
      <c r="A34" s="239" t="s">
        <v>280</v>
      </c>
      <c r="B34" s="235"/>
      <c r="C34" s="235"/>
      <c r="D34" s="235"/>
      <c r="E34" s="235"/>
      <c r="F34" s="235"/>
      <c r="G34" s="235"/>
      <c r="H34" s="235"/>
      <c r="I34" s="235"/>
      <c r="J34" s="235"/>
      <c r="K34" s="235"/>
      <c r="L34" s="235"/>
      <c r="M34" s="235"/>
      <c r="N34" s="235"/>
      <c r="O34" s="235"/>
      <c r="P34" s="235"/>
      <c r="Q34" s="235"/>
    </row>
    <row r="35" spans="1:17" ht="14.45" customHeight="1" x14ac:dyDescent="0.2">
      <c r="A35" s="240" t="s">
        <v>47</v>
      </c>
      <c r="B35" s="235"/>
      <c r="C35" s="235"/>
      <c r="D35" s="235"/>
      <c r="E35" s="235"/>
      <c r="F35" s="235"/>
      <c r="G35" s="235"/>
      <c r="H35" s="235"/>
      <c r="I35" s="235"/>
      <c r="J35" s="235"/>
      <c r="K35" s="235"/>
      <c r="L35" s="235"/>
      <c r="M35" s="235"/>
      <c r="N35" s="235"/>
      <c r="O35" s="235"/>
      <c r="P35" s="235"/>
      <c r="Q35" s="235"/>
    </row>
  </sheetData>
  <autoFilter ref="A5:A31" xr:uid="{00000000-0009-0000-0000-000005000000}"/>
  <mergeCells count="3">
    <mergeCell ref="A1:Q1"/>
    <mergeCell ref="B3:O3"/>
    <mergeCell ref="P4:Q4"/>
  </mergeCells>
  <phoneticPr fontId="67" type="noConversion"/>
  <hyperlinks>
    <hyperlink ref="A2" location="Obsah!A1" display="Zpět na Obsah  KL 01  1.-4.měsíc" xr:uid="{917D7202-FFC4-4B7A-B05A-ADB29DA05906}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6">
    <tabColor theme="0" tint="-0.249977111117893"/>
    <pageSetUpPr fitToPage="1"/>
  </sheetPr>
  <dimension ref="A1:M818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ColWidth="8.85546875" defaultRowHeight="14.45" customHeight="1" x14ac:dyDescent="0.2"/>
  <cols>
    <col min="1" max="1" width="50" style="233" customWidth="1"/>
    <col min="2" max="11" width="10" style="233" customWidth="1"/>
    <col min="12" max="16384" width="8.85546875" style="233"/>
  </cols>
  <sheetData>
    <row r="1" spans="1:13" s="64" customFormat="1" ht="18.600000000000001" customHeight="1" thickBot="1" x14ac:dyDescent="0.35">
      <c r="A1" s="508" t="s">
        <v>48</v>
      </c>
      <c r="B1" s="508"/>
      <c r="C1" s="508"/>
      <c r="D1" s="508"/>
      <c r="E1" s="508"/>
      <c r="F1" s="508"/>
      <c r="G1" s="508"/>
      <c r="H1" s="513"/>
      <c r="I1" s="513"/>
      <c r="J1" s="513"/>
      <c r="K1" s="513"/>
    </row>
    <row r="2" spans="1:13" s="64" customFormat="1" ht="14.45" customHeight="1" thickBot="1" x14ac:dyDescent="0.25">
      <c r="A2" s="350" t="s">
        <v>305</v>
      </c>
      <c r="B2" s="65"/>
      <c r="C2" s="65"/>
      <c r="D2" s="65"/>
      <c r="E2" s="65"/>
      <c r="F2" s="65"/>
      <c r="G2" s="65"/>
      <c r="H2" s="65"/>
      <c r="I2" s="65"/>
      <c r="J2" s="65"/>
      <c r="K2" s="65"/>
    </row>
    <row r="3" spans="1:13" ht="14.45" customHeight="1" x14ac:dyDescent="0.2">
      <c r="A3" s="93"/>
      <c r="B3" s="509" t="s">
        <v>49</v>
      </c>
      <c r="C3" s="510"/>
      <c r="D3" s="510"/>
      <c r="E3" s="510"/>
      <c r="F3" s="516" t="s">
        <v>50</v>
      </c>
      <c r="G3" s="510"/>
      <c r="H3" s="510"/>
      <c r="I3" s="510"/>
      <c r="J3" s="510"/>
      <c r="K3" s="517"/>
    </row>
    <row r="4" spans="1:13" ht="14.45" customHeight="1" x14ac:dyDescent="0.2">
      <c r="A4" s="94"/>
      <c r="B4" s="514"/>
      <c r="C4" s="515"/>
      <c r="D4" s="515"/>
      <c r="E4" s="515"/>
      <c r="F4" s="518" t="s">
        <v>296</v>
      </c>
      <c r="G4" s="520" t="s">
        <v>51</v>
      </c>
      <c r="H4" s="245" t="s">
        <v>166</v>
      </c>
      <c r="I4" s="518" t="s">
        <v>52</v>
      </c>
      <c r="J4" s="520" t="s">
        <v>294</v>
      </c>
      <c r="K4" s="521" t="s">
        <v>293</v>
      </c>
    </row>
    <row r="5" spans="1:13" ht="39" thickBot="1" x14ac:dyDescent="0.25">
      <c r="A5" s="95"/>
      <c r="B5" s="28" t="s">
        <v>300</v>
      </c>
      <c r="C5" s="29" t="s">
        <v>299</v>
      </c>
      <c r="D5" s="30" t="s">
        <v>298</v>
      </c>
      <c r="E5" s="30" t="s">
        <v>297</v>
      </c>
      <c r="F5" s="519"/>
      <c r="G5" s="519"/>
      <c r="H5" s="29" t="s">
        <v>295</v>
      </c>
      <c r="I5" s="519"/>
      <c r="J5" s="519"/>
      <c r="K5" s="522"/>
    </row>
    <row r="6" spans="1:13" ht="14.45" customHeight="1" x14ac:dyDescent="0.2">
      <c r="A6" s="675" t="s">
        <v>53</v>
      </c>
      <c r="B6" s="671">
        <v>-93773.514003100092</v>
      </c>
      <c r="C6" s="672">
        <v>-1296.0367699999899</v>
      </c>
      <c r="D6" s="672">
        <v>92477.4772331001</v>
      </c>
      <c r="E6" s="673">
        <v>1.3820925703574932E-2</v>
      </c>
      <c r="F6" s="671">
        <v>-20742.693549199998</v>
      </c>
      <c r="G6" s="672">
        <v>-19014.135753433329</v>
      </c>
      <c r="H6" s="672">
        <v>-8774.8574000000008</v>
      </c>
      <c r="I6" s="672">
        <v>-19552.688340000001</v>
      </c>
      <c r="J6" s="672">
        <v>-538.55258656667138</v>
      </c>
      <c r="K6" s="674">
        <v>0.94263015040079534</v>
      </c>
      <c r="L6" s="254"/>
      <c r="M6" s="670" t="str">
        <f t="shared" ref="M6:M69" si="0">IF(A6="HV","HV",IF(OR(LEFT(A6,16)="               5",LEFT(A6,16)="               6",LEFT(A6,16)="               7",LEFT(A6,16)="               8"),"X",""))</f>
        <v>HV</v>
      </c>
    </row>
    <row r="7" spans="1:13" ht="14.45" customHeight="1" x14ac:dyDescent="0.2">
      <c r="A7" s="675" t="s">
        <v>308</v>
      </c>
      <c r="B7" s="671">
        <v>94236.816302700099</v>
      </c>
      <c r="C7" s="672">
        <v>99454.381139999998</v>
      </c>
      <c r="D7" s="672">
        <v>5217.5648372998985</v>
      </c>
      <c r="E7" s="673">
        <v>1.0553665227880837</v>
      </c>
      <c r="F7" s="671">
        <v>100692.2133056</v>
      </c>
      <c r="G7" s="672">
        <v>92301.195530133336</v>
      </c>
      <c r="H7" s="672">
        <v>9676.2529200000008</v>
      </c>
      <c r="I7" s="672">
        <v>103823.45456</v>
      </c>
      <c r="J7" s="672">
        <v>11522.259029866662</v>
      </c>
      <c r="K7" s="674">
        <v>1.0310971539069929</v>
      </c>
      <c r="L7" s="254"/>
      <c r="M7" s="670" t="str">
        <f t="shared" si="0"/>
        <v/>
      </c>
    </row>
    <row r="8" spans="1:13" ht="14.45" customHeight="1" x14ac:dyDescent="0.2">
      <c r="A8" s="675" t="s">
        <v>309</v>
      </c>
      <c r="B8" s="671">
        <v>21199.698876899998</v>
      </c>
      <c r="C8" s="672">
        <v>23574.682280000001</v>
      </c>
      <c r="D8" s="672">
        <v>2374.9834031000028</v>
      </c>
      <c r="E8" s="673">
        <v>1.1120291102666497</v>
      </c>
      <c r="F8" s="671">
        <v>22634.304302700002</v>
      </c>
      <c r="G8" s="672">
        <v>20748.112277475004</v>
      </c>
      <c r="H8" s="672">
        <v>2442.95055</v>
      </c>
      <c r="I8" s="672">
        <v>25830.394339999999</v>
      </c>
      <c r="J8" s="672">
        <v>5082.2820625249951</v>
      </c>
      <c r="K8" s="674">
        <v>1.1412055786896327</v>
      </c>
      <c r="L8" s="254"/>
      <c r="M8" s="670" t="str">
        <f t="shared" si="0"/>
        <v/>
      </c>
    </row>
    <row r="9" spans="1:13" ht="14.45" customHeight="1" x14ac:dyDescent="0.2">
      <c r="A9" s="675" t="s">
        <v>310</v>
      </c>
      <c r="B9" s="671">
        <v>20869.0588823</v>
      </c>
      <c r="C9" s="672">
        <v>23250.85728</v>
      </c>
      <c r="D9" s="672">
        <v>2381.7983977000004</v>
      </c>
      <c r="E9" s="673">
        <v>1.114130608914047</v>
      </c>
      <c r="F9" s="671">
        <v>22301.911981100002</v>
      </c>
      <c r="G9" s="672">
        <v>20443.419316008334</v>
      </c>
      <c r="H9" s="672">
        <v>2414.4038999999998</v>
      </c>
      <c r="I9" s="672">
        <v>25544.438690000003</v>
      </c>
      <c r="J9" s="672">
        <v>5101.0193739916685</v>
      </c>
      <c r="K9" s="674">
        <v>1.1453923193512698</v>
      </c>
      <c r="L9" s="254"/>
      <c r="M9" s="670" t="str">
        <f t="shared" si="0"/>
        <v/>
      </c>
    </row>
    <row r="10" spans="1:13" ht="14.45" customHeight="1" x14ac:dyDescent="0.2">
      <c r="A10" s="675" t="s">
        <v>311</v>
      </c>
      <c r="B10" s="671">
        <v>0</v>
      </c>
      <c r="C10" s="672">
        <v>2.14E-3</v>
      </c>
      <c r="D10" s="672">
        <v>2.14E-3</v>
      </c>
      <c r="E10" s="673">
        <v>0</v>
      </c>
      <c r="F10" s="671">
        <v>0</v>
      </c>
      <c r="G10" s="672">
        <v>0</v>
      </c>
      <c r="H10" s="672">
        <v>-3.2000000000000003E-4</v>
      </c>
      <c r="I10" s="672">
        <v>-2.0000000000000001E-4</v>
      </c>
      <c r="J10" s="672">
        <v>-2.0000000000000001E-4</v>
      </c>
      <c r="K10" s="674">
        <v>0</v>
      </c>
      <c r="L10" s="254"/>
      <c r="M10" s="670" t="str">
        <f t="shared" si="0"/>
        <v>X</v>
      </c>
    </row>
    <row r="11" spans="1:13" ht="14.45" customHeight="1" x14ac:dyDescent="0.2">
      <c r="A11" s="675" t="s">
        <v>312</v>
      </c>
      <c r="B11" s="671">
        <v>0</v>
      </c>
      <c r="C11" s="672">
        <v>2.14E-3</v>
      </c>
      <c r="D11" s="672">
        <v>2.14E-3</v>
      </c>
      <c r="E11" s="673">
        <v>0</v>
      </c>
      <c r="F11" s="671">
        <v>0</v>
      </c>
      <c r="G11" s="672">
        <v>0</v>
      </c>
      <c r="H11" s="672">
        <v>-3.2000000000000003E-4</v>
      </c>
      <c r="I11" s="672">
        <v>-2.0000000000000001E-4</v>
      </c>
      <c r="J11" s="672">
        <v>-2.0000000000000001E-4</v>
      </c>
      <c r="K11" s="674">
        <v>0</v>
      </c>
      <c r="L11" s="254"/>
      <c r="M11" s="670" t="str">
        <f t="shared" si="0"/>
        <v/>
      </c>
    </row>
    <row r="12" spans="1:13" ht="14.45" customHeight="1" x14ac:dyDescent="0.2">
      <c r="A12" s="675" t="s">
        <v>313</v>
      </c>
      <c r="B12" s="671">
        <v>10000.000000099999</v>
      </c>
      <c r="C12" s="672">
        <v>11251.6669</v>
      </c>
      <c r="D12" s="672">
        <v>1251.6668999000012</v>
      </c>
      <c r="E12" s="673">
        <v>1.1251666899887485</v>
      </c>
      <c r="F12" s="671">
        <v>11049.999999900001</v>
      </c>
      <c r="G12" s="672">
        <v>10129.166666575002</v>
      </c>
      <c r="H12" s="672">
        <v>1207.2733899999998</v>
      </c>
      <c r="I12" s="672">
        <v>12812.252349999999</v>
      </c>
      <c r="J12" s="672">
        <v>2683.0856834249971</v>
      </c>
      <c r="K12" s="674">
        <v>1.1594798506892259</v>
      </c>
      <c r="L12" s="254"/>
      <c r="M12" s="670" t="str">
        <f t="shared" si="0"/>
        <v>X</v>
      </c>
    </row>
    <row r="13" spans="1:13" ht="14.45" customHeight="1" x14ac:dyDescent="0.2">
      <c r="A13" s="675" t="s">
        <v>314</v>
      </c>
      <c r="B13" s="671">
        <v>4600</v>
      </c>
      <c r="C13" s="672">
        <v>4858.9475599999996</v>
      </c>
      <c r="D13" s="672">
        <v>258.94755999999961</v>
      </c>
      <c r="E13" s="673">
        <v>1.056292947826087</v>
      </c>
      <c r="F13" s="671">
        <v>4709.9999999000001</v>
      </c>
      <c r="G13" s="672">
        <v>4317.4999999083338</v>
      </c>
      <c r="H13" s="672">
        <v>592.10292000000004</v>
      </c>
      <c r="I13" s="672">
        <v>5826.4415499999996</v>
      </c>
      <c r="J13" s="672">
        <v>1508.9415500916657</v>
      </c>
      <c r="K13" s="674">
        <v>1.2370364225315718</v>
      </c>
      <c r="L13" s="254"/>
      <c r="M13" s="670" t="str">
        <f t="shared" si="0"/>
        <v/>
      </c>
    </row>
    <row r="14" spans="1:13" ht="14.45" customHeight="1" x14ac:dyDescent="0.2">
      <c r="A14" s="675" t="s">
        <v>315</v>
      </c>
      <c r="B14" s="671">
        <v>2299.9999999000001</v>
      </c>
      <c r="C14" s="672">
        <v>2087.31149</v>
      </c>
      <c r="D14" s="672">
        <v>-212.6885099000001</v>
      </c>
      <c r="E14" s="673">
        <v>0.90752673482206636</v>
      </c>
      <c r="F14" s="671">
        <v>2199.9999999000001</v>
      </c>
      <c r="G14" s="672">
        <v>2016.6666665750001</v>
      </c>
      <c r="H14" s="672">
        <v>139.27660999999998</v>
      </c>
      <c r="I14" s="672">
        <v>2024.2509299999999</v>
      </c>
      <c r="J14" s="672">
        <v>7.58426342499979</v>
      </c>
      <c r="K14" s="674">
        <v>0.92011405913273236</v>
      </c>
      <c r="L14" s="254"/>
      <c r="M14" s="670" t="str">
        <f t="shared" si="0"/>
        <v/>
      </c>
    </row>
    <row r="15" spans="1:13" ht="14.45" customHeight="1" x14ac:dyDescent="0.2">
      <c r="A15" s="675" t="s">
        <v>316</v>
      </c>
      <c r="B15" s="671">
        <v>234.99999979999998</v>
      </c>
      <c r="C15" s="672">
        <v>196.52951000000002</v>
      </c>
      <c r="D15" s="672">
        <v>-38.470489799999967</v>
      </c>
      <c r="E15" s="673">
        <v>0.83629578794578374</v>
      </c>
      <c r="F15" s="671">
        <v>220</v>
      </c>
      <c r="G15" s="672">
        <v>201.66666666666666</v>
      </c>
      <c r="H15" s="672">
        <v>26.535340000000001</v>
      </c>
      <c r="I15" s="672">
        <v>257.10025999999999</v>
      </c>
      <c r="J15" s="672">
        <v>55.433593333333334</v>
      </c>
      <c r="K15" s="674">
        <v>1.1686375454545455</v>
      </c>
      <c r="L15" s="254"/>
      <c r="M15" s="670" t="str">
        <f t="shared" si="0"/>
        <v/>
      </c>
    </row>
    <row r="16" spans="1:13" ht="14.45" customHeight="1" x14ac:dyDescent="0.2">
      <c r="A16" s="675" t="s">
        <v>317</v>
      </c>
      <c r="B16" s="671">
        <v>1000.0000001</v>
      </c>
      <c r="C16" s="672">
        <v>1415.64177</v>
      </c>
      <c r="D16" s="672">
        <v>415.64176989999999</v>
      </c>
      <c r="E16" s="673">
        <v>1.4156417698584358</v>
      </c>
      <c r="F16" s="671">
        <v>1500</v>
      </c>
      <c r="G16" s="672">
        <v>1375</v>
      </c>
      <c r="H16" s="672">
        <v>129.52303999999998</v>
      </c>
      <c r="I16" s="672">
        <v>2168.2047499999999</v>
      </c>
      <c r="J16" s="672">
        <v>793.20474999999988</v>
      </c>
      <c r="K16" s="674">
        <v>1.4454698333333333</v>
      </c>
      <c r="L16" s="254"/>
      <c r="M16" s="670" t="str">
        <f t="shared" si="0"/>
        <v/>
      </c>
    </row>
    <row r="17" spans="1:13" ht="14.45" customHeight="1" x14ac:dyDescent="0.2">
      <c r="A17" s="675" t="s">
        <v>318</v>
      </c>
      <c r="B17" s="671">
        <v>230.00000020000002</v>
      </c>
      <c r="C17" s="672">
        <v>423.62736000000001</v>
      </c>
      <c r="D17" s="672">
        <v>193.62735979999999</v>
      </c>
      <c r="E17" s="673">
        <v>1.841858085354906</v>
      </c>
      <c r="F17" s="671">
        <v>230.00000020000002</v>
      </c>
      <c r="G17" s="672">
        <v>210.8333335166667</v>
      </c>
      <c r="H17" s="672">
        <v>79.804500000000004</v>
      </c>
      <c r="I17" s="672">
        <v>613.90364999999997</v>
      </c>
      <c r="J17" s="672">
        <v>403.07031648333327</v>
      </c>
      <c r="K17" s="674">
        <v>2.6691463020268289</v>
      </c>
      <c r="L17" s="254"/>
      <c r="M17" s="670" t="str">
        <f t="shared" si="0"/>
        <v/>
      </c>
    </row>
    <row r="18" spans="1:13" ht="14.45" customHeight="1" x14ac:dyDescent="0.2">
      <c r="A18" s="675" t="s">
        <v>319</v>
      </c>
      <c r="B18" s="671">
        <v>0</v>
      </c>
      <c r="C18" s="672">
        <v>0</v>
      </c>
      <c r="D18" s="672">
        <v>0</v>
      </c>
      <c r="E18" s="673">
        <v>0</v>
      </c>
      <c r="F18" s="671">
        <v>0</v>
      </c>
      <c r="G18" s="672">
        <v>0</v>
      </c>
      <c r="H18" s="672">
        <v>0</v>
      </c>
      <c r="I18" s="672">
        <v>49.181980000000003</v>
      </c>
      <c r="J18" s="672">
        <v>49.181980000000003</v>
      </c>
      <c r="K18" s="674">
        <v>0</v>
      </c>
      <c r="L18" s="254"/>
      <c r="M18" s="670" t="str">
        <f t="shared" si="0"/>
        <v/>
      </c>
    </row>
    <row r="19" spans="1:13" ht="14.45" customHeight="1" x14ac:dyDescent="0.2">
      <c r="A19" s="675" t="s">
        <v>320</v>
      </c>
      <c r="B19" s="671">
        <v>1090.0000001000001</v>
      </c>
      <c r="C19" s="672">
        <v>1318.2383600000001</v>
      </c>
      <c r="D19" s="672">
        <v>228.23835989999998</v>
      </c>
      <c r="E19" s="673">
        <v>1.2093929907147345</v>
      </c>
      <c r="F19" s="671">
        <v>1320</v>
      </c>
      <c r="G19" s="672">
        <v>1210</v>
      </c>
      <c r="H19" s="672">
        <v>211.53932</v>
      </c>
      <c r="I19" s="672">
        <v>1389.2819</v>
      </c>
      <c r="J19" s="672">
        <v>179.28189999999995</v>
      </c>
      <c r="K19" s="674">
        <v>1.052486287878788</v>
      </c>
      <c r="L19" s="254"/>
      <c r="M19" s="670" t="str">
        <f t="shared" si="0"/>
        <v/>
      </c>
    </row>
    <row r="20" spans="1:13" ht="14.45" customHeight="1" x14ac:dyDescent="0.2">
      <c r="A20" s="675" t="s">
        <v>321</v>
      </c>
      <c r="B20" s="671">
        <v>400</v>
      </c>
      <c r="C20" s="672">
        <v>714.58493999999996</v>
      </c>
      <c r="D20" s="672">
        <v>314.58493999999996</v>
      </c>
      <c r="E20" s="673">
        <v>1.7864623499999999</v>
      </c>
      <c r="F20" s="671">
        <v>720.00000009999997</v>
      </c>
      <c r="G20" s="672">
        <v>660.00000009166661</v>
      </c>
      <c r="H20" s="672">
        <v>7.5922000000000001</v>
      </c>
      <c r="I20" s="672">
        <v>222.42272</v>
      </c>
      <c r="J20" s="672">
        <v>-437.57728009166658</v>
      </c>
      <c r="K20" s="674">
        <v>0.30892044440153882</v>
      </c>
      <c r="L20" s="254"/>
      <c r="M20" s="670" t="str">
        <f t="shared" si="0"/>
        <v/>
      </c>
    </row>
    <row r="21" spans="1:13" ht="14.45" customHeight="1" x14ac:dyDescent="0.2">
      <c r="A21" s="675" t="s">
        <v>322</v>
      </c>
      <c r="B21" s="671">
        <v>145</v>
      </c>
      <c r="C21" s="672">
        <v>236.78591</v>
      </c>
      <c r="D21" s="672">
        <v>91.785910000000001</v>
      </c>
      <c r="E21" s="673">
        <v>1.6330062758620689</v>
      </c>
      <c r="F21" s="671">
        <v>149.99999979999998</v>
      </c>
      <c r="G21" s="672">
        <v>137.49999981666664</v>
      </c>
      <c r="H21" s="672">
        <v>20.899459999999998</v>
      </c>
      <c r="I21" s="672">
        <v>261.46460999999999</v>
      </c>
      <c r="J21" s="672">
        <v>123.96461018333335</v>
      </c>
      <c r="K21" s="674">
        <v>1.7430974023241299</v>
      </c>
      <c r="L21" s="254"/>
      <c r="M21" s="670" t="str">
        <f t="shared" si="0"/>
        <v/>
      </c>
    </row>
    <row r="22" spans="1:13" ht="14.45" customHeight="1" x14ac:dyDescent="0.2">
      <c r="A22" s="675" t="s">
        <v>323</v>
      </c>
      <c r="B22" s="671">
        <v>5275.7066849999992</v>
      </c>
      <c r="C22" s="672">
        <v>5219.0950000000003</v>
      </c>
      <c r="D22" s="672">
        <v>-56.611684999998943</v>
      </c>
      <c r="E22" s="673">
        <v>0.98926936458371373</v>
      </c>
      <c r="F22" s="671">
        <v>4971.0153797000003</v>
      </c>
      <c r="G22" s="672">
        <v>4556.7640980583337</v>
      </c>
      <c r="H22" s="672">
        <v>567.09500000000003</v>
      </c>
      <c r="I22" s="672">
        <v>4944.09</v>
      </c>
      <c r="J22" s="672">
        <v>387.32590194166642</v>
      </c>
      <c r="K22" s="674">
        <v>0.99458352516671855</v>
      </c>
      <c r="L22" s="254"/>
      <c r="M22" s="670" t="str">
        <f t="shared" si="0"/>
        <v>X</v>
      </c>
    </row>
    <row r="23" spans="1:13" ht="14.45" customHeight="1" x14ac:dyDescent="0.2">
      <c r="A23" s="675" t="s">
        <v>324</v>
      </c>
      <c r="B23" s="671">
        <v>4898.2960585999999</v>
      </c>
      <c r="C23" s="672">
        <v>4699.1949999999997</v>
      </c>
      <c r="D23" s="672">
        <v>-199.10105860000021</v>
      </c>
      <c r="E23" s="673">
        <v>0.95935299618110348</v>
      </c>
      <c r="F23" s="671">
        <v>4632.9852619000003</v>
      </c>
      <c r="G23" s="672">
        <v>4246.9031567416669</v>
      </c>
      <c r="H23" s="672">
        <v>539.03499999999997</v>
      </c>
      <c r="I23" s="672">
        <v>4638.93</v>
      </c>
      <c r="J23" s="672">
        <v>392.02684325833343</v>
      </c>
      <c r="K23" s="674">
        <v>1.0012831333932546</v>
      </c>
      <c r="L23" s="254"/>
      <c r="M23" s="670" t="str">
        <f t="shared" si="0"/>
        <v/>
      </c>
    </row>
    <row r="24" spans="1:13" ht="14.45" customHeight="1" x14ac:dyDescent="0.2">
      <c r="A24" s="675" t="s">
        <v>325</v>
      </c>
      <c r="B24" s="671">
        <v>377.41062640000001</v>
      </c>
      <c r="C24" s="672">
        <v>519.9</v>
      </c>
      <c r="D24" s="672">
        <v>142.48937359999996</v>
      </c>
      <c r="E24" s="673">
        <v>1.3775446784823226</v>
      </c>
      <c r="F24" s="671">
        <v>338.03011780000003</v>
      </c>
      <c r="G24" s="672">
        <v>309.8609413166667</v>
      </c>
      <c r="H24" s="672">
        <v>28.06</v>
      </c>
      <c r="I24" s="672">
        <v>305.16000000000003</v>
      </c>
      <c r="J24" s="672">
        <v>-4.7009413166666718</v>
      </c>
      <c r="K24" s="674">
        <v>0.90275979544684226</v>
      </c>
      <c r="L24" s="254"/>
      <c r="M24" s="670" t="str">
        <f t="shared" si="0"/>
        <v/>
      </c>
    </row>
    <row r="25" spans="1:13" ht="14.45" customHeight="1" x14ac:dyDescent="0.2">
      <c r="A25" s="675" t="s">
        <v>326</v>
      </c>
      <c r="B25" s="671">
        <v>4707</v>
      </c>
      <c r="C25" s="672">
        <v>5421.9203699999998</v>
      </c>
      <c r="D25" s="672">
        <v>714.92036999999982</v>
      </c>
      <c r="E25" s="673">
        <v>1.151884506054812</v>
      </c>
      <c r="F25" s="671">
        <v>5143.0000001999997</v>
      </c>
      <c r="G25" s="672">
        <v>4714.4166668500002</v>
      </c>
      <c r="H25" s="672">
        <v>558.12510999999995</v>
      </c>
      <c r="I25" s="672">
        <v>6594.05404</v>
      </c>
      <c r="J25" s="672">
        <v>1879.6373731499998</v>
      </c>
      <c r="K25" s="674">
        <v>1.2821415593512682</v>
      </c>
      <c r="L25" s="254"/>
      <c r="M25" s="670" t="str">
        <f t="shared" si="0"/>
        <v>X</v>
      </c>
    </row>
    <row r="26" spans="1:13" ht="14.45" customHeight="1" x14ac:dyDescent="0.2">
      <c r="A26" s="675" t="s">
        <v>327</v>
      </c>
      <c r="B26" s="671">
        <v>449.99999989999998</v>
      </c>
      <c r="C26" s="672">
        <v>506.60507000000001</v>
      </c>
      <c r="D26" s="672">
        <v>56.605070100000034</v>
      </c>
      <c r="E26" s="673">
        <v>1.1257890446946199</v>
      </c>
      <c r="F26" s="671">
        <v>476</v>
      </c>
      <c r="G26" s="672">
        <v>436.33333333333331</v>
      </c>
      <c r="H26" s="672">
        <v>53.321849999999998</v>
      </c>
      <c r="I26" s="672">
        <v>494.57727</v>
      </c>
      <c r="J26" s="672">
        <v>58.243936666666684</v>
      </c>
      <c r="K26" s="674">
        <v>1.0390278781512605</v>
      </c>
      <c r="L26" s="254"/>
      <c r="M26" s="670" t="str">
        <f t="shared" si="0"/>
        <v/>
      </c>
    </row>
    <row r="27" spans="1:13" ht="14.45" customHeight="1" x14ac:dyDescent="0.2">
      <c r="A27" s="675" t="s">
        <v>328</v>
      </c>
      <c r="B27" s="671">
        <v>1</v>
      </c>
      <c r="C27" s="672">
        <v>0.45850000000000002</v>
      </c>
      <c r="D27" s="672">
        <v>-0.54149999999999998</v>
      </c>
      <c r="E27" s="673">
        <v>0.45850000000000002</v>
      </c>
      <c r="F27" s="671">
        <v>1</v>
      </c>
      <c r="G27" s="672">
        <v>0.91666666666666663</v>
      </c>
      <c r="H27" s="672">
        <v>0</v>
      </c>
      <c r="I27" s="672">
        <v>0.53237999999999996</v>
      </c>
      <c r="J27" s="672">
        <v>-0.38428666666666667</v>
      </c>
      <c r="K27" s="674">
        <v>0.53237999999999996</v>
      </c>
      <c r="L27" s="254"/>
      <c r="M27" s="670" t="str">
        <f t="shared" si="0"/>
        <v/>
      </c>
    </row>
    <row r="28" spans="1:13" ht="14.45" customHeight="1" x14ac:dyDescent="0.2">
      <c r="A28" s="675" t="s">
        <v>329</v>
      </c>
      <c r="B28" s="671">
        <v>480</v>
      </c>
      <c r="C28" s="672">
        <v>479.39898999999997</v>
      </c>
      <c r="D28" s="672">
        <v>-0.60101000000003069</v>
      </c>
      <c r="E28" s="673">
        <v>0.99874789583333323</v>
      </c>
      <c r="F28" s="671">
        <v>480</v>
      </c>
      <c r="G28" s="672">
        <v>440</v>
      </c>
      <c r="H28" s="672">
        <v>37.344190000000005</v>
      </c>
      <c r="I28" s="672">
        <v>510.42034000000001</v>
      </c>
      <c r="J28" s="672">
        <v>70.42034000000001</v>
      </c>
      <c r="K28" s="674">
        <v>1.0633757083333333</v>
      </c>
      <c r="L28" s="254"/>
      <c r="M28" s="670" t="str">
        <f t="shared" si="0"/>
        <v/>
      </c>
    </row>
    <row r="29" spans="1:13" ht="14.45" customHeight="1" x14ac:dyDescent="0.2">
      <c r="A29" s="675" t="s">
        <v>330</v>
      </c>
      <c r="B29" s="671">
        <v>2770</v>
      </c>
      <c r="C29" s="672">
        <v>3199.8728599999999</v>
      </c>
      <c r="D29" s="672">
        <v>429.87285999999995</v>
      </c>
      <c r="E29" s="673">
        <v>1.1551887581227436</v>
      </c>
      <c r="F29" s="671">
        <v>3190.0000002000002</v>
      </c>
      <c r="G29" s="672">
        <v>2924.1666668500002</v>
      </c>
      <c r="H29" s="672">
        <v>298.096</v>
      </c>
      <c r="I29" s="672">
        <v>3497.4887100000001</v>
      </c>
      <c r="J29" s="672">
        <v>573.3220431499999</v>
      </c>
      <c r="K29" s="674">
        <v>1.0963914450723264</v>
      </c>
      <c r="L29" s="254"/>
      <c r="M29" s="670" t="str">
        <f t="shared" si="0"/>
        <v/>
      </c>
    </row>
    <row r="30" spans="1:13" ht="14.45" customHeight="1" x14ac:dyDescent="0.2">
      <c r="A30" s="675" t="s">
        <v>331</v>
      </c>
      <c r="B30" s="671">
        <v>0</v>
      </c>
      <c r="C30" s="672">
        <v>0.73809999999999998</v>
      </c>
      <c r="D30" s="672">
        <v>0.73809999999999998</v>
      </c>
      <c r="E30" s="673">
        <v>0</v>
      </c>
      <c r="F30" s="671">
        <v>0</v>
      </c>
      <c r="G30" s="672">
        <v>0</v>
      </c>
      <c r="H30" s="672">
        <v>2.2143999999999999</v>
      </c>
      <c r="I30" s="672">
        <v>3.6905999999999999</v>
      </c>
      <c r="J30" s="672">
        <v>3.6905999999999999</v>
      </c>
      <c r="K30" s="674">
        <v>0</v>
      </c>
      <c r="L30" s="254"/>
      <c r="M30" s="670" t="str">
        <f t="shared" si="0"/>
        <v/>
      </c>
    </row>
    <row r="31" spans="1:13" ht="14.45" customHeight="1" x14ac:dyDescent="0.2">
      <c r="A31" s="675" t="s">
        <v>332</v>
      </c>
      <c r="B31" s="671">
        <v>320</v>
      </c>
      <c r="C31" s="672">
        <v>184.43908999999999</v>
      </c>
      <c r="D31" s="672">
        <v>-135.56091000000001</v>
      </c>
      <c r="E31" s="673">
        <v>0.57637215624999993</v>
      </c>
      <c r="F31" s="671">
        <v>189.99999990000001</v>
      </c>
      <c r="G31" s="672">
        <v>174.16666657499999</v>
      </c>
      <c r="H31" s="672">
        <v>10.164899999999999</v>
      </c>
      <c r="I31" s="672">
        <v>159.40114000000003</v>
      </c>
      <c r="J31" s="672">
        <v>-14.765526574999967</v>
      </c>
      <c r="K31" s="674">
        <v>0.83895336886260719</v>
      </c>
      <c r="L31" s="254"/>
      <c r="M31" s="670" t="str">
        <f t="shared" si="0"/>
        <v/>
      </c>
    </row>
    <row r="32" spans="1:13" ht="14.45" customHeight="1" x14ac:dyDescent="0.2">
      <c r="A32" s="675" t="s">
        <v>333</v>
      </c>
      <c r="B32" s="671">
        <v>29.999999899999999</v>
      </c>
      <c r="C32" s="672">
        <v>18.350770000000001</v>
      </c>
      <c r="D32" s="672">
        <v>-11.649229899999998</v>
      </c>
      <c r="E32" s="673">
        <v>0.61169233537230783</v>
      </c>
      <c r="F32" s="671">
        <v>20.000000100000001</v>
      </c>
      <c r="G32" s="672">
        <v>18.333333424999999</v>
      </c>
      <c r="H32" s="672">
        <v>7.8633299999999995</v>
      </c>
      <c r="I32" s="672">
        <v>23.112069999999999</v>
      </c>
      <c r="J32" s="672">
        <v>4.7787365749999999</v>
      </c>
      <c r="K32" s="674">
        <v>1.1556034942219824</v>
      </c>
      <c r="L32" s="254"/>
      <c r="M32" s="670" t="str">
        <f t="shared" si="0"/>
        <v/>
      </c>
    </row>
    <row r="33" spans="1:13" ht="14.45" customHeight="1" x14ac:dyDescent="0.2">
      <c r="A33" s="675" t="s">
        <v>334</v>
      </c>
      <c r="B33" s="671">
        <v>27.999999899999999</v>
      </c>
      <c r="C33" s="672">
        <v>32.119840000000003</v>
      </c>
      <c r="D33" s="672">
        <v>4.1198401000000047</v>
      </c>
      <c r="E33" s="673">
        <v>1.1471371469540614</v>
      </c>
      <c r="F33" s="671">
        <v>40</v>
      </c>
      <c r="G33" s="672">
        <v>36.666666666666671</v>
      </c>
      <c r="H33" s="672">
        <v>1.9413</v>
      </c>
      <c r="I33" s="672">
        <v>26.293299999999999</v>
      </c>
      <c r="J33" s="672">
        <v>-10.373366666666673</v>
      </c>
      <c r="K33" s="674">
        <v>0.65733249999999999</v>
      </c>
      <c r="L33" s="254"/>
      <c r="M33" s="670" t="str">
        <f t="shared" si="0"/>
        <v/>
      </c>
    </row>
    <row r="34" spans="1:13" ht="14.45" customHeight="1" x14ac:dyDescent="0.2">
      <c r="A34" s="675" t="s">
        <v>335</v>
      </c>
      <c r="B34" s="671">
        <v>215.00000009999999</v>
      </c>
      <c r="C34" s="672">
        <v>326.5016</v>
      </c>
      <c r="D34" s="672">
        <v>111.5015999</v>
      </c>
      <c r="E34" s="673">
        <v>1.5186120923169246</v>
      </c>
      <c r="F34" s="671">
        <v>246</v>
      </c>
      <c r="G34" s="672">
        <v>225.5</v>
      </c>
      <c r="H34" s="672">
        <v>51.071129999999997</v>
      </c>
      <c r="I34" s="672">
        <v>845.86365999999998</v>
      </c>
      <c r="J34" s="672">
        <v>620.36365999999998</v>
      </c>
      <c r="K34" s="674">
        <v>3.4384701626016261</v>
      </c>
      <c r="L34" s="254"/>
      <c r="M34" s="670" t="str">
        <f t="shared" si="0"/>
        <v/>
      </c>
    </row>
    <row r="35" spans="1:13" ht="14.45" customHeight="1" x14ac:dyDescent="0.2">
      <c r="A35" s="675" t="s">
        <v>336</v>
      </c>
      <c r="B35" s="671">
        <v>153.00000030000001</v>
      </c>
      <c r="C35" s="672">
        <v>190.73558</v>
      </c>
      <c r="D35" s="672">
        <v>37.735579699999988</v>
      </c>
      <c r="E35" s="673">
        <v>1.2466377753333899</v>
      </c>
      <c r="F35" s="671">
        <v>200.00000009999999</v>
      </c>
      <c r="G35" s="672">
        <v>183.33333342499998</v>
      </c>
      <c r="H35" s="672">
        <v>43.53387</v>
      </c>
      <c r="I35" s="672">
        <v>233.82275000000001</v>
      </c>
      <c r="J35" s="672">
        <v>50.489416575000035</v>
      </c>
      <c r="K35" s="674">
        <v>1.1691137494154433</v>
      </c>
      <c r="L35" s="254"/>
      <c r="M35" s="670" t="str">
        <f t="shared" si="0"/>
        <v/>
      </c>
    </row>
    <row r="36" spans="1:13" ht="14.45" customHeight="1" x14ac:dyDescent="0.2">
      <c r="A36" s="675" t="s">
        <v>337</v>
      </c>
      <c r="B36" s="671">
        <v>259.99999989999998</v>
      </c>
      <c r="C36" s="672">
        <v>475.73289</v>
      </c>
      <c r="D36" s="672">
        <v>215.73289010000002</v>
      </c>
      <c r="E36" s="673">
        <v>1.8297418853191316</v>
      </c>
      <c r="F36" s="671">
        <v>299.99999989999998</v>
      </c>
      <c r="G36" s="672">
        <v>274.99999990833334</v>
      </c>
      <c r="H36" s="672">
        <v>48.552990000000001</v>
      </c>
      <c r="I36" s="672">
        <v>768.36416000000008</v>
      </c>
      <c r="J36" s="672">
        <v>493.36416009166675</v>
      </c>
      <c r="K36" s="674">
        <v>2.5612138675204053</v>
      </c>
      <c r="L36" s="254"/>
      <c r="M36" s="670" t="str">
        <f t="shared" si="0"/>
        <v/>
      </c>
    </row>
    <row r="37" spans="1:13" ht="14.45" customHeight="1" x14ac:dyDescent="0.2">
      <c r="A37" s="675" t="s">
        <v>338</v>
      </c>
      <c r="B37" s="671">
        <v>0</v>
      </c>
      <c r="C37" s="672">
        <v>3.3562800000000004</v>
      </c>
      <c r="D37" s="672">
        <v>3.3562800000000004</v>
      </c>
      <c r="E37" s="673">
        <v>0</v>
      </c>
      <c r="F37" s="671">
        <v>0</v>
      </c>
      <c r="G37" s="672">
        <v>0</v>
      </c>
      <c r="H37" s="672">
        <v>3.0511500000000003</v>
      </c>
      <c r="I37" s="672">
        <v>7.0176600000000002</v>
      </c>
      <c r="J37" s="672">
        <v>7.0176600000000002</v>
      </c>
      <c r="K37" s="674">
        <v>0</v>
      </c>
      <c r="L37" s="254"/>
      <c r="M37" s="670" t="str">
        <f t="shared" si="0"/>
        <v/>
      </c>
    </row>
    <row r="38" spans="1:13" ht="14.45" customHeight="1" x14ac:dyDescent="0.2">
      <c r="A38" s="675" t="s">
        <v>339</v>
      </c>
      <c r="B38" s="671">
        <v>0</v>
      </c>
      <c r="C38" s="672">
        <v>3.6108000000000002</v>
      </c>
      <c r="D38" s="672">
        <v>3.6108000000000002</v>
      </c>
      <c r="E38" s="673">
        <v>0</v>
      </c>
      <c r="F38" s="671">
        <v>0</v>
      </c>
      <c r="G38" s="672">
        <v>0</v>
      </c>
      <c r="H38" s="672">
        <v>0</v>
      </c>
      <c r="I38" s="672">
        <v>0</v>
      </c>
      <c r="J38" s="672">
        <v>0</v>
      </c>
      <c r="K38" s="674">
        <v>0</v>
      </c>
      <c r="L38" s="254"/>
      <c r="M38" s="670" t="str">
        <f t="shared" si="0"/>
        <v/>
      </c>
    </row>
    <row r="39" spans="1:13" ht="14.45" customHeight="1" x14ac:dyDescent="0.2">
      <c r="A39" s="675" t="s">
        <v>340</v>
      </c>
      <c r="B39" s="671">
        <v>0</v>
      </c>
      <c r="C39" s="672">
        <v>0</v>
      </c>
      <c r="D39" s="672">
        <v>0</v>
      </c>
      <c r="E39" s="673">
        <v>0</v>
      </c>
      <c r="F39" s="671">
        <v>0</v>
      </c>
      <c r="G39" s="672">
        <v>0</v>
      </c>
      <c r="H39" s="672">
        <v>0</v>
      </c>
      <c r="I39" s="672">
        <v>21.3</v>
      </c>
      <c r="J39" s="672">
        <v>21.3</v>
      </c>
      <c r="K39" s="674">
        <v>0</v>
      </c>
      <c r="L39" s="254"/>
      <c r="M39" s="670" t="str">
        <f t="shared" si="0"/>
        <v/>
      </c>
    </row>
    <row r="40" spans="1:13" ht="14.45" customHeight="1" x14ac:dyDescent="0.2">
      <c r="A40" s="675" t="s">
        <v>341</v>
      </c>
      <c r="B40" s="671">
        <v>0</v>
      </c>
      <c r="C40" s="672">
        <v>0</v>
      </c>
      <c r="D40" s="672">
        <v>0</v>
      </c>
      <c r="E40" s="673">
        <v>0</v>
      </c>
      <c r="F40" s="671">
        <v>0</v>
      </c>
      <c r="G40" s="672">
        <v>0</v>
      </c>
      <c r="H40" s="672">
        <v>0.97</v>
      </c>
      <c r="I40" s="672">
        <v>2.17</v>
      </c>
      <c r="J40" s="672">
        <v>2.17</v>
      </c>
      <c r="K40" s="674">
        <v>0</v>
      </c>
      <c r="L40" s="254"/>
      <c r="M40" s="670" t="str">
        <f t="shared" si="0"/>
        <v/>
      </c>
    </row>
    <row r="41" spans="1:13" ht="14.45" customHeight="1" x14ac:dyDescent="0.2">
      <c r="A41" s="675" t="s">
        <v>342</v>
      </c>
      <c r="B41" s="671">
        <v>102.2410613</v>
      </c>
      <c r="C41" s="672">
        <v>106.79786</v>
      </c>
      <c r="D41" s="672">
        <v>4.5567987000000016</v>
      </c>
      <c r="E41" s="673">
        <v>1.0445691646982151</v>
      </c>
      <c r="F41" s="671">
        <v>107.83481860000001</v>
      </c>
      <c r="G41" s="672">
        <v>98.848583716666667</v>
      </c>
      <c r="H41" s="672">
        <v>6.9886200000000001</v>
      </c>
      <c r="I41" s="672">
        <v>107.59766999999999</v>
      </c>
      <c r="J41" s="672">
        <v>8.7490862833333267</v>
      </c>
      <c r="K41" s="674">
        <v>0.99780081607147975</v>
      </c>
      <c r="L41" s="254"/>
      <c r="M41" s="670" t="str">
        <f t="shared" si="0"/>
        <v>X</v>
      </c>
    </row>
    <row r="42" spans="1:13" ht="14.45" customHeight="1" x14ac:dyDescent="0.2">
      <c r="A42" s="675" t="s">
        <v>343</v>
      </c>
      <c r="B42" s="671">
        <v>49.681387100000002</v>
      </c>
      <c r="C42" s="672">
        <v>45.243259999999999</v>
      </c>
      <c r="D42" s="672">
        <v>-4.4381271000000027</v>
      </c>
      <c r="E42" s="673">
        <v>0.91066821280438837</v>
      </c>
      <c r="F42" s="671">
        <v>52.381707799999994</v>
      </c>
      <c r="G42" s="672">
        <v>48.016565483333324</v>
      </c>
      <c r="H42" s="672">
        <v>3.2210700000000001</v>
      </c>
      <c r="I42" s="672">
        <v>58.51388</v>
      </c>
      <c r="J42" s="672">
        <v>10.497314516666677</v>
      </c>
      <c r="K42" s="674">
        <v>1.1170670537015215</v>
      </c>
      <c r="L42" s="254"/>
      <c r="M42" s="670" t="str">
        <f t="shared" si="0"/>
        <v/>
      </c>
    </row>
    <row r="43" spans="1:13" ht="14.45" customHeight="1" x14ac:dyDescent="0.2">
      <c r="A43" s="675" t="s">
        <v>344</v>
      </c>
      <c r="B43" s="671">
        <v>52.559674200000003</v>
      </c>
      <c r="C43" s="672">
        <v>61.554600000000001</v>
      </c>
      <c r="D43" s="672">
        <v>8.9949257999999972</v>
      </c>
      <c r="E43" s="673">
        <v>1.1711373964338614</v>
      </c>
      <c r="F43" s="671">
        <v>55.453110800000005</v>
      </c>
      <c r="G43" s="672">
        <v>50.832018233333343</v>
      </c>
      <c r="H43" s="672">
        <v>3.7675500000000004</v>
      </c>
      <c r="I43" s="672">
        <v>49.08379</v>
      </c>
      <c r="J43" s="672">
        <v>-1.748228233333343</v>
      </c>
      <c r="K43" s="674">
        <v>0.88514042389845504</v>
      </c>
      <c r="L43" s="254"/>
      <c r="M43" s="670" t="str">
        <f t="shared" si="0"/>
        <v/>
      </c>
    </row>
    <row r="44" spans="1:13" ht="14.45" customHeight="1" x14ac:dyDescent="0.2">
      <c r="A44" s="675" t="s">
        <v>345</v>
      </c>
      <c r="B44" s="671">
        <v>450.65532010000004</v>
      </c>
      <c r="C44" s="672">
        <v>543.26693999999998</v>
      </c>
      <c r="D44" s="672">
        <v>92.611619899999937</v>
      </c>
      <c r="E44" s="673">
        <v>1.2055043306255644</v>
      </c>
      <c r="F44" s="671">
        <v>478.89184280000001</v>
      </c>
      <c r="G44" s="672">
        <v>438.98418923333332</v>
      </c>
      <c r="H44" s="672">
        <v>32.440390000000001</v>
      </c>
      <c r="I44" s="672">
        <v>466.13342</v>
      </c>
      <c r="J44" s="672">
        <v>27.149230766666676</v>
      </c>
      <c r="K44" s="674">
        <v>0.97335844618817546</v>
      </c>
      <c r="L44" s="254"/>
      <c r="M44" s="670" t="str">
        <f t="shared" si="0"/>
        <v>X</v>
      </c>
    </row>
    <row r="45" spans="1:13" ht="14.45" customHeight="1" x14ac:dyDescent="0.2">
      <c r="A45" s="675" t="s">
        <v>346</v>
      </c>
      <c r="B45" s="671">
        <v>0</v>
      </c>
      <c r="C45" s="672">
        <v>3.4445000000000001</v>
      </c>
      <c r="D45" s="672">
        <v>3.4445000000000001</v>
      </c>
      <c r="E45" s="673">
        <v>0</v>
      </c>
      <c r="F45" s="671">
        <v>0</v>
      </c>
      <c r="G45" s="672">
        <v>0</v>
      </c>
      <c r="H45" s="672">
        <v>0</v>
      </c>
      <c r="I45" s="672">
        <v>3.4848000000000003</v>
      </c>
      <c r="J45" s="672">
        <v>3.4848000000000003</v>
      </c>
      <c r="K45" s="674">
        <v>0</v>
      </c>
      <c r="L45" s="254"/>
      <c r="M45" s="670" t="str">
        <f t="shared" si="0"/>
        <v/>
      </c>
    </row>
    <row r="46" spans="1:13" ht="14.45" customHeight="1" x14ac:dyDescent="0.2">
      <c r="A46" s="675" t="s">
        <v>347</v>
      </c>
      <c r="B46" s="671">
        <v>50.000000099999994</v>
      </c>
      <c r="C46" s="672">
        <v>57.142019999999995</v>
      </c>
      <c r="D46" s="672">
        <v>7.1420199000000011</v>
      </c>
      <c r="E46" s="673">
        <v>1.1428403977143193</v>
      </c>
      <c r="F46" s="671">
        <v>54.999999900000006</v>
      </c>
      <c r="G46" s="672">
        <v>50.416666575000008</v>
      </c>
      <c r="H46" s="672">
        <v>4.1755399999999998</v>
      </c>
      <c r="I46" s="672">
        <v>39.755699999999997</v>
      </c>
      <c r="J46" s="672">
        <v>-10.66096657500001</v>
      </c>
      <c r="K46" s="674">
        <v>0.72283091040514702</v>
      </c>
      <c r="L46" s="254"/>
      <c r="M46" s="670" t="str">
        <f t="shared" si="0"/>
        <v/>
      </c>
    </row>
    <row r="47" spans="1:13" ht="14.45" customHeight="1" x14ac:dyDescent="0.2">
      <c r="A47" s="675" t="s">
        <v>348</v>
      </c>
      <c r="B47" s="671">
        <v>237.99999990000001</v>
      </c>
      <c r="C47" s="672">
        <v>275.11606999999998</v>
      </c>
      <c r="D47" s="672">
        <v>37.116070099999973</v>
      </c>
      <c r="E47" s="673">
        <v>1.155949874435273</v>
      </c>
      <c r="F47" s="671">
        <v>250</v>
      </c>
      <c r="G47" s="672">
        <v>229.16666666666666</v>
      </c>
      <c r="H47" s="672">
        <v>15.92651</v>
      </c>
      <c r="I47" s="672">
        <v>231.34306000000001</v>
      </c>
      <c r="J47" s="672">
        <v>2.1763933333333512</v>
      </c>
      <c r="K47" s="674">
        <v>0.92537224000000007</v>
      </c>
      <c r="L47" s="254"/>
      <c r="M47" s="670" t="str">
        <f t="shared" si="0"/>
        <v/>
      </c>
    </row>
    <row r="48" spans="1:13" ht="14.45" customHeight="1" x14ac:dyDescent="0.2">
      <c r="A48" s="675" t="s">
        <v>349</v>
      </c>
      <c r="B48" s="671">
        <v>42.000000099999994</v>
      </c>
      <c r="C48" s="672">
        <v>40.461379999999998</v>
      </c>
      <c r="D48" s="672">
        <v>-1.5386200999999957</v>
      </c>
      <c r="E48" s="673">
        <v>0.96336618818246156</v>
      </c>
      <c r="F48" s="671">
        <v>45</v>
      </c>
      <c r="G48" s="672">
        <v>41.25</v>
      </c>
      <c r="H48" s="672">
        <v>2.6419099999999998</v>
      </c>
      <c r="I48" s="672">
        <v>42.599260000000001</v>
      </c>
      <c r="J48" s="672">
        <v>1.349260000000001</v>
      </c>
      <c r="K48" s="674">
        <v>0.94665022222222228</v>
      </c>
      <c r="L48" s="254"/>
      <c r="M48" s="670" t="str">
        <f t="shared" si="0"/>
        <v/>
      </c>
    </row>
    <row r="49" spans="1:13" ht="14.45" customHeight="1" x14ac:dyDescent="0.2">
      <c r="A49" s="675" t="s">
        <v>350</v>
      </c>
      <c r="B49" s="671">
        <v>3.7097424999999999</v>
      </c>
      <c r="C49" s="672">
        <v>4.0504800000000003</v>
      </c>
      <c r="D49" s="672">
        <v>0.34073750000000036</v>
      </c>
      <c r="E49" s="673">
        <v>1.0918493669034981</v>
      </c>
      <c r="F49" s="671">
        <v>4.0981586999999999</v>
      </c>
      <c r="G49" s="672">
        <v>3.7566454749999996</v>
      </c>
      <c r="H49" s="672">
        <v>2.9233600000000002</v>
      </c>
      <c r="I49" s="672">
        <v>5.1548400000000001</v>
      </c>
      <c r="J49" s="672">
        <v>1.3981945250000005</v>
      </c>
      <c r="K49" s="674">
        <v>1.2578429429782698</v>
      </c>
      <c r="L49" s="254"/>
      <c r="M49" s="670" t="str">
        <f t="shared" si="0"/>
        <v/>
      </c>
    </row>
    <row r="50" spans="1:13" ht="14.45" customHeight="1" x14ac:dyDescent="0.2">
      <c r="A50" s="675" t="s">
        <v>351</v>
      </c>
      <c r="B50" s="671">
        <v>0</v>
      </c>
      <c r="C50" s="672">
        <v>0.13643</v>
      </c>
      <c r="D50" s="672">
        <v>0.13643</v>
      </c>
      <c r="E50" s="673">
        <v>0</v>
      </c>
      <c r="F50" s="671">
        <v>0</v>
      </c>
      <c r="G50" s="672">
        <v>0</v>
      </c>
      <c r="H50" s="672">
        <v>0</v>
      </c>
      <c r="I50" s="672">
        <v>0</v>
      </c>
      <c r="J50" s="672">
        <v>0</v>
      </c>
      <c r="K50" s="674">
        <v>0</v>
      </c>
      <c r="L50" s="254"/>
      <c r="M50" s="670" t="str">
        <f t="shared" si="0"/>
        <v/>
      </c>
    </row>
    <row r="51" spans="1:13" ht="14.45" customHeight="1" x14ac:dyDescent="0.2">
      <c r="A51" s="675" t="s">
        <v>352</v>
      </c>
      <c r="B51" s="671">
        <v>0</v>
      </c>
      <c r="C51" s="672">
        <v>19.952900000000003</v>
      </c>
      <c r="D51" s="672">
        <v>19.952900000000003</v>
      </c>
      <c r="E51" s="673">
        <v>0</v>
      </c>
      <c r="F51" s="671">
        <v>0</v>
      </c>
      <c r="G51" s="672">
        <v>0</v>
      </c>
      <c r="H51" s="672">
        <v>0</v>
      </c>
      <c r="I51" s="672">
        <v>10.5633</v>
      </c>
      <c r="J51" s="672">
        <v>10.5633</v>
      </c>
      <c r="K51" s="674">
        <v>0</v>
      </c>
      <c r="L51" s="254"/>
      <c r="M51" s="670" t="str">
        <f t="shared" si="0"/>
        <v/>
      </c>
    </row>
    <row r="52" spans="1:13" ht="14.45" customHeight="1" x14ac:dyDescent="0.2">
      <c r="A52" s="675" t="s">
        <v>353</v>
      </c>
      <c r="B52" s="671">
        <v>0</v>
      </c>
      <c r="C52" s="672">
        <v>0.94149000000000005</v>
      </c>
      <c r="D52" s="672">
        <v>0.94149000000000005</v>
      </c>
      <c r="E52" s="673">
        <v>0</v>
      </c>
      <c r="F52" s="671">
        <v>0</v>
      </c>
      <c r="G52" s="672">
        <v>0</v>
      </c>
      <c r="H52" s="672">
        <v>0</v>
      </c>
      <c r="I52" s="672">
        <v>0.22022999999999998</v>
      </c>
      <c r="J52" s="672">
        <v>0.22022999999999998</v>
      </c>
      <c r="K52" s="674">
        <v>0</v>
      </c>
      <c r="L52" s="254"/>
      <c r="M52" s="670" t="str">
        <f t="shared" si="0"/>
        <v/>
      </c>
    </row>
    <row r="53" spans="1:13" ht="14.45" customHeight="1" x14ac:dyDescent="0.2">
      <c r="A53" s="675" t="s">
        <v>354</v>
      </c>
      <c r="B53" s="671">
        <v>16.945577399999998</v>
      </c>
      <c r="C53" s="672">
        <v>32.881749999999997</v>
      </c>
      <c r="D53" s="672">
        <v>15.936172599999999</v>
      </c>
      <c r="E53" s="673">
        <v>1.9404325520356716</v>
      </c>
      <c r="F53" s="671">
        <v>24.7936841</v>
      </c>
      <c r="G53" s="672">
        <v>22.727543758333336</v>
      </c>
      <c r="H53" s="672">
        <v>1.19306</v>
      </c>
      <c r="I53" s="672">
        <v>17.552259999999997</v>
      </c>
      <c r="J53" s="672">
        <v>-5.1752837583333395</v>
      </c>
      <c r="K53" s="674">
        <v>0.70793271097617949</v>
      </c>
      <c r="L53" s="254"/>
      <c r="M53" s="670" t="str">
        <f t="shared" si="0"/>
        <v/>
      </c>
    </row>
    <row r="54" spans="1:13" ht="14.45" customHeight="1" x14ac:dyDescent="0.2">
      <c r="A54" s="675" t="s">
        <v>355</v>
      </c>
      <c r="B54" s="671">
        <v>100.00000010000001</v>
      </c>
      <c r="C54" s="672">
        <v>109.13992</v>
      </c>
      <c r="D54" s="672">
        <v>9.1399198999999953</v>
      </c>
      <c r="E54" s="673">
        <v>1.0913991989086007</v>
      </c>
      <c r="F54" s="671">
        <v>100.00000010000001</v>
      </c>
      <c r="G54" s="672">
        <v>91.666666758333349</v>
      </c>
      <c r="H54" s="672">
        <v>5.5800100000000006</v>
      </c>
      <c r="I54" s="672">
        <v>115.43288000000001</v>
      </c>
      <c r="J54" s="672">
        <v>23.766213241666662</v>
      </c>
      <c r="K54" s="674">
        <v>1.1543287988456712</v>
      </c>
      <c r="L54" s="254"/>
      <c r="M54" s="670" t="str">
        <f t="shared" si="0"/>
        <v/>
      </c>
    </row>
    <row r="55" spans="1:13" ht="14.45" customHeight="1" x14ac:dyDescent="0.2">
      <c r="A55" s="675" t="s">
        <v>356</v>
      </c>
      <c r="B55" s="671">
        <v>0</v>
      </c>
      <c r="C55" s="672">
        <v>0</v>
      </c>
      <c r="D55" s="672">
        <v>0</v>
      </c>
      <c r="E55" s="673">
        <v>0</v>
      </c>
      <c r="F55" s="671">
        <v>0</v>
      </c>
      <c r="G55" s="672">
        <v>0</v>
      </c>
      <c r="H55" s="672">
        <v>0</v>
      </c>
      <c r="I55" s="672">
        <v>2.7089999999999999E-2</v>
      </c>
      <c r="J55" s="672">
        <v>2.7089999999999999E-2</v>
      </c>
      <c r="K55" s="674">
        <v>0</v>
      </c>
      <c r="L55" s="254"/>
      <c r="M55" s="670" t="str">
        <f t="shared" si="0"/>
        <v/>
      </c>
    </row>
    <row r="56" spans="1:13" ht="14.45" customHeight="1" x14ac:dyDescent="0.2">
      <c r="A56" s="675" t="s">
        <v>357</v>
      </c>
      <c r="B56" s="671">
        <v>168.45581559999999</v>
      </c>
      <c r="C56" s="672">
        <v>109.09583000000001</v>
      </c>
      <c r="D56" s="672">
        <v>-59.359985599999987</v>
      </c>
      <c r="E56" s="673">
        <v>0.64762281795630694</v>
      </c>
      <c r="F56" s="671">
        <v>152.16994</v>
      </c>
      <c r="G56" s="672">
        <v>139.48911166666664</v>
      </c>
      <c r="H56" s="672">
        <v>17.946669999999997</v>
      </c>
      <c r="I56" s="672">
        <v>166.98464000000001</v>
      </c>
      <c r="J56" s="672">
        <v>27.495528333333368</v>
      </c>
      <c r="K56" s="674">
        <v>1.0973562846906559</v>
      </c>
      <c r="L56" s="254"/>
      <c r="M56" s="670" t="str">
        <f t="shared" si="0"/>
        <v>X</v>
      </c>
    </row>
    <row r="57" spans="1:13" ht="14.45" customHeight="1" x14ac:dyDescent="0.2">
      <c r="A57" s="675" t="s">
        <v>358</v>
      </c>
      <c r="B57" s="671">
        <v>2.5998056000000003</v>
      </c>
      <c r="C57" s="672">
        <v>6.3E-2</v>
      </c>
      <c r="D57" s="672">
        <v>-2.5368056000000001</v>
      </c>
      <c r="E57" s="673">
        <v>2.4232581082216299E-2</v>
      </c>
      <c r="F57" s="671">
        <v>6.4995140000000005</v>
      </c>
      <c r="G57" s="672">
        <v>5.9578878333333343</v>
      </c>
      <c r="H57" s="672">
        <v>0</v>
      </c>
      <c r="I57" s="672">
        <v>0</v>
      </c>
      <c r="J57" s="672">
        <v>-5.9578878333333343</v>
      </c>
      <c r="K57" s="674">
        <v>0</v>
      </c>
      <c r="L57" s="254"/>
      <c r="M57" s="670" t="str">
        <f t="shared" si="0"/>
        <v/>
      </c>
    </row>
    <row r="58" spans="1:13" ht="14.45" customHeight="1" x14ac:dyDescent="0.2">
      <c r="A58" s="675" t="s">
        <v>359</v>
      </c>
      <c r="B58" s="671">
        <v>127.30359249999999</v>
      </c>
      <c r="C58" s="672">
        <v>64.457380000000001</v>
      </c>
      <c r="D58" s="672">
        <v>-62.846212499999993</v>
      </c>
      <c r="E58" s="673">
        <v>0.50632805197543818</v>
      </c>
      <c r="F58" s="671">
        <v>140.70397070000001</v>
      </c>
      <c r="G58" s="672">
        <v>128.97863980833333</v>
      </c>
      <c r="H58" s="672">
        <v>0</v>
      </c>
      <c r="I58" s="672">
        <v>120.71686</v>
      </c>
      <c r="J58" s="672">
        <v>-8.2617798083333298</v>
      </c>
      <c r="K58" s="674">
        <v>0.85794920640430783</v>
      </c>
      <c r="L58" s="254"/>
      <c r="M58" s="670" t="str">
        <f t="shared" si="0"/>
        <v/>
      </c>
    </row>
    <row r="59" spans="1:13" ht="14.45" customHeight="1" x14ac:dyDescent="0.2">
      <c r="A59" s="675" t="s">
        <v>360</v>
      </c>
      <c r="B59" s="671">
        <v>3.5524171999999998</v>
      </c>
      <c r="C59" s="672">
        <v>3.2669999999999999</v>
      </c>
      <c r="D59" s="672">
        <v>-0.28541719999999993</v>
      </c>
      <c r="E59" s="673">
        <v>0.91965549541872504</v>
      </c>
      <c r="F59" s="671">
        <v>2.9274313000000003</v>
      </c>
      <c r="G59" s="672">
        <v>2.6834786916666666</v>
      </c>
      <c r="H59" s="672">
        <v>0</v>
      </c>
      <c r="I59" s="672">
        <v>6.5339999999999998</v>
      </c>
      <c r="J59" s="672">
        <v>3.8505213083333332</v>
      </c>
      <c r="K59" s="674">
        <v>2.2319908924933607</v>
      </c>
      <c r="L59" s="254"/>
      <c r="M59" s="670" t="str">
        <f t="shared" si="0"/>
        <v/>
      </c>
    </row>
    <row r="60" spans="1:13" ht="14.45" customHeight="1" x14ac:dyDescent="0.2">
      <c r="A60" s="675" t="s">
        <v>361</v>
      </c>
      <c r="B60" s="671">
        <v>14.999999900000001</v>
      </c>
      <c r="C60" s="672">
        <v>1.3990199999999999</v>
      </c>
      <c r="D60" s="672">
        <v>-13.6009799</v>
      </c>
      <c r="E60" s="673">
        <v>9.3268000621786668E-2</v>
      </c>
      <c r="F60" s="671">
        <v>2.0390239999999999</v>
      </c>
      <c r="G60" s="672">
        <v>1.8691053333333332</v>
      </c>
      <c r="H60" s="672">
        <v>0.63883000000000001</v>
      </c>
      <c r="I60" s="672">
        <v>5.1181000000000001</v>
      </c>
      <c r="J60" s="672">
        <v>3.2489946666666669</v>
      </c>
      <c r="K60" s="674">
        <v>2.5100734469040091</v>
      </c>
      <c r="L60" s="254"/>
      <c r="M60" s="670" t="str">
        <f t="shared" si="0"/>
        <v/>
      </c>
    </row>
    <row r="61" spans="1:13" ht="14.45" customHeight="1" x14ac:dyDescent="0.2">
      <c r="A61" s="675" t="s">
        <v>362</v>
      </c>
      <c r="B61" s="671">
        <v>20.000000400000001</v>
      </c>
      <c r="C61" s="672">
        <v>39.90943</v>
      </c>
      <c r="D61" s="672">
        <v>19.909429599999999</v>
      </c>
      <c r="E61" s="673">
        <v>1.9954714600905707</v>
      </c>
      <c r="F61" s="671">
        <v>0</v>
      </c>
      <c r="G61" s="672">
        <v>0</v>
      </c>
      <c r="H61" s="672">
        <v>17.307839999999999</v>
      </c>
      <c r="I61" s="672">
        <v>34.615679999999998</v>
      </c>
      <c r="J61" s="672">
        <v>34.615679999999998</v>
      </c>
      <c r="K61" s="674">
        <v>0</v>
      </c>
      <c r="L61" s="254"/>
      <c r="M61" s="670" t="str">
        <f t="shared" si="0"/>
        <v/>
      </c>
    </row>
    <row r="62" spans="1:13" ht="14.45" customHeight="1" x14ac:dyDescent="0.2">
      <c r="A62" s="675" t="s">
        <v>363</v>
      </c>
      <c r="B62" s="671">
        <v>165.00000020000002</v>
      </c>
      <c r="C62" s="672">
        <v>598.61623999999995</v>
      </c>
      <c r="D62" s="672">
        <v>433.6162397999999</v>
      </c>
      <c r="E62" s="673">
        <v>3.6279772077236632</v>
      </c>
      <c r="F62" s="671">
        <v>398.99999989999998</v>
      </c>
      <c r="G62" s="672">
        <v>365.74999990833328</v>
      </c>
      <c r="H62" s="672">
        <v>24.535040000000002</v>
      </c>
      <c r="I62" s="672">
        <v>441.39476999999999</v>
      </c>
      <c r="J62" s="672">
        <v>75.644770091666715</v>
      </c>
      <c r="K62" s="674">
        <v>1.1062525566682337</v>
      </c>
      <c r="L62" s="254"/>
      <c r="M62" s="670" t="str">
        <f t="shared" si="0"/>
        <v>X</v>
      </c>
    </row>
    <row r="63" spans="1:13" ht="14.45" customHeight="1" x14ac:dyDescent="0.2">
      <c r="A63" s="675" t="s">
        <v>364</v>
      </c>
      <c r="B63" s="671">
        <v>0</v>
      </c>
      <c r="C63" s="672">
        <v>3.1217800000000002</v>
      </c>
      <c r="D63" s="672">
        <v>3.1217800000000002</v>
      </c>
      <c r="E63" s="673">
        <v>0</v>
      </c>
      <c r="F63" s="671">
        <v>0</v>
      </c>
      <c r="G63" s="672">
        <v>0</v>
      </c>
      <c r="H63" s="672">
        <v>0</v>
      </c>
      <c r="I63" s="672">
        <v>0.31218000000000001</v>
      </c>
      <c r="J63" s="672">
        <v>0.31218000000000001</v>
      </c>
      <c r="K63" s="674">
        <v>0</v>
      </c>
      <c r="L63" s="254"/>
      <c r="M63" s="670" t="str">
        <f t="shared" si="0"/>
        <v/>
      </c>
    </row>
    <row r="64" spans="1:13" ht="14.45" customHeight="1" x14ac:dyDescent="0.2">
      <c r="A64" s="675" t="s">
        <v>365</v>
      </c>
      <c r="B64" s="671">
        <v>0</v>
      </c>
      <c r="C64" s="672">
        <v>7.3931000000000004</v>
      </c>
      <c r="D64" s="672">
        <v>7.3931000000000004</v>
      </c>
      <c r="E64" s="673">
        <v>0</v>
      </c>
      <c r="F64" s="671">
        <v>0</v>
      </c>
      <c r="G64" s="672">
        <v>0</v>
      </c>
      <c r="H64" s="672">
        <v>0</v>
      </c>
      <c r="I64" s="672">
        <v>3.9809000000000001</v>
      </c>
      <c r="J64" s="672">
        <v>3.9809000000000001</v>
      </c>
      <c r="K64" s="674">
        <v>0</v>
      </c>
      <c r="L64" s="254"/>
      <c r="M64" s="670" t="str">
        <f t="shared" si="0"/>
        <v/>
      </c>
    </row>
    <row r="65" spans="1:13" ht="14.45" customHeight="1" x14ac:dyDescent="0.2">
      <c r="A65" s="675" t="s">
        <v>366</v>
      </c>
      <c r="B65" s="671">
        <v>0</v>
      </c>
      <c r="C65" s="672">
        <v>9.0110400000000013</v>
      </c>
      <c r="D65" s="672">
        <v>9.0110400000000013</v>
      </c>
      <c r="E65" s="673">
        <v>0</v>
      </c>
      <c r="F65" s="671">
        <v>0</v>
      </c>
      <c r="G65" s="672">
        <v>0</v>
      </c>
      <c r="H65" s="672">
        <v>0</v>
      </c>
      <c r="I65" s="672">
        <v>1.6587400000000001</v>
      </c>
      <c r="J65" s="672">
        <v>1.6587400000000001</v>
      </c>
      <c r="K65" s="674">
        <v>0</v>
      </c>
      <c r="L65" s="254"/>
      <c r="M65" s="670" t="str">
        <f t="shared" si="0"/>
        <v/>
      </c>
    </row>
    <row r="66" spans="1:13" ht="14.45" customHeight="1" x14ac:dyDescent="0.2">
      <c r="A66" s="675" t="s">
        <v>367</v>
      </c>
      <c r="B66" s="671">
        <v>45</v>
      </c>
      <c r="C66" s="672">
        <v>244.94487000000001</v>
      </c>
      <c r="D66" s="672">
        <v>199.94487000000001</v>
      </c>
      <c r="E66" s="673">
        <v>5.4432193333333334</v>
      </c>
      <c r="F66" s="671">
        <v>249</v>
      </c>
      <c r="G66" s="672">
        <v>228.25</v>
      </c>
      <c r="H66" s="672">
        <v>0</v>
      </c>
      <c r="I66" s="672">
        <v>280.98374999999999</v>
      </c>
      <c r="J66" s="672">
        <v>52.733749999999986</v>
      </c>
      <c r="K66" s="674">
        <v>1.1284487951807229</v>
      </c>
      <c r="L66" s="254"/>
      <c r="M66" s="670" t="str">
        <f t="shared" si="0"/>
        <v/>
      </c>
    </row>
    <row r="67" spans="1:13" ht="14.45" customHeight="1" x14ac:dyDescent="0.2">
      <c r="A67" s="675" t="s">
        <v>368</v>
      </c>
      <c r="B67" s="671">
        <v>11</v>
      </c>
      <c r="C67" s="672">
        <v>24.918110000000002</v>
      </c>
      <c r="D67" s="672">
        <v>13.918110000000002</v>
      </c>
      <c r="E67" s="673">
        <v>2.2652827272727274</v>
      </c>
      <c r="F67" s="671">
        <v>26</v>
      </c>
      <c r="G67" s="672">
        <v>23.833333333333332</v>
      </c>
      <c r="H67" s="672">
        <v>0.97848000000000002</v>
      </c>
      <c r="I67" s="672">
        <v>18.12416</v>
      </c>
      <c r="J67" s="672">
        <v>-5.7091733333333323</v>
      </c>
      <c r="K67" s="674">
        <v>0.69708307692307692</v>
      </c>
      <c r="L67" s="254"/>
      <c r="M67" s="670" t="str">
        <f t="shared" si="0"/>
        <v/>
      </c>
    </row>
    <row r="68" spans="1:13" ht="14.45" customHeight="1" x14ac:dyDescent="0.2">
      <c r="A68" s="675" t="s">
        <v>369</v>
      </c>
      <c r="B68" s="671">
        <v>109.00000019999999</v>
      </c>
      <c r="C68" s="672">
        <v>116.23788</v>
      </c>
      <c r="D68" s="672">
        <v>7.237879800000016</v>
      </c>
      <c r="E68" s="673">
        <v>1.0664025668506376</v>
      </c>
      <c r="F68" s="671">
        <v>123.99999989999999</v>
      </c>
      <c r="G68" s="672">
        <v>113.66666657499999</v>
      </c>
      <c r="H68" s="672">
        <v>23.556560000000001</v>
      </c>
      <c r="I68" s="672">
        <v>133.75504000000001</v>
      </c>
      <c r="J68" s="672">
        <v>20.088373425000015</v>
      </c>
      <c r="K68" s="674">
        <v>1.07866967828925</v>
      </c>
      <c r="L68" s="254"/>
      <c r="M68" s="670" t="str">
        <f t="shared" si="0"/>
        <v/>
      </c>
    </row>
    <row r="69" spans="1:13" ht="14.45" customHeight="1" x14ac:dyDescent="0.2">
      <c r="A69" s="675" t="s">
        <v>370</v>
      </c>
      <c r="B69" s="671">
        <v>0</v>
      </c>
      <c r="C69" s="672">
        <v>167.2704</v>
      </c>
      <c r="D69" s="672">
        <v>167.2704</v>
      </c>
      <c r="E69" s="673">
        <v>0</v>
      </c>
      <c r="F69" s="671">
        <v>0</v>
      </c>
      <c r="G69" s="672">
        <v>0</v>
      </c>
      <c r="H69" s="672">
        <v>0</v>
      </c>
      <c r="I69" s="672">
        <v>0</v>
      </c>
      <c r="J69" s="672">
        <v>0</v>
      </c>
      <c r="K69" s="674">
        <v>0</v>
      </c>
      <c r="L69" s="254"/>
      <c r="M69" s="670" t="str">
        <f t="shared" si="0"/>
        <v/>
      </c>
    </row>
    <row r="70" spans="1:13" ht="14.45" customHeight="1" x14ac:dyDescent="0.2">
      <c r="A70" s="675" t="s">
        <v>371</v>
      </c>
      <c r="B70" s="671">
        <v>0</v>
      </c>
      <c r="C70" s="672">
        <v>19.547319999999999</v>
      </c>
      <c r="D70" s="672">
        <v>19.547319999999999</v>
      </c>
      <c r="E70" s="673">
        <v>0</v>
      </c>
      <c r="F70" s="671">
        <v>0</v>
      </c>
      <c r="G70" s="672">
        <v>0</v>
      </c>
      <c r="H70" s="672">
        <v>0</v>
      </c>
      <c r="I70" s="672">
        <v>0</v>
      </c>
      <c r="J70" s="672">
        <v>0</v>
      </c>
      <c r="K70" s="674">
        <v>0</v>
      </c>
      <c r="L70" s="254"/>
      <c r="M70" s="670" t="str">
        <f t="shared" ref="M70:M133" si="1">IF(A70="HV","HV",IF(OR(LEFT(A70,16)="               5",LEFT(A70,16)="               6",LEFT(A70,16)="               7",LEFT(A70,16)="               8"),"X",""))</f>
        <v/>
      </c>
    </row>
    <row r="71" spans="1:13" ht="14.45" customHeight="1" x14ac:dyDescent="0.2">
      <c r="A71" s="675" t="s">
        <v>372</v>
      </c>
      <c r="B71" s="671">
        <v>0</v>
      </c>
      <c r="C71" s="672">
        <v>4.2367400000000002</v>
      </c>
      <c r="D71" s="672">
        <v>4.2367400000000002</v>
      </c>
      <c r="E71" s="673">
        <v>0</v>
      </c>
      <c r="F71" s="671">
        <v>0</v>
      </c>
      <c r="G71" s="672">
        <v>0</v>
      </c>
      <c r="H71" s="672">
        <v>0</v>
      </c>
      <c r="I71" s="672">
        <v>0</v>
      </c>
      <c r="J71" s="672">
        <v>0</v>
      </c>
      <c r="K71" s="674">
        <v>0</v>
      </c>
      <c r="L71" s="254"/>
      <c r="M71" s="670" t="str">
        <f t="shared" si="1"/>
        <v/>
      </c>
    </row>
    <row r="72" spans="1:13" ht="14.45" customHeight="1" x14ac:dyDescent="0.2">
      <c r="A72" s="675" t="s">
        <v>373</v>
      </c>
      <c r="B72" s="671">
        <v>0</v>
      </c>
      <c r="C72" s="672">
        <v>1.9350000000000001</v>
      </c>
      <c r="D72" s="672">
        <v>1.9350000000000001</v>
      </c>
      <c r="E72" s="673">
        <v>0</v>
      </c>
      <c r="F72" s="671">
        <v>0</v>
      </c>
      <c r="G72" s="672">
        <v>0</v>
      </c>
      <c r="H72" s="672">
        <v>0</v>
      </c>
      <c r="I72" s="672">
        <v>2.58</v>
      </c>
      <c r="J72" s="672">
        <v>2.58</v>
      </c>
      <c r="K72" s="674">
        <v>0</v>
      </c>
      <c r="L72" s="254"/>
      <c r="M72" s="670" t="str">
        <f t="shared" si="1"/>
        <v/>
      </c>
    </row>
    <row r="73" spans="1:13" ht="14.45" customHeight="1" x14ac:dyDescent="0.2">
      <c r="A73" s="675" t="s">
        <v>374</v>
      </c>
      <c r="B73" s="671">
        <v>0</v>
      </c>
      <c r="C73" s="672">
        <v>0.39600000000000002</v>
      </c>
      <c r="D73" s="672">
        <v>0.39600000000000002</v>
      </c>
      <c r="E73" s="673">
        <v>0</v>
      </c>
      <c r="F73" s="671">
        <v>0</v>
      </c>
      <c r="G73" s="672">
        <v>0</v>
      </c>
      <c r="H73" s="672">
        <v>0</v>
      </c>
      <c r="I73" s="672">
        <v>0</v>
      </c>
      <c r="J73" s="672">
        <v>0</v>
      </c>
      <c r="K73" s="674">
        <v>0</v>
      </c>
      <c r="L73" s="254"/>
      <c r="M73" s="670" t="str">
        <f t="shared" si="1"/>
        <v>X</v>
      </c>
    </row>
    <row r="74" spans="1:13" ht="14.45" customHeight="1" x14ac:dyDescent="0.2">
      <c r="A74" s="675" t="s">
        <v>375</v>
      </c>
      <c r="B74" s="671">
        <v>0</v>
      </c>
      <c r="C74" s="672">
        <v>0.39600000000000002</v>
      </c>
      <c r="D74" s="672">
        <v>0.39600000000000002</v>
      </c>
      <c r="E74" s="673">
        <v>0</v>
      </c>
      <c r="F74" s="671">
        <v>0</v>
      </c>
      <c r="G74" s="672">
        <v>0</v>
      </c>
      <c r="H74" s="672">
        <v>0</v>
      </c>
      <c r="I74" s="672">
        <v>0</v>
      </c>
      <c r="J74" s="672">
        <v>0</v>
      </c>
      <c r="K74" s="674">
        <v>0</v>
      </c>
      <c r="L74" s="254"/>
      <c r="M74" s="670" t="str">
        <f t="shared" si="1"/>
        <v/>
      </c>
    </row>
    <row r="75" spans="1:13" ht="14.45" customHeight="1" x14ac:dyDescent="0.2">
      <c r="A75" s="675" t="s">
        <v>376</v>
      </c>
      <c r="B75" s="671">
        <v>0</v>
      </c>
      <c r="C75" s="672">
        <v>0</v>
      </c>
      <c r="D75" s="672">
        <v>0</v>
      </c>
      <c r="E75" s="673">
        <v>0</v>
      </c>
      <c r="F75" s="671">
        <v>0</v>
      </c>
      <c r="G75" s="672">
        <v>0</v>
      </c>
      <c r="H75" s="672">
        <v>0</v>
      </c>
      <c r="I75" s="672">
        <v>11.932</v>
      </c>
      <c r="J75" s="672">
        <v>11.932</v>
      </c>
      <c r="K75" s="674">
        <v>0</v>
      </c>
      <c r="L75" s="254"/>
      <c r="M75" s="670" t="str">
        <f t="shared" si="1"/>
        <v>X</v>
      </c>
    </row>
    <row r="76" spans="1:13" ht="14.45" customHeight="1" x14ac:dyDescent="0.2">
      <c r="A76" s="675" t="s">
        <v>377</v>
      </c>
      <c r="B76" s="671">
        <v>0</v>
      </c>
      <c r="C76" s="672">
        <v>0</v>
      </c>
      <c r="D76" s="672">
        <v>0</v>
      </c>
      <c r="E76" s="673">
        <v>0</v>
      </c>
      <c r="F76" s="671">
        <v>0</v>
      </c>
      <c r="G76" s="672">
        <v>0</v>
      </c>
      <c r="H76" s="672">
        <v>0</v>
      </c>
      <c r="I76" s="672">
        <v>11.932</v>
      </c>
      <c r="J76" s="672">
        <v>11.932</v>
      </c>
      <c r="K76" s="674">
        <v>0</v>
      </c>
      <c r="L76" s="254"/>
      <c r="M76" s="670" t="str">
        <f t="shared" si="1"/>
        <v/>
      </c>
    </row>
    <row r="77" spans="1:13" ht="14.45" customHeight="1" x14ac:dyDescent="0.2">
      <c r="A77" s="675" t="s">
        <v>378</v>
      </c>
      <c r="B77" s="671">
        <v>330.63999459999997</v>
      </c>
      <c r="C77" s="672">
        <v>323.82499999999999</v>
      </c>
      <c r="D77" s="672">
        <v>-6.8149945999999773</v>
      </c>
      <c r="E77" s="673">
        <v>0.97938847474200874</v>
      </c>
      <c r="F77" s="671">
        <v>332.3923216</v>
      </c>
      <c r="G77" s="672">
        <v>304.69296146666665</v>
      </c>
      <c r="H77" s="672">
        <v>28.546650000000003</v>
      </c>
      <c r="I77" s="672">
        <v>285.95565000000005</v>
      </c>
      <c r="J77" s="672">
        <v>-18.737311466666597</v>
      </c>
      <c r="K77" s="674">
        <v>0.86029559474637407</v>
      </c>
      <c r="L77" s="254"/>
      <c r="M77" s="670" t="str">
        <f t="shared" si="1"/>
        <v/>
      </c>
    </row>
    <row r="78" spans="1:13" ht="14.45" customHeight="1" x14ac:dyDescent="0.2">
      <c r="A78" s="675" t="s">
        <v>379</v>
      </c>
      <c r="B78" s="671">
        <v>330.63999459999997</v>
      </c>
      <c r="C78" s="672">
        <v>323.82499999999999</v>
      </c>
      <c r="D78" s="672">
        <v>-6.8149945999999773</v>
      </c>
      <c r="E78" s="673">
        <v>0.97938847474200874</v>
      </c>
      <c r="F78" s="671">
        <v>332.3923216</v>
      </c>
      <c r="G78" s="672">
        <v>304.69296146666665</v>
      </c>
      <c r="H78" s="672">
        <v>28.546650000000003</v>
      </c>
      <c r="I78" s="672">
        <v>285.95565000000005</v>
      </c>
      <c r="J78" s="672">
        <v>-18.737311466666597</v>
      </c>
      <c r="K78" s="674">
        <v>0.86029559474637407</v>
      </c>
      <c r="L78" s="254"/>
      <c r="M78" s="670" t="str">
        <f t="shared" si="1"/>
        <v>X</v>
      </c>
    </row>
    <row r="79" spans="1:13" ht="14.45" customHeight="1" x14ac:dyDescent="0.2">
      <c r="A79" s="675" t="s">
        <v>380</v>
      </c>
      <c r="B79" s="671">
        <v>130.45211330000001</v>
      </c>
      <c r="C79" s="672">
        <v>126.252</v>
      </c>
      <c r="D79" s="672">
        <v>-4.2001133000000124</v>
      </c>
      <c r="E79" s="673">
        <v>0.96780340928367303</v>
      </c>
      <c r="F79" s="671">
        <v>125.8715919</v>
      </c>
      <c r="G79" s="672">
        <v>115.38229257499999</v>
      </c>
      <c r="H79" s="672">
        <v>8.3016500000000004</v>
      </c>
      <c r="I79" s="672">
        <v>106.63064999999999</v>
      </c>
      <c r="J79" s="672">
        <v>-8.7516425750000053</v>
      </c>
      <c r="K79" s="674">
        <v>0.84713832875581507</v>
      </c>
      <c r="L79" s="254"/>
      <c r="M79" s="670" t="str">
        <f t="shared" si="1"/>
        <v/>
      </c>
    </row>
    <row r="80" spans="1:13" ht="14.45" customHeight="1" x14ac:dyDescent="0.2">
      <c r="A80" s="675" t="s">
        <v>381</v>
      </c>
      <c r="B80" s="671">
        <v>30.475859499999999</v>
      </c>
      <c r="C80" s="672">
        <v>26.952000000000002</v>
      </c>
      <c r="D80" s="672">
        <v>-3.5238594999999968</v>
      </c>
      <c r="E80" s="673">
        <v>0.88437210441923719</v>
      </c>
      <c r="F80" s="671">
        <v>31.214279099999999</v>
      </c>
      <c r="G80" s="672">
        <v>28.613089174999999</v>
      </c>
      <c r="H80" s="672">
        <v>2.5569999999999999</v>
      </c>
      <c r="I80" s="672">
        <v>27.896000000000001</v>
      </c>
      <c r="J80" s="672">
        <v>-0.71708917499999814</v>
      </c>
      <c r="K80" s="674">
        <v>0.89369355321744404</v>
      </c>
      <c r="L80" s="254"/>
      <c r="M80" s="670" t="str">
        <f t="shared" si="1"/>
        <v/>
      </c>
    </row>
    <row r="81" spans="1:13" ht="14.45" customHeight="1" x14ac:dyDescent="0.2">
      <c r="A81" s="675" t="s">
        <v>382</v>
      </c>
      <c r="B81" s="671">
        <v>169.71202179999997</v>
      </c>
      <c r="C81" s="672">
        <v>170.62100000000001</v>
      </c>
      <c r="D81" s="672">
        <v>0.90897820000003549</v>
      </c>
      <c r="E81" s="673">
        <v>1.005356003601626</v>
      </c>
      <c r="F81" s="671">
        <v>175.30645060000001</v>
      </c>
      <c r="G81" s="672">
        <v>160.69757971666667</v>
      </c>
      <c r="H81" s="672">
        <v>17.687999999999999</v>
      </c>
      <c r="I81" s="672">
        <v>151.429</v>
      </c>
      <c r="J81" s="672">
        <v>-9.2685797166666646</v>
      </c>
      <c r="K81" s="674">
        <v>0.86379593837946311</v>
      </c>
      <c r="L81" s="254"/>
      <c r="M81" s="670" t="str">
        <f t="shared" si="1"/>
        <v/>
      </c>
    </row>
    <row r="82" spans="1:13" ht="14.45" customHeight="1" x14ac:dyDescent="0.2">
      <c r="A82" s="675" t="s">
        <v>383</v>
      </c>
      <c r="B82" s="671">
        <v>3756.3683851999999</v>
      </c>
      <c r="C82" s="672">
        <v>3169.48387</v>
      </c>
      <c r="D82" s="672">
        <v>-586.8845151999999</v>
      </c>
      <c r="E82" s="673">
        <v>0.84376279027575929</v>
      </c>
      <c r="F82" s="671">
        <v>3590.5788903000002</v>
      </c>
      <c r="G82" s="672">
        <v>3291.3639827749998</v>
      </c>
      <c r="H82" s="672">
        <v>206.02294000000001</v>
      </c>
      <c r="I82" s="672">
        <v>2660.1174300000002</v>
      </c>
      <c r="J82" s="672">
        <v>-631.2465527749996</v>
      </c>
      <c r="K82" s="674">
        <v>0.74086032121069534</v>
      </c>
      <c r="L82" s="254"/>
      <c r="M82" s="670" t="str">
        <f t="shared" si="1"/>
        <v/>
      </c>
    </row>
    <row r="83" spans="1:13" ht="14.45" customHeight="1" x14ac:dyDescent="0.2">
      <c r="A83" s="675" t="s">
        <v>384</v>
      </c>
      <c r="B83" s="671">
        <v>1878.1836171</v>
      </c>
      <c r="C83" s="672">
        <v>1092.07069</v>
      </c>
      <c r="D83" s="672">
        <v>-786.11292709999998</v>
      </c>
      <c r="E83" s="673">
        <v>0.58145043969993004</v>
      </c>
      <c r="F83" s="671">
        <v>1439.5725519</v>
      </c>
      <c r="G83" s="672">
        <v>1319.608172575</v>
      </c>
      <c r="H83" s="672">
        <v>37.34554</v>
      </c>
      <c r="I83" s="672">
        <v>721.97230000000002</v>
      </c>
      <c r="J83" s="672">
        <v>-597.63587257500001</v>
      </c>
      <c r="K83" s="674">
        <v>0.50151852301373401</v>
      </c>
      <c r="L83" s="254"/>
      <c r="M83" s="670" t="str">
        <f t="shared" si="1"/>
        <v/>
      </c>
    </row>
    <row r="84" spans="1:13" ht="14.45" customHeight="1" x14ac:dyDescent="0.2">
      <c r="A84" s="675" t="s">
        <v>385</v>
      </c>
      <c r="B84" s="671">
        <v>1878.1836171</v>
      </c>
      <c r="C84" s="672">
        <v>1092.07069</v>
      </c>
      <c r="D84" s="672">
        <v>-786.11292709999998</v>
      </c>
      <c r="E84" s="673">
        <v>0.58145043969993004</v>
      </c>
      <c r="F84" s="671">
        <v>1439.5725519</v>
      </c>
      <c r="G84" s="672">
        <v>1319.608172575</v>
      </c>
      <c r="H84" s="672">
        <v>37.34554</v>
      </c>
      <c r="I84" s="672">
        <v>721.97230000000002</v>
      </c>
      <c r="J84" s="672">
        <v>-597.63587257500001</v>
      </c>
      <c r="K84" s="674">
        <v>0.50151852301373401</v>
      </c>
      <c r="L84" s="254"/>
      <c r="M84" s="670" t="str">
        <f t="shared" si="1"/>
        <v>X</v>
      </c>
    </row>
    <row r="85" spans="1:13" ht="14.45" customHeight="1" x14ac:dyDescent="0.2">
      <c r="A85" s="675" t="s">
        <v>386</v>
      </c>
      <c r="B85" s="671">
        <v>1242.4367199999999</v>
      </c>
      <c r="C85" s="672">
        <v>552.41055000000006</v>
      </c>
      <c r="D85" s="672">
        <v>-690.02616999999987</v>
      </c>
      <c r="E85" s="673">
        <v>0.44461866033708347</v>
      </c>
      <c r="F85" s="671">
        <v>1242.4367199999999</v>
      </c>
      <c r="G85" s="672">
        <v>1138.9003266666666</v>
      </c>
      <c r="H85" s="672">
        <v>27.949390000000001</v>
      </c>
      <c r="I85" s="672">
        <v>570.32364000000007</v>
      </c>
      <c r="J85" s="672">
        <v>-568.57668666666655</v>
      </c>
      <c r="K85" s="674">
        <v>0.45903636846792495</v>
      </c>
      <c r="L85" s="254"/>
      <c r="M85" s="670" t="str">
        <f t="shared" si="1"/>
        <v/>
      </c>
    </row>
    <row r="86" spans="1:13" ht="14.45" customHeight="1" x14ac:dyDescent="0.2">
      <c r="A86" s="675" t="s">
        <v>387</v>
      </c>
      <c r="B86" s="671">
        <v>0</v>
      </c>
      <c r="C86" s="672">
        <v>0</v>
      </c>
      <c r="D86" s="672">
        <v>0</v>
      </c>
      <c r="E86" s="673">
        <v>0</v>
      </c>
      <c r="F86" s="671">
        <v>0</v>
      </c>
      <c r="G86" s="672">
        <v>0</v>
      </c>
      <c r="H86" s="672">
        <v>0</v>
      </c>
      <c r="I86" s="672">
        <v>4.9950000000000001</v>
      </c>
      <c r="J86" s="672">
        <v>4.9950000000000001</v>
      </c>
      <c r="K86" s="674">
        <v>0</v>
      </c>
      <c r="L86" s="254"/>
      <c r="M86" s="670" t="str">
        <f t="shared" si="1"/>
        <v/>
      </c>
    </row>
    <row r="87" spans="1:13" ht="14.45" customHeight="1" x14ac:dyDescent="0.2">
      <c r="A87" s="675" t="s">
        <v>388</v>
      </c>
      <c r="B87" s="671">
        <v>0.69495169999999995</v>
      </c>
      <c r="C87" s="672">
        <v>1.92818</v>
      </c>
      <c r="D87" s="672">
        <v>1.2332282999999999</v>
      </c>
      <c r="E87" s="673">
        <v>2.7745525336508998</v>
      </c>
      <c r="F87" s="671">
        <v>1.3723284</v>
      </c>
      <c r="G87" s="672">
        <v>1.2579677</v>
      </c>
      <c r="H87" s="672">
        <v>1.2656800000000001</v>
      </c>
      <c r="I87" s="672">
        <v>1.8032999999999999</v>
      </c>
      <c r="J87" s="672">
        <v>0.54533229999999988</v>
      </c>
      <c r="K87" s="674">
        <v>1.3140440728327125</v>
      </c>
      <c r="L87" s="254"/>
      <c r="M87" s="670" t="str">
        <f t="shared" si="1"/>
        <v/>
      </c>
    </row>
    <row r="88" spans="1:13" ht="14.45" customHeight="1" x14ac:dyDescent="0.2">
      <c r="A88" s="675" t="s">
        <v>389</v>
      </c>
      <c r="B88" s="671">
        <v>305.00000010000002</v>
      </c>
      <c r="C88" s="672">
        <v>122.00225</v>
      </c>
      <c r="D88" s="672">
        <v>-182.99775010000002</v>
      </c>
      <c r="E88" s="673">
        <v>0.40000737691803034</v>
      </c>
      <c r="F88" s="671">
        <v>130.26624610000002</v>
      </c>
      <c r="G88" s="672">
        <v>119.41072559166668</v>
      </c>
      <c r="H88" s="672">
        <v>7.8650000000000002</v>
      </c>
      <c r="I88" s="672">
        <v>124.88705</v>
      </c>
      <c r="J88" s="672">
        <v>5.4763244083333262</v>
      </c>
      <c r="K88" s="674">
        <v>0.95870614022399459</v>
      </c>
      <c r="L88" s="254"/>
      <c r="M88" s="670" t="str">
        <f t="shared" si="1"/>
        <v/>
      </c>
    </row>
    <row r="89" spans="1:13" ht="14.45" customHeight="1" x14ac:dyDescent="0.2">
      <c r="A89" s="675" t="s">
        <v>390</v>
      </c>
      <c r="B89" s="671">
        <v>24.701874199999999</v>
      </c>
      <c r="C89" s="672">
        <v>13.20978</v>
      </c>
      <c r="D89" s="672">
        <v>-11.492094199999999</v>
      </c>
      <c r="E89" s="673">
        <v>0.53476832944117259</v>
      </c>
      <c r="F89" s="671">
        <v>29.266501300000002</v>
      </c>
      <c r="G89" s="672">
        <v>26.827626191666667</v>
      </c>
      <c r="H89" s="672">
        <v>0.26547000000000004</v>
      </c>
      <c r="I89" s="672">
        <v>12.15034</v>
      </c>
      <c r="J89" s="672">
        <v>-14.677286191666667</v>
      </c>
      <c r="K89" s="674">
        <v>0.41516202690070092</v>
      </c>
      <c r="L89" s="254"/>
      <c r="M89" s="670" t="str">
        <f t="shared" si="1"/>
        <v/>
      </c>
    </row>
    <row r="90" spans="1:13" ht="14.45" customHeight="1" x14ac:dyDescent="0.2">
      <c r="A90" s="675" t="s">
        <v>391</v>
      </c>
      <c r="B90" s="671">
        <v>23.350071100000001</v>
      </c>
      <c r="C90" s="672">
        <v>0</v>
      </c>
      <c r="D90" s="672">
        <v>-23.350071100000001</v>
      </c>
      <c r="E90" s="673">
        <v>0</v>
      </c>
      <c r="F90" s="671">
        <v>10.007172800000001</v>
      </c>
      <c r="G90" s="672">
        <v>9.1732417333333345</v>
      </c>
      <c r="H90" s="672">
        <v>0</v>
      </c>
      <c r="I90" s="672">
        <v>0</v>
      </c>
      <c r="J90" s="672">
        <v>-9.1732417333333345</v>
      </c>
      <c r="K90" s="674">
        <v>0</v>
      </c>
      <c r="L90" s="254"/>
      <c r="M90" s="670" t="str">
        <f t="shared" si="1"/>
        <v/>
      </c>
    </row>
    <row r="91" spans="1:13" ht="14.45" customHeight="1" x14ac:dyDescent="0.2">
      <c r="A91" s="675" t="s">
        <v>392</v>
      </c>
      <c r="B91" s="671">
        <v>32.000000399999998</v>
      </c>
      <c r="C91" s="672">
        <v>3.8332800000000002</v>
      </c>
      <c r="D91" s="672">
        <v>-28.166720399999996</v>
      </c>
      <c r="E91" s="673">
        <v>0.11978999850262503</v>
      </c>
      <c r="F91" s="671">
        <v>0</v>
      </c>
      <c r="G91" s="672">
        <v>0</v>
      </c>
      <c r="H91" s="672">
        <v>0</v>
      </c>
      <c r="I91" s="672">
        <v>7.81297</v>
      </c>
      <c r="J91" s="672">
        <v>7.81297</v>
      </c>
      <c r="K91" s="674">
        <v>0</v>
      </c>
      <c r="L91" s="254"/>
      <c r="M91" s="670" t="str">
        <f t="shared" si="1"/>
        <v/>
      </c>
    </row>
    <row r="92" spans="1:13" ht="14.45" customHeight="1" x14ac:dyDescent="0.2">
      <c r="A92" s="675" t="s">
        <v>393</v>
      </c>
      <c r="B92" s="671">
        <v>249.99999960000002</v>
      </c>
      <c r="C92" s="672">
        <v>378.17715000000004</v>
      </c>
      <c r="D92" s="672">
        <v>128.17715040000002</v>
      </c>
      <c r="E92" s="673">
        <v>1.5127086024203338</v>
      </c>
      <c r="F92" s="671">
        <v>26.223583299999998</v>
      </c>
      <c r="G92" s="672">
        <v>24.038284691666664</v>
      </c>
      <c r="H92" s="672">
        <v>0</v>
      </c>
      <c r="I92" s="672">
        <v>0</v>
      </c>
      <c r="J92" s="672">
        <v>-24.038284691666664</v>
      </c>
      <c r="K92" s="674">
        <v>0</v>
      </c>
      <c r="L92" s="254"/>
      <c r="M92" s="670" t="str">
        <f t="shared" si="1"/>
        <v/>
      </c>
    </row>
    <row r="93" spans="1:13" ht="14.45" customHeight="1" x14ac:dyDescent="0.2">
      <c r="A93" s="675" t="s">
        <v>394</v>
      </c>
      <c r="B93" s="671">
        <v>0</v>
      </c>
      <c r="C93" s="672">
        <v>20.509499999999999</v>
      </c>
      <c r="D93" s="672">
        <v>20.509499999999999</v>
      </c>
      <c r="E93" s="673">
        <v>0</v>
      </c>
      <c r="F93" s="671">
        <v>0</v>
      </c>
      <c r="G93" s="672">
        <v>0</v>
      </c>
      <c r="H93" s="672">
        <v>0</v>
      </c>
      <c r="I93" s="672">
        <v>0</v>
      </c>
      <c r="J93" s="672">
        <v>0</v>
      </c>
      <c r="K93" s="674">
        <v>0</v>
      </c>
      <c r="L93" s="254"/>
      <c r="M93" s="670" t="str">
        <f t="shared" si="1"/>
        <v/>
      </c>
    </row>
    <row r="94" spans="1:13" ht="14.45" customHeight="1" x14ac:dyDescent="0.2">
      <c r="A94" s="675" t="s">
        <v>395</v>
      </c>
      <c r="B94" s="671">
        <v>0</v>
      </c>
      <c r="C94" s="672">
        <v>32.993000000000002</v>
      </c>
      <c r="D94" s="672">
        <v>32.993000000000002</v>
      </c>
      <c r="E94" s="673">
        <v>0</v>
      </c>
      <c r="F94" s="671">
        <v>0</v>
      </c>
      <c r="G94" s="672">
        <v>0</v>
      </c>
      <c r="H94" s="672">
        <v>0</v>
      </c>
      <c r="I94" s="672">
        <v>2.0529999999999999</v>
      </c>
      <c r="J94" s="672">
        <v>2.0529999999999999</v>
      </c>
      <c r="K94" s="674">
        <v>0</v>
      </c>
      <c r="L94" s="254"/>
      <c r="M94" s="670" t="str">
        <f t="shared" si="1"/>
        <v/>
      </c>
    </row>
    <row r="95" spans="1:13" ht="14.45" customHeight="1" x14ac:dyDescent="0.2">
      <c r="A95" s="675" t="s">
        <v>396</v>
      </c>
      <c r="B95" s="671">
        <v>0</v>
      </c>
      <c r="C95" s="672">
        <v>32.993000000000002</v>
      </c>
      <c r="D95" s="672">
        <v>32.993000000000002</v>
      </c>
      <c r="E95" s="673">
        <v>0</v>
      </c>
      <c r="F95" s="671">
        <v>0</v>
      </c>
      <c r="G95" s="672">
        <v>0</v>
      </c>
      <c r="H95" s="672">
        <v>0</v>
      </c>
      <c r="I95" s="672">
        <v>2.0529999999999999</v>
      </c>
      <c r="J95" s="672">
        <v>2.0529999999999999</v>
      </c>
      <c r="K95" s="674">
        <v>0</v>
      </c>
      <c r="L95" s="254"/>
      <c r="M95" s="670" t="str">
        <f t="shared" si="1"/>
        <v>X</v>
      </c>
    </row>
    <row r="96" spans="1:13" ht="14.45" customHeight="1" x14ac:dyDescent="0.2">
      <c r="A96" s="675" t="s">
        <v>397</v>
      </c>
      <c r="B96" s="671">
        <v>0</v>
      </c>
      <c r="C96" s="672">
        <v>32.993000000000002</v>
      </c>
      <c r="D96" s="672">
        <v>32.993000000000002</v>
      </c>
      <c r="E96" s="673">
        <v>0</v>
      </c>
      <c r="F96" s="671">
        <v>0</v>
      </c>
      <c r="G96" s="672">
        <v>0</v>
      </c>
      <c r="H96" s="672">
        <v>0</v>
      </c>
      <c r="I96" s="672">
        <v>2.0529999999999999</v>
      </c>
      <c r="J96" s="672">
        <v>2.0529999999999999</v>
      </c>
      <c r="K96" s="674">
        <v>0</v>
      </c>
      <c r="L96" s="254"/>
      <c r="M96" s="670" t="str">
        <f t="shared" si="1"/>
        <v/>
      </c>
    </row>
    <row r="97" spans="1:13" ht="14.45" customHeight="1" x14ac:dyDescent="0.2">
      <c r="A97" s="675" t="s">
        <v>398</v>
      </c>
      <c r="B97" s="671">
        <v>1878.1847680999999</v>
      </c>
      <c r="C97" s="672">
        <v>2044.4201799999998</v>
      </c>
      <c r="D97" s="672">
        <v>166.23541189999992</v>
      </c>
      <c r="E97" s="673">
        <v>1.0885085507684988</v>
      </c>
      <c r="F97" s="671">
        <v>2151.0063383999995</v>
      </c>
      <c r="G97" s="672">
        <v>1971.7558101999996</v>
      </c>
      <c r="H97" s="672">
        <v>168.67740000000001</v>
      </c>
      <c r="I97" s="672">
        <v>1936.09213</v>
      </c>
      <c r="J97" s="672">
        <v>-35.66368019999959</v>
      </c>
      <c r="K97" s="674">
        <v>0.90008666894033384</v>
      </c>
      <c r="L97" s="254"/>
      <c r="M97" s="670" t="str">
        <f t="shared" si="1"/>
        <v/>
      </c>
    </row>
    <row r="98" spans="1:13" ht="14.45" customHeight="1" x14ac:dyDescent="0.2">
      <c r="A98" s="675" t="s">
        <v>399</v>
      </c>
      <c r="B98" s="671">
        <v>6.6475492999999997</v>
      </c>
      <c r="C98" s="672">
        <v>6.9358500000000003</v>
      </c>
      <c r="D98" s="672">
        <v>0.28830070000000063</v>
      </c>
      <c r="E98" s="673">
        <v>1.0433694715133592</v>
      </c>
      <c r="F98" s="671">
        <v>6.1083612</v>
      </c>
      <c r="G98" s="672">
        <v>5.5993311000000006</v>
      </c>
      <c r="H98" s="672">
        <v>0.52958000000000005</v>
      </c>
      <c r="I98" s="672">
        <v>7.7844199999999999</v>
      </c>
      <c r="J98" s="672">
        <v>2.1850888999999993</v>
      </c>
      <c r="K98" s="674">
        <v>1.2743876377186076</v>
      </c>
      <c r="L98" s="254"/>
      <c r="M98" s="670" t="str">
        <f t="shared" si="1"/>
        <v>X</v>
      </c>
    </row>
    <row r="99" spans="1:13" ht="14.45" customHeight="1" x14ac:dyDescent="0.2">
      <c r="A99" s="675" t="s">
        <v>400</v>
      </c>
      <c r="B99" s="671">
        <v>1.0170170000000001</v>
      </c>
      <c r="C99" s="672">
        <v>0.90049999999999997</v>
      </c>
      <c r="D99" s="672">
        <v>-0.11651700000000009</v>
      </c>
      <c r="E99" s="673">
        <v>0.88543259355546655</v>
      </c>
      <c r="F99" s="671">
        <v>0</v>
      </c>
      <c r="G99" s="672">
        <v>0</v>
      </c>
      <c r="H99" s="672">
        <v>0.06</v>
      </c>
      <c r="I99" s="672">
        <v>1.1571</v>
      </c>
      <c r="J99" s="672">
        <v>1.1571</v>
      </c>
      <c r="K99" s="674">
        <v>0</v>
      </c>
      <c r="L99" s="254"/>
      <c r="M99" s="670" t="str">
        <f t="shared" si="1"/>
        <v/>
      </c>
    </row>
    <row r="100" spans="1:13" ht="14.45" customHeight="1" x14ac:dyDescent="0.2">
      <c r="A100" s="675" t="s">
        <v>401</v>
      </c>
      <c r="B100" s="671">
        <v>5.6305322999999996</v>
      </c>
      <c r="C100" s="672">
        <v>6.0353500000000002</v>
      </c>
      <c r="D100" s="672">
        <v>0.40481770000000061</v>
      </c>
      <c r="E100" s="673">
        <v>1.071896879092586</v>
      </c>
      <c r="F100" s="671">
        <v>6.1083612</v>
      </c>
      <c r="G100" s="672">
        <v>5.5993311000000006</v>
      </c>
      <c r="H100" s="672">
        <v>0.46958</v>
      </c>
      <c r="I100" s="672">
        <v>6.6273200000000001</v>
      </c>
      <c r="J100" s="672">
        <v>1.0279888999999995</v>
      </c>
      <c r="K100" s="674">
        <v>1.0849587611158293</v>
      </c>
      <c r="L100" s="254"/>
      <c r="M100" s="670" t="str">
        <f t="shared" si="1"/>
        <v/>
      </c>
    </row>
    <row r="101" spans="1:13" ht="14.45" customHeight="1" x14ac:dyDescent="0.2">
      <c r="A101" s="675" t="s">
        <v>402</v>
      </c>
      <c r="B101" s="671">
        <v>42.2669937</v>
      </c>
      <c r="C101" s="672">
        <v>44.531999999999996</v>
      </c>
      <c r="D101" s="672">
        <v>2.265006299999996</v>
      </c>
      <c r="E101" s="673">
        <v>1.0535880624980432</v>
      </c>
      <c r="F101" s="671">
        <v>42.3042096</v>
      </c>
      <c r="G101" s="672">
        <v>38.778858800000002</v>
      </c>
      <c r="H101" s="672">
        <v>2.9482900000000001</v>
      </c>
      <c r="I101" s="672">
        <v>51.18506</v>
      </c>
      <c r="J101" s="672">
        <v>12.406201199999998</v>
      </c>
      <c r="K101" s="674">
        <v>1.2099282904460646</v>
      </c>
      <c r="L101" s="254"/>
      <c r="M101" s="670" t="str">
        <f t="shared" si="1"/>
        <v>X</v>
      </c>
    </row>
    <row r="102" spans="1:13" ht="14.45" customHeight="1" x14ac:dyDescent="0.2">
      <c r="A102" s="675" t="s">
        <v>403</v>
      </c>
      <c r="B102" s="671">
        <v>14.04</v>
      </c>
      <c r="C102" s="672">
        <v>14.04</v>
      </c>
      <c r="D102" s="672">
        <v>0</v>
      </c>
      <c r="E102" s="673">
        <v>1</v>
      </c>
      <c r="F102" s="671">
        <v>14.04</v>
      </c>
      <c r="G102" s="672">
        <v>12.87</v>
      </c>
      <c r="H102" s="672">
        <v>0</v>
      </c>
      <c r="I102" s="672">
        <v>14.04</v>
      </c>
      <c r="J102" s="672">
        <v>1.17</v>
      </c>
      <c r="K102" s="674">
        <v>1</v>
      </c>
      <c r="L102" s="254"/>
      <c r="M102" s="670" t="str">
        <f t="shared" si="1"/>
        <v/>
      </c>
    </row>
    <row r="103" spans="1:13" ht="14.45" customHeight="1" x14ac:dyDescent="0.2">
      <c r="A103" s="675" t="s">
        <v>404</v>
      </c>
      <c r="B103" s="671">
        <v>28.226993699999998</v>
      </c>
      <c r="C103" s="672">
        <v>30.492000000000001</v>
      </c>
      <c r="D103" s="672">
        <v>2.2650063000000031</v>
      </c>
      <c r="E103" s="673">
        <v>1.0802425622817922</v>
      </c>
      <c r="F103" s="671">
        <v>28.264209599999997</v>
      </c>
      <c r="G103" s="672">
        <v>25.908858799999997</v>
      </c>
      <c r="H103" s="672">
        <v>2.9482900000000001</v>
      </c>
      <c r="I103" s="672">
        <v>37.145060000000001</v>
      </c>
      <c r="J103" s="672">
        <v>11.236201200000004</v>
      </c>
      <c r="K103" s="674">
        <v>1.314208340713692</v>
      </c>
      <c r="L103" s="254"/>
      <c r="M103" s="670" t="str">
        <f t="shared" si="1"/>
        <v/>
      </c>
    </row>
    <row r="104" spans="1:13" ht="14.45" customHeight="1" x14ac:dyDescent="0.2">
      <c r="A104" s="675" t="s">
        <v>405</v>
      </c>
      <c r="B104" s="671">
        <v>0</v>
      </c>
      <c r="C104" s="672">
        <v>39.990499999999997</v>
      </c>
      <c r="D104" s="672">
        <v>39.990499999999997</v>
      </c>
      <c r="E104" s="673">
        <v>0</v>
      </c>
      <c r="F104" s="671">
        <v>0</v>
      </c>
      <c r="G104" s="672">
        <v>0</v>
      </c>
      <c r="H104" s="672">
        <v>0</v>
      </c>
      <c r="I104" s="672">
        <v>0</v>
      </c>
      <c r="J104" s="672">
        <v>0</v>
      </c>
      <c r="K104" s="674">
        <v>0</v>
      </c>
      <c r="L104" s="254"/>
      <c r="M104" s="670" t="str">
        <f t="shared" si="1"/>
        <v>X</v>
      </c>
    </row>
    <row r="105" spans="1:13" ht="14.45" customHeight="1" x14ac:dyDescent="0.2">
      <c r="A105" s="675" t="s">
        <v>406</v>
      </c>
      <c r="B105" s="671">
        <v>0</v>
      </c>
      <c r="C105" s="672">
        <v>39.990499999999997</v>
      </c>
      <c r="D105" s="672">
        <v>39.990499999999997</v>
      </c>
      <c r="E105" s="673">
        <v>0</v>
      </c>
      <c r="F105" s="671">
        <v>0</v>
      </c>
      <c r="G105" s="672">
        <v>0</v>
      </c>
      <c r="H105" s="672">
        <v>0</v>
      </c>
      <c r="I105" s="672">
        <v>0</v>
      </c>
      <c r="J105" s="672">
        <v>0</v>
      </c>
      <c r="K105" s="674">
        <v>0</v>
      </c>
      <c r="L105" s="254"/>
      <c r="M105" s="670" t="str">
        <f t="shared" si="1"/>
        <v/>
      </c>
    </row>
    <row r="106" spans="1:13" ht="14.45" customHeight="1" x14ac:dyDescent="0.2">
      <c r="A106" s="675" t="s">
        <v>407</v>
      </c>
      <c r="B106" s="671">
        <v>1383.9188104</v>
      </c>
      <c r="C106" s="672">
        <v>1556.3053600000001</v>
      </c>
      <c r="D106" s="672">
        <v>172.38654960000008</v>
      </c>
      <c r="E106" s="673">
        <v>1.1245640627936653</v>
      </c>
      <c r="F106" s="671">
        <v>1631.7748396000002</v>
      </c>
      <c r="G106" s="672">
        <v>1495.7936029666666</v>
      </c>
      <c r="H106" s="672">
        <v>141.50030999999998</v>
      </c>
      <c r="I106" s="672">
        <v>1379.99576</v>
      </c>
      <c r="J106" s="672">
        <v>-115.79784296666662</v>
      </c>
      <c r="K106" s="674">
        <v>0.84570231536250484</v>
      </c>
      <c r="L106" s="254"/>
      <c r="M106" s="670" t="str">
        <f t="shared" si="1"/>
        <v>X</v>
      </c>
    </row>
    <row r="107" spans="1:13" ht="14.45" customHeight="1" x14ac:dyDescent="0.2">
      <c r="A107" s="675" t="s">
        <v>408</v>
      </c>
      <c r="B107" s="671">
        <v>536.86581039999999</v>
      </c>
      <c r="C107" s="672">
        <v>526.80581999999993</v>
      </c>
      <c r="D107" s="672">
        <v>-10.059990400000061</v>
      </c>
      <c r="E107" s="673">
        <v>0.98126162961931829</v>
      </c>
      <c r="F107" s="671">
        <v>611.04083959999991</v>
      </c>
      <c r="G107" s="672">
        <v>560.12076963333323</v>
      </c>
      <c r="H107" s="672">
        <v>46.81194</v>
      </c>
      <c r="I107" s="672">
        <v>437.94556</v>
      </c>
      <c r="J107" s="672">
        <v>-122.17520963333322</v>
      </c>
      <c r="K107" s="674">
        <v>0.71672060461079545</v>
      </c>
      <c r="L107" s="254"/>
      <c r="M107" s="670" t="str">
        <f t="shared" si="1"/>
        <v/>
      </c>
    </row>
    <row r="108" spans="1:13" ht="14.45" customHeight="1" x14ac:dyDescent="0.2">
      <c r="A108" s="675" t="s">
        <v>409</v>
      </c>
      <c r="B108" s="671">
        <v>0</v>
      </c>
      <c r="C108" s="672">
        <v>0</v>
      </c>
      <c r="D108" s="672">
        <v>0</v>
      </c>
      <c r="E108" s="673">
        <v>0</v>
      </c>
      <c r="F108" s="671">
        <v>0</v>
      </c>
      <c r="G108" s="672">
        <v>0</v>
      </c>
      <c r="H108" s="672">
        <v>0</v>
      </c>
      <c r="I108" s="672">
        <v>9.1035199999999996</v>
      </c>
      <c r="J108" s="672">
        <v>9.1035199999999996</v>
      </c>
      <c r="K108" s="674">
        <v>0</v>
      </c>
      <c r="L108" s="254"/>
      <c r="M108" s="670" t="str">
        <f t="shared" si="1"/>
        <v/>
      </c>
    </row>
    <row r="109" spans="1:13" ht="14.45" customHeight="1" x14ac:dyDescent="0.2">
      <c r="A109" s="675" t="s">
        <v>410</v>
      </c>
      <c r="B109" s="671">
        <v>847.053</v>
      </c>
      <c r="C109" s="672">
        <v>1029.49954</v>
      </c>
      <c r="D109" s="672">
        <v>182.44654000000003</v>
      </c>
      <c r="E109" s="673">
        <v>1.2153897571934695</v>
      </c>
      <c r="F109" s="671">
        <v>1020.734</v>
      </c>
      <c r="G109" s="672">
        <v>935.6728333333333</v>
      </c>
      <c r="H109" s="672">
        <v>94.688369999999992</v>
      </c>
      <c r="I109" s="672">
        <v>932.94668000000001</v>
      </c>
      <c r="J109" s="672">
        <v>-2.7261533333332864</v>
      </c>
      <c r="K109" s="674">
        <v>0.91399588923265018</v>
      </c>
      <c r="L109" s="254"/>
      <c r="M109" s="670" t="str">
        <f t="shared" si="1"/>
        <v/>
      </c>
    </row>
    <row r="110" spans="1:13" ht="14.45" customHeight="1" x14ac:dyDescent="0.2">
      <c r="A110" s="675" t="s">
        <v>411</v>
      </c>
      <c r="B110" s="671">
        <v>445.35141470000002</v>
      </c>
      <c r="C110" s="672">
        <v>396.65646999999996</v>
      </c>
      <c r="D110" s="672">
        <v>-48.694944700000065</v>
      </c>
      <c r="E110" s="673">
        <v>0.89065950372516001</v>
      </c>
      <c r="F110" s="671">
        <v>470.81892800000003</v>
      </c>
      <c r="G110" s="672">
        <v>431.58401733333341</v>
      </c>
      <c r="H110" s="672">
        <v>23.69922</v>
      </c>
      <c r="I110" s="672">
        <v>497.12689</v>
      </c>
      <c r="J110" s="672">
        <v>65.542872666666597</v>
      </c>
      <c r="K110" s="674">
        <v>1.0558770271020199</v>
      </c>
      <c r="L110" s="254"/>
      <c r="M110" s="670" t="str">
        <f t="shared" si="1"/>
        <v>X</v>
      </c>
    </row>
    <row r="111" spans="1:13" ht="14.45" customHeight="1" x14ac:dyDescent="0.2">
      <c r="A111" s="675" t="s">
        <v>412</v>
      </c>
      <c r="B111" s="671">
        <v>14.015635399999999</v>
      </c>
      <c r="C111" s="672">
        <v>1.1000000000000001</v>
      </c>
      <c r="D111" s="672">
        <v>-12.915635399999999</v>
      </c>
      <c r="E111" s="673">
        <v>7.8483776768336899E-2</v>
      </c>
      <c r="F111" s="671">
        <v>15.210427900000001</v>
      </c>
      <c r="G111" s="672">
        <v>13.942892241666668</v>
      </c>
      <c r="H111" s="672">
        <v>0</v>
      </c>
      <c r="I111" s="672">
        <v>15.026999999999999</v>
      </c>
      <c r="J111" s="672">
        <v>1.0841077583333316</v>
      </c>
      <c r="K111" s="674">
        <v>0.98794064827065109</v>
      </c>
      <c r="L111" s="254"/>
      <c r="M111" s="670" t="str">
        <f t="shared" si="1"/>
        <v/>
      </c>
    </row>
    <row r="112" spans="1:13" ht="14.45" customHeight="1" x14ac:dyDescent="0.2">
      <c r="A112" s="675" t="s">
        <v>413</v>
      </c>
      <c r="B112" s="671">
        <v>340</v>
      </c>
      <c r="C112" s="672">
        <v>212.22354999999999</v>
      </c>
      <c r="D112" s="672">
        <v>-127.77645000000001</v>
      </c>
      <c r="E112" s="673">
        <v>0.62418691176470587</v>
      </c>
      <c r="F112" s="671">
        <v>386.0820827</v>
      </c>
      <c r="G112" s="672">
        <v>353.90857580833335</v>
      </c>
      <c r="H112" s="672">
        <v>9.0714199999999998</v>
      </c>
      <c r="I112" s="672">
        <v>311.51352000000003</v>
      </c>
      <c r="J112" s="672">
        <v>-42.395055808333325</v>
      </c>
      <c r="K112" s="674">
        <v>0.80685826656726134</v>
      </c>
      <c r="L112" s="254"/>
      <c r="M112" s="670" t="str">
        <f t="shared" si="1"/>
        <v/>
      </c>
    </row>
    <row r="113" spans="1:13" ht="14.45" customHeight="1" x14ac:dyDescent="0.2">
      <c r="A113" s="675" t="s">
        <v>414</v>
      </c>
      <c r="B113" s="671">
        <v>1</v>
      </c>
      <c r="C113" s="672">
        <v>4.5599999999999996</v>
      </c>
      <c r="D113" s="672">
        <v>3.5599999999999996</v>
      </c>
      <c r="E113" s="673">
        <v>4.5599999999999996</v>
      </c>
      <c r="F113" s="671">
        <v>1</v>
      </c>
      <c r="G113" s="672">
        <v>0.91666666666666663</v>
      </c>
      <c r="H113" s="672">
        <v>0</v>
      </c>
      <c r="I113" s="672">
        <v>0</v>
      </c>
      <c r="J113" s="672">
        <v>-0.91666666666666663</v>
      </c>
      <c r="K113" s="674">
        <v>0</v>
      </c>
      <c r="L113" s="254"/>
      <c r="M113" s="670" t="str">
        <f t="shared" si="1"/>
        <v/>
      </c>
    </row>
    <row r="114" spans="1:13" ht="14.45" customHeight="1" x14ac:dyDescent="0.2">
      <c r="A114" s="675" t="s">
        <v>415</v>
      </c>
      <c r="B114" s="671">
        <v>0.3357793</v>
      </c>
      <c r="C114" s="672">
        <v>0</v>
      </c>
      <c r="D114" s="672">
        <v>-0.3357793</v>
      </c>
      <c r="E114" s="673">
        <v>0</v>
      </c>
      <c r="F114" s="671">
        <v>0.35691219999999996</v>
      </c>
      <c r="G114" s="672">
        <v>0.3271695166666666</v>
      </c>
      <c r="H114" s="672">
        <v>0</v>
      </c>
      <c r="I114" s="672">
        <v>0.34699999999999998</v>
      </c>
      <c r="J114" s="672">
        <v>1.9830483333333371E-2</v>
      </c>
      <c r="K114" s="674">
        <v>0.97222790366930578</v>
      </c>
      <c r="L114" s="254"/>
      <c r="M114" s="670" t="str">
        <f t="shared" si="1"/>
        <v/>
      </c>
    </row>
    <row r="115" spans="1:13" ht="14.45" customHeight="1" x14ac:dyDescent="0.2">
      <c r="A115" s="675" t="s">
        <v>416</v>
      </c>
      <c r="B115" s="671">
        <v>0</v>
      </c>
      <c r="C115" s="672">
        <v>101.75984</v>
      </c>
      <c r="D115" s="672">
        <v>101.75984</v>
      </c>
      <c r="E115" s="673">
        <v>0</v>
      </c>
      <c r="F115" s="671">
        <v>68.169505200000003</v>
      </c>
      <c r="G115" s="672">
        <v>62.488713100000005</v>
      </c>
      <c r="H115" s="672">
        <v>14.627799999999999</v>
      </c>
      <c r="I115" s="672">
        <v>93.976740000000007</v>
      </c>
      <c r="J115" s="672">
        <v>31.488026900000001</v>
      </c>
      <c r="K115" s="674">
        <v>1.3785744773162885</v>
      </c>
      <c r="L115" s="254"/>
      <c r="M115" s="670" t="str">
        <f t="shared" si="1"/>
        <v/>
      </c>
    </row>
    <row r="116" spans="1:13" ht="14.45" customHeight="1" x14ac:dyDescent="0.2">
      <c r="A116" s="675" t="s">
        <v>417</v>
      </c>
      <c r="B116" s="671">
        <v>30</v>
      </c>
      <c r="C116" s="672">
        <v>0</v>
      </c>
      <c r="D116" s="672">
        <v>-30</v>
      </c>
      <c r="E116" s="673">
        <v>0</v>
      </c>
      <c r="F116" s="671">
        <v>0</v>
      </c>
      <c r="G116" s="672">
        <v>0</v>
      </c>
      <c r="H116" s="672">
        <v>0</v>
      </c>
      <c r="I116" s="672">
        <v>0</v>
      </c>
      <c r="J116" s="672">
        <v>0</v>
      </c>
      <c r="K116" s="674">
        <v>0</v>
      </c>
      <c r="L116" s="254"/>
      <c r="M116" s="670" t="str">
        <f t="shared" si="1"/>
        <v/>
      </c>
    </row>
    <row r="117" spans="1:13" ht="14.45" customHeight="1" x14ac:dyDescent="0.2">
      <c r="A117" s="675" t="s">
        <v>418</v>
      </c>
      <c r="B117" s="671">
        <v>60</v>
      </c>
      <c r="C117" s="672">
        <v>77.013080000000002</v>
      </c>
      <c r="D117" s="672">
        <v>17.013080000000002</v>
      </c>
      <c r="E117" s="673">
        <v>1.2835513333333333</v>
      </c>
      <c r="F117" s="671">
        <v>0</v>
      </c>
      <c r="G117" s="672">
        <v>0</v>
      </c>
      <c r="H117" s="672">
        <v>0</v>
      </c>
      <c r="I117" s="672">
        <v>76.262630000000001</v>
      </c>
      <c r="J117" s="672">
        <v>76.262630000000001</v>
      </c>
      <c r="K117" s="674">
        <v>0</v>
      </c>
      <c r="L117" s="254"/>
      <c r="M117" s="670" t="str">
        <f t="shared" si="1"/>
        <v/>
      </c>
    </row>
    <row r="118" spans="1:13" ht="14.45" customHeight="1" x14ac:dyDescent="0.2">
      <c r="A118" s="675" t="s">
        <v>419</v>
      </c>
      <c r="B118" s="671">
        <v>66568.934645000001</v>
      </c>
      <c r="C118" s="672">
        <v>69713.129760000011</v>
      </c>
      <c r="D118" s="672">
        <v>3144.1951150000095</v>
      </c>
      <c r="E118" s="673">
        <v>1.0472321681542214</v>
      </c>
      <c r="F118" s="671">
        <v>71824.118594600004</v>
      </c>
      <c r="G118" s="672">
        <v>65838.775378383347</v>
      </c>
      <c r="H118" s="672">
        <v>6766.7316500000006</v>
      </c>
      <c r="I118" s="672">
        <v>72537.900869999998</v>
      </c>
      <c r="J118" s="672">
        <v>6699.1254916166508</v>
      </c>
      <c r="K118" s="674">
        <v>1.009937919035649</v>
      </c>
      <c r="L118" s="254"/>
      <c r="M118" s="670" t="str">
        <f t="shared" si="1"/>
        <v/>
      </c>
    </row>
    <row r="119" spans="1:13" ht="14.45" customHeight="1" x14ac:dyDescent="0.2">
      <c r="A119" s="675" t="s">
        <v>420</v>
      </c>
      <c r="B119" s="671">
        <v>48868.170204999995</v>
      </c>
      <c r="C119" s="672">
        <v>51513.813999999998</v>
      </c>
      <c r="D119" s="672">
        <v>2645.6437950000036</v>
      </c>
      <c r="E119" s="673">
        <v>1.0541383846356767</v>
      </c>
      <c r="F119" s="671">
        <v>52958.664512800002</v>
      </c>
      <c r="G119" s="672">
        <v>48545.442470066664</v>
      </c>
      <c r="H119" s="672">
        <v>5028.1040000000003</v>
      </c>
      <c r="I119" s="672">
        <v>53598.194000000003</v>
      </c>
      <c r="J119" s="672">
        <v>5052.751529933339</v>
      </c>
      <c r="K119" s="674">
        <v>1.0120760123595154</v>
      </c>
      <c r="L119" s="254"/>
      <c r="M119" s="670" t="str">
        <f t="shared" si="1"/>
        <v/>
      </c>
    </row>
    <row r="120" spans="1:13" ht="14.45" customHeight="1" x14ac:dyDescent="0.2">
      <c r="A120" s="675" t="s">
        <v>421</v>
      </c>
      <c r="B120" s="671">
        <v>48679.106684500002</v>
      </c>
      <c r="C120" s="672">
        <v>46913.830999999998</v>
      </c>
      <c r="D120" s="672">
        <v>-1765.275684500004</v>
      </c>
      <c r="E120" s="673">
        <v>0.96373648152705138</v>
      </c>
      <c r="F120" s="671">
        <v>52512.732990299999</v>
      </c>
      <c r="G120" s="672">
        <v>48136.671907774995</v>
      </c>
      <c r="H120" s="672">
        <v>4928.9530000000004</v>
      </c>
      <c r="I120" s="672">
        <v>48314.533000000003</v>
      </c>
      <c r="J120" s="672">
        <v>177.86109222500818</v>
      </c>
      <c r="K120" s="674">
        <v>0.92005367553283746</v>
      </c>
      <c r="L120" s="254"/>
      <c r="M120" s="670" t="str">
        <f t="shared" si="1"/>
        <v>X</v>
      </c>
    </row>
    <row r="121" spans="1:13" ht="14.45" customHeight="1" x14ac:dyDescent="0.2">
      <c r="A121" s="675" t="s">
        <v>422</v>
      </c>
      <c r="B121" s="671">
        <v>48679.106684500002</v>
      </c>
      <c r="C121" s="672">
        <v>46913.830999999998</v>
      </c>
      <c r="D121" s="672">
        <v>-1765.275684500004</v>
      </c>
      <c r="E121" s="673">
        <v>0.96373648152705138</v>
      </c>
      <c r="F121" s="671">
        <v>52512.732990299999</v>
      </c>
      <c r="G121" s="672">
        <v>48136.671907774995</v>
      </c>
      <c r="H121" s="672">
        <v>4928.9530000000004</v>
      </c>
      <c r="I121" s="672">
        <v>48314.533000000003</v>
      </c>
      <c r="J121" s="672">
        <v>177.86109222500818</v>
      </c>
      <c r="K121" s="674">
        <v>0.92005367553283746</v>
      </c>
      <c r="L121" s="254"/>
      <c r="M121" s="670" t="str">
        <f t="shared" si="1"/>
        <v/>
      </c>
    </row>
    <row r="122" spans="1:13" ht="14.45" customHeight="1" x14ac:dyDescent="0.2">
      <c r="A122" s="675" t="s">
        <v>423</v>
      </c>
      <c r="B122" s="671">
        <v>0</v>
      </c>
      <c r="C122" s="672">
        <v>213.869</v>
      </c>
      <c r="D122" s="672">
        <v>213.869</v>
      </c>
      <c r="E122" s="673">
        <v>0</v>
      </c>
      <c r="F122" s="671">
        <v>0</v>
      </c>
      <c r="G122" s="672">
        <v>0</v>
      </c>
      <c r="H122" s="672">
        <v>15.2</v>
      </c>
      <c r="I122" s="672">
        <v>310.255</v>
      </c>
      <c r="J122" s="672">
        <v>310.255</v>
      </c>
      <c r="K122" s="674">
        <v>0</v>
      </c>
      <c r="L122" s="254"/>
      <c r="M122" s="670" t="str">
        <f t="shared" si="1"/>
        <v>X</v>
      </c>
    </row>
    <row r="123" spans="1:13" ht="14.45" customHeight="1" x14ac:dyDescent="0.2">
      <c r="A123" s="675" t="s">
        <v>424</v>
      </c>
      <c r="B123" s="671">
        <v>0</v>
      </c>
      <c r="C123" s="672">
        <v>213.869</v>
      </c>
      <c r="D123" s="672">
        <v>213.869</v>
      </c>
      <c r="E123" s="673">
        <v>0</v>
      </c>
      <c r="F123" s="671">
        <v>0</v>
      </c>
      <c r="G123" s="672">
        <v>0</v>
      </c>
      <c r="H123" s="672">
        <v>15.2</v>
      </c>
      <c r="I123" s="672">
        <v>310.255</v>
      </c>
      <c r="J123" s="672">
        <v>310.255</v>
      </c>
      <c r="K123" s="674">
        <v>0</v>
      </c>
      <c r="L123" s="254"/>
      <c r="M123" s="670" t="str">
        <f t="shared" si="1"/>
        <v/>
      </c>
    </row>
    <row r="124" spans="1:13" ht="14.45" customHeight="1" x14ac:dyDescent="0.2">
      <c r="A124" s="675" t="s">
        <v>425</v>
      </c>
      <c r="B124" s="671">
        <v>123.9093213</v>
      </c>
      <c r="C124" s="672">
        <v>340.06799999999998</v>
      </c>
      <c r="D124" s="672">
        <v>216.1586787</v>
      </c>
      <c r="E124" s="673">
        <v>2.7444908618025008</v>
      </c>
      <c r="F124" s="671">
        <v>445.93152250000003</v>
      </c>
      <c r="G124" s="672">
        <v>408.77056229166669</v>
      </c>
      <c r="H124" s="672">
        <v>78.516000000000005</v>
      </c>
      <c r="I124" s="672">
        <v>338.51100000000002</v>
      </c>
      <c r="J124" s="672">
        <v>-70.259562291666668</v>
      </c>
      <c r="K124" s="674">
        <v>0.7591098249843955</v>
      </c>
      <c r="L124" s="254"/>
      <c r="M124" s="670" t="str">
        <f t="shared" si="1"/>
        <v>X</v>
      </c>
    </row>
    <row r="125" spans="1:13" ht="14.45" customHeight="1" x14ac:dyDescent="0.2">
      <c r="A125" s="675" t="s">
        <v>426</v>
      </c>
      <c r="B125" s="671">
        <v>123.9093213</v>
      </c>
      <c r="C125" s="672">
        <v>340.06799999999998</v>
      </c>
      <c r="D125" s="672">
        <v>216.1586787</v>
      </c>
      <c r="E125" s="673">
        <v>2.7444908618025008</v>
      </c>
      <c r="F125" s="671">
        <v>445.93152250000003</v>
      </c>
      <c r="G125" s="672">
        <v>408.77056229166669</v>
      </c>
      <c r="H125" s="672">
        <v>78.516000000000005</v>
      </c>
      <c r="I125" s="672">
        <v>338.51100000000002</v>
      </c>
      <c r="J125" s="672">
        <v>-70.259562291666668</v>
      </c>
      <c r="K125" s="674">
        <v>0.7591098249843955</v>
      </c>
      <c r="L125" s="254"/>
      <c r="M125" s="670" t="str">
        <f t="shared" si="1"/>
        <v/>
      </c>
    </row>
    <row r="126" spans="1:13" ht="14.45" customHeight="1" x14ac:dyDescent="0.2">
      <c r="A126" s="675" t="s">
        <v>427</v>
      </c>
      <c r="B126" s="671">
        <v>65.154199200000008</v>
      </c>
      <c r="C126" s="672">
        <v>25.75</v>
      </c>
      <c r="D126" s="672">
        <v>-39.404199200000008</v>
      </c>
      <c r="E126" s="673">
        <v>0.39521627640540469</v>
      </c>
      <c r="F126" s="671">
        <v>0</v>
      </c>
      <c r="G126" s="672">
        <v>0</v>
      </c>
      <c r="H126" s="672">
        <v>0</v>
      </c>
      <c r="I126" s="672">
        <v>28.75</v>
      </c>
      <c r="J126" s="672">
        <v>28.75</v>
      </c>
      <c r="K126" s="674">
        <v>0</v>
      </c>
      <c r="L126" s="254"/>
      <c r="M126" s="670" t="str">
        <f t="shared" si="1"/>
        <v>X</v>
      </c>
    </row>
    <row r="127" spans="1:13" ht="14.45" customHeight="1" x14ac:dyDescent="0.2">
      <c r="A127" s="675" t="s">
        <v>428</v>
      </c>
      <c r="B127" s="671">
        <v>65.154199200000008</v>
      </c>
      <c r="C127" s="672">
        <v>25.75</v>
      </c>
      <c r="D127" s="672">
        <v>-39.404199200000008</v>
      </c>
      <c r="E127" s="673">
        <v>0.39521627640540469</v>
      </c>
      <c r="F127" s="671">
        <v>0</v>
      </c>
      <c r="G127" s="672">
        <v>0</v>
      </c>
      <c r="H127" s="672">
        <v>0</v>
      </c>
      <c r="I127" s="672">
        <v>28.75</v>
      </c>
      <c r="J127" s="672">
        <v>28.75</v>
      </c>
      <c r="K127" s="674">
        <v>0</v>
      </c>
      <c r="L127" s="254"/>
      <c r="M127" s="670" t="str">
        <f t="shared" si="1"/>
        <v/>
      </c>
    </row>
    <row r="128" spans="1:13" ht="14.45" customHeight="1" x14ac:dyDescent="0.2">
      <c r="A128" s="675" t="s">
        <v>429</v>
      </c>
      <c r="B128" s="671">
        <v>0</v>
      </c>
      <c r="C128" s="672">
        <v>4020.2959999999998</v>
      </c>
      <c r="D128" s="672">
        <v>4020.2959999999998</v>
      </c>
      <c r="E128" s="673">
        <v>0</v>
      </c>
      <c r="F128" s="671">
        <v>0</v>
      </c>
      <c r="G128" s="672">
        <v>0</v>
      </c>
      <c r="H128" s="672">
        <v>5.4349999999999996</v>
      </c>
      <c r="I128" s="672">
        <v>4606.1450000000004</v>
      </c>
      <c r="J128" s="672">
        <v>4606.1450000000004</v>
      </c>
      <c r="K128" s="674">
        <v>0</v>
      </c>
      <c r="L128" s="254"/>
      <c r="M128" s="670" t="str">
        <f t="shared" si="1"/>
        <v>X</v>
      </c>
    </row>
    <row r="129" spans="1:13" ht="14.45" customHeight="1" x14ac:dyDescent="0.2">
      <c r="A129" s="675" t="s">
        <v>430</v>
      </c>
      <c r="B129" s="671">
        <v>0</v>
      </c>
      <c r="C129" s="672">
        <v>4020.2959999999998</v>
      </c>
      <c r="D129" s="672">
        <v>4020.2959999999998</v>
      </c>
      <c r="E129" s="673">
        <v>0</v>
      </c>
      <c r="F129" s="671">
        <v>0</v>
      </c>
      <c r="G129" s="672">
        <v>0</v>
      </c>
      <c r="H129" s="672">
        <v>5.4349999999999996</v>
      </c>
      <c r="I129" s="672">
        <v>4606.1450000000004</v>
      </c>
      <c r="J129" s="672">
        <v>4606.1450000000004</v>
      </c>
      <c r="K129" s="674">
        <v>0</v>
      </c>
      <c r="L129" s="254"/>
      <c r="M129" s="670" t="str">
        <f t="shared" si="1"/>
        <v/>
      </c>
    </row>
    <row r="130" spans="1:13" ht="14.45" customHeight="1" x14ac:dyDescent="0.2">
      <c r="A130" s="675" t="s">
        <v>431</v>
      </c>
      <c r="B130" s="671">
        <v>16504.818407700001</v>
      </c>
      <c r="C130" s="672">
        <v>17254.177309999999</v>
      </c>
      <c r="D130" s="672">
        <v>749.35890229999859</v>
      </c>
      <c r="E130" s="673">
        <v>1.0454024324163664</v>
      </c>
      <c r="F130" s="671">
        <v>17791.695962000002</v>
      </c>
      <c r="G130" s="672">
        <v>16309.054631833336</v>
      </c>
      <c r="H130" s="672">
        <v>1638.46495</v>
      </c>
      <c r="I130" s="672">
        <v>17966.552729999999</v>
      </c>
      <c r="J130" s="672">
        <v>1657.4980981666631</v>
      </c>
      <c r="K130" s="674">
        <v>1.0098279988806835</v>
      </c>
      <c r="L130" s="254"/>
      <c r="M130" s="670" t="str">
        <f t="shared" si="1"/>
        <v/>
      </c>
    </row>
    <row r="131" spans="1:13" ht="14.45" customHeight="1" x14ac:dyDescent="0.2">
      <c r="A131" s="675" t="s">
        <v>432</v>
      </c>
      <c r="B131" s="671">
        <v>4398.1353184</v>
      </c>
      <c r="C131" s="672">
        <v>4244.2192699999996</v>
      </c>
      <c r="D131" s="672">
        <v>-153.91604840000036</v>
      </c>
      <c r="E131" s="673">
        <v>0.96500424901524096</v>
      </c>
      <c r="F131" s="671">
        <v>4758.3115333000005</v>
      </c>
      <c r="G131" s="672">
        <v>4361.7855721916676</v>
      </c>
      <c r="H131" s="672">
        <v>444.97480000000002</v>
      </c>
      <c r="I131" s="672">
        <v>4378.6302400000004</v>
      </c>
      <c r="J131" s="672">
        <v>16.844667808332815</v>
      </c>
      <c r="K131" s="674">
        <v>0.92020671815141064</v>
      </c>
      <c r="L131" s="254"/>
      <c r="M131" s="670" t="str">
        <f t="shared" si="1"/>
        <v>X</v>
      </c>
    </row>
    <row r="132" spans="1:13" ht="14.45" customHeight="1" x14ac:dyDescent="0.2">
      <c r="A132" s="675" t="s">
        <v>433</v>
      </c>
      <c r="B132" s="671">
        <v>4398.1353184</v>
      </c>
      <c r="C132" s="672">
        <v>4244.2192699999996</v>
      </c>
      <c r="D132" s="672">
        <v>-153.91604840000036</v>
      </c>
      <c r="E132" s="673">
        <v>0.96500424901524096</v>
      </c>
      <c r="F132" s="671">
        <v>4758.3115333000005</v>
      </c>
      <c r="G132" s="672">
        <v>4361.7855721916676</v>
      </c>
      <c r="H132" s="672">
        <v>444.97480000000002</v>
      </c>
      <c r="I132" s="672">
        <v>4378.6302400000004</v>
      </c>
      <c r="J132" s="672">
        <v>16.844667808332815</v>
      </c>
      <c r="K132" s="674">
        <v>0.92020671815141064</v>
      </c>
      <c r="L132" s="254"/>
      <c r="M132" s="670" t="str">
        <f t="shared" si="1"/>
        <v/>
      </c>
    </row>
    <row r="133" spans="1:13" ht="14.45" customHeight="1" x14ac:dyDescent="0.2">
      <c r="A133" s="675" t="s">
        <v>434</v>
      </c>
      <c r="B133" s="671">
        <v>12106.683089299999</v>
      </c>
      <c r="C133" s="672">
        <v>11651.098400000001</v>
      </c>
      <c r="D133" s="672">
        <v>-455.58468929999799</v>
      </c>
      <c r="E133" s="673">
        <v>0.96236915710607407</v>
      </c>
      <c r="F133" s="671">
        <v>13033.384428699999</v>
      </c>
      <c r="G133" s="672">
        <v>11947.269059641665</v>
      </c>
      <c r="H133" s="672">
        <v>1191.6531499999999</v>
      </c>
      <c r="I133" s="672">
        <v>12031.044980000001</v>
      </c>
      <c r="J133" s="672">
        <v>83.775920358335497</v>
      </c>
      <c r="K133" s="674">
        <v>0.92309446144373597</v>
      </c>
      <c r="L133" s="254"/>
      <c r="M133" s="670" t="str">
        <f t="shared" si="1"/>
        <v>X</v>
      </c>
    </row>
    <row r="134" spans="1:13" ht="14.45" customHeight="1" x14ac:dyDescent="0.2">
      <c r="A134" s="675" t="s">
        <v>435</v>
      </c>
      <c r="B134" s="671">
        <v>12106.683089299999</v>
      </c>
      <c r="C134" s="672">
        <v>11651.098400000001</v>
      </c>
      <c r="D134" s="672">
        <v>-455.58468929999799</v>
      </c>
      <c r="E134" s="673">
        <v>0.96236915710607407</v>
      </c>
      <c r="F134" s="671">
        <v>13033.384428699999</v>
      </c>
      <c r="G134" s="672">
        <v>11947.269059641665</v>
      </c>
      <c r="H134" s="672">
        <v>1191.6531499999999</v>
      </c>
      <c r="I134" s="672">
        <v>12031.044980000001</v>
      </c>
      <c r="J134" s="672">
        <v>83.775920358335497</v>
      </c>
      <c r="K134" s="674">
        <v>0.92309446144373597</v>
      </c>
      <c r="L134" s="254"/>
      <c r="M134" s="670" t="str">
        <f t="shared" ref="M134:M197" si="2">IF(A134="HV","HV",IF(OR(LEFT(A134,16)="               5",LEFT(A134,16)="               6",LEFT(A134,16)="               7",LEFT(A134,16)="               8"),"X",""))</f>
        <v/>
      </c>
    </row>
    <row r="135" spans="1:13" ht="14.45" customHeight="1" x14ac:dyDescent="0.2">
      <c r="A135" s="675" t="s">
        <v>436</v>
      </c>
      <c r="B135" s="671">
        <v>0</v>
      </c>
      <c r="C135" s="672">
        <v>361.82628000000005</v>
      </c>
      <c r="D135" s="672">
        <v>361.82628000000005</v>
      </c>
      <c r="E135" s="673">
        <v>0</v>
      </c>
      <c r="F135" s="671">
        <v>0</v>
      </c>
      <c r="G135" s="672">
        <v>0</v>
      </c>
      <c r="H135" s="672">
        <v>0.48912</v>
      </c>
      <c r="I135" s="672">
        <v>414.55353000000002</v>
      </c>
      <c r="J135" s="672">
        <v>414.55353000000002</v>
      </c>
      <c r="K135" s="674">
        <v>0</v>
      </c>
      <c r="L135" s="254"/>
      <c r="M135" s="670" t="str">
        <f t="shared" si="2"/>
        <v>X</v>
      </c>
    </row>
    <row r="136" spans="1:13" ht="14.45" customHeight="1" x14ac:dyDescent="0.2">
      <c r="A136" s="675" t="s">
        <v>437</v>
      </c>
      <c r="B136" s="671">
        <v>0</v>
      </c>
      <c r="C136" s="672">
        <v>361.82628000000005</v>
      </c>
      <c r="D136" s="672">
        <v>361.82628000000005</v>
      </c>
      <c r="E136" s="673">
        <v>0</v>
      </c>
      <c r="F136" s="671">
        <v>0</v>
      </c>
      <c r="G136" s="672">
        <v>0</v>
      </c>
      <c r="H136" s="672">
        <v>0.48912</v>
      </c>
      <c r="I136" s="672">
        <v>414.55353000000002</v>
      </c>
      <c r="J136" s="672">
        <v>414.55353000000002</v>
      </c>
      <c r="K136" s="674">
        <v>0</v>
      </c>
      <c r="L136" s="254"/>
      <c r="M136" s="670" t="str">
        <f t="shared" si="2"/>
        <v/>
      </c>
    </row>
    <row r="137" spans="1:13" ht="14.45" customHeight="1" x14ac:dyDescent="0.2">
      <c r="A137" s="675" t="s">
        <v>438</v>
      </c>
      <c r="B137" s="671">
        <v>0</v>
      </c>
      <c r="C137" s="672">
        <v>997.03336000000002</v>
      </c>
      <c r="D137" s="672">
        <v>997.03336000000002</v>
      </c>
      <c r="E137" s="673">
        <v>0</v>
      </c>
      <c r="F137" s="671">
        <v>0</v>
      </c>
      <c r="G137" s="672">
        <v>0</v>
      </c>
      <c r="H137" s="672">
        <v>1.3478800000000002</v>
      </c>
      <c r="I137" s="672">
        <v>1142.3239799999999</v>
      </c>
      <c r="J137" s="672">
        <v>1142.3239799999999</v>
      </c>
      <c r="K137" s="674">
        <v>0</v>
      </c>
      <c r="L137" s="254"/>
      <c r="M137" s="670" t="str">
        <f t="shared" si="2"/>
        <v>X</v>
      </c>
    </row>
    <row r="138" spans="1:13" ht="14.45" customHeight="1" x14ac:dyDescent="0.2">
      <c r="A138" s="675" t="s">
        <v>439</v>
      </c>
      <c r="B138" s="671">
        <v>0</v>
      </c>
      <c r="C138" s="672">
        <v>997.03336000000002</v>
      </c>
      <c r="D138" s="672">
        <v>997.03336000000002</v>
      </c>
      <c r="E138" s="673">
        <v>0</v>
      </c>
      <c r="F138" s="671">
        <v>0</v>
      </c>
      <c r="G138" s="672">
        <v>0</v>
      </c>
      <c r="H138" s="672">
        <v>1.3478800000000002</v>
      </c>
      <c r="I138" s="672">
        <v>1142.3239799999999</v>
      </c>
      <c r="J138" s="672">
        <v>1142.3239799999999</v>
      </c>
      <c r="K138" s="674">
        <v>0</v>
      </c>
      <c r="L138" s="254"/>
      <c r="M138" s="670" t="str">
        <f t="shared" si="2"/>
        <v/>
      </c>
    </row>
    <row r="139" spans="1:13" ht="14.45" customHeight="1" x14ac:dyDescent="0.2">
      <c r="A139" s="675" t="s">
        <v>440</v>
      </c>
      <c r="B139" s="671">
        <v>218.58262870000001</v>
      </c>
      <c r="C139" s="672">
        <v>0</v>
      </c>
      <c r="D139" s="672">
        <v>-218.58262870000001</v>
      </c>
      <c r="E139" s="673">
        <v>0</v>
      </c>
      <c r="F139" s="671">
        <v>0</v>
      </c>
      <c r="G139" s="672">
        <v>0</v>
      </c>
      <c r="H139" s="672">
        <v>0</v>
      </c>
      <c r="I139" s="672">
        <v>0</v>
      </c>
      <c r="J139" s="672">
        <v>0</v>
      </c>
      <c r="K139" s="674">
        <v>0</v>
      </c>
      <c r="L139" s="254"/>
      <c r="M139" s="670" t="str">
        <f t="shared" si="2"/>
        <v/>
      </c>
    </row>
    <row r="140" spans="1:13" ht="14.45" customHeight="1" x14ac:dyDescent="0.2">
      <c r="A140" s="675" t="s">
        <v>441</v>
      </c>
      <c r="B140" s="671">
        <v>218.58262870000001</v>
      </c>
      <c r="C140" s="672">
        <v>0</v>
      </c>
      <c r="D140" s="672">
        <v>-218.58262870000001</v>
      </c>
      <c r="E140" s="673">
        <v>0</v>
      </c>
      <c r="F140" s="671">
        <v>0</v>
      </c>
      <c r="G140" s="672">
        <v>0</v>
      </c>
      <c r="H140" s="672">
        <v>0</v>
      </c>
      <c r="I140" s="672">
        <v>0</v>
      </c>
      <c r="J140" s="672">
        <v>0</v>
      </c>
      <c r="K140" s="674">
        <v>0</v>
      </c>
      <c r="L140" s="254"/>
      <c r="M140" s="670" t="str">
        <f t="shared" si="2"/>
        <v>X</v>
      </c>
    </row>
    <row r="141" spans="1:13" ht="14.45" customHeight="1" x14ac:dyDescent="0.2">
      <c r="A141" s="675" t="s">
        <v>442</v>
      </c>
      <c r="B141" s="671">
        <v>218.58262870000001</v>
      </c>
      <c r="C141" s="672">
        <v>0</v>
      </c>
      <c r="D141" s="672">
        <v>-218.58262870000001</v>
      </c>
      <c r="E141" s="673">
        <v>0</v>
      </c>
      <c r="F141" s="671">
        <v>0</v>
      </c>
      <c r="G141" s="672">
        <v>0</v>
      </c>
      <c r="H141" s="672">
        <v>0</v>
      </c>
      <c r="I141" s="672">
        <v>0</v>
      </c>
      <c r="J141" s="672">
        <v>0</v>
      </c>
      <c r="K141" s="674">
        <v>0</v>
      </c>
      <c r="L141" s="254"/>
      <c r="M141" s="670" t="str">
        <f t="shared" si="2"/>
        <v/>
      </c>
    </row>
    <row r="142" spans="1:13" ht="14.45" customHeight="1" x14ac:dyDescent="0.2">
      <c r="A142" s="675" t="s">
        <v>443</v>
      </c>
      <c r="B142" s="671">
        <v>977.36340359999997</v>
      </c>
      <c r="C142" s="672">
        <v>945.13844999999992</v>
      </c>
      <c r="D142" s="672">
        <v>-32.224953600000049</v>
      </c>
      <c r="E142" s="673">
        <v>0.96702868812019838</v>
      </c>
      <c r="F142" s="671">
        <v>1073.7581198</v>
      </c>
      <c r="G142" s="672">
        <v>984.27827648333346</v>
      </c>
      <c r="H142" s="672">
        <v>100.1627</v>
      </c>
      <c r="I142" s="672">
        <v>973.15413999999998</v>
      </c>
      <c r="J142" s="672">
        <v>-11.124136483333473</v>
      </c>
      <c r="K142" s="674">
        <v>0.90630666446672481</v>
      </c>
      <c r="L142" s="254"/>
      <c r="M142" s="670" t="str">
        <f t="shared" si="2"/>
        <v/>
      </c>
    </row>
    <row r="143" spans="1:13" ht="14.45" customHeight="1" x14ac:dyDescent="0.2">
      <c r="A143" s="675" t="s">
        <v>444</v>
      </c>
      <c r="B143" s="671">
        <v>977.36340359999997</v>
      </c>
      <c r="C143" s="672">
        <v>945.13844999999992</v>
      </c>
      <c r="D143" s="672">
        <v>-32.224953600000049</v>
      </c>
      <c r="E143" s="673">
        <v>0.96702868812019838</v>
      </c>
      <c r="F143" s="671">
        <v>1073.7581198</v>
      </c>
      <c r="G143" s="672">
        <v>984.27827648333346</v>
      </c>
      <c r="H143" s="672">
        <v>100.1627</v>
      </c>
      <c r="I143" s="672">
        <v>973.15413999999998</v>
      </c>
      <c r="J143" s="672">
        <v>-11.124136483333473</v>
      </c>
      <c r="K143" s="674">
        <v>0.90630666446672481</v>
      </c>
      <c r="L143" s="254"/>
      <c r="M143" s="670" t="str">
        <f t="shared" si="2"/>
        <v>X</v>
      </c>
    </row>
    <row r="144" spans="1:13" ht="14.45" customHeight="1" x14ac:dyDescent="0.2">
      <c r="A144" s="675" t="s">
        <v>445</v>
      </c>
      <c r="B144" s="671">
        <v>977.36340359999997</v>
      </c>
      <c r="C144" s="672">
        <v>945.13844999999992</v>
      </c>
      <c r="D144" s="672">
        <v>-32.224953600000049</v>
      </c>
      <c r="E144" s="673">
        <v>0.96702868812019838</v>
      </c>
      <c r="F144" s="671">
        <v>1073.7581198</v>
      </c>
      <c r="G144" s="672">
        <v>984.27827648333346</v>
      </c>
      <c r="H144" s="672">
        <v>100.1627</v>
      </c>
      <c r="I144" s="672">
        <v>973.15413999999998</v>
      </c>
      <c r="J144" s="672">
        <v>-11.124136483333473</v>
      </c>
      <c r="K144" s="674">
        <v>0.90630666446672481</v>
      </c>
      <c r="L144" s="254"/>
      <c r="M144" s="670" t="str">
        <f t="shared" si="2"/>
        <v/>
      </c>
    </row>
    <row r="145" spans="1:13" ht="14.45" customHeight="1" x14ac:dyDescent="0.2">
      <c r="A145" s="675" t="s">
        <v>446</v>
      </c>
      <c r="B145" s="671">
        <v>43.192227599999995</v>
      </c>
      <c r="C145" s="672">
        <v>16</v>
      </c>
      <c r="D145" s="672">
        <v>-27.192227599999995</v>
      </c>
      <c r="E145" s="673">
        <v>0.37043701816388841</v>
      </c>
      <c r="F145" s="671">
        <v>0</v>
      </c>
      <c r="G145" s="672">
        <v>0</v>
      </c>
      <c r="H145" s="672">
        <v>47.490499999999997</v>
      </c>
      <c r="I145" s="672">
        <v>219.68350000000001</v>
      </c>
      <c r="J145" s="672">
        <v>219.68350000000001</v>
      </c>
      <c r="K145" s="674">
        <v>0</v>
      </c>
      <c r="L145" s="254"/>
      <c r="M145" s="670" t="str">
        <f t="shared" si="2"/>
        <v/>
      </c>
    </row>
    <row r="146" spans="1:13" ht="14.45" customHeight="1" x14ac:dyDescent="0.2">
      <c r="A146" s="675" t="s">
        <v>447</v>
      </c>
      <c r="B146" s="671">
        <v>0</v>
      </c>
      <c r="C146" s="672">
        <v>0</v>
      </c>
      <c r="D146" s="672">
        <v>0</v>
      </c>
      <c r="E146" s="673">
        <v>0</v>
      </c>
      <c r="F146" s="671">
        <v>0</v>
      </c>
      <c r="G146" s="672">
        <v>0</v>
      </c>
      <c r="H146" s="672">
        <v>32.073500000000003</v>
      </c>
      <c r="I146" s="672">
        <v>32.073500000000003</v>
      </c>
      <c r="J146" s="672">
        <v>32.073500000000003</v>
      </c>
      <c r="K146" s="674">
        <v>0</v>
      </c>
      <c r="L146" s="254"/>
      <c r="M146" s="670" t="str">
        <f t="shared" si="2"/>
        <v/>
      </c>
    </row>
    <row r="147" spans="1:13" ht="14.45" customHeight="1" x14ac:dyDescent="0.2">
      <c r="A147" s="675" t="s">
        <v>448</v>
      </c>
      <c r="B147" s="671">
        <v>0</v>
      </c>
      <c r="C147" s="672">
        <v>0</v>
      </c>
      <c r="D147" s="672">
        <v>0</v>
      </c>
      <c r="E147" s="673">
        <v>0</v>
      </c>
      <c r="F147" s="671">
        <v>0</v>
      </c>
      <c r="G147" s="672">
        <v>0</v>
      </c>
      <c r="H147" s="672">
        <v>32.073500000000003</v>
      </c>
      <c r="I147" s="672">
        <v>32.073500000000003</v>
      </c>
      <c r="J147" s="672">
        <v>32.073500000000003</v>
      </c>
      <c r="K147" s="674">
        <v>0</v>
      </c>
      <c r="L147" s="254"/>
      <c r="M147" s="670" t="str">
        <f t="shared" si="2"/>
        <v>X</v>
      </c>
    </row>
    <row r="148" spans="1:13" ht="14.45" customHeight="1" x14ac:dyDescent="0.2">
      <c r="A148" s="675" t="s">
        <v>449</v>
      </c>
      <c r="B148" s="671">
        <v>0</v>
      </c>
      <c r="C148" s="672">
        <v>0</v>
      </c>
      <c r="D148" s="672">
        <v>0</v>
      </c>
      <c r="E148" s="673">
        <v>0</v>
      </c>
      <c r="F148" s="671">
        <v>0</v>
      </c>
      <c r="G148" s="672">
        <v>0</v>
      </c>
      <c r="H148" s="672">
        <v>32.073500000000003</v>
      </c>
      <c r="I148" s="672">
        <v>32.073500000000003</v>
      </c>
      <c r="J148" s="672">
        <v>32.073500000000003</v>
      </c>
      <c r="K148" s="674">
        <v>0</v>
      </c>
      <c r="L148" s="254"/>
      <c r="M148" s="670" t="str">
        <f t="shared" si="2"/>
        <v/>
      </c>
    </row>
    <row r="149" spans="1:13" ht="14.45" customHeight="1" x14ac:dyDescent="0.2">
      <c r="A149" s="675" t="s">
        <v>450</v>
      </c>
      <c r="B149" s="671">
        <v>43.192227599999995</v>
      </c>
      <c r="C149" s="672">
        <v>16</v>
      </c>
      <c r="D149" s="672">
        <v>-27.192227599999995</v>
      </c>
      <c r="E149" s="673">
        <v>0.37043701816388841</v>
      </c>
      <c r="F149" s="671">
        <v>0</v>
      </c>
      <c r="G149" s="672">
        <v>0</v>
      </c>
      <c r="H149" s="672">
        <v>15.417</v>
      </c>
      <c r="I149" s="672">
        <v>187.61</v>
      </c>
      <c r="J149" s="672">
        <v>187.61</v>
      </c>
      <c r="K149" s="674">
        <v>0</v>
      </c>
      <c r="L149" s="254"/>
      <c r="M149" s="670" t="str">
        <f t="shared" si="2"/>
        <v/>
      </c>
    </row>
    <row r="150" spans="1:13" ht="14.45" customHeight="1" x14ac:dyDescent="0.2">
      <c r="A150" s="675" t="s">
        <v>451</v>
      </c>
      <c r="B150" s="671">
        <v>34.757678399999996</v>
      </c>
      <c r="C150" s="672">
        <v>0</v>
      </c>
      <c r="D150" s="672">
        <v>-34.757678399999996</v>
      </c>
      <c r="E150" s="673">
        <v>0</v>
      </c>
      <c r="F150" s="671">
        <v>0</v>
      </c>
      <c r="G150" s="672">
        <v>0</v>
      </c>
      <c r="H150" s="672">
        <v>0</v>
      </c>
      <c r="I150" s="672">
        <v>0</v>
      </c>
      <c r="J150" s="672">
        <v>0</v>
      </c>
      <c r="K150" s="674">
        <v>0</v>
      </c>
      <c r="L150" s="254"/>
      <c r="M150" s="670" t="str">
        <f t="shared" si="2"/>
        <v>X</v>
      </c>
    </row>
    <row r="151" spans="1:13" ht="14.45" customHeight="1" x14ac:dyDescent="0.2">
      <c r="A151" s="675" t="s">
        <v>452</v>
      </c>
      <c r="B151" s="671">
        <v>0.34811999999999999</v>
      </c>
      <c r="C151" s="672">
        <v>0</v>
      </c>
      <c r="D151" s="672">
        <v>-0.34811999999999999</v>
      </c>
      <c r="E151" s="673">
        <v>0</v>
      </c>
      <c r="F151" s="671">
        <v>0</v>
      </c>
      <c r="G151" s="672">
        <v>0</v>
      </c>
      <c r="H151" s="672">
        <v>0</v>
      </c>
      <c r="I151" s="672">
        <v>0</v>
      </c>
      <c r="J151" s="672">
        <v>0</v>
      </c>
      <c r="K151" s="674">
        <v>0</v>
      </c>
      <c r="L151" s="254"/>
      <c r="M151" s="670" t="str">
        <f t="shared" si="2"/>
        <v/>
      </c>
    </row>
    <row r="152" spans="1:13" ht="14.45" customHeight="1" x14ac:dyDescent="0.2">
      <c r="A152" s="675" t="s">
        <v>453</v>
      </c>
      <c r="B152" s="671">
        <v>34.409558400000002</v>
      </c>
      <c r="C152" s="672">
        <v>0</v>
      </c>
      <c r="D152" s="672">
        <v>-34.409558400000002</v>
      </c>
      <c r="E152" s="673">
        <v>0</v>
      </c>
      <c r="F152" s="671">
        <v>0</v>
      </c>
      <c r="G152" s="672">
        <v>0</v>
      </c>
      <c r="H152" s="672">
        <v>0</v>
      </c>
      <c r="I152" s="672">
        <v>0</v>
      </c>
      <c r="J152" s="672">
        <v>0</v>
      </c>
      <c r="K152" s="674">
        <v>0</v>
      </c>
      <c r="L152" s="254"/>
      <c r="M152" s="670" t="str">
        <f t="shared" si="2"/>
        <v/>
      </c>
    </row>
    <row r="153" spans="1:13" ht="14.45" customHeight="1" x14ac:dyDescent="0.2">
      <c r="A153" s="675" t="s">
        <v>454</v>
      </c>
      <c r="B153" s="671">
        <v>0</v>
      </c>
      <c r="C153" s="672">
        <v>0</v>
      </c>
      <c r="D153" s="672">
        <v>0</v>
      </c>
      <c r="E153" s="673">
        <v>0</v>
      </c>
      <c r="F153" s="671">
        <v>0</v>
      </c>
      <c r="G153" s="672">
        <v>0</v>
      </c>
      <c r="H153" s="672">
        <v>15.417</v>
      </c>
      <c r="I153" s="672">
        <v>185.4</v>
      </c>
      <c r="J153" s="672">
        <v>185.4</v>
      </c>
      <c r="K153" s="674">
        <v>0</v>
      </c>
      <c r="L153" s="254"/>
      <c r="M153" s="670" t="str">
        <f t="shared" si="2"/>
        <v>X</v>
      </c>
    </row>
    <row r="154" spans="1:13" ht="14.45" customHeight="1" x14ac:dyDescent="0.2">
      <c r="A154" s="675" t="s">
        <v>455</v>
      </c>
      <c r="B154" s="671">
        <v>0</v>
      </c>
      <c r="C154" s="672">
        <v>0</v>
      </c>
      <c r="D154" s="672">
        <v>0</v>
      </c>
      <c r="E154" s="673">
        <v>0</v>
      </c>
      <c r="F154" s="671">
        <v>0</v>
      </c>
      <c r="G154" s="672">
        <v>0</v>
      </c>
      <c r="H154" s="672">
        <v>15.417</v>
      </c>
      <c r="I154" s="672">
        <v>185.4</v>
      </c>
      <c r="J154" s="672">
        <v>185.4</v>
      </c>
      <c r="K154" s="674">
        <v>0</v>
      </c>
      <c r="L154" s="254"/>
      <c r="M154" s="670" t="str">
        <f t="shared" si="2"/>
        <v/>
      </c>
    </row>
    <row r="155" spans="1:13" ht="14.45" customHeight="1" x14ac:dyDescent="0.2">
      <c r="A155" s="675" t="s">
        <v>456</v>
      </c>
      <c r="B155" s="671">
        <v>0</v>
      </c>
      <c r="C155" s="672">
        <v>16</v>
      </c>
      <c r="D155" s="672">
        <v>16</v>
      </c>
      <c r="E155" s="673">
        <v>0</v>
      </c>
      <c r="F155" s="671">
        <v>0</v>
      </c>
      <c r="G155" s="672">
        <v>0</v>
      </c>
      <c r="H155" s="672">
        <v>0</v>
      </c>
      <c r="I155" s="672">
        <v>0</v>
      </c>
      <c r="J155" s="672">
        <v>0</v>
      </c>
      <c r="K155" s="674">
        <v>0</v>
      </c>
      <c r="L155" s="254"/>
      <c r="M155" s="670" t="str">
        <f t="shared" si="2"/>
        <v>X</v>
      </c>
    </row>
    <row r="156" spans="1:13" ht="14.45" customHeight="1" x14ac:dyDescent="0.2">
      <c r="A156" s="675" t="s">
        <v>457</v>
      </c>
      <c r="B156" s="671">
        <v>0</v>
      </c>
      <c r="C156" s="672">
        <v>16</v>
      </c>
      <c r="D156" s="672">
        <v>16</v>
      </c>
      <c r="E156" s="673">
        <v>0</v>
      </c>
      <c r="F156" s="671">
        <v>0</v>
      </c>
      <c r="G156" s="672">
        <v>0</v>
      </c>
      <c r="H156" s="672">
        <v>0</v>
      </c>
      <c r="I156" s="672">
        <v>0</v>
      </c>
      <c r="J156" s="672">
        <v>0</v>
      </c>
      <c r="K156" s="674">
        <v>0</v>
      </c>
      <c r="L156" s="254"/>
      <c r="M156" s="670" t="str">
        <f t="shared" si="2"/>
        <v/>
      </c>
    </row>
    <row r="157" spans="1:13" ht="14.45" customHeight="1" x14ac:dyDescent="0.2">
      <c r="A157" s="675" t="s">
        <v>458</v>
      </c>
      <c r="B157" s="671">
        <v>2.4643548000000002</v>
      </c>
      <c r="C157" s="672">
        <v>0</v>
      </c>
      <c r="D157" s="672">
        <v>-2.4643548000000002</v>
      </c>
      <c r="E157" s="673">
        <v>0</v>
      </c>
      <c r="F157" s="671">
        <v>0</v>
      </c>
      <c r="G157" s="672">
        <v>0</v>
      </c>
      <c r="H157" s="672">
        <v>0</v>
      </c>
      <c r="I157" s="672">
        <v>2.21</v>
      </c>
      <c r="J157" s="672">
        <v>2.21</v>
      </c>
      <c r="K157" s="674">
        <v>0</v>
      </c>
      <c r="L157" s="254"/>
      <c r="M157" s="670" t="str">
        <f t="shared" si="2"/>
        <v>X</v>
      </c>
    </row>
    <row r="158" spans="1:13" ht="14.45" customHeight="1" x14ac:dyDescent="0.2">
      <c r="A158" s="675" t="s">
        <v>459</v>
      </c>
      <c r="B158" s="671">
        <v>2.4643548000000002</v>
      </c>
      <c r="C158" s="672">
        <v>0</v>
      </c>
      <c r="D158" s="672">
        <v>-2.4643548000000002</v>
      </c>
      <c r="E158" s="673">
        <v>0</v>
      </c>
      <c r="F158" s="671">
        <v>0</v>
      </c>
      <c r="G158" s="672">
        <v>0</v>
      </c>
      <c r="H158" s="672">
        <v>0</v>
      </c>
      <c r="I158" s="672">
        <v>2.21</v>
      </c>
      <c r="J158" s="672">
        <v>2.21</v>
      </c>
      <c r="K158" s="674">
        <v>0</v>
      </c>
      <c r="L158" s="254"/>
      <c r="M158" s="670" t="str">
        <f t="shared" si="2"/>
        <v/>
      </c>
    </row>
    <row r="159" spans="1:13" ht="14.45" customHeight="1" x14ac:dyDescent="0.2">
      <c r="A159" s="675" t="s">
        <v>460</v>
      </c>
      <c r="B159" s="671">
        <v>5.9701944000000005</v>
      </c>
      <c r="C159" s="672">
        <v>0</v>
      </c>
      <c r="D159" s="672">
        <v>-5.9701944000000005</v>
      </c>
      <c r="E159" s="673">
        <v>0</v>
      </c>
      <c r="F159" s="671">
        <v>0</v>
      </c>
      <c r="G159" s="672">
        <v>0</v>
      </c>
      <c r="H159" s="672">
        <v>0</v>
      </c>
      <c r="I159" s="672">
        <v>0</v>
      </c>
      <c r="J159" s="672">
        <v>0</v>
      </c>
      <c r="K159" s="674">
        <v>0</v>
      </c>
      <c r="L159" s="254"/>
      <c r="M159" s="670" t="str">
        <f t="shared" si="2"/>
        <v>X</v>
      </c>
    </row>
    <row r="160" spans="1:13" ht="14.45" customHeight="1" x14ac:dyDescent="0.2">
      <c r="A160" s="675" t="s">
        <v>461</v>
      </c>
      <c r="B160" s="671">
        <v>5.9701944000000005</v>
      </c>
      <c r="C160" s="672">
        <v>0</v>
      </c>
      <c r="D160" s="672">
        <v>-5.9701944000000005</v>
      </c>
      <c r="E160" s="673">
        <v>0</v>
      </c>
      <c r="F160" s="671">
        <v>0</v>
      </c>
      <c r="G160" s="672">
        <v>0</v>
      </c>
      <c r="H160" s="672">
        <v>0</v>
      </c>
      <c r="I160" s="672">
        <v>0</v>
      </c>
      <c r="J160" s="672">
        <v>0</v>
      </c>
      <c r="K160" s="674">
        <v>0</v>
      </c>
      <c r="L160" s="254"/>
      <c r="M160" s="670" t="str">
        <f t="shared" si="2"/>
        <v/>
      </c>
    </row>
    <row r="161" spans="1:13" ht="14.45" customHeight="1" x14ac:dyDescent="0.2">
      <c r="A161" s="675" t="s">
        <v>462</v>
      </c>
      <c r="B161" s="671">
        <v>2668.6221679999999</v>
      </c>
      <c r="C161" s="672">
        <v>2981.0852300000001</v>
      </c>
      <c r="D161" s="672">
        <v>312.46306200000026</v>
      </c>
      <c r="E161" s="673">
        <v>1.1170877862541986</v>
      </c>
      <c r="F161" s="671">
        <v>2643.2115180000001</v>
      </c>
      <c r="G161" s="672">
        <v>2422.9438915000001</v>
      </c>
      <c r="H161" s="672">
        <v>213.05727999999999</v>
      </c>
      <c r="I161" s="672">
        <v>2575.35842</v>
      </c>
      <c r="J161" s="672">
        <v>152.41452849999996</v>
      </c>
      <c r="K161" s="674">
        <v>0.97432929694126735</v>
      </c>
      <c r="L161" s="254"/>
      <c r="M161" s="670" t="str">
        <f t="shared" si="2"/>
        <v/>
      </c>
    </row>
    <row r="162" spans="1:13" ht="14.45" customHeight="1" x14ac:dyDescent="0.2">
      <c r="A162" s="675" t="s">
        <v>463</v>
      </c>
      <c r="B162" s="671">
        <v>2658.1267538000002</v>
      </c>
      <c r="C162" s="672">
        <v>2804.7761299999997</v>
      </c>
      <c r="D162" s="672">
        <v>146.64937619999955</v>
      </c>
      <c r="E162" s="673">
        <v>1.0551701968276541</v>
      </c>
      <c r="F162" s="671">
        <v>2643.2115180000001</v>
      </c>
      <c r="G162" s="672">
        <v>2422.9438915000001</v>
      </c>
      <c r="H162" s="672">
        <v>213.05727999999999</v>
      </c>
      <c r="I162" s="672">
        <v>2436.13114</v>
      </c>
      <c r="J162" s="672">
        <v>13.187248499999896</v>
      </c>
      <c r="K162" s="674">
        <v>0.92165576739137067</v>
      </c>
      <c r="L162" s="254"/>
      <c r="M162" s="670" t="str">
        <f t="shared" si="2"/>
        <v/>
      </c>
    </row>
    <row r="163" spans="1:13" ht="14.45" customHeight="1" x14ac:dyDescent="0.2">
      <c r="A163" s="675" t="s">
        <v>464</v>
      </c>
      <c r="B163" s="671">
        <v>2658.1267538000002</v>
      </c>
      <c r="C163" s="672">
        <v>2797.8281299999999</v>
      </c>
      <c r="D163" s="672">
        <v>139.70137619999969</v>
      </c>
      <c r="E163" s="673">
        <v>1.0525563259917103</v>
      </c>
      <c r="F163" s="671">
        <v>2643.2115180000001</v>
      </c>
      <c r="G163" s="672">
        <v>2422.9438915000001</v>
      </c>
      <c r="H163" s="672">
        <v>210.40628000000001</v>
      </c>
      <c r="I163" s="672">
        <v>2433.4801400000001</v>
      </c>
      <c r="J163" s="672">
        <v>10.536248500000056</v>
      </c>
      <c r="K163" s="674">
        <v>0.9206528207932847</v>
      </c>
      <c r="L163" s="254"/>
      <c r="M163" s="670" t="str">
        <f t="shared" si="2"/>
        <v>X</v>
      </c>
    </row>
    <row r="164" spans="1:13" ht="14.45" customHeight="1" x14ac:dyDescent="0.2">
      <c r="A164" s="675" t="s">
        <v>465</v>
      </c>
      <c r="B164" s="671">
        <v>110.886777</v>
      </c>
      <c r="C164" s="672">
        <v>132.30303000000001</v>
      </c>
      <c r="D164" s="672">
        <v>21.416253000000012</v>
      </c>
      <c r="E164" s="673">
        <v>1.1931362203809026</v>
      </c>
      <c r="F164" s="671">
        <v>120.5635896</v>
      </c>
      <c r="G164" s="672">
        <v>110.5166238</v>
      </c>
      <c r="H164" s="672">
        <v>11.1004</v>
      </c>
      <c r="I164" s="672">
        <v>120.40200999999999</v>
      </c>
      <c r="J164" s="672">
        <v>9.885386199999985</v>
      </c>
      <c r="K164" s="674">
        <v>0.99865979770064839</v>
      </c>
      <c r="L164" s="254"/>
      <c r="M164" s="670" t="str">
        <f t="shared" si="2"/>
        <v/>
      </c>
    </row>
    <row r="165" spans="1:13" ht="14.45" customHeight="1" x14ac:dyDescent="0.2">
      <c r="A165" s="675" t="s">
        <v>466</v>
      </c>
      <c r="B165" s="671">
        <v>1267.6310072000001</v>
      </c>
      <c r="C165" s="672">
        <v>1382.261</v>
      </c>
      <c r="D165" s="672">
        <v>114.62999279999985</v>
      </c>
      <c r="E165" s="673">
        <v>1.0904285175645867</v>
      </c>
      <c r="F165" s="671">
        <v>1231.8759995999999</v>
      </c>
      <c r="G165" s="672">
        <v>1129.2196662999997</v>
      </c>
      <c r="H165" s="672">
        <v>92.474999999999994</v>
      </c>
      <c r="I165" s="672">
        <v>1139.346</v>
      </c>
      <c r="J165" s="672">
        <v>10.126333700000259</v>
      </c>
      <c r="K165" s="674">
        <v>0.92488692073711554</v>
      </c>
      <c r="L165" s="254"/>
      <c r="M165" s="670" t="str">
        <f t="shared" si="2"/>
        <v/>
      </c>
    </row>
    <row r="166" spans="1:13" ht="14.45" customHeight="1" x14ac:dyDescent="0.2">
      <c r="A166" s="675" t="s">
        <v>467</v>
      </c>
      <c r="B166" s="671">
        <v>608.9889695999999</v>
      </c>
      <c r="C166" s="672">
        <v>612.64409999999998</v>
      </c>
      <c r="D166" s="672">
        <v>3.6551304000000755</v>
      </c>
      <c r="E166" s="673">
        <v>1.0060019648671155</v>
      </c>
      <c r="F166" s="671">
        <v>620.15192879999995</v>
      </c>
      <c r="G166" s="672">
        <v>568.47260140000003</v>
      </c>
      <c r="H166" s="672">
        <v>50.945879999999995</v>
      </c>
      <c r="I166" s="672">
        <v>558.99712999999997</v>
      </c>
      <c r="J166" s="672">
        <v>-9.4754714000000604</v>
      </c>
      <c r="K166" s="674">
        <v>0.90138739241150934</v>
      </c>
      <c r="L166" s="254"/>
      <c r="M166" s="670" t="str">
        <f t="shared" si="2"/>
        <v/>
      </c>
    </row>
    <row r="167" spans="1:13" ht="14.45" customHeight="1" x14ac:dyDescent="0.2">
      <c r="A167" s="675" t="s">
        <v>468</v>
      </c>
      <c r="B167" s="671">
        <v>670.62</v>
      </c>
      <c r="C167" s="672">
        <v>670.62</v>
      </c>
      <c r="D167" s="672">
        <v>0</v>
      </c>
      <c r="E167" s="673">
        <v>1</v>
      </c>
      <c r="F167" s="671">
        <v>670.62</v>
      </c>
      <c r="G167" s="672">
        <v>614.73500000000001</v>
      </c>
      <c r="H167" s="672">
        <v>55.884999999999998</v>
      </c>
      <c r="I167" s="672">
        <v>614.73500000000001</v>
      </c>
      <c r="J167" s="672">
        <v>0</v>
      </c>
      <c r="K167" s="674">
        <v>0.91666666666666663</v>
      </c>
      <c r="L167" s="254"/>
      <c r="M167" s="670" t="str">
        <f t="shared" si="2"/>
        <v/>
      </c>
    </row>
    <row r="168" spans="1:13" ht="14.45" customHeight="1" x14ac:dyDescent="0.2">
      <c r="A168" s="675" t="s">
        <v>469</v>
      </c>
      <c r="B168" s="671">
        <v>0</v>
      </c>
      <c r="C168" s="672">
        <v>6.9480000000000004</v>
      </c>
      <c r="D168" s="672">
        <v>6.9480000000000004</v>
      </c>
      <c r="E168" s="673">
        <v>0</v>
      </c>
      <c r="F168" s="671">
        <v>0</v>
      </c>
      <c r="G168" s="672">
        <v>0</v>
      </c>
      <c r="H168" s="672">
        <v>2.6509999999999998</v>
      </c>
      <c r="I168" s="672">
        <v>2.6509999999999998</v>
      </c>
      <c r="J168" s="672">
        <v>2.6509999999999998</v>
      </c>
      <c r="K168" s="674">
        <v>0</v>
      </c>
      <c r="L168" s="254"/>
      <c r="M168" s="670" t="str">
        <f t="shared" si="2"/>
        <v>X</v>
      </c>
    </row>
    <row r="169" spans="1:13" ht="14.45" customHeight="1" x14ac:dyDescent="0.2">
      <c r="A169" s="675" t="s">
        <v>470</v>
      </c>
      <c r="B169" s="671">
        <v>0</v>
      </c>
      <c r="C169" s="672">
        <v>6.9480000000000004</v>
      </c>
      <c r="D169" s="672">
        <v>6.9480000000000004</v>
      </c>
      <c r="E169" s="673">
        <v>0</v>
      </c>
      <c r="F169" s="671">
        <v>0</v>
      </c>
      <c r="G169" s="672">
        <v>0</v>
      </c>
      <c r="H169" s="672">
        <v>2.6509999999999998</v>
      </c>
      <c r="I169" s="672">
        <v>2.6509999999999998</v>
      </c>
      <c r="J169" s="672">
        <v>2.6509999999999998</v>
      </c>
      <c r="K169" s="674">
        <v>0</v>
      </c>
      <c r="L169" s="254"/>
      <c r="M169" s="670" t="str">
        <f t="shared" si="2"/>
        <v/>
      </c>
    </row>
    <row r="170" spans="1:13" ht="14.45" customHeight="1" x14ac:dyDescent="0.2">
      <c r="A170" s="675" t="s">
        <v>471</v>
      </c>
      <c r="B170" s="671">
        <v>10.495414199999999</v>
      </c>
      <c r="C170" s="672">
        <v>176.3091</v>
      </c>
      <c r="D170" s="672">
        <v>165.8136858</v>
      </c>
      <c r="E170" s="673">
        <v>16.798679560450317</v>
      </c>
      <c r="F170" s="671">
        <v>0</v>
      </c>
      <c r="G170" s="672">
        <v>0</v>
      </c>
      <c r="H170" s="672">
        <v>0</v>
      </c>
      <c r="I170" s="672">
        <v>139.22728000000001</v>
      </c>
      <c r="J170" s="672">
        <v>139.22728000000001</v>
      </c>
      <c r="K170" s="674">
        <v>0</v>
      </c>
      <c r="L170" s="254"/>
      <c r="M170" s="670" t="str">
        <f t="shared" si="2"/>
        <v/>
      </c>
    </row>
    <row r="171" spans="1:13" ht="14.45" customHeight="1" x14ac:dyDescent="0.2">
      <c r="A171" s="675" t="s">
        <v>472</v>
      </c>
      <c r="B171" s="671">
        <v>0</v>
      </c>
      <c r="C171" s="672">
        <v>143.58828</v>
      </c>
      <c r="D171" s="672">
        <v>143.58828</v>
      </c>
      <c r="E171" s="673">
        <v>0</v>
      </c>
      <c r="F171" s="671">
        <v>0</v>
      </c>
      <c r="G171" s="672">
        <v>0</v>
      </c>
      <c r="H171" s="672">
        <v>0</v>
      </c>
      <c r="I171" s="672">
        <v>33.376860000000001</v>
      </c>
      <c r="J171" s="672">
        <v>33.376860000000001</v>
      </c>
      <c r="K171" s="674">
        <v>0</v>
      </c>
      <c r="L171" s="254"/>
      <c r="M171" s="670" t="str">
        <f t="shared" si="2"/>
        <v>X</v>
      </c>
    </row>
    <row r="172" spans="1:13" ht="14.45" customHeight="1" x14ac:dyDescent="0.2">
      <c r="A172" s="675" t="s">
        <v>473</v>
      </c>
      <c r="B172" s="671">
        <v>0</v>
      </c>
      <c r="C172" s="672">
        <v>143.58828</v>
      </c>
      <c r="D172" s="672">
        <v>143.58828</v>
      </c>
      <c r="E172" s="673">
        <v>0</v>
      </c>
      <c r="F172" s="671">
        <v>0</v>
      </c>
      <c r="G172" s="672">
        <v>0</v>
      </c>
      <c r="H172" s="672">
        <v>0</v>
      </c>
      <c r="I172" s="672">
        <v>33.376860000000001</v>
      </c>
      <c r="J172" s="672">
        <v>33.376860000000001</v>
      </c>
      <c r="K172" s="674">
        <v>0</v>
      </c>
      <c r="L172" s="254"/>
      <c r="M172" s="670" t="str">
        <f t="shared" si="2"/>
        <v/>
      </c>
    </row>
    <row r="173" spans="1:13" ht="14.45" customHeight="1" x14ac:dyDescent="0.2">
      <c r="A173" s="675" t="s">
        <v>474</v>
      </c>
      <c r="B173" s="671">
        <v>0</v>
      </c>
      <c r="C173" s="672">
        <v>16.143819999999998</v>
      </c>
      <c r="D173" s="672">
        <v>16.143819999999998</v>
      </c>
      <c r="E173" s="673">
        <v>0</v>
      </c>
      <c r="F173" s="671">
        <v>0</v>
      </c>
      <c r="G173" s="672">
        <v>0</v>
      </c>
      <c r="H173" s="672">
        <v>0</v>
      </c>
      <c r="I173" s="672">
        <v>19.535070000000001</v>
      </c>
      <c r="J173" s="672">
        <v>19.535070000000001</v>
      </c>
      <c r="K173" s="674">
        <v>0</v>
      </c>
      <c r="L173" s="254"/>
      <c r="M173" s="670" t="str">
        <f t="shared" si="2"/>
        <v>X</v>
      </c>
    </row>
    <row r="174" spans="1:13" ht="14.45" customHeight="1" x14ac:dyDescent="0.2">
      <c r="A174" s="675" t="s">
        <v>475</v>
      </c>
      <c r="B174" s="671">
        <v>0</v>
      </c>
      <c r="C174" s="672">
        <v>0</v>
      </c>
      <c r="D174" s="672">
        <v>0</v>
      </c>
      <c r="E174" s="673">
        <v>0</v>
      </c>
      <c r="F174" s="671">
        <v>0</v>
      </c>
      <c r="G174" s="672">
        <v>0</v>
      </c>
      <c r="H174" s="672">
        <v>0</v>
      </c>
      <c r="I174" s="672">
        <v>13.59881</v>
      </c>
      <c r="J174" s="672">
        <v>13.59881</v>
      </c>
      <c r="K174" s="674">
        <v>0</v>
      </c>
      <c r="L174" s="254"/>
      <c r="M174" s="670" t="str">
        <f t="shared" si="2"/>
        <v/>
      </c>
    </row>
    <row r="175" spans="1:13" ht="14.45" customHeight="1" x14ac:dyDescent="0.2">
      <c r="A175" s="675" t="s">
        <v>476</v>
      </c>
      <c r="B175" s="671">
        <v>0</v>
      </c>
      <c r="C175" s="672">
        <v>0</v>
      </c>
      <c r="D175" s="672">
        <v>0</v>
      </c>
      <c r="E175" s="673">
        <v>0</v>
      </c>
      <c r="F175" s="671">
        <v>0</v>
      </c>
      <c r="G175" s="672">
        <v>0</v>
      </c>
      <c r="H175" s="672">
        <v>0</v>
      </c>
      <c r="I175" s="672">
        <v>5.9362599999999999</v>
      </c>
      <c r="J175" s="672">
        <v>5.9362599999999999</v>
      </c>
      <c r="K175" s="674">
        <v>0</v>
      </c>
      <c r="L175" s="254"/>
      <c r="M175" s="670" t="str">
        <f t="shared" si="2"/>
        <v/>
      </c>
    </row>
    <row r="176" spans="1:13" ht="14.45" customHeight="1" x14ac:dyDescent="0.2">
      <c r="A176" s="675" t="s">
        <v>477</v>
      </c>
      <c r="B176" s="671">
        <v>0</v>
      </c>
      <c r="C176" s="672">
        <v>16.143819999999998</v>
      </c>
      <c r="D176" s="672">
        <v>16.143819999999998</v>
      </c>
      <c r="E176" s="673">
        <v>0</v>
      </c>
      <c r="F176" s="671">
        <v>0</v>
      </c>
      <c r="G176" s="672">
        <v>0</v>
      </c>
      <c r="H176" s="672">
        <v>0</v>
      </c>
      <c r="I176" s="672">
        <v>0</v>
      </c>
      <c r="J176" s="672">
        <v>0</v>
      </c>
      <c r="K176" s="674">
        <v>0</v>
      </c>
      <c r="L176" s="254"/>
      <c r="M176" s="670" t="str">
        <f t="shared" si="2"/>
        <v/>
      </c>
    </row>
    <row r="177" spans="1:13" ht="14.45" customHeight="1" x14ac:dyDescent="0.2">
      <c r="A177" s="675" t="s">
        <v>478</v>
      </c>
      <c r="B177" s="671">
        <v>10.495414199999999</v>
      </c>
      <c r="C177" s="672">
        <v>16.577000000000002</v>
      </c>
      <c r="D177" s="672">
        <v>6.0815858000000027</v>
      </c>
      <c r="E177" s="673">
        <v>1.5794517190183883</v>
      </c>
      <c r="F177" s="671">
        <v>0</v>
      </c>
      <c r="G177" s="672">
        <v>0</v>
      </c>
      <c r="H177" s="672">
        <v>0</v>
      </c>
      <c r="I177" s="672">
        <v>46.463999999999999</v>
      </c>
      <c r="J177" s="672">
        <v>46.463999999999999</v>
      </c>
      <c r="K177" s="674">
        <v>0</v>
      </c>
      <c r="L177" s="254"/>
      <c r="M177" s="670" t="str">
        <f t="shared" si="2"/>
        <v>X</v>
      </c>
    </row>
    <row r="178" spans="1:13" ht="14.45" customHeight="1" x14ac:dyDescent="0.2">
      <c r="A178" s="675" t="s">
        <v>479</v>
      </c>
      <c r="B178" s="671">
        <v>10.495414199999999</v>
      </c>
      <c r="C178" s="672">
        <v>16.577000000000002</v>
      </c>
      <c r="D178" s="672">
        <v>6.0815858000000027</v>
      </c>
      <c r="E178" s="673">
        <v>1.5794517190183883</v>
      </c>
      <c r="F178" s="671">
        <v>0</v>
      </c>
      <c r="G178" s="672">
        <v>0</v>
      </c>
      <c r="H178" s="672">
        <v>0</v>
      </c>
      <c r="I178" s="672">
        <v>46.463999999999999</v>
      </c>
      <c r="J178" s="672">
        <v>46.463999999999999</v>
      </c>
      <c r="K178" s="674">
        <v>0</v>
      </c>
      <c r="L178" s="254"/>
      <c r="M178" s="670" t="str">
        <f t="shared" si="2"/>
        <v/>
      </c>
    </row>
    <row r="179" spans="1:13" ht="14.45" customHeight="1" x14ac:dyDescent="0.2">
      <c r="A179" s="675" t="s">
        <v>480</v>
      </c>
      <c r="B179" s="671">
        <v>0</v>
      </c>
      <c r="C179" s="672">
        <v>0</v>
      </c>
      <c r="D179" s="672">
        <v>0</v>
      </c>
      <c r="E179" s="673">
        <v>0</v>
      </c>
      <c r="F179" s="671">
        <v>0</v>
      </c>
      <c r="G179" s="672">
        <v>0</v>
      </c>
      <c r="H179" s="672">
        <v>0</v>
      </c>
      <c r="I179" s="672">
        <v>39.851349999999996</v>
      </c>
      <c r="J179" s="672">
        <v>39.851349999999996</v>
      </c>
      <c r="K179" s="674">
        <v>0</v>
      </c>
      <c r="L179" s="254"/>
      <c r="M179" s="670" t="str">
        <f t="shared" si="2"/>
        <v>X</v>
      </c>
    </row>
    <row r="180" spans="1:13" ht="14.45" customHeight="1" x14ac:dyDescent="0.2">
      <c r="A180" s="675" t="s">
        <v>481</v>
      </c>
      <c r="B180" s="671">
        <v>0</v>
      </c>
      <c r="C180" s="672">
        <v>0</v>
      </c>
      <c r="D180" s="672">
        <v>0</v>
      </c>
      <c r="E180" s="673">
        <v>0</v>
      </c>
      <c r="F180" s="671">
        <v>0</v>
      </c>
      <c r="G180" s="672">
        <v>0</v>
      </c>
      <c r="H180" s="672">
        <v>0</v>
      </c>
      <c r="I180" s="672">
        <v>39.851349999999996</v>
      </c>
      <c r="J180" s="672">
        <v>39.851349999999996</v>
      </c>
      <c r="K180" s="674">
        <v>0</v>
      </c>
      <c r="L180" s="254"/>
      <c r="M180" s="670" t="str">
        <f t="shared" si="2"/>
        <v/>
      </c>
    </row>
    <row r="181" spans="1:13" ht="14.45" customHeight="1" x14ac:dyDescent="0.2">
      <c r="A181" s="675" t="s">
        <v>482</v>
      </c>
      <c r="B181" s="671">
        <v>463.30229960000003</v>
      </c>
      <c r="C181" s="672">
        <v>109910.65976000001</v>
      </c>
      <c r="D181" s="672">
        <v>109447.3574604</v>
      </c>
      <c r="E181" s="673">
        <v>237.23314098568744</v>
      </c>
      <c r="F181" s="671">
        <v>79949.519756399997</v>
      </c>
      <c r="G181" s="672">
        <v>73287.0597767</v>
      </c>
      <c r="H181" s="672">
        <v>1828.16795</v>
      </c>
      <c r="I181" s="672">
        <v>97084.88308</v>
      </c>
      <c r="J181" s="672">
        <v>23797.8233033</v>
      </c>
      <c r="K181" s="674">
        <v>1.2143272827130185</v>
      </c>
      <c r="L181" s="254"/>
      <c r="M181" s="670" t="str">
        <f t="shared" si="2"/>
        <v/>
      </c>
    </row>
    <row r="182" spans="1:13" ht="14.45" customHeight="1" x14ac:dyDescent="0.2">
      <c r="A182" s="675" t="s">
        <v>483</v>
      </c>
      <c r="B182" s="671">
        <v>463.30229960000003</v>
      </c>
      <c r="C182" s="672">
        <v>104505.70817</v>
      </c>
      <c r="D182" s="672">
        <v>104042.40587039999</v>
      </c>
      <c r="E182" s="673">
        <v>225.56699645183457</v>
      </c>
      <c r="F182" s="671">
        <v>79948.422363999998</v>
      </c>
      <c r="G182" s="672">
        <v>73286.053833666665</v>
      </c>
      <c r="H182" s="672">
        <v>1663.7121399999999</v>
      </c>
      <c r="I182" s="672">
        <v>90882.212700000004</v>
      </c>
      <c r="J182" s="672">
        <v>17596.158866333339</v>
      </c>
      <c r="K182" s="674">
        <v>1.1367605515243211</v>
      </c>
      <c r="L182" s="254"/>
      <c r="M182" s="670" t="str">
        <f t="shared" si="2"/>
        <v/>
      </c>
    </row>
    <row r="183" spans="1:13" ht="14.45" customHeight="1" x14ac:dyDescent="0.2">
      <c r="A183" s="675" t="s">
        <v>484</v>
      </c>
      <c r="B183" s="671">
        <v>463.30229960000003</v>
      </c>
      <c r="C183" s="672">
        <v>104505.70817</v>
      </c>
      <c r="D183" s="672">
        <v>104042.40587039999</v>
      </c>
      <c r="E183" s="673">
        <v>225.56699645183457</v>
      </c>
      <c r="F183" s="671">
        <v>79948.422363999998</v>
      </c>
      <c r="G183" s="672">
        <v>73286.053833666665</v>
      </c>
      <c r="H183" s="672">
        <v>1663.7121399999999</v>
      </c>
      <c r="I183" s="672">
        <v>90882.212700000004</v>
      </c>
      <c r="J183" s="672">
        <v>17596.158866333339</v>
      </c>
      <c r="K183" s="674">
        <v>1.1367605515243211</v>
      </c>
      <c r="L183" s="254"/>
      <c r="M183" s="670" t="str">
        <f t="shared" si="2"/>
        <v/>
      </c>
    </row>
    <row r="184" spans="1:13" ht="14.45" customHeight="1" x14ac:dyDescent="0.2">
      <c r="A184" s="675" t="s">
        <v>485</v>
      </c>
      <c r="B184" s="671">
        <v>463.30229960000003</v>
      </c>
      <c r="C184" s="672">
        <v>60.102419999999995</v>
      </c>
      <c r="D184" s="672">
        <v>-403.19987960000003</v>
      </c>
      <c r="E184" s="673">
        <v>0.12972614220108653</v>
      </c>
      <c r="F184" s="671">
        <v>335.3315728</v>
      </c>
      <c r="G184" s="672">
        <v>307.38727506666663</v>
      </c>
      <c r="H184" s="672">
        <v>0.18596000000000001</v>
      </c>
      <c r="I184" s="672">
        <v>1.5151300000000001</v>
      </c>
      <c r="J184" s="672">
        <v>-305.87214506666663</v>
      </c>
      <c r="K184" s="674">
        <v>4.5183040396367955E-3</v>
      </c>
      <c r="L184" s="254"/>
      <c r="M184" s="670" t="str">
        <f t="shared" si="2"/>
        <v>X</v>
      </c>
    </row>
    <row r="185" spans="1:13" ht="14.45" customHeight="1" x14ac:dyDescent="0.2">
      <c r="A185" s="675" t="s">
        <v>486</v>
      </c>
      <c r="B185" s="671">
        <v>0</v>
      </c>
      <c r="C185" s="672">
        <v>0.33729000000000003</v>
      </c>
      <c r="D185" s="672">
        <v>0.33729000000000003</v>
      </c>
      <c r="E185" s="673">
        <v>0</v>
      </c>
      <c r="F185" s="671">
        <v>0</v>
      </c>
      <c r="G185" s="672">
        <v>0</v>
      </c>
      <c r="H185" s="672">
        <v>0.10331</v>
      </c>
      <c r="I185" s="672">
        <v>0.92150999999999994</v>
      </c>
      <c r="J185" s="672">
        <v>0.92150999999999994</v>
      </c>
      <c r="K185" s="674">
        <v>0</v>
      </c>
      <c r="L185" s="254"/>
      <c r="M185" s="670" t="str">
        <f t="shared" si="2"/>
        <v/>
      </c>
    </row>
    <row r="186" spans="1:13" ht="14.45" customHeight="1" x14ac:dyDescent="0.2">
      <c r="A186" s="675" t="s">
        <v>487</v>
      </c>
      <c r="B186" s="671">
        <v>0</v>
      </c>
      <c r="C186" s="672">
        <v>0.10248</v>
      </c>
      <c r="D186" s="672">
        <v>0.10248</v>
      </c>
      <c r="E186" s="673">
        <v>0</v>
      </c>
      <c r="F186" s="671">
        <v>0</v>
      </c>
      <c r="G186" s="672">
        <v>0</v>
      </c>
      <c r="H186" s="672">
        <v>0</v>
      </c>
      <c r="I186" s="672">
        <v>0.30599999999999999</v>
      </c>
      <c r="J186" s="672">
        <v>0.30599999999999999</v>
      </c>
      <c r="K186" s="674">
        <v>0</v>
      </c>
      <c r="L186" s="254"/>
      <c r="M186" s="670" t="str">
        <f t="shared" si="2"/>
        <v/>
      </c>
    </row>
    <row r="187" spans="1:13" ht="14.45" customHeight="1" x14ac:dyDescent="0.2">
      <c r="A187" s="675" t="s">
        <v>488</v>
      </c>
      <c r="B187" s="671">
        <v>462.76380879999999</v>
      </c>
      <c r="C187" s="672">
        <v>9.6623999999999999</v>
      </c>
      <c r="D187" s="672">
        <v>-453.1014088</v>
      </c>
      <c r="E187" s="673">
        <v>2.0879765911374356E-2</v>
      </c>
      <c r="F187" s="671">
        <v>334.69661509999997</v>
      </c>
      <c r="G187" s="672">
        <v>306.8052305083333</v>
      </c>
      <c r="H187" s="672">
        <v>0</v>
      </c>
      <c r="I187" s="672">
        <v>0</v>
      </c>
      <c r="J187" s="672">
        <v>-306.8052305083333</v>
      </c>
      <c r="K187" s="674">
        <v>0</v>
      </c>
      <c r="L187" s="254"/>
      <c r="M187" s="670" t="str">
        <f t="shared" si="2"/>
        <v/>
      </c>
    </row>
    <row r="188" spans="1:13" ht="14.45" customHeight="1" x14ac:dyDescent="0.2">
      <c r="A188" s="675" t="s">
        <v>489</v>
      </c>
      <c r="B188" s="671">
        <v>0.53849080000000005</v>
      </c>
      <c r="C188" s="672">
        <v>50.000250000000001</v>
      </c>
      <c r="D188" s="672">
        <v>49.461759200000003</v>
      </c>
      <c r="E188" s="673">
        <v>92.852561269384722</v>
      </c>
      <c r="F188" s="671">
        <v>0.63495770000000007</v>
      </c>
      <c r="G188" s="672">
        <v>0.58204455833333335</v>
      </c>
      <c r="H188" s="672">
        <v>8.2650000000000001E-2</v>
      </c>
      <c r="I188" s="672">
        <v>0.28761999999999999</v>
      </c>
      <c r="J188" s="672">
        <v>-0.29442455833333336</v>
      </c>
      <c r="K188" s="674">
        <v>0.45297505644864211</v>
      </c>
      <c r="L188" s="254"/>
      <c r="M188" s="670" t="str">
        <f t="shared" si="2"/>
        <v/>
      </c>
    </row>
    <row r="189" spans="1:13" ht="14.45" customHeight="1" x14ac:dyDescent="0.2">
      <c r="A189" s="675" t="s">
        <v>490</v>
      </c>
      <c r="B189" s="671">
        <v>0</v>
      </c>
      <c r="C189" s="672">
        <v>121.25784</v>
      </c>
      <c r="D189" s="672">
        <v>121.25784</v>
      </c>
      <c r="E189" s="673">
        <v>0</v>
      </c>
      <c r="F189" s="671">
        <v>587.71698760000004</v>
      </c>
      <c r="G189" s="672">
        <v>538.74057196666672</v>
      </c>
      <c r="H189" s="672">
        <v>0</v>
      </c>
      <c r="I189" s="672">
        <v>152.33840000000001</v>
      </c>
      <c r="J189" s="672">
        <v>-386.40217196666674</v>
      </c>
      <c r="K189" s="674">
        <v>0.25920366981748955</v>
      </c>
      <c r="L189" s="254"/>
      <c r="M189" s="670" t="str">
        <f t="shared" si="2"/>
        <v>X</v>
      </c>
    </row>
    <row r="190" spans="1:13" ht="14.45" customHeight="1" x14ac:dyDescent="0.2">
      <c r="A190" s="675" t="s">
        <v>491</v>
      </c>
      <c r="B190" s="671">
        <v>0</v>
      </c>
      <c r="C190" s="672">
        <v>0</v>
      </c>
      <c r="D190" s="672">
        <v>0</v>
      </c>
      <c r="E190" s="673">
        <v>0</v>
      </c>
      <c r="F190" s="671">
        <v>68.252319600000007</v>
      </c>
      <c r="G190" s="672">
        <v>62.5646263</v>
      </c>
      <c r="H190" s="672">
        <v>0</v>
      </c>
      <c r="I190" s="672">
        <v>0</v>
      </c>
      <c r="J190" s="672">
        <v>-62.5646263</v>
      </c>
      <c r="K190" s="674">
        <v>0</v>
      </c>
      <c r="L190" s="254"/>
      <c r="M190" s="670" t="str">
        <f t="shared" si="2"/>
        <v/>
      </c>
    </row>
    <row r="191" spans="1:13" ht="14.45" customHeight="1" x14ac:dyDescent="0.2">
      <c r="A191" s="675" t="s">
        <v>492</v>
      </c>
      <c r="B191" s="671">
        <v>0</v>
      </c>
      <c r="C191" s="672">
        <v>121.25784</v>
      </c>
      <c r="D191" s="672">
        <v>121.25784</v>
      </c>
      <c r="E191" s="673">
        <v>0</v>
      </c>
      <c r="F191" s="671">
        <v>519.46466799999996</v>
      </c>
      <c r="G191" s="672">
        <v>476.17594566666668</v>
      </c>
      <c r="H191" s="672">
        <v>0</v>
      </c>
      <c r="I191" s="672">
        <v>152.33840000000001</v>
      </c>
      <c r="J191" s="672">
        <v>-323.83754566666664</v>
      </c>
      <c r="K191" s="674">
        <v>0.29326036857621279</v>
      </c>
      <c r="L191" s="254"/>
      <c r="M191" s="670" t="str">
        <f t="shared" si="2"/>
        <v/>
      </c>
    </row>
    <row r="192" spans="1:13" ht="14.45" customHeight="1" x14ac:dyDescent="0.2">
      <c r="A192" s="675" t="s">
        <v>493</v>
      </c>
      <c r="B192" s="671">
        <v>0</v>
      </c>
      <c r="C192" s="672">
        <v>101323.73965</v>
      </c>
      <c r="D192" s="672">
        <v>101323.73965</v>
      </c>
      <c r="E192" s="673">
        <v>0</v>
      </c>
      <c r="F192" s="671">
        <v>79025.3738036</v>
      </c>
      <c r="G192" s="672">
        <v>72439.92598663333</v>
      </c>
      <c r="H192" s="672">
        <v>1549.02379</v>
      </c>
      <c r="I192" s="672">
        <v>87292.049109999993</v>
      </c>
      <c r="J192" s="672">
        <v>14852.123123366662</v>
      </c>
      <c r="K192" s="674">
        <v>1.1046078608491618</v>
      </c>
      <c r="L192" s="254"/>
      <c r="M192" s="670" t="str">
        <f t="shared" si="2"/>
        <v>X</v>
      </c>
    </row>
    <row r="193" spans="1:13" ht="14.45" customHeight="1" x14ac:dyDescent="0.2">
      <c r="A193" s="675" t="s">
        <v>494</v>
      </c>
      <c r="B193" s="671">
        <v>0</v>
      </c>
      <c r="C193" s="672">
        <v>101323.73965</v>
      </c>
      <c r="D193" s="672">
        <v>101323.73965</v>
      </c>
      <c r="E193" s="673">
        <v>0</v>
      </c>
      <c r="F193" s="671">
        <v>79025.3738036</v>
      </c>
      <c r="G193" s="672">
        <v>72439.92598663333</v>
      </c>
      <c r="H193" s="672">
        <v>1549.02379</v>
      </c>
      <c r="I193" s="672">
        <v>87292.049109999993</v>
      </c>
      <c r="J193" s="672">
        <v>14852.123123366662</v>
      </c>
      <c r="K193" s="674">
        <v>1.1046078608491618</v>
      </c>
      <c r="L193" s="254"/>
      <c r="M193" s="670" t="str">
        <f t="shared" si="2"/>
        <v/>
      </c>
    </row>
    <row r="194" spans="1:13" ht="14.45" customHeight="1" x14ac:dyDescent="0.2">
      <c r="A194" s="675" t="s">
        <v>495</v>
      </c>
      <c r="B194" s="671">
        <v>0</v>
      </c>
      <c r="C194" s="672">
        <v>3000.60826</v>
      </c>
      <c r="D194" s="672">
        <v>3000.60826</v>
      </c>
      <c r="E194" s="673">
        <v>0</v>
      </c>
      <c r="F194" s="671">
        <v>0</v>
      </c>
      <c r="G194" s="672">
        <v>0</v>
      </c>
      <c r="H194" s="672">
        <v>114.50239000000001</v>
      </c>
      <c r="I194" s="672">
        <v>3436.3100600000002</v>
      </c>
      <c r="J194" s="672">
        <v>3436.3100600000002</v>
      </c>
      <c r="K194" s="674">
        <v>0</v>
      </c>
      <c r="L194" s="254"/>
      <c r="M194" s="670" t="str">
        <f t="shared" si="2"/>
        <v>X</v>
      </c>
    </row>
    <row r="195" spans="1:13" ht="14.45" customHeight="1" x14ac:dyDescent="0.2">
      <c r="A195" s="675" t="s">
        <v>496</v>
      </c>
      <c r="B195" s="671">
        <v>0</v>
      </c>
      <c r="C195" s="672">
        <v>3000.60826</v>
      </c>
      <c r="D195" s="672">
        <v>3000.60826</v>
      </c>
      <c r="E195" s="673">
        <v>0</v>
      </c>
      <c r="F195" s="671">
        <v>0</v>
      </c>
      <c r="G195" s="672">
        <v>0</v>
      </c>
      <c r="H195" s="672">
        <v>114.50239000000001</v>
      </c>
      <c r="I195" s="672">
        <v>3436.3100600000002</v>
      </c>
      <c r="J195" s="672">
        <v>3436.3100600000002</v>
      </c>
      <c r="K195" s="674">
        <v>0</v>
      </c>
      <c r="L195" s="254"/>
      <c r="M195" s="670" t="str">
        <f t="shared" si="2"/>
        <v/>
      </c>
    </row>
    <row r="196" spans="1:13" ht="14.45" customHeight="1" x14ac:dyDescent="0.2">
      <c r="A196" s="675" t="s">
        <v>497</v>
      </c>
      <c r="B196" s="671">
        <v>0</v>
      </c>
      <c r="C196" s="672">
        <v>25.795950000000001</v>
      </c>
      <c r="D196" s="672">
        <v>25.795950000000001</v>
      </c>
      <c r="E196" s="673">
        <v>0</v>
      </c>
      <c r="F196" s="671">
        <v>1.0973923999999999</v>
      </c>
      <c r="G196" s="672">
        <v>1.0059430333333332</v>
      </c>
      <c r="H196" s="672">
        <v>0</v>
      </c>
      <c r="I196" s="672">
        <v>46.919870000000003</v>
      </c>
      <c r="J196" s="672">
        <v>45.913926966666672</v>
      </c>
      <c r="K196" s="674">
        <v>42.755781796921511</v>
      </c>
      <c r="L196" s="254"/>
      <c r="M196" s="670" t="str">
        <f t="shared" si="2"/>
        <v/>
      </c>
    </row>
    <row r="197" spans="1:13" ht="14.45" customHeight="1" x14ac:dyDescent="0.2">
      <c r="A197" s="675" t="s">
        <v>498</v>
      </c>
      <c r="B197" s="671">
        <v>0</v>
      </c>
      <c r="C197" s="672">
        <v>25.75</v>
      </c>
      <c r="D197" s="672">
        <v>25.75</v>
      </c>
      <c r="E197" s="673">
        <v>0</v>
      </c>
      <c r="F197" s="671">
        <v>0</v>
      </c>
      <c r="G197" s="672">
        <v>0</v>
      </c>
      <c r="H197" s="672">
        <v>0</v>
      </c>
      <c r="I197" s="672">
        <v>28.75</v>
      </c>
      <c r="J197" s="672">
        <v>28.75</v>
      </c>
      <c r="K197" s="674">
        <v>0</v>
      </c>
      <c r="L197" s="254"/>
      <c r="M197" s="670" t="str">
        <f t="shared" si="2"/>
        <v/>
      </c>
    </row>
    <row r="198" spans="1:13" ht="14.45" customHeight="1" x14ac:dyDescent="0.2">
      <c r="A198" s="675" t="s">
        <v>499</v>
      </c>
      <c r="B198" s="671">
        <v>0</v>
      </c>
      <c r="C198" s="672">
        <v>25.75</v>
      </c>
      <c r="D198" s="672">
        <v>25.75</v>
      </c>
      <c r="E198" s="673">
        <v>0</v>
      </c>
      <c r="F198" s="671">
        <v>0</v>
      </c>
      <c r="G198" s="672">
        <v>0</v>
      </c>
      <c r="H198" s="672">
        <v>0</v>
      </c>
      <c r="I198" s="672">
        <v>28.75</v>
      </c>
      <c r="J198" s="672">
        <v>28.75</v>
      </c>
      <c r="K198" s="674">
        <v>0</v>
      </c>
      <c r="L198" s="254"/>
      <c r="M198" s="670" t="str">
        <f t="shared" ref="M198:M261" si="3">IF(A198="HV","HV",IF(OR(LEFT(A198,16)="               5",LEFT(A198,16)="               6",LEFT(A198,16)="               7",LEFT(A198,16)="               8"),"X",""))</f>
        <v>X</v>
      </c>
    </row>
    <row r="199" spans="1:13" ht="14.45" customHeight="1" x14ac:dyDescent="0.2">
      <c r="A199" s="675" t="s">
        <v>500</v>
      </c>
      <c r="B199" s="671">
        <v>0</v>
      </c>
      <c r="C199" s="672">
        <v>25.75</v>
      </c>
      <c r="D199" s="672">
        <v>25.75</v>
      </c>
      <c r="E199" s="673">
        <v>0</v>
      </c>
      <c r="F199" s="671">
        <v>0</v>
      </c>
      <c r="G199" s="672">
        <v>0</v>
      </c>
      <c r="H199" s="672">
        <v>0</v>
      </c>
      <c r="I199" s="672">
        <v>28.75</v>
      </c>
      <c r="J199" s="672">
        <v>28.75</v>
      </c>
      <c r="K199" s="674">
        <v>0</v>
      </c>
      <c r="L199" s="254"/>
      <c r="M199" s="670" t="str">
        <f t="shared" si="3"/>
        <v/>
      </c>
    </row>
    <row r="200" spans="1:13" ht="14.45" customHeight="1" x14ac:dyDescent="0.2">
      <c r="A200" s="675" t="s">
        <v>501</v>
      </c>
      <c r="B200" s="671">
        <v>0</v>
      </c>
      <c r="C200" s="672">
        <v>4.5950000000000005E-2</v>
      </c>
      <c r="D200" s="672">
        <v>4.5950000000000005E-2</v>
      </c>
      <c r="E200" s="673">
        <v>0</v>
      </c>
      <c r="F200" s="671">
        <v>1.0973923999999999</v>
      </c>
      <c r="G200" s="672">
        <v>1.0059430333333332</v>
      </c>
      <c r="H200" s="672">
        <v>0</v>
      </c>
      <c r="I200" s="672">
        <v>18.16987</v>
      </c>
      <c r="J200" s="672">
        <v>17.163926966666665</v>
      </c>
      <c r="K200" s="674">
        <v>16.557313500622019</v>
      </c>
      <c r="L200" s="254"/>
      <c r="M200" s="670" t="str">
        <f t="shared" si="3"/>
        <v/>
      </c>
    </row>
    <row r="201" spans="1:13" ht="14.45" customHeight="1" x14ac:dyDescent="0.2">
      <c r="A201" s="675" t="s">
        <v>502</v>
      </c>
      <c r="B201" s="671">
        <v>0</v>
      </c>
      <c r="C201" s="672">
        <v>-5.0000000000000002E-5</v>
      </c>
      <c r="D201" s="672">
        <v>-5.0000000000000002E-5</v>
      </c>
      <c r="E201" s="673">
        <v>0</v>
      </c>
      <c r="F201" s="671">
        <v>0</v>
      </c>
      <c r="G201" s="672">
        <v>0</v>
      </c>
      <c r="H201" s="672">
        <v>0</v>
      </c>
      <c r="I201" s="672">
        <v>6.23787</v>
      </c>
      <c r="J201" s="672">
        <v>6.23787</v>
      </c>
      <c r="K201" s="674">
        <v>0</v>
      </c>
      <c r="L201" s="254"/>
      <c r="M201" s="670" t="str">
        <f t="shared" si="3"/>
        <v>X</v>
      </c>
    </row>
    <row r="202" spans="1:13" ht="14.45" customHeight="1" x14ac:dyDescent="0.2">
      <c r="A202" s="675" t="s">
        <v>503</v>
      </c>
      <c r="B202" s="671">
        <v>0</v>
      </c>
      <c r="C202" s="672">
        <v>-5.0000000000000002E-5</v>
      </c>
      <c r="D202" s="672">
        <v>-5.0000000000000002E-5</v>
      </c>
      <c r="E202" s="673">
        <v>0</v>
      </c>
      <c r="F202" s="671">
        <v>0</v>
      </c>
      <c r="G202" s="672">
        <v>0</v>
      </c>
      <c r="H202" s="672">
        <v>0</v>
      </c>
      <c r="I202" s="672">
        <v>-2.3000000000000001E-4</v>
      </c>
      <c r="J202" s="672">
        <v>-2.3000000000000001E-4</v>
      </c>
      <c r="K202" s="674">
        <v>0</v>
      </c>
      <c r="L202" s="254"/>
      <c r="M202" s="670" t="str">
        <f t="shared" si="3"/>
        <v/>
      </c>
    </row>
    <row r="203" spans="1:13" ht="14.45" customHeight="1" x14ac:dyDescent="0.2">
      <c r="A203" s="675" t="s">
        <v>504</v>
      </c>
      <c r="B203" s="671">
        <v>0</v>
      </c>
      <c r="C203" s="672">
        <v>0</v>
      </c>
      <c r="D203" s="672">
        <v>0</v>
      </c>
      <c r="E203" s="673">
        <v>0</v>
      </c>
      <c r="F203" s="671">
        <v>0</v>
      </c>
      <c r="G203" s="672">
        <v>0</v>
      </c>
      <c r="H203" s="672">
        <v>0</v>
      </c>
      <c r="I203" s="672">
        <v>6.2381000000000002</v>
      </c>
      <c r="J203" s="672">
        <v>6.2381000000000002</v>
      </c>
      <c r="K203" s="674">
        <v>0</v>
      </c>
      <c r="L203" s="254"/>
      <c r="M203" s="670" t="str">
        <f t="shared" si="3"/>
        <v/>
      </c>
    </row>
    <row r="204" spans="1:13" ht="14.45" customHeight="1" x14ac:dyDescent="0.2">
      <c r="A204" s="675" t="s">
        <v>505</v>
      </c>
      <c r="B204" s="671">
        <v>0</v>
      </c>
      <c r="C204" s="672">
        <v>4.5999999999999999E-2</v>
      </c>
      <c r="D204" s="672">
        <v>4.5999999999999999E-2</v>
      </c>
      <c r="E204" s="673">
        <v>0</v>
      </c>
      <c r="F204" s="671">
        <v>1.0973923999999999</v>
      </c>
      <c r="G204" s="672">
        <v>1.0059430333333332</v>
      </c>
      <c r="H204" s="672">
        <v>0</v>
      </c>
      <c r="I204" s="672">
        <v>0</v>
      </c>
      <c r="J204" s="672">
        <v>-1.0059430333333332</v>
      </c>
      <c r="K204" s="674">
        <v>0</v>
      </c>
      <c r="L204" s="254"/>
      <c r="M204" s="670" t="str">
        <f t="shared" si="3"/>
        <v>X</v>
      </c>
    </row>
    <row r="205" spans="1:13" ht="14.45" customHeight="1" x14ac:dyDescent="0.2">
      <c r="A205" s="675" t="s">
        <v>506</v>
      </c>
      <c r="B205" s="671">
        <v>0</v>
      </c>
      <c r="C205" s="672">
        <v>4.5999999999999999E-2</v>
      </c>
      <c r="D205" s="672">
        <v>4.5999999999999999E-2</v>
      </c>
      <c r="E205" s="673">
        <v>0</v>
      </c>
      <c r="F205" s="671">
        <v>1.0973923999999999</v>
      </c>
      <c r="G205" s="672">
        <v>1.0059430333333332</v>
      </c>
      <c r="H205" s="672">
        <v>0</v>
      </c>
      <c r="I205" s="672">
        <v>0</v>
      </c>
      <c r="J205" s="672">
        <v>-1.0059430333333332</v>
      </c>
      <c r="K205" s="674">
        <v>0</v>
      </c>
      <c r="L205" s="254"/>
      <c r="M205" s="670" t="str">
        <f t="shared" si="3"/>
        <v/>
      </c>
    </row>
    <row r="206" spans="1:13" ht="14.45" customHeight="1" x14ac:dyDescent="0.2">
      <c r="A206" s="675" t="s">
        <v>507</v>
      </c>
      <c r="B206" s="671">
        <v>0</v>
      </c>
      <c r="C206" s="672">
        <v>0</v>
      </c>
      <c r="D206" s="672">
        <v>0</v>
      </c>
      <c r="E206" s="673">
        <v>0</v>
      </c>
      <c r="F206" s="671">
        <v>0</v>
      </c>
      <c r="G206" s="672">
        <v>0</v>
      </c>
      <c r="H206" s="672">
        <v>0</v>
      </c>
      <c r="I206" s="672">
        <v>11.932</v>
      </c>
      <c r="J206" s="672">
        <v>11.932</v>
      </c>
      <c r="K206" s="674">
        <v>0</v>
      </c>
      <c r="L206" s="254"/>
      <c r="M206" s="670" t="str">
        <f t="shared" si="3"/>
        <v>X</v>
      </c>
    </row>
    <row r="207" spans="1:13" ht="14.45" customHeight="1" x14ac:dyDescent="0.2">
      <c r="A207" s="675" t="s">
        <v>508</v>
      </c>
      <c r="B207" s="671">
        <v>0</v>
      </c>
      <c r="C207" s="672">
        <v>0</v>
      </c>
      <c r="D207" s="672">
        <v>0</v>
      </c>
      <c r="E207" s="673">
        <v>0</v>
      </c>
      <c r="F207" s="671">
        <v>0</v>
      </c>
      <c r="G207" s="672">
        <v>0</v>
      </c>
      <c r="H207" s="672">
        <v>0</v>
      </c>
      <c r="I207" s="672">
        <v>11.932</v>
      </c>
      <c r="J207" s="672">
        <v>11.932</v>
      </c>
      <c r="K207" s="674">
        <v>0</v>
      </c>
      <c r="L207" s="254"/>
      <c r="M207" s="670" t="str">
        <f t="shared" si="3"/>
        <v/>
      </c>
    </row>
    <row r="208" spans="1:13" ht="14.45" customHeight="1" x14ac:dyDescent="0.2">
      <c r="A208" s="675" t="s">
        <v>509</v>
      </c>
      <c r="B208" s="671">
        <v>0</v>
      </c>
      <c r="C208" s="672">
        <v>5379.1556399999999</v>
      </c>
      <c r="D208" s="672">
        <v>5379.1556399999999</v>
      </c>
      <c r="E208" s="673">
        <v>0</v>
      </c>
      <c r="F208" s="671">
        <v>0</v>
      </c>
      <c r="G208" s="672">
        <v>0</v>
      </c>
      <c r="H208" s="672">
        <v>164.45580999999999</v>
      </c>
      <c r="I208" s="672">
        <v>6155.7505099999998</v>
      </c>
      <c r="J208" s="672">
        <v>6155.7505099999998</v>
      </c>
      <c r="K208" s="674">
        <v>0</v>
      </c>
      <c r="L208" s="254"/>
      <c r="M208" s="670" t="str">
        <f t="shared" si="3"/>
        <v/>
      </c>
    </row>
    <row r="209" spans="1:13" ht="14.45" customHeight="1" x14ac:dyDescent="0.2">
      <c r="A209" s="675" t="s">
        <v>510</v>
      </c>
      <c r="B209" s="671">
        <v>0</v>
      </c>
      <c r="C209" s="672">
        <v>5379.1556399999999</v>
      </c>
      <c r="D209" s="672">
        <v>5379.1556399999999</v>
      </c>
      <c r="E209" s="673">
        <v>0</v>
      </c>
      <c r="F209" s="671">
        <v>0</v>
      </c>
      <c r="G209" s="672">
        <v>0</v>
      </c>
      <c r="H209" s="672">
        <v>164.45580999999999</v>
      </c>
      <c r="I209" s="672">
        <v>6155.7505099999998</v>
      </c>
      <c r="J209" s="672">
        <v>6155.7505099999998</v>
      </c>
      <c r="K209" s="674">
        <v>0</v>
      </c>
      <c r="L209" s="254"/>
      <c r="M209" s="670" t="str">
        <f t="shared" si="3"/>
        <v/>
      </c>
    </row>
    <row r="210" spans="1:13" ht="14.45" customHeight="1" x14ac:dyDescent="0.2">
      <c r="A210" s="675" t="s">
        <v>511</v>
      </c>
      <c r="B210" s="671">
        <v>0</v>
      </c>
      <c r="C210" s="672">
        <v>5379.1556399999999</v>
      </c>
      <c r="D210" s="672">
        <v>5379.1556399999999</v>
      </c>
      <c r="E210" s="673">
        <v>0</v>
      </c>
      <c r="F210" s="671">
        <v>0</v>
      </c>
      <c r="G210" s="672">
        <v>0</v>
      </c>
      <c r="H210" s="672">
        <v>164.45580999999999</v>
      </c>
      <c r="I210" s="672">
        <v>6155.7505099999998</v>
      </c>
      <c r="J210" s="672">
        <v>6155.7505099999998</v>
      </c>
      <c r="K210" s="674">
        <v>0</v>
      </c>
      <c r="L210" s="254"/>
      <c r="M210" s="670" t="str">
        <f t="shared" si="3"/>
        <v>X</v>
      </c>
    </row>
    <row r="211" spans="1:13" ht="14.45" customHeight="1" x14ac:dyDescent="0.2">
      <c r="A211" s="675" t="s">
        <v>512</v>
      </c>
      <c r="B211" s="671">
        <v>0</v>
      </c>
      <c r="C211" s="672">
        <v>5379.1556399999999</v>
      </c>
      <c r="D211" s="672">
        <v>5379.1556399999999</v>
      </c>
      <c r="E211" s="673">
        <v>0</v>
      </c>
      <c r="F211" s="671">
        <v>0</v>
      </c>
      <c r="G211" s="672">
        <v>0</v>
      </c>
      <c r="H211" s="672">
        <v>164.45580999999999</v>
      </c>
      <c r="I211" s="672">
        <v>6155.7505099999998</v>
      </c>
      <c r="J211" s="672">
        <v>6155.7505099999998</v>
      </c>
      <c r="K211" s="674">
        <v>0</v>
      </c>
      <c r="L211" s="254"/>
      <c r="M211" s="670" t="str">
        <f t="shared" si="3"/>
        <v/>
      </c>
    </row>
    <row r="212" spans="1:13" ht="14.45" customHeight="1" x14ac:dyDescent="0.2">
      <c r="A212" s="675" t="s">
        <v>513</v>
      </c>
      <c r="B212" s="671">
        <v>0</v>
      </c>
      <c r="C212" s="672">
        <v>11752.31539</v>
      </c>
      <c r="D212" s="672">
        <v>11752.31539</v>
      </c>
      <c r="E212" s="673">
        <v>0</v>
      </c>
      <c r="F212" s="671">
        <v>0</v>
      </c>
      <c r="G212" s="672">
        <v>0</v>
      </c>
      <c r="H212" s="672">
        <v>926.7724300000001</v>
      </c>
      <c r="I212" s="672">
        <v>12814.11686</v>
      </c>
      <c r="J212" s="672">
        <v>12814.11686</v>
      </c>
      <c r="K212" s="674">
        <v>0</v>
      </c>
      <c r="L212" s="254"/>
      <c r="M212" s="670" t="str">
        <f t="shared" si="3"/>
        <v/>
      </c>
    </row>
    <row r="213" spans="1:13" ht="14.45" customHeight="1" x14ac:dyDescent="0.2">
      <c r="A213" s="675" t="s">
        <v>514</v>
      </c>
      <c r="B213" s="671">
        <v>0</v>
      </c>
      <c r="C213" s="672">
        <v>11752.31539</v>
      </c>
      <c r="D213" s="672">
        <v>11752.31539</v>
      </c>
      <c r="E213" s="673">
        <v>0</v>
      </c>
      <c r="F213" s="671">
        <v>0</v>
      </c>
      <c r="G213" s="672">
        <v>0</v>
      </c>
      <c r="H213" s="672">
        <v>926.7724300000001</v>
      </c>
      <c r="I213" s="672">
        <v>12814.11686</v>
      </c>
      <c r="J213" s="672">
        <v>12814.11686</v>
      </c>
      <c r="K213" s="674">
        <v>0</v>
      </c>
      <c r="L213" s="254"/>
      <c r="M213" s="670" t="str">
        <f t="shared" si="3"/>
        <v/>
      </c>
    </row>
    <row r="214" spans="1:13" ht="14.45" customHeight="1" x14ac:dyDescent="0.2">
      <c r="A214" s="675" t="s">
        <v>515</v>
      </c>
      <c r="B214" s="671">
        <v>0</v>
      </c>
      <c r="C214" s="672">
        <v>11752.31539</v>
      </c>
      <c r="D214" s="672">
        <v>11752.31539</v>
      </c>
      <c r="E214" s="673">
        <v>0</v>
      </c>
      <c r="F214" s="671">
        <v>0</v>
      </c>
      <c r="G214" s="672">
        <v>0</v>
      </c>
      <c r="H214" s="672">
        <v>926.7724300000001</v>
      </c>
      <c r="I214" s="672">
        <v>12814.11686</v>
      </c>
      <c r="J214" s="672">
        <v>12814.11686</v>
      </c>
      <c r="K214" s="674">
        <v>0</v>
      </c>
      <c r="L214" s="254"/>
      <c r="M214" s="670" t="str">
        <f t="shared" si="3"/>
        <v/>
      </c>
    </row>
    <row r="215" spans="1:13" ht="14.45" customHeight="1" x14ac:dyDescent="0.2">
      <c r="A215" s="675" t="s">
        <v>516</v>
      </c>
      <c r="B215" s="671">
        <v>0</v>
      </c>
      <c r="C215" s="672">
        <v>367.98849999999999</v>
      </c>
      <c r="D215" s="672">
        <v>367.98849999999999</v>
      </c>
      <c r="E215" s="673">
        <v>0</v>
      </c>
      <c r="F215" s="671">
        <v>0</v>
      </c>
      <c r="G215" s="672">
        <v>0</v>
      </c>
      <c r="H215" s="672">
        <v>41.546039999999998</v>
      </c>
      <c r="I215" s="672">
        <v>386.66265999999996</v>
      </c>
      <c r="J215" s="672">
        <v>386.66265999999996</v>
      </c>
      <c r="K215" s="674">
        <v>0</v>
      </c>
      <c r="L215" s="254"/>
      <c r="M215" s="670" t="str">
        <f t="shared" si="3"/>
        <v>X</v>
      </c>
    </row>
    <row r="216" spans="1:13" ht="14.45" customHeight="1" x14ac:dyDescent="0.2">
      <c r="A216" s="675" t="s">
        <v>517</v>
      </c>
      <c r="B216" s="671">
        <v>0</v>
      </c>
      <c r="C216" s="672">
        <v>367.98849999999999</v>
      </c>
      <c r="D216" s="672">
        <v>367.98849999999999</v>
      </c>
      <c r="E216" s="673">
        <v>0</v>
      </c>
      <c r="F216" s="671">
        <v>0</v>
      </c>
      <c r="G216" s="672">
        <v>0</v>
      </c>
      <c r="H216" s="672">
        <v>41.546039999999998</v>
      </c>
      <c r="I216" s="672">
        <v>386.66265999999996</v>
      </c>
      <c r="J216" s="672">
        <v>386.66265999999996</v>
      </c>
      <c r="K216" s="674">
        <v>0</v>
      </c>
      <c r="L216" s="254"/>
      <c r="M216" s="670" t="str">
        <f t="shared" si="3"/>
        <v/>
      </c>
    </row>
    <row r="217" spans="1:13" ht="14.45" customHeight="1" x14ac:dyDescent="0.2">
      <c r="A217" s="675" t="s">
        <v>518</v>
      </c>
      <c r="B217" s="671">
        <v>0</v>
      </c>
      <c r="C217" s="672">
        <v>13.59</v>
      </c>
      <c r="D217" s="672">
        <v>13.59</v>
      </c>
      <c r="E217" s="673">
        <v>0</v>
      </c>
      <c r="F217" s="671">
        <v>0</v>
      </c>
      <c r="G217" s="672">
        <v>0</v>
      </c>
      <c r="H217" s="672">
        <v>3.4</v>
      </c>
      <c r="I217" s="672">
        <v>31.45</v>
      </c>
      <c r="J217" s="672">
        <v>31.45</v>
      </c>
      <c r="K217" s="674">
        <v>0</v>
      </c>
      <c r="L217" s="254"/>
      <c r="M217" s="670" t="str">
        <f t="shared" si="3"/>
        <v>X</v>
      </c>
    </row>
    <row r="218" spans="1:13" ht="14.45" customHeight="1" x14ac:dyDescent="0.2">
      <c r="A218" s="675" t="s">
        <v>519</v>
      </c>
      <c r="B218" s="671">
        <v>0</v>
      </c>
      <c r="C218" s="672">
        <v>12.91</v>
      </c>
      <c r="D218" s="672">
        <v>12.91</v>
      </c>
      <c r="E218" s="673">
        <v>0</v>
      </c>
      <c r="F218" s="671">
        <v>0</v>
      </c>
      <c r="G218" s="672">
        <v>0</v>
      </c>
      <c r="H218" s="672">
        <v>0.68</v>
      </c>
      <c r="I218" s="672">
        <v>19.04</v>
      </c>
      <c r="J218" s="672">
        <v>19.04</v>
      </c>
      <c r="K218" s="674">
        <v>0</v>
      </c>
      <c r="L218" s="254"/>
      <c r="M218" s="670" t="str">
        <f t="shared" si="3"/>
        <v/>
      </c>
    </row>
    <row r="219" spans="1:13" ht="14.45" customHeight="1" x14ac:dyDescent="0.2">
      <c r="A219" s="675" t="s">
        <v>520</v>
      </c>
      <c r="B219" s="671">
        <v>0</v>
      </c>
      <c r="C219" s="672">
        <v>0.68</v>
      </c>
      <c r="D219" s="672">
        <v>0.68</v>
      </c>
      <c r="E219" s="673">
        <v>0</v>
      </c>
      <c r="F219" s="671">
        <v>0</v>
      </c>
      <c r="G219" s="672">
        <v>0</v>
      </c>
      <c r="H219" s="672">
        <v>2.72</v>
      </c>
      <c r="I219" s="672">
        <v>12.41</v>
      </c>
      <c r="J219" s="672">
        <v>12.41</v>
      </c>
      <c r="K219" s="674">
        <v>0</v>
      </c>
      <c r="L219" s="254"/>
      <c r="M219" s="670" t="str">
        <f t="shared" si="3"/>
        <v/>
      </c>
    </row>
    <row r="220" spans="1:13" ht="14.45" customHeight="1" x14ac:dyDescent="0.2">
      <c r="A220" s="675" t="s">
        <v>521</v>
      </c>
      <c r="B220" s="671">
        <v>0</v>
      </c>
      <c r="C220" s="672">
        <v>127.49472</v>
      </c>
      <c r="D220" s="672">
        <v>127.49472</v>
      </c>
      <c r="E220" s="673">
        <v>0</v>
      </c>
      <c r="F220" s="671">
        <v>0</v>
      </c>
      <c r="G220" s="672">
        <v>0</v>
      </c>
      <c r="H220" s="672">
        <v>8.5899599999999996</v>
      </c>
      <c r="I220" s="672">
        <v>123.59447999999999</v>
      </c>
      <c r="J220" s="672">
        <v>123.59447999999999</v>
      </c>
      <c r="K220" s="674">
        <v>0</v>
      </c>
      <c r="L220" s="254"/>
      <c r="M220" s="670" t="str">
        <f t="shared" si="3"/>
        <v>X</v>
      </c>
    </row>
    <row r="221" spans="1:13" ht="14.45" customHeight="1" x14ac:dyDescent="0.2">
      <c r="A221" s="675" t="s">
        <v>522</v>
      </c>
      <c r="B221" s="671">
        <v>0</v>
      </c>
      <c r="C221" s="672">
        <v>109.89</v>
      </c>
      <c r="D221" s="672">
        <v>109.89</v>
      </c>
      <c r="E221" s="673">
        <v>0</v>
      </c>
      <c r="F221" s="671">
        <v>0</v>
      </c>
      <c r="G221" s="672">
        <v>0</v>
      </c>
      <c r="H221" s="672">
        <v>5.55</v>
      </c>
      <c r="I221" s="672">
        <v>102.586</v>
      </c>
      <c r="J221" s="672">
        <v>102.586</v>
      </c>
      <c r="K221" s="674">
        <v>0</v>
      </c>
      <c r="L221" s="254"/>
      <c r="M221" s="670" t="str">
        <f t="shared" si="3"/>
        <v/>
      </c>
    </row>
    <row r="222" spans="1:13" ht="14.45" customHeight="1" x14ac:dyDescent="0.2">
      <c r="A222" s="675" t="s">
        <v>523</v>
      </c>
      <c r="B222" s="671">
        <v>0</v>
      </c>
      <c r="C222" s="672">
        <v>0</v>
      </c>
      <c r="D222" s="672">
        <v>0</v>
      </c>
      <c r="E222" s="673">
        <v>0</v>
      </c>
      <c r="F222" s="671">
        <v>0</v>
      </c>
      <c r="G222" s="672">
        <v>0</v>
      </c>
      <c r="H222" s="672">
        <v>0</v>
      </c>
      <c r="I222" s="672">
        <v>3.4802</v>
      </c>
      <c r="J222" s="672">
        <v>3.4802</v>
      </c>
      <c r="K222" s="674">
        <v>0</v>
      </c>
      <c r="L222" s="254"/>
      <c r="M222" s="670" t="str">
        <f t="shared" si="3"/>
        <v/>
      </c>
    </row>
    <row r="223" spans="1:13" ht="14.45" customHeight="1" x14ac:dyDescent="0.2">
      <c r="A223" s="675" t="s">
        <v>524</v>
      </c>
      <c r="B223" s="671">
        <v>0</v>
      </c>
      <c r="C223" s="672">
        <v>17.60472</v>
      </c>
      <c r="D223" s="672">
        <v>17.60472</v>
      </c>
      <c r="E223" s="673">
        <v>0</v>
      </c>
      <c r="F223" s="671">
        <v>0</v>
      </c>
      <c r="G223" s="672">
        <v>0</v>
      </c>
      <c r="H223" s="672">
        <v>3.0399600000000002</v>
      </c>
      <c r="I223" s="672">
        <v>17.528279999999999</v>
      </c>
      <c r="J223" s="672">
        <v>17.528279999999999</v>
      </c>
      <c r="K223" s="674">
        <v>0</v>
      </c>
      <c r="L223" s="254"/>
      <c r="M223" s="670" t="str">
        <f t="shared" si="3"/>
        <v/>
      </c>
    </row>
    <row r="224" spans="1:13" ht="14.45" customHeight="1" x14ac:dyDescent="0.2">
      <c r="A224" s="675" t="s">
        <v>525</v>
      </c>
      <c r="B224" s="671">
        <v>0</v>
      </c>
      <c r="C224" s="672">
        <v>200.95119</v>
      </c>
      <c r="D224" s="672">
        <v>200.95119</v>
      </c>
      <c r="E224" s="673">
        <v>0</v>
      </c>
      <c r="F224" s="671">
        <v>0</v>
      </c>
      <c r="G224" s="672">
        <v>0</v>
      </c>
      <c r="H224" s="672">
        <v>22.40363</v>
      </c>
      <c r="I224" s="672">
        <v>163.91844</v>
      </c>
      <c r="J224" s="672">
        <v>163.91844</v>
      </c>
      <c r="K224" s="674">
        <v>0</v>
      </c>
      <c r="L224" s="254"/>
      <c r="M224" s="670" t="str">
        <f t="shared" si="3"/>
        <v>X</v>
      </c>
    </row>
    <row r="225" spans="1:13" ht="14.45" customHeight="1" x14ac:dyDescent="0.2">
      <c r="A225" s="675" t="s">
        <v>526</v>
      </c>
      <c r="B225" s="671">
        <v>0</v>
      </c>
      <c r="C225" s="672">
        <v>200.95119</v>
      </c>
      <c r="D225" s="672">
        <v>200.95119</v>
      </c>
      <c r="E225" s="673">
        <v>0</v>
      </c>
      <c r="F225" s="671">
        <v>0</v>
      </c>
      <c r="G225" s="672">
        <v>0</v>
      </c>
      <c r="H225" s="672">
        <v>22.40363</v>
      </c>
      <c r="I225" s="672">
        <v>163.91844</v>
      </c>
      <c r="J225" s="672">
        <v>163.91844</v>
      </c>
      <c r="K225" s="674">
        <v>0</v>
      </c>
      <c r="L225" s="254"/>
      <c r="M225" s="670" t="str">
        <f t="shared" si="3"/>
        <v/>
      </c>
    </row>
    <row r="226" spans="1:13" ht="14.45" customHeight="1" x14ac:dyDescent="0.2">
      <c r="A226" s="675" t="s">
        <v>527</v>
      </c>
      <c r="B226" s="671">
        <v>0</v>
      </c>
      <c r="C226" s="672">
        <v>54.338879999999996</v>
      </c>
      <c r="D226" s="672">
        <v>54.338879999999996</v>
      </c>
      <c r="E226" s="673">
        <v>0</v>
      </c>
      <c r="F226" s="671">
        <v>0</v>
      </c>
      <c r="G226" s="672">
        <v>0</v>
      </c>
      <c r="H226" s="672">
        <v>5.5794499999999996</v>
      </c>
      <c r="I226" s="672">
        <v>45.033290000000001</v>
      </c>
      <c r="J226" s="672">
        <v>45.033290000000001</v>
      </c>
      <c r="K226" s="674">
        <v>0</v>
      </c>
      <c r="L226" s="254"/>
      <c r="M226" s="670" t="str">
        <f t="shared" si="3"/>
        <v>X</v>
      </c>
    </row>
    <row r="227" spans="1:13" ht="14.45" customHeight="1" x14ac:dyDescent="0.2">
      <c r="A227" s="675" t="s">
        <v>528</v>
      </c>
      <c r="B227" s="671">
        <v>0</v>
      </c>
      <c r="C227" s="672">
        <v>54.338879999999996</v>
      </c>
      <c r="D227" s="672">
        <v>54.338879999999996</v>
      </c>
      <c r="E227" s="673">
        <v>0</v>
      </c>
      <c r="F227" s="671">
        <v>0</v>
      </c>
      <c r="G227" s="672">
        <v>0</v>
      </c>
      <c r="H227" s="672">
        <v>5.5794499999999996</v>
      </c>
      <c r="I227" s="672">
        <v>45.033290000000001</v>
      </c>
      <c r="J227" s="672">
        <v>45.033290000000001</v>
      </c>
      <c r="K227" s="674">
        <v>0</v>
      </c>
      <c r="L227" s="254"/>
      <c r="M227" s="670" t="str">
        <f t="shared" si="3"/>
        <v/>
      </c>
    </row>
    <row r="228" spans="1:13" ht="14.45" customHeight="1" x14ac:dyDescent="0.2">
      <c r="A228" s="675" t="s">
        <v>529</v>
      </c>
      <c r="B228" s="671">
        <v>0</v>
      </c>
      <c r="C228" s="672">
        <v>1.5509999999999999</v>
      </c>
      <c r="D228" s="672">
        <v>1.5509999999999999</v>
      </c>
      <c r="E228" s="673">
        <v>0</v>
      </c>
      <c r="F228" s="671">
        <v>0</v>
      </c>
      <c r="G228" s="672">
        <v>0</v>
      </c>
      <c r="H228" s="672">
        <v>2.8000000000000001E-2</v>
      </c>
      <c r="I228" s="672">
        <v>1.3540000000000001</v>
      </c>
      <c r="J228" s="672">
        <v>1.3540000000000001</v>
      </c>
      <c r="K228" s="674">
        <v>0</v>
      </c>
      <c r="L228" s="254"/>
      <c r="M228" s="670" t="str">
        <f t="shared" si="3"/>
        <v>X</v>
      </c>
    </row>
    <row r="229" spans="1:13" ht="14.45" customHeight="1" x14ac:dyDescent="0.2">
      <c r="A229" s="675" t="s">
        <v>530</v>
      </c>
      <c r="B229" s="671">
        <v>0</v>
      </c>
      <c r="C229" s="672">
        <v>1.5509999999999999</v>
      </c>
      <c r="D229" s="672">
        <v>1.5509999999999999</v>
      </c>
      <c r="E229" s="673">
        <v>0</v>
      </c>
      <c r="F229" s="671">
        <v>0</v>
      </c>
      <c r="G229" s="672">
        <v>0</v>
      </c>
      <c r="H229" s="672">
        <v>2.8000000000000001E-2</v>
      </c>
      <c r="I229" s="672">
        <v>1.3540000000000001</v>
      </c>
      <c r="J229" s="672">
        <v>1.3540000000000001</v>
      </c>
      <c r="K229" s="674">
        <v>0</v>
      </c>
      <c r="L229" s="254"/>
      <c r="M229" s="670" t="str">
        <f t="shared" si="3"/>
        <v/>
      </c>
    </row>
    <row r="230" spans="1:13" ht="14.45" customHeight="1" x14ac:dyDescent="0.2">
      <c r="A230" s="675" t="s">
        <v>531</v>
      </c>
      <c r="B230" s="671">
        <v>0</v>
      </c>
      <c r="C230" s="672">
        <v>1450.8010200000001</v>
      </c>
      <c r="D230" s="672">
        <v>1450.8010200000001</v>
      </c>
      <c r="E230" s="673">
        <v>0</v>
      </c>
      <c r="F230" s="671">
        <v>0</v>
      </c>
      <c r="G230" s="672">
        <v>0</v>
      </c>
      <c r="H230" s="672">
        <v>83.261710000000008</v>
      </c>
      <c r="I230" s="672">
        <v>1199.4581499999999</v>
      </c>
      <c r="J230" s="672">
        <v>1199.4581499999999</v>
      </c>
      <c r="K230" s="674">
        <v>0</v>
      </c>
      <c r="L230" s="254"/>
      <c r="M230" s="670" t="str">
        <f t="shared" si="3"/>
        <v>X</v>
      </c>
    </row>
    <row r="231" spans="1:13" ht="14.45" customHeight="1" x14ac:dyDescent="0.2">
      <c r="A231" s="675" t="s">
        <v>532</v>
      </c>
      <c r="B231" s="671">
        <v>0</v>
      </c>
      <c r="C231" s="672">
        <v>1450.8010200000001</v>
      </c>
      <c r="D231" s="672">
        <v>1450.8010200000001</v>
      </c>
      <c r="E231" s="673">
        <v>0</v>
      </c>
      <c r="F231" s="671">
        <v>0</v>
      </c>
      <c r="G231" s="672">
        <v>0</v>
      </c>
      <c r="H231" s="672">
        <v>83.261710000000008</v>
      </c>
      <c r="I231" s="672">
        <v>1199.4581499999999</v>
      </c>
      <c r="J231" s="672">
        <v>1199.4581499999999</v>
      </c>
      <c r="K231" s="674">
        <v>0</v>
      </c>
      <c r="L231" s="254"/>
      <c r="M231" s="670" t="str">
        <f t="shared" si="3"/>
        <v/>
      </c>
    </row>
    <row r="232" spans="1:13" ht="14.45" customHeight="1" x14ac:dyDescent="0.2">
      <c r="A232" s="675" t="s">
        <v>533</v>
      </c>
      <c r="B232" s="671">
        <v>0</v>
      </c>
      <c r="C232" s="672">
        <v>2573.5221800000004</v>
      </c>
      <c r="D232" s="672">
        <v>2573.5221800000004</v>
      </c>
      <c r="E232" s="673">
        <v>0</v>
      </c>
      <c r="F232" s="671">
        <v>0</v>
      </c>
      <c r="G232" s="672">
        <v>0</v>
      </c>
      <c r="H232" s="672">
        <v>197.77538000000001</v>
      </c>
      <c r="I232" s="672">
        <v>2618.2381500000001</v>
      </c>
      <c r="J232" s="672">
        <v>2618.2381500000001</v>
      </c>
      <c r="K232" s="674">
        <v>0</v>
      </c>
      <c r="L232" s="254"/>
      <c r="M232" s="670" t="str">
        <f t="shared" si="3"/>
        <v>X</v>
      </c>
    </row>
    <row r="233" spans="1:13" ht="14.45" customHeight="1" x14ac:dyDescent="0.2">
      <c r="A233" s="675" t="s">
        <v>534</v>
      </c>
      <c r="B233" s="671">
        <v>0</v>
      </c>
      <c r="C233" s="672">
        <v>2573.5221800000004</v>
      </c>
      <c r="D233" s="672">
        <v>2573.5221800000004</v>
      </c>
      <c r="E233" s="673">
        <v>0</v>
      </c>
      <c r="F233" s="671">
        <v>0</v>
      </c>
      <c r="G233" s="672">
        <v>0</v>
      </c>
      <c r="H233" s="672">
        <v>197.77538000000001</v>
      </c>
      <c r="I233" s="672">
        <v>2618.2381500000001</v>
      </c>
      <c r="J233" s="672">
        <v>2618.2381500000001</v>
      </c>
      <c r="K233" s="674">
        <v>0</v>
      </c>
      <c r="L233" s="254"/>
      <c r="M233" s="670" t="str">
        <f t="shared" si="3"/>
        <v/>
      </c>
    </row>
    <row r="234" spans="1:13" ht="14.45" customHeight="1" x14ac:dyDescent="0.2">
      <c r="A234" s="675" t="s">
        <v>535</v>
      </c>
      <c r="B234" s="671">
        <v>0</v>
      </c>
      <c r="C234" s="672">
        <v>6962.0779000000002</v>
      </c>
      <c r="D234" s="672">
        <v>6962.0779000000002</v>
      </c>
      <c r="E234" s="673">
        <v>0</v>
      </c>
      <c r="F234" s="671">
        <v>0</v>
      </c>
      <c r="G234" s="672">
        <v>0</v>
      </c>
      <c r="H234" s="672">
        <v>564.18826000000001</v>
      </c>
      <c r="I234" s="672">
        <v>8244.40769</v>
      </c>
      <c r="J234" s="672">
        <v>8244.40769</v>
      </c>
      <c r="K234" s="674">
        <v>0</v>
      </c>
      <c r="L234" s="254"/>
      <c r="M234" s="670" t="str">
        <f t="shared" si="3"/>
        <v>X</v>
      </c>
    </row>
    <row r="235" spans="1:13" ht="14.45" customHeight="1" x14ac:dyDescent="0.2">
      <c r="A235" s="675" t="s">
        <v>536</v>
      </c>
      <c r="B235" s="671">
        <v>0</v>
      </c>
      <c r="C235" s="672">
        <v>6962.0779000000002</v>
      </c>
      <c r="D235" s="672">
        <v>6962.0779000000002</v>
      </c>
      <c r="E235" s="673">
        <v>0</v>
      </c>
      <c r="F235" s="671">
        <v>0</v>
      </c>
      <c r="G235" s="672">
        <v>0</v>
      </c>
      <c r="H235" s="672">
        <v>564.18826000000001</v>
      </c>
      <c r="I235" s="672">
        <v>8244.40769</v>
      </c>
      <c r="J235" s="672">
        <v>8244.40769</v>
      </c>
      <c r="K235" s="674">
        <v>0</v>
      </c>
      <c r="L235" s="254"/>
      <c r="M235" s="670" t="str">
        <f t="shared" si="3"/>
        <v/>
      </c>
    </row>
    <row r="236" spans="1:13" ht="14.45" customHeight="1" x14ac:dyDescent="0.2">
      <c r="A236" s="675"/>
      <c r="B236" s="671"/>
      <c r="C236" s="672"/>
      <c r="D236" s="672"/>
      <c r="E236" s="673"/>
      <c r="F236" s="671"/>
      <c r="G236" s="672"/>
      <c r="H236" s="672"/>
      <c r="I236" s="672"/>
      <c r="J236" s="672"/>
      <c r="K236" s="674"/>
      <c r="L236" s="254"/>
      <c r="M236" s="670" t="str">
        <f t="shared" si="3"/>
        <v/>
      </c>
    </row>
    <row r="237" spans="1:13" ht="14.45" customHeight="1" x14ac:dyDescent="0.2">
      <c r="A237" s="675"/>
      <c r="B237" s="671"/>
      <c r="C237" s="672"/>
      <c r="D237" s="672"/>
      <c r="E237" s="673"/>
      <c r="F237" s="671"/>
      <c r="G237" s="672"/>
      <c r="H237" s="672"/>
      <c r="I237" s="672"/>
      <c r="J237" s="672"/>
      <c r="K237" s="674"/>
      <c r="L237" s="254"/>
      <c r="M237" s="670" t="str">
        <f t="shared" si="3"/>
        <v/>
      </c>
    </row>
    <row r="238" spans="1:13" ht="14.45" customHeight="1" x14ac:dyDescent="0.2">
      <c r="A238" s="675"/>
      <c r="B238" s="671"/>
      <c r="C238" s="672"/>
      <c r="D238" s="672"/>
      <c r="E238" s="673"/>
      <c r="F238" s="671"/>
      <c r="G238" s="672"/>
      <c r="H238" s="672"/>
      <c r="I238" s="672"/>
      <c r="J238" s="672"/>
      <c r="K238" s="674"/>
      <c r="L238" s="254"/>
      <c r="M238" s="670" t="str">
        <f t="shared" si="3"/>
        <v/>
      </c>
    </row>
    <row r="239" spans="1:13" ht="14.45" customHeight="1" x14ac:dyDescent="0.2">
      <c r="A239" s="675"/>
      <c r="B239" s="671"/>
      <c r="C239" s="672"/>
      <c r="D239" s="672"/>
      <c r="E239" s="673"/>
      <c r="F239" s="671"/>
      <c r="G239" s="672"/>
      <c r="H239" s="672"/>
      <c r="I239" s="672"/>
      <c r="J239" s="672"/>
      <c r="K239" s="674"/>
      <c r="L239" s="254"/>
      <c r="M239" s="670" t="str">
        <f t="shared" si="3"/>
        <v/>
      </c>
    </row>
    <row r="240" spans="1:13" ht="14.45" customHeight="1" x14ac:dyDescent="0.2">
      <c r="A240" s="675"/>
      <c r="B240" s="671"/>
      <c r="C240" s="672"/>
      <c r="D240" s="672"/>
      <c r="E240" s="673"/>
      <c r="F240" s="671"/>
      <c r="G240" s="672"/>
      <c r="H240" s="672"/>
      <c r="I240" s="672"/>
      <c r="J240" s="672"/>
      <c r="K240" s="674"/>
      <c r="L240" s="254"/>
      <c r="M240" s="670" t="str">
        <f t="shared" si="3"/>
        <v/>
      </c>
    </row>
    <row r="241" spans="1:13" ht="14.45" customHeight="1" x14ac:dyDescent="0.2">
      <c r="A241" s="675"/>
      <c r="B241" s="671"/>
      <c r="C241" s="672"/>
      <c r="D241" s="672"/>
      <c r="E241" s="673"/>
      <c r="F241" s="671"/>
      <c r="G241" s="672"/>
      <c r="H241" s="672"/>
      <c r="I241" s="672"/>
      <c r="J241" s="672"/>
      <c r="K241" s="674"/>
      <c r="L241" s="254"/>
      <c r="M241" s="670" t="str">
        <f t="shared" si="3"/>
        <v/>
      </c>
    </row>
    <row r="242" spans="1:13" ht="14.45" customHeight="1" x14ac:dyDescent="0.2">
      <c r="A242" s="675"/>
      <c r="B242" s="671"/>
      <c r="C242" s="672"/>
      <c r="D242" s="672"/>
      <c r="E242" s="673"/>
      <c r="F242" s="671"/>
      <c r="G242" s="672"/>
      <c r="H242" s="672"/>
      <c r="I242" s="672"/>
      <c r="J242" s="672"/>
      <c r="K242" s="674"/>
      <c r="L242" s="254"/>
      <c r="M242" s="670" t="str">
        <f t="shared" si="3"/>
        <v/>
      </c>
    </row>
    <row r="243" spans="1:13" ht="14.45" customHeight="1" x14ac:dyDescent="0.2">
      <c r="A243" s="675"/>
      <c r="B243" s="671"/>
      <c r="C243" s="672"/>
      <c r="D243" s="672"/>
      <c r="E243" s="673"/>
      <c r="F243" s="671"/>
      <c r="G243" s="672"/>
      <c r="H243" s="672"/>
      <c r="I243" s="672"/>
      <c r="J243" s="672"/>
      <c r="K243" s="674"/>
      <c r="L243" s="254"/>
      <c r="M243" s="670" t="str">
        <f t="shared" si="3"/>
        <v/>
      </c>
    </row>
    <row r="244" spans="1:13" ht="14.45" customHeight="1" x14ac:dyDescent="0.2">
      <c r="A244" s="675"/>
      <c r="B244" s="671"/>
      <c r="C244" s="672"/>
      <c r="D244" s="672"/>
      <c r="E244" s="673"/>
      <c r="F244" s="671"/>
      <c r="G244" s="672"/>
      <c r="H244" s="672"/>
      <c r="I244" s="672"/>
      <c r="J244" s="672"/>
      <c r="K244" s="674"/>
      <c r="L244" s="254"/>
      <c r="M244" s="670" t="str">
        <f t="shared" si="3"/>
        <v/>
      </c>
    </row>
    <row r="245" spans="1:13" ht="14.45" customHeight="1" x14ac:dyDescent="0.2">
      <c r="A245" s="675"/>
      <c r="B245" s="671"/>
      <c r="C245" s="672"/>
      <c r="D245" s="672"/>
      <c r="E245" s="673"/>
      <c r="F245" s="671"/>
      <c r="G245" s="672"/>
      <c r="H245" s="672"/>
      <c r="I245" s="672"/>
      <c r="J245" s="672"/>
      <c r="K245" s="674"/>
      <c r="L245" s="254"/>
      <c r="M245" s="670" t="str">
        <f t="shared" si="3"/>
        <v/>
      </c>
    </row>
    <row r="246" spans="1:13" ht="14.45" customHeight="1" x14ac:dyDescent="0.2">
      <c r="A246" s="675"/>
      <c r="B246" s="671"/>
      <c r="C246" s="672"/>
      <c r="D246" s="672"/>
      <c r="E246" s="673"/>
      <c r="F246" s="671"/>
      <c r="G246" s="672"/>
      <c r="H246" s="672"/>
      <c r="I246" s="672"/>
      <c r="J246" s="672"/>
      <c r="K246" s="674"/>
      <c r="L246" s="254"/>
      <c r="M246" s="670" t="str">
        <f t="shared" si="3"/>
        <v/>
      </c>
    </row>
    <row r="247" spans="1:13" ht="14.45" customHeight="1" x14ac:dyDescent="0.2">
      <c r="A247" s="675"/>
      <c r="B247" s="671"/>
      <c r="C247" s="672"/>
      <c r="D247" s="672"/>
      <c r="E247" s="673"/>
      <c r="F247" s="671"/>
      <c r="G247" s="672"/>
      <c r="H247" s="672"/>
      <c r="I247" s="672"/>
      <c r="J247" s="672"/>
      <c r="K247" s="674"/>
      <c r="L247" s="254"/>
      <c r="M247" s="670" t="str">
        <f t="shared" si="3"/>
        <v/>
      </c>
    </row>
    <row r="248" spans="1:13" ht="14.45" customHeight="1" x14ac:dyDescent="0.2">
      <c r="A248" s="675"/>
      <c r="B248" s="671"/>
      <c r="C248" s="672"/>
      <c r="D248" s="672"/>
      <c r="E248" s="673"/>
      <c r="F248" s="671"/>
      <c r="G248" s="672"/>
      <c r="H248" s="672"/>
      <c r="I248" s="672"/>
      <c r="J248" s="672"/>
      <c r="K248" s="674"/>
      <c r="L248" s="254"/>
      <c r="M248" s="670" t="str">
        <f t="shared" si="3"/>
        <v/>
      </c>
    </row>
    <row r="249" spans="1:13" ht="14.45" customHeight="1" x14ac:dyDescent="0.2">
      <c r="A249" s="675"/>
      <c r="B249" s="671"/>
      <c r="C249" s="672"/>
      <c r="D249" s="672"/>
      <c r="E249" s="673"/>
      <c r="F249" s="671"/>
      <c r="G249" s="672"/>
      <c r="H249" s="672"/>
      <c r="I249" s="672"/>
      <c r="J249" s="672"/>
      <c r="K249" s="674"/>
      <c r="L249" s="254"/>
      <c r="M249" s="670" t="str">
        <f t="shared" si="3"/>
        <v/>
      </c>
    </row>
    <row r="250" spans="1:13" ht="14.45" customHeight="1" x14ac:dyDescent="0.2">
      <c r="A250" s="675"/>
      <c r="B250" s="671"/>
      <c r="C250" s="672"/>
      <c r="D250" s="672"/>
      <c r="E250" s="673"/>
      <c r="F250" s="671"/>
      <c r="G250" s="672"/>
      <c r="H250" s="672"/>
      <c r="I250" s="672"/>
      <c r="J250" s="672"/>
      <c r="K250" s="674"/>
      <c r="L250" s="254"/>
      <c r="M250" s="670" t="str">
        <f t="shared" si="3"/>
        <v/>
      </c>
    </row>
    <row r="251" spans="1:13" ht="14.45" customHeight="1" x14ac:dyDescent="0.2">
      <c r="A251" s="675"/>
      <c r="B251" s="671"/>
      <c r="C251" s="672"/>
      <c r="D251" s="672"/>
      <c r="E251" s="673"/>
      <c r="F251" s="671"/>
      <c r="G251" s="672"/>
      <c r="H251" s="672"/>
      <c r="I251" s="672"/>
      <c r="J251" s="672"/>
      <c r="K251" s="674"/>
      <c r="L251" s="254"/>
      <c r="M251" s="670" t="str">
        <f t="shared" si="3"/>
        <v/>
      </c>
    </row>
    <row r="252" spans="1:13" ht="14.45" customHeight="1" x14ac:dyDescent="0.2">
      <c r="A252" s="675"/>
      <c r="B252" s="671"/>
      <c r="C252" s="672"/>
      <c r="D252" s="672"/>
      <c r="E252" s="673"/>
      <c r="F252" s="671"/>
      <c r="G252" s="672"/>
      <c r="H252" s="672"/>
      <c r="I252" s="672"/>
      <c r="J252" s="672"/>
      <c r="K252" s="674"/>
      <c r="L252" s="254"/>
      <c r="M252" s="670" t="str">
        <f t="shared" si="3"/>
        <v/>
      </c>
    </row>
    <row r="253" spans="1:13" ht="14.45" customHeight="1" x14ac:dyDescent="0.2">
      <c r="A253" s="675"/>
      <c r="B253" s="671"/>
      <c r="C253" s="672"/>
      <c r="D253" s="672"/>
      <c r="E253" s="673"/>
      <c r="F253" s="671"/>
      <c r="G253" s="672"/>
      <c r="H253" s="672"/>
      <c r="I253" s="672"/>
      <c r="J253" s="672"/>
      <c r="K253" s="674"/>
      <c r="L253" s="254"/>
      <c r="M253" s="670" t="str">
        <f t="shared" si="3"/>
        <v/>
      </c>
    </row>
    <row r="254" spans="1:13" ht="14.45" customHeight="1" x14ac:dyDescent="0.2">
      <c r="A254" s="675"/>
      <c r="B254" s="671"/>
      <c r="C254" s="672"/>
      <c r="D254" s="672"/>
      <c r="E254" s="673"/>
      <c r="F254" s="671"/>
      <c r="G254" s="672"/>
      <c r="H254" s="672"/>
      <c r="I254" s="672"/>
      <c r="J254" s="672"/>
      <c r="K254" s="674"/>
      <c r="L254" s="254"/>
      <c r="M254" s="670" t="str">
        <f t="shared" si="3"/>
        <v/>
      </c>
    </row>
    <row r="255" spans="1:13" ht="14.45" customHeight="1" x14ac:dyDescent="0.2">
      <c r="A255" s="675"/>
      <c r="B255" s="671"/>
      <c r="C255" s="672"/>
      <c r="D255" s="672"/>
      <c r="E255" s="673"/>
      <c r="F255" s="671"/>
      <c r="G255" s="672"/>
      <c r="H255" s="672"/>
      <c r="I255" s="672"/>
      <c r="J255" s="672"/>
      <c r="K255" s="674"/>
      <c r="L255" s="254"/>
      <c r="M255" s="670" t="str">
        <f t="shared" si="3"/>
        <v/>
      </c>
    </row>
    <row r="256" spans="1:13" ht="14.45" customHeight="1" x14ac:dyDescent="0.2">
      <c r="A256" s="675"/>
      <c r="B256" s="671"/>
      <c r="C256" s="672"/>
      <c r="D256" s="672"/>
      <c r="E256" s="673"/>
      <c r="F256" s="671"/>
      <c r="G256" s="672"/>
      <c r="H256" s="672"/>
      <c r="I256" s="672"/>
      <c r="J256" s="672"/>
      <c r="K256" s="674"/>
      <c r="L256" s="254"/>
      <c r="M256" s="670" t="str">
        <f t="shared" si="3"/>
        <v/>
      </c>
    </row>
    <row r="257" spans="1:13" ht="14.45" customHeight="1" x14ac:dyDescent="0.2">
      <c r="A257" s="675"/>
      <c r="B257" s="671"/>
      <c r="C257" s="672"/>
      <c r="D257" s="672"/>
      <c r="E257" s="673"/>
      <c r="F257" s="671"/>
      <c r="G257" s="672"/>
      <c r="H257" s="672"/>
      <c r="I257" s="672"/>
      <c r="J257" s="672"/>
      <c r="K257" s="674"/>
      <c r="L257" s="254"/>
      <c r="M257" s="670" t="str">
        <f t="shared" si="3"/>
        <v/>
      </c>
    </row>
    <row r="258" spans="1:13" ht="14.45" customHeight="1" x14ac:dyDescent="0.2">
      <c r="A258" s="675"/>
      <c r="B258" s="671"/>
      <c r="C258" s="672"/>
      <c r="D258" s="672"/>
      <c r="E258" s="673"/>
      <c r="F258" s="671"/>
      <c r="G258" s="672"/>
      <c r="H258" s="672"/>
      <c r="I258" s="672"/>
      <c r="J258" s="672"/>
      <c r="K258" s="674"/>
      <c r="L258" s="254"/>
      <c r="M258" s="670" t="str">
        <f t="shared" si="3"/>
        <v/>
      </c>
    </row>
    <row r="259" spans="1:13" ht="14.45" customHeight="1" x14ac:dyDescent="0.2">
      <c r="A259" s="675"/>
      <c r="B259" s="671"/>
      <c r="C259" s="672"/>
      <c r="D259" s="672"/>
      <c r="E259" s="673"/>
      <c r="F259" s="671"/>
      <c r="G259" s="672"/>
      <c r="H259" s="672"/>
      <c r="I259" s="672"/>
      <c r="J259" s="672"/>
      <c r="K259" s="674"/>
      <c r="L259" s="254"/>
      <c r="M259" s="670" t="str">
        <f t="shared" si="3"/>
        <v/>
      </c>
    </row>
    <row r="260" spans="1:13" ht="14.45" customHeight="1" x14ac:dyDescent="0.2">
      <c r="A260" s="675"/>
      <c r="B260" s="671"/>
      <c r="C260" s="672"/>
      <c r="D260" s="672"/>
      <c r="E260" s="673"/>
      <c r="F260" s="671"/>
      <c r="G260" s="672"/>
      <c r="H260" s="672"/>
      <c r="I260" s="672"/>
      <c r="J260" s="672"/>
      <c r="K260" s="674"/>
      <c r="L260" s="254"/>
      <c r="M260" s="670" t="str">
        <f t="shared" si="3"/>
        <v/>
      </c>
    </row>
    <row r="261" spans="1:13" ht="14.45" customHeight="1" x14ac:dyDescent="0.2">
      <c r="A261" s="675"/>
      <c r="B261" s="671"/>
      <c r="C261" s="672"/>
      <c r="D261" s="672"/>
      <c r="E261" s="673"/>
      <c r="F261" s="671"/>
      <c r="G261" s="672"/>
      <c r="H261" s="672"/>
      <c r="I261" s="672"/>
      <c r="J261" s="672"/>
      <c r="K261" s="674"/>
      <c r="L261" s="254"/>
      <c r="M261" s="670" t="str">
        <f t="shared" si="3"/>
        <v/>
      </c>
    </row>
    <row r="262" spans="1:13" ht="14.45" customHeight="1" x14ac:dyDescent="0.2">
      <c r="A262" s="675"/>
      <c r="B262" s="671"/>
      <c r="C262" s="672"/>
      <c r="D262" s="672"/>
      <c r="E262" s="673"/>
      <c r="F262" s="671"/>
      <c r="G262" s="672"/>
      <c r="H262" s="672"/>
      <c r="I262" s="672"/>
      <c r="J262" s="672"/>
      <c r="K262" s="674"/>
      <c r="L262" s="254"/>
      <c r="M262" s="670" t="str">
        <f t="shared" ref="M262:M325" si="4">IF(A262="HV","HV",IF(OR(LEFT(A262,16)="               5",LEFT(A262,16)="               6",LEFT(A262,16)="               7",LEFT(A262,16)="               8"),"X",""))</f>
        <v/>
      </c>
    </row>
    <row r="263" spans="1:13" ht="14.45" customHeight="1" x14ac:dyDescent="0.2">
      <c r="A263" s="675"/>
      <c r="B263" s="671"/>
      <c r="C263" s="672"/>
      <c r="D263" s="672"/>
      <c r="E263" s="673"/>
      <c r="F263" s="671"/>
      <c r="G263" s="672"/>
      <c r="H263" s="672"/>
      <c r="I263" s="672"/>
      <c r="J263" s="672"/>
      <c r="K263" s="674"/>
      <c r="L263" s="254"/>
      <c r="M263" s="670" t="str">
        <f t="shared" si="4"/>
        <v/>
      </c>
    </row>
    <row r="264" spans="1:13" ht="14.45" customHeight="1" x14ac:dyDescent="0.2">
      <c r="A264" s="675"/>
      <c r="B264" s="671"/>
      <c r="C264" s="672"/>
      <c r="D264" s="672"/>
      <c r="E264" s="673"/>
      <c r="F264" s="671"/>
      <c r="G264" s="672"/>
      <c r="H264" s="672"/>
      <c r="I264" s="672"/>
      <c r="J264" s="672"/>
      <c r="K264" s="674"/>
      <c r="L264" s="254"/>
      <c r="M264" s="670" t="str">
        <f t="shared" si="4"/>
        <v/>
      </c>
    </row>
    <row r="265" spans="1:13" ht="14.45" customHeight="1" x14ac:dyDescent="0.2">
      <c r="A265" s="675"/>
      <c r="B265" s="671"/>
      <c r="C265" s="672"/>
      <c r="D265" s="672"/>
      <c r="E265" s="673"/>
      <c r="F265" s="671"/>
      <c r="G265" s="672"/>
      <c r="H265" s="672"/>
      <c r="I265" s="672"/>
      <c r="J265" s="672"/>
      <c r="K265" s="674"/>
      <c r="L265" s="254"/>
      <c r="M265" s="670" t="str">
        <f t="shared" si="4"/>
        <v/>
      </c>
    </row>
    <row r="266" spans="1:13" ht="14.45" customHeight="1" x14ac:dyDescent="0.2">
      <c r="A266" s="675"/>
      <c r="B266" s="671"/>
      <c r="C266" s="672"/>
      <c r="D266" s="672"/>
      <c r="E266" s="673"/>
      <c r="F266" s="671"/>
      <c r="G266" s="672"/>
      <c r="H266" s="672"/>
      <c r="I266" s="672"/>
      <c r="J266" s="672"/>
      <c r="K266" s="674"/>
      <c r="L266" s="254"/>
      <c r="M266" s="670" t="str">
        <f t="shared" si="4"/>
        <v/>
      </c>
    </row>
    <row r="267" spans="1:13" ht="14.45" customHeight="1" x14ac:dyDescent="0.2">
      <c r="A267" s="675"/>
      <c r="B267" s="671"/>
      <c r="C267" s="672"/>
      <c r="D267" s="672"/>
      <c r="E267" s="673"/>
      <c r="F267" s="671"/>
      <c r="G267" s="672"/>
      <c r="H267" s="672"/>
      <c r="I267" s="672"/>
      <c r="J267" s="672"/>
      <c r="K267" s="674"/>
      <c r="L267" s="254"/>
      <c r="M267" s="670" t="str">
        <f t="shared" si="4"/>
        <v/>
      </c>
    </row>
    <row r="268" spans="1:13" ht="14.45" customHeight="1" x14ac:dyDescent="0.2">
      <c r="A268" s="675"/>
      <c r="B268" s="671"/>
      <c r="C268" s="672"/>
      <c r="D268" s="672"/>
      <c r="E268" s="673"/>
      <c r="F268" s="671"/>
      <c r="G268" s="672"/>
      <c r="H268" s="672"/>
      <c r="I268" s="672"/>
      <c r="J268" s="672"/>
      <c r="K268" s="674"/>
      <c r="L268" s="254"/>
      <c r="M268" s="670" t="str">
        <f t="shared" si="4"/>
        <v/>
      </c>
    </row>
    <row r="269" spans="1:13" ht="14.45" customHeight="1" x14ac:dyDescent="0.2">
      <c r="A269" s="675"/>
      <c r="B269" s="671"/>
      <c r="C269" s="672"/>
      <c r="D269" s="672"/>
      <c r="E269" s="673"/>
      <c r="F269" s="671"/>
      <c r="G269" s="672"/>
      <c r="H269" s="672"/>
      <c r="I269" s="672"/>
      <c r="J269" s="672"/>
      <c r="K269" s="674"/>
      <c r="L269" s="254"/>
      <c r="M269" s="670" t="str">
        <f t="shared" si="4"/>
        <v/>
      </c>
    </row>
    <row r="270" spans="1:13" ht="14.45" customHeight="1" x14ac:dyDescent="0.2">
      <c r="A270" s="675"/>
      <c r="B270" s="671"/>
      <c r="C270" s="672"/>
      <c r="D270" s="672"/>
      <c r="E270" s="673"/>
      <c r="F270" s="671"/>
      <c r="G270" s="672"/>
      <c r="H270" s="672"/>
      <c r="I270" s="672"/>
      <c r="J270" s="672"/>
      <c r="K270" s="674"/>
      <c r="L270" s="254"/>
      <c r="M270" s="670" t="str">
        <f t="shared" si="4"/>
        <v/>
      </c>
    </row>
    <row r="271" spans="1:13" ht="14.45" customHeight="1" x14ac:dyDescent="0.2">
      <c r="A271" s="675"/>
      <c r="B271" s="671"/>
      <c r="C271" s="672"/>
      <c r="D271" s="672"/>
      <c r="E271" s="673"/>
      <c r="F271" s="671"/>
      <c r="G271" s="672"/>
      <c r="H271" s="672"/>
      <c r="I271" s="672"/>
      <c r="J271" s="672"/>
      <c r="K271" s="674"/>
      <c r="L271" s="254"/>
      <c r="M271" s="670" t="str">
        <f t="shared" si="4"/>
        <v/>
      </c>
    </row>
    <row r="272" spans="1:13" ht="14.45" customHeight="1" x14ac:dyDescent="0.2">
      <c r="A272" s="675"/>
      <c r="B272" s="671"/>
      <c r="C272" s="672"/>
      <c r="D272" s="672"/>
      <c r="E272" s="673"/>
      <c r="F272" s="671"/>
      <c r="G272" s="672"/>
      <c r="H272" s="672"/>
      <c r="I272" s="672"/>
      <c r="J272" s="672"/>
      <c r="K272" s="674"/>
      <c r="L272" s="254"/>
      <c r="M272" s="670" t="str">
        <f t="shared" si="4"/>
        <v/>
      </c>
    </row>
    <row r="273" spans="1:13" ht="14.45" customHeight="1" x14ac:dyDescent="0.2">
      <c r="A273" s="675"/>
      <c r="B273" s="671"/>
      <c r="C273" s="672"/>
      <c r="D273" s="672"/>
      <c r="E273" s="673"/>
      <c r="F273" s="671"/>
      <c r="G273" s="672"/>
      <c r="H273" s="672"/>
      <c r="I273" s="672"/>
      <c r="J273" s="672"/>
      <c r="K273" s="674"/>
      <c r="L273" s="254"/>
      <c r="M273" s="670" t="str">
        <f t="shared" si="4"/>
        <v/>
      </c>
    </row>
    <row r="274" spans="1:13" ht="14.45" customHeight="1" x14ac:dyDescent="0.2">
      <c r="A274" s="675"/>
      <c r="B274" s="671"/>
      <c r="C274" s="672"/>
      <c r="D274" s="672"/>
      <c r="E274" s="673"/>
      <c r="F274" s="671"/>
      <c r="G274" s="672"/>
      <c r="H274" s="672"/>
      <c r="I274" s="672"/>
      <c r="J274" s="672"/>
      <c r="K274" s="674"/>
      <c r="L274" s="254"/>
      <c r="M274" s="670" t="str">
        <f t="shared" si="4"/>
        <v/>
      </c>
    </row>
    <row r="275" spans="1:13" ht="14.45" customHeight="1" x14ac:dyDescent="0.2">
      <c r="A275" s="675"/>
      <c r="B275" s="671"/>
      <c r="C275" s="672"/>
      <c r="D275" s="672"/>
      <c r="E275" s="673"/>
      <c r="F275" s="671"/>
      <c r="G275" s="672"/>
      <c r="H275" s="672"/>
      <c r="I275" s="672"/>
      <c r="J275" s="672"/>
      <c r="K275" s="674"/>
      <c r="L275" s="254"/>
      <c r="M275" s="670" t="str">
        <f t="shared" si="4"/>
        <v/>
      </c>
    </row>
    <row r="276" spans="1:13" ht="14.45" customHeight="1" x14ac:dyDescent="0.2">
      <c r="A276" s="675"/>
      <c r="B276" s="671"/>
      <c r="C276" s="672"/>
      <c r="D276" s="672"/>
      <c r="E276" s="673"/>
      <c r="F276" s="671"/>
      <c r="G276" s="672"/>
      <c r="H276" s="672"/>
      <c r="I276" s="672"/>
      <c r="J276" s="672"/>
      <c r="K276" s="674"/>
      <c r="L276" s="254"/>
      <c r="M276" s="670" t="str">
        <f t="shared" si="4"/>
        <v/>
      </c>
    </row>
    <row r="277" spans="1:13" ht="14.45" customHeight="1" x14ac:dyDescent="0.2">
      <c r="A277" s="675"/>
      <c r="B277" s="671"/>
      <c r="C277" s="672"/>
      <c r="D277" s="672"/>
      <c r="E277" s="673"/>
      <c r="F277" s="671"/>
      <c r="G277" s="672"/>
      <c r="H277" s="672"/>
      <c r="I277" s="672"/>
      <c r="J277" s="672"/>
      <c r="K277" s="674"/>
      <c r="L277" s="254"/>
      <c r="M277" s="670" t="str">
        <f t="shared" si="4"/>
        <v/>
      </c>
    </row>
    <row r="278" spans="1:13" ht="14.45" customHeight="1" x14ac:dyDescent="0.2">
      <c r="A278" s="675"/>
      <c r="B278" s="671"/>
      <c r="C278" s="672"/>
      <c r="D278" s="672"/>
      <c r="E278" s="673"/>
      <c r="F278" s="671"/>
      <c r="G278" s="672"/>
      <c r="H278" s="672"/>
      <c r="I278" s="672"/>
      <c r="J278" s="672"/>
      <c r="K278" s="674"/>
      <c r="L278" s="254"/>
      <c r="M278" s="670" t="str">
        <f t="shared" si="4"/>
        <v/>
      </c>
    </row>
    <row r="279" spans="1:13" ht="14.45" customHeight="1" x14ac:dyDescent="0.2">
      <c r="A279" s="675"/>
      <c r="B279" s="671"/>
      <c r="C279" s="672"/>
      <c r="D279" s="672"/>
      <c r="E279" s="673"/>
      <c r="F279" s="671"/>
      <c r="G279" s="672"/>
      <c r="H279" s="672"/>
      <c r="I279" s="672"/>
      <c r="J279" s="672"/>
      <c r="K279" s="674"/>
      <c r="L279" s="254"/>
      <c r="M279" s="670" t="str">
        <f t="shared" si="4"/>
        <v/>
      </c>
    </row>
    <row r="280" spans="1:13" ht="14.45" customHeight="1" x14ac:dyDescent="0.2">
      <c r="A280" s="675"/>
      <c r="B280" s="671"/>
      <c r="C280" s="672"/>
      <c r="D280" s="672"/>
      <c r="E280" s="673"/>
      <c r="F280" s="671"/>
      <c r="G280" s="672"/>
      <c r="H280" s="672"/>
      <c r="I280" s="672"/>
      <c r="J280" s="672"/>
      <c r="K280" s="674"/>
      <c r="L280" s="254"/>
      <c r="M280" s="670" t="str">
        <f t="shared" si="4"/>
        <v/>
      </c>
    </row>
    <row r="281" spans="1:13" ht="14.45" customHeight="1" x14ac:dyDescent="0.2">
      <c r="A281" s="675"/>
      <c r="B281" s="671"/>
      <c r="C281" s="672"/>
      <c r="D281" s="672"/>
      <c r="E281" s="673"/>
      <c r="F281" s="671"/>
      <c r="G281" s="672"/>
      <c r="H281" s="672"/>
      <c r="I281" s="672"/>
      <c r="J281" s="672"/>
      <c r="K281" s="674"/>
      <c r="L281" s="254"/>
      <c r="M281" s="670" t="str">
        <f t="shared" si="4"/>
        <v/>
      </c>
    </row>
    <row r="282" spans="1:13" ht="14.45" customHeight="1" x14ac:dyDescent="0.2">
      <c r="A282" s="675"/>
      <c r="B282" s="671"/>
      <c r="C282" s="672"/>
      <c r="D282" s="672"/>
      <c r="E282" s="673"/>
      <c r="F282" s="671"/>
      <c r="G282" s="672"/>
      <c r="H282" s="672"/>
      <c r="I282" s="672"/>
      <c r="J282" s="672"/>
      <c r="K282" s="674"/>
      <c r="L282" s="254"/>
      <c r="M282" s="670" t="str">
        <f t="shared" si="4"/>
        <v/>
      </c>
    </row>
    <row r="283" spans="1:13" ht="14.45" customHeight="1" x14ac:dyDescent="0.2">
      <c r="A283" s="675"/>
      <c r="B283" s="671"/>
      <c r="C283" s="672"/>
      <c r="D283" s="672"/>
      <c r="E283" s="673"/>
      <c r="F283" s="671"/>
      <c r="G283" s="672"/>
      <c r="H283" s="672"/>
      <c r="I283" s="672"/>
      <c r="J283" s="672"/>
      <c r="K283" s="674"/>
      <c r="L283" s="254"/>
      <c r="M283" s="670" t="str">
        <f t="shared" si="4"/>
        <v/>
      </c>
    </row>
    <row r="284" spans="1:13" ht="14.45" customHeight="1" x14ac:dyDescent="0.2">
      <c r="A284" s="675"/>
      <c r="B284" s="671"/>
      <c r="C284" s="672"/>
      <c r="D284" s="672"/>
      <c r="E284" s="673"/>
      <c r="F284" s="671"/>
      <c r="G284" s="672"/>
      <c r="H284" s="672"/>
      <c r="I284" s="672"/>
      <c r="J284" s="672"/>
      <c r="K284" s="674"/>
      <c r="L284" s="254"/>
      <c r="M284" s="670" t="str">
        <f t="shared" si="4"/>
        <v/>
      </c>
    </row>
    <row r="285" spans="1:13" ht="14.45" customHeight="1" x14ac:dyDescent="0.2">
      <c r="A285" s="675"/>
      <c r="B285" s="671"/>
      <c r="C285" s="672"/>
      <c r="D285" s="672"/>
      <c r="E285" s="673"/>
      <c r="F285" s="671"/>
      <c r="G285" s="672"/>
      <c r="H285" s="672"/>
      <c r="I285" s="672"/>
      <c r="J285" s="672"/>
      <c r="K285" s="674"/>
      <c r="L285" s="254"/>
      <c r="M285" s="670" t="str">
        <f t="shared" si="4"/>
        <v/>
      </c>
    </row>
    <row r="286" spans="1:13" ht="14.45" customHeight="1" x14ac:dyDescent="0.2">
      <c r="A286" s="675"/>
      <c r="B286" s="671"/>
      <c r="C286" s="672"/>
      <c r="D286" s="672"/>
      <c r="E286" s="673"/>
      <c r="F286" s="671"/>
      <c r="G286" s="672"/>
      <c r="H286" s="672"/>
      <c r="I286" s="672"/>
      <c r="J286" s="672"/>
      <c r="K286" s="674"/>
      <c r="L286" s="254"/>
      <c r="M286" s="670" t="str">
        <f t="shared" si="4"/>
        <v/>
      </c>
    </row>
    <row r="287" spans="1:13" ht="14.45" customHeight="1" x14ac:dyDescent="0.2">
      <c r="A287" s="675"/>
      <c r="B287" s="671"/>
      <c r="C287" s="672"/>
      <c r="D287" s="672"/>
      <c r="E287" s="673"/>
      <c r="F287" s="671"/>
      <c r="G287" s="672"/>
      <c r="H287" s="672"/>
      <c r="I287" s="672"/>
      <c r="J287" s="672"/>
      <c r="K287" s="674"/>
      <c r="L287" s="254"/>
      <c r="M287" s="670" t="str">
        <f t="shared" si="4"/>
        <v/>
      </c>
    </row>
    <row r="288" spans="1:13" ht="14.45" customHeight="1" x14ac:dyDescent="0.2">
      <c r="A288" s="675"/>
      <c r="B288" s="671"/>
      <c r="C288" s="672"/>
      <c r="D288" s="672"/>
      <c r="E288" s="673"/>
      <c r="F288" s="671"/>
      <c r="G288" s="672"/>
      <c r="H288" s="672"/>
      <c r="I288" s="672"/>
      <c r="J288" s="672"/>
      <c r="K288" s="674"/>
      <c r="L288" s="254"/>
      <c r="M288" s="670" t="str">
        <f t="shared" si="4"/>
        <v/>
      </c>
    </row>
    <row r="289" spans="1:13" ht="14.45" customHeight="1" x14ac:dyDescent="0.2">
      <c r="A289" s="675"/>
      <c r="B289" s="671"/>
      <c r="C289" s="672"/>
      <c r="D289" s="672"/>
      <c r="E289" s="673"/>
      <c r="F289" s="671"/>
      <c r="G289" s="672"/>
      <c r="H289" s="672"/>
      <c r="I289" s="672"/>
      <c r="J289" s="672"/>
      <c r="K289" s="674"/>
      <c r="L289" s="254"/>
      <c r="M289" s="670" t="str">
        <f t="shared" si="4"/>
        <v/>
      </c>
    </row>
    <row r="290" spans="1:13" ht="14.45" customHeight="1" x14ac:dyDescent="0.2">
      <c r="A290" s="675"/>
      <c r="B290" s="671"/>
      <c r="C290" s="672"/>
      <c r="D290" s="672"/>
      <c r="E290" s="673"/>
      <c r="F290" s="671"/>
      <c r="G290" s="672"/>
      <c r="H290" s="672"/>
      <c r="I290" s="672"/>
      <c r="J290" s="672"/>
      <c r="K290" s="674"/>
      <c r="L290" s="254"/>
      <c r="M290" s="670" t="str">
        <f t="shared" si="4"/>
        <v/>
      </c>
    </row>
    <row r="291" spans="1:13" ht="14.45" customHeight="1" x14ac:dyDescent="0.2">
      <c r="A291" s="675"/>
      <c r="B291" s="671"/>
      <c r="C291" s="672"/>
      <c r="D291" s="672"/>
      <c r="E291" s="673"/>
      <c r="F291" s="671"/>
      <c r="G291" s="672"/>
      <c r="H291" s="672"/>
      <c r="I291" s="672"/>
      <c r="J291" s="672"/>
      <c r="K291" s="674"/>
      <c r="L291" s="254"/>
      <c r="M291" s="670" t="str">
        <f t="shared" si="4"/>
        <v/>
      </c>
    </row>
    <row r="292" spans="1:13" ht="14.45" customHeight="1" x14ac:dyDescent="0.2">
      <c r="A292" s="675"/>
      <c r="B292" s="671"/>
      <c r="C292" s="672"/>
      <c r="D292" s="672"/>
      <c r="E292" s="673"/>
      <c r="F292" s="671"/>
      <c r="G292" s="672"/>
      <c r="H292" s="672"/>
      <c r="I292" s="672"/>
      <c r="J292" s="672"/>
      <c r="K292" s="674"/>
      <c r="L292" s="254"/>
      <c r="M292" s="670" t="str">
        <f t="shared" si="4"/>
        <v/>
      </c>
    </row>
    <row r="293" spans="1:13" ht="14.45" customHeight="1" x14ac:dyDescent="0.2">
      <c r="A293" s="675"/>
      <c r="B293" s="671"/>
      <c r="C293" s="672"/>
      <c r="D293" s="672"/>
      <c r="E293" s="673"/>
      <c r="F293" s="671"/>
      <c r="G293" s="672"/>
      <c r="H293" s="672"/>
      <c r="I293" s="672"/>
      <c r="J293" s="672"/>
      <c r="K293" s="674"/>
      <c r="L293" s="254"/>
      <c r="M293" s="670" t="str">
        <f t="shared" si="4"/>
        <v/>
      </c>
    </row>
    <row r="294" spans="1:13" ht="14.45" customHeight="1" x14ac:dyDescent="0.2">
      <c r="A294" s="675"/>
      <c r="B294" s="671"/>
      <c r="C294" s="672"/>
      <c r="D294" s="672"/>
      <c r="E294" s="673"/>
      <c r="F294" s="671"/>
      <c r="G294" s="672"/>
      <c r="H294" s="672"/>
      <c r="I294" s="672"/>
      <c r="J294" s="672"/>
      <c r="K294" s="674"/>
      <c r="L294" s="254"/>
      <c r="M294" s="670" t="str">
        <f t="shared" si="4"/>
        <v/>
      </c>
    </row>
    <row r="295" spans="1:13" ht="14.45" customHeight="1" x14ac:dyDescent="0.2">
      <c r="A295" s="675"/>
      <c r="B295" s="671"/>
      <c r="C295" s="672"/>
      <c r="D295" s="672"/>
      <c r="E295" s="673"/>
      <c r="F295" s="671"/>
      <c r="G295" s="672"/>
      <c r="H295" s="672"/>
      <c r="I295" s="672"/>
      <c r="J295" s="672"/>
      <c r="K295" s="674"/>
      <c r="L295" s="254"/>
      <c r="M295" s="670" t="str">
        <f t="shared" si="4"/>
        <v/>
      </c>
    </row>
    <row r="296" spans="1:13" ht="14.45" customHeight="1" x14ac:dyDescent="0.2">
      <c r="A296" s="675"/>
      <c r="B296" s="671"/>
      <c r="C296" s="672"/>
      <c r="D296" s="672"/>
      <c r="E296" s="673"/>
      <c r="F296" s="671"/>
      <c r="G296" s="672"/>
      <c r="H296" s="672"/>
      <c r="I296" s="672"/>
      <c r="J296" s="672"/>
      <c r="K296" s="674"/>
      <c r="L296" s="254"/>
      <c r="M296" s="670" t="str">
        <f t="shared" si="4"/>
        <v/>
      </c>
    </row>
    <row r="297" spans="1:13" ht="14.45" customHeight="1" x14ac:dyDescent="0.2">
      <c r="A297" s="675"/>
      <c r="B297" s="671"/>
      <c r="C297" s="672"/>
      <c r="D297" s="672"/>
      <c r="E297" s="673"/>
      <c r="F297" s="671"/>
      <c r="G297" s="672"/>
      <c r="H297" s="672"/>
      <c r="I297" s="672"/>
      <c r="J297" s="672"/>
      <c r="K297" s="674"/>
      <c r="L297" s="254"/>
      <c r="M297" s="670" t="str">
        <f t="shared" si="4"/>
        <v/>
      </c>
    </row>
    <row r="298" spans="1:13" ht="14.45" customHeight="1" x14ac:dyDescent="0.2">
      <c r="A298" s="675"/>
      <c r="B298" s="671"/>
      <c r="C298" s="672"/>
      <c r="D298" s="672"/>
      <c r="E298" s="673"/>
      <c r="F298" s="671"/>
      <c r="G298" s="672"/>
      <c r="H298" s="672"/>
      <c r="I298" s="672"/>
      <c r="J298" s="672"/>
      <c r="K298" s="674"/>
      <c r="L298" s="254"/>
      <c r="M298" s="670" t="str">
        <f t="shared" si="4"/>
        <v/>
      </c>
    </row>
    <row r="299" spans="1:13" ht="14.45" customHeight="1" x14ac:dyDescent="0.2">
      <c r="A299" s="675"/>
      <c r="B299" s="671"/>
      <c r="C299" s="672"/>
      <c r="D299" s="672"/>
      <c r="E299" s="673"/>
      <c r="F299" s="671"/>
      <c r="G299" s="672"/>
      <c r="H299" s="672"/>
      <c r="I299" s="672"/>
      <c r="J299" s="672"/>
      <c r="K299" s="674"/>
      <c r="L299" s="254"/>
      <c r="M299" s="670" t="str">
        <f t="shared" si="4"/>
        <v/>
      </c>
    </row>
    <row r="300" spans="1:13" ht="14.45" customHeight="1" x14ac:dyDescent="0.2">
      <c r="A300" s="675"/>
      <c r="B300" s="671"/>
      <c r="C300" s="672"/>
      <c r="D300" s="672"/>
      <c r="E300" s="673"/>
      <c r="F300" s="671"/>
      <c r="G300" s="672"/>
      <c r="H300" s="672"/>
      <c r="I300" s="672"/>
      <c r="J300" s="672"/>
      <c r="K300" s="674"/>
      <c r="L300" s="254"/>
      <c r="M300" s="670" t="str">
        <f t="shared" si="4"/>
        <v/>
      </c>
    </row>
    <row r="301" spans="1:13" ht="14.45" customHeight="1" x14ac:dyDescent="0.2">
      <c r="A301" s="675"/>
      <c r="B301" s="671"/>
      <c r="C301" s="672"/>
      <c r="D301" s="672"/>
      <c r="E301" s="673"/>
      <c r="F301" s="671"/>
      <c r="G301" s="672"/>
      <c r="H301" s="672"/>
      <c r="I301" s="672"/>
      <c r="J301" s="672"/>
      <c r="K301" s="674"/>
      <c r="L301" s="254"/>
      <c r="M301" s="670" t="str">
        <f t="shared" si="4"/>
        <v/>
      </c>
    </row>
    <row r="302" spans="1:13" ht="14.45" customHeight="1" x14ac:dyDescent="0.2">
      <c r="A302" s="675"/>
      <c r="B302" s="671"/>
      <c r="C302" s="672"/>
      <c r="D302" s="672"/>
      <c r="E302" s="673"/>
      <c r="F302" s="671"/>
      <c r="G302" s="672"/>
      <c r="H302" s="672"/>
      <c r="I302" s="672"/>
      <c r="J302" s="672"/>
      <c r="K302" s="674"/>
      <c r="L302" s="254"/>
      <c r="M302" s="670" t="str">
        <f t="shared" si="4"/>
        <v/>
      </c>
    </row>
    <row r="303" spans="1:13" ht="14.45" customHeight="1" x14ac:dyDescent="0.2">
      <c r="A303" s="675"/>
      <c r="B303" s="671"/>
      <c r="C303" s="672"/>
      <c r="D303" s="672"/>
      <c r="E303" s="673"/>
      <c r="F303" s="671"/>
      <c r="G303" s="672"/>
      <c r="H303" s="672"/>
      <c r="I303" s="672"/>
      <c r="J303" s="672"/>
      <c r="K303" s="674"/>
      <c r="L303" s="254"/>
      <c r="M303" s="670" t="str">
        <f t="shared" si="4"/>
        <v/>
      </c>
    </row>
    <row r="304" spans="1:13" ht="14.45" customHeight="1" x14ac:dyDescent="0.2">
      <c r="A304" s="675"/>
      <c r="B304" s="671"/>
      <c r="C304" s="672"/>
      <c r="D304" s="672"/>
      <c r="E304" s="673"/>
      <c r="F304" s="671"/>
      <c r="G304" s="672"/>
      <c r="H304" s="672"/>
      <c r="I304" s="672"/>
      <c r="J304" s="672"/>
      <c r="K304" s="674"/>
      <c r="L304" s="254"/>
      <c r="M304" s="670" t="str">
        <f t="shared" si="4"/>
        <v/>
      </c>
    </row>
    <row r="305" spans="1:13" ht="14.45" customHeight="1" x14ac:dyDescent="0.2">
      <c r="A305" s="675"/>
      <c r="B305" s="671"/>
      <c r="C305" s="672"/>
      <c r="D305" s="672"/>
      <c r="E305" s="673"/>
      <c r="F305" s="671"/>
      <c r="G305" s="672"/>
      <c r="H305" s="672"/>
      <c r="I305" s="672"/>
      <c r="J305" s="672"/>
      <c r="K305" s="674"/>
      <c r="L305" s="254"/>
      <c r="M305" s="670" t="str">
        <f t="shared" si="4"/>
        <v/>
      </c>
    </row>
    <row r="306" spans="1:13" ht="14.45" customHeight="1" x14ac:dyDescent="0.2">
      <c r="A306" s="675"/>
      <c r="B306" s="671"/>
      <c r="C306" s="672"/>
      <c r="D306" s="672"/>
      <c r="E306" s="673"/>
      <c r="F306" s="671"/>
      <c r="G306" s="672"/>
      <c r="H306" s="672"/>
      <c r="I306" s="672"/>
      <c r="J306" s="672"/>
      <c r="K306" s="674"/>
      <c r="L306" s="254"/>
      <c r="M306" s="670" t="str">
        <f t="shared" si="4"/>
        <v/>
      </c>
    </row>
    <row r="307" spans="1:13" ht="14.45" customHeight="1" x14ac:dyDescent="0.2">
      <c r="A307" s="675"/>
      <c r="B307" s="671"/>
      <c r="C307" s="672"/>
      <c r="D307" s="672"/>
      <c r="E307" s="673"/>
      <c r="F307" s="671"/>
      <c r="G307" s="672"/>
      <c r="H307" s="672"/>
      <c r="I307" s="672"/>
      <c r="J307" s="672"/>
      <c r="K307" s="674"/>
      <c r="L307" s="254"/>
      <c r="M307" s="670" t="str">
        <f t="shared" si="4"/>
        <v/>
      </c>
    </row>
    <row r="308" spans="1:13" ht="14.45" customHeight="1" x14ac:dyDescent="0.2">
      <c r="A308" s="675"/>
      <c r="B308" s="671"/>
      <c r="C308" s="672"/>
      <c r="D308" s="672"/>
      <c r="E308" s="673"/>
      <c r="F308" s="671"/>
      <c r="G308" s="672"/>
      <c r="H308" s="672"/>
      <c r="I308" s="672"/>
      <c r="J308" s="672"/>
      <c r="K308" s="674"/>
      <c r="L308" s="254"/>
      <c r="M308" s="670" t="str">
        <f t="shared" si="4"/>
        <v/>
      </c>
    </row>
    <row r="309" spans="1:13" ht="14.45" customHeight="1" x14ac:dyDescent="0.2">
      <c r="A309" s="675"/>
      <c r="B309" s="671"/>
      <c r="C309" s="672"/>
      <c r="D309" s="672"/>
      <c r="E309" s="673"/>
      <c r="F309" s="671"/>
      <c r="G309" s="672"/>
      <c r="H309" s="672"/>
      <c r="I309" s="672"/>
      <c r="J309" s="672"/>
      <c r="K309" s="674"/>
      <c r="L309" s="254"/>
      <c r="M309" s="670" t="str">
        <f t="shared" si="4"/>
        <v/>
      </c>
    </row>
    <row r="310" spans="1:13" ht="14.45" customHeight="1" x14ac:dyDescent="0.2">
      <c r="A310" s="675"/>
      <c r="B310" s="671"/>
      <c r="C310" s="672"/>
      <c r="D310" s="672"/>
      <c r="E310" s="673"/>
      <c r="F310" s="671"/>
      <c r="G310" s="672"/>
      <c r="H310" s="672"/>
      <c r="I310" s="672"/>
      <c r="J310" s="672"/>
      <c r="K310" s="674"/>
      <c r="L310" s="254"/>
      <c r="M310" s="670" t="str">
        <f t="shared" si="4"/>
        <v/>
      </c>
    </row>
    <row r="311" spans="1:13" ht="14.45" customHeight="1" x14ac:dyDescent="0.2">
      <c r="A311" s="675"/>
      <c r="B311" s="671"/>
      <c r="C311" s="672"/>
      <c r="D311" s="672"/>
      <c r="E311" s="673"/>
      <c r="F311" s="671"/>
      <c r="G311" s="672"/>
      <c r="H311" s="672"/>
      <c r="I311" s="672"/>
      <c r="J311" s="672"/>
      <c r="K311" s="674"/>
      <c r="L311" s="254"/>
      <c r="M311" s="670" t="str">
        <f t="shared" si="4"/>
        <v/>
      </c>
    </row>
    <row r="312" spans="1:13" ht="14.45" customHeight="1" x14ac:dyDescent="0.2">
      <c r="A312" s="675"/>
      <c r="B312" s="671"/>
      <c r="C312" s="672"/>
      <c r="D312" s="672"/>
      <c r="E312" s="673"/>
      <c r="F312" s="671"/>
      <c r="G312" s="672"/>
      <c r="H312" s="672"/>
      <c r="I312" s="672"/>
      <c r="J312" s="672"/>
      <c r="K312" s="674"/>
      <c r="L312" s="254"/>
      <c r="M312" s="670" t="str">
        <f t="shared" si="4"/>
        <v/>
      </c>
    </row>
    <row r="313" spans="1:13" ht="14.45" customHeight="1" x14ac:dyDescent="0.2">
      <c r="A313" s="675"/>
      <c r="B313" s="671"/>
      <c r="C313" s="672"/>
      <c r="D313" s="672"/>
      <c r="E313" s="673"/>
      <c r="F313" s="671"/>
      <c r="G313" s="672"/>
      <c r="H313" s="672"/>
      <c r="I313" s="672"/>
      <c r="J313" s="672"/>
      <c r="K313" s="674"/>
      <c r="L313" s="254"/>
      <c r="M313" s="670" t="str">
        <f t="shared" si="4"/>
        <v/>
      </c>
    </row>
    <row r="314" spans="1:13" ht="14.45" customHeight="1" x14ac:dyDescent="0.2">
      <c r="A314" s="675"/>
      <c r="B314" s="671"/>
      <c r="C314" s="672"/>
      <c r="D314" s="672"/>
      <c r="E314" s="673"/>
      <c r="F314" s="671"/>
      <c r="G314" s="672"/>
      <c r="H314" s="672"/>
      <c r="I314" s="672"/>
      <c r="J314" s="672"/>
      <c r="K314" s="674"/>
      <c r="L314" s="254"/>
      <c r="M314" s="670" t="str">
        <f t="shared" si="4"/>
        <v/>
      </c>
    </row>
    <row r="315" spans="1:13" ht="14.45" customHeight="1" x14ac:dyDescent="0.2">
      <c r="A315" s="675"/>
      <c r="B315" s="671"/>
      <c r="C315" s="672"/>
      <c r="D315" s="672"/>
      <c r="E315" s="673"/>
      <c r="F315" s="671"/>
      <c r="G315" s="672"/>
      <c r="H315" s="672"/>
      <c r="I315" s="672"/>
      <c r="J315" s="672"/>
      <c r="K315" s="674"/>
      <c r="L315" s="254"/>
      <c r="M315" s="670" t="str">
        <f t="shared" si="4"/>
        <v/>
      </c>
    </row>
    <row r="316" spans="1:13" ht="14.45" customHeight="1" x14ac:dyDescent="0.2">
      <c r="A316" s="675"/>
      <c r="B316" s="671"/>
      <c r="C316" s="672"/>
      <c r="D316" s="672"/>
      <c r="E316" s="673"/>
      <c r="F316" s="671"/>
      <c r="G316" s="672"/>
      <c r="H316" s="672"/>
      <c r="I316" s="672"/>
      <c r="J316" s="672"/>
      <c r="K316" s="674"/>
      <c r="L316" s="254"/>
      <c r="M316" s="670" t="str">
        <f t="shared" si="4"/>
        <v/>
      </c>
    </row>
    <row r="317" spans="1:13" ht="14.45" customHeight="1" x14ac:dyDescent="0.2">
      <c r="A317" s="675"/>
      <c r="B317" s="671"/>
      <c r="C317" s="672"/>
      <c r="D317" s="672"/>
      <c r="E317" s="673"/>
      <c r="F317" s="671"/>
      <c r="G317" s="672"/>
      <c r="H317" s="672"/>
      <c r="I317" s="672"/>
      <c r="J317" s="672"/>
      <c r="K317" s="674"/>
      <c r="L317" s="254"/>
      <c r="M317" s="670" t="str">
        <f t="shared" si="4"/>
        <v/>
      </c>
    </row>
    <row r="318" spans="1:13" ht="14.45" customHeight="1" x14ac:dyDescent="0.2">
      <c r="A318" s="675"/>
      <c r="B318" s="671"/>
      <c r="C318" s="672"/>
      <c r="D318" s="672"/>
      <c r="E318" s="673"/>
      <c r="F318" s="671"/>
      <c r="G318" s="672"/>
      <c r="H318" s="672"/>
      <c r="I318" s="672"/>
      <c r="J318" s="672"/>
      <c r="K318" s="674"/>
      <c r="L318" s="254"/>
      <c r="M318" s="670" t="str">
        <f t="shared" si="4"/>
        <v/>
      </c>
    </row>
    <row r="319" spans="1:13" ht="14.45" customHeight="1" x14ac:dyDescent="0.2">
      <c r="A319" s="675"/>
      <c r="B319" s="671"/>
      <c r="C319" s="672"/>
      <c r="D319" s="672"/>
      <c r="E319" s="673"/>
      <c r="F319" s="671"/>
      <c r="G319" s="672"/>
      <c r="H319" s="672"/>
      <c r="I319" s="672"/>
      <c r="J319" s="672"/>
      <c r="K319" s="674"/>
      <c r="L319" s="254"/>
      <c r="M319" s="670" t="str">
        <f t="shared" si="4"/>
        <v/>
      </c>
    </row>
    <row r="320" spans="1:13" ht="14.45" customHeight="1" x14ac:dyDescent="0.2">
      <c r="A320" s="675"/>
      <c r="B320" s="671"/>
      <c r="C320" s="672"/>
      <c r="D320" s="672"/>
      <c r="E320" s="673"/>
      <c r="F320" s="671"/>
      <c r="G320" s="672"/>
      <c r="H320" s="672"/>
      <c r="I320" s="672"/>
      <c r="J320" s="672"/>
      <c r="K320" s="674"/>
      <c r="L320" s="254"/>
      <c r="M320" s="670" t="str">
        <f t="shared" si="4"/>
        <v/>
      </c>
    </row>
    <row r="321" spans="1:13" ht="14.45" customHeight="1" x14ac:dyDescent="0.2">
      <c r="A321" s="675"/>
      <c r="B321" s="671"/>
      <c r="C321" s="672"/>
      <c r="D321" s="672"/>
      <c r="E321" s="673"/>
      <c r="F321" s="671"/>
      <c r="G321" s="672"/>
      <c r="H321" s="672"/>
      <c r="I321" s="672"/>
      <c r="J321" s="672"/>
      <c r="K321" s="674"/>
      <c r="L321" s="254"/>
      <c r="M321" s="670" t="str">
        <f t="shared" si="4"/>
        <v/>
      </c>
    </row>
    <row r="322" spans="1:13" ht="14.45" customHeight="1" x14ac:dyDescent="0.2">
      <c r="A322" s="675"/>
      <c r="B322" s="671"/>
      <c r="C322" s="672"/>
      <c r="D322" s="672"/>
      <c r="E322" s="673"/>
      <c r="F322" s="671"/>
      <c r="G322" s="672"/>
      <c r="H322" s="672"/>
      <c r="I322" s="672"/>
      <c r="J322" s="672"/>
      <c r="K322" s="674"/>
      <c r="L322" s="254"/>
      <c r="M322" s="670" t="str">
        <f t="shared" si="4"/>
        <v/>
      </c>
    </row>
    <row r="323" spans="1:13" ht="14.45" customHeight="1" x14ac:dyDescent="0.2">
      <c r="A323" s="675"/>
      <c r="B323" s="671"/>
      <c r="C323" s="672"/>
      <c r="D323" s="672"/>
      <c r="E323" s="673"/>
      <c r="F323" s="671"/>
      <c r="G323" s="672"/>
      <c r="H323" s="672"/>
      <c r="I323" s="672"/>
      <c r="J323" s="672"/>
      <c r="K323" s="674"/>
      <c r="L323" s="254"/>
      <c r="M323" s="670" t="str">
        <f t="shared" si="4"/>
        <v/>
      </c>
    </row>
    <row r="324" spans="1:13" ht="14.45" customHeight="1" x14ac:dyDescent="0.2">
      <c r="A324" s="675"/>
      <c r="B324" s="671"/>
      <c r="C324" s="672"/>
      <c r="D324" s="672"/>
      <c r="E324" s="673"/>
      <c r="F324" s="671"/>
      <c r="G324" s="672"/>
      <c r="H324" s="672"/>
      <c r="I324" s="672"/>
      <c r="J324" s="672"/>
      <c r="K324" s="674"/>
      <c r="L324" s="254"/>
      <c r="M324" s="670" t="str">
        <f t="shared" si="4"/>
        <v/>
      </c>
    </row>
    <row r="325" spans="1:13" ht="14.45" customHeight="1" x14ac:dyDescent="0.2">
      <c r="A325" s="675"/>
      <c r="B325" s="671"/>
      <c r="C325" s="672"/>
      <c r="D325" s="672"/>
      <c r="E325" s="673"/>
      <c r="F325" s="671"/>
      <c r="G325" s="672"/>
      <c r="H325" s="672"/>
      <c r="I325" s="672"/>
      <c r="J325" s="672"/>
      <c r="K325" s="674"/>
      <c r="L325" s="254"/>
      <c r="M325" s="670" t="str">
        <f t="shared" si="4"/>
        <v/>
      </c>
    </row>
    <row r="326" spans="1:13" ht="14.45" customHeight="1" x14ac:dyDescent="0.2">
      <c r="A326" s="675"/>
      <c r="B326" s="671"/>
      <c r="C326" s="672"/>
      <c r="D326" s="672"/>
      <c r="E326" s="673"/>
      <c r="F326" s="671"/>
      <c r="G326" s="672"/>
      <c r="H326" s="672"/>
      <c r="I326" s="672"/>
      <c r="J326" s="672"/>
      <c r="K326" s="674"/>
      <c r="L326" s="254"/>
      <c r="M326" s="670" t="str">
        <f t="shared" ref="M326:M389" si="5">IF(A326="HV","HV",IF(OR(LEFT(A326,16)="               5",LEFT(A326,16)="               6",LEFT(A326,16)="               7",LEFT(A326,16)="               8"),"X",""))</f>
        <v/>
      </c>
    </row>
    <row r="327" spans="1:13" ht="14.45" customHeight="1" x14ac:dyDescent="0.2">
      <c r="A327" s="675"/>
      <c r="B327" s="671"/>
      <c r="C327" s="672"/>
      <c r="D327" s="672"/>
      <c r="E327" s="673"/>
      <c r="F327" s="671"/>
      <c r="G327" s="672"/>
      <c r="H327" s="672"/>
      <c r="I327" s="672"/>
      <c r="J327" s="672"/>
      <c r="K327" s="674"/>
      <c r="L327" s="254"/>
      <c r="M327" s="670" t="str">
        <f t="shared" si="5"/>
        <v/>
      </c>
    </row>
    <row r="328" spans="1:13" ht="14.45" customHeight="1" x14ac:dyDescent="0.2">
      <c r="A328" s="675"/>
      <c r="B328" s="671"/>
      <c r="C328" s="672"/>
      <c r="D328" s="672"/>
      <c r="E328" s="673"/>
      <c r="F328" s="671"/>
      <c r="G328" s="672"/>
      <c r="H328" s="672"/>
      <c r="I328" s="672"/>
      <c r="J328" s="672"/>
      <c r="K328" s="674"/>
      <c r="L328" s="254"/>
      <c r="M328" s="670" t="str">
        <f t="shared" si="5"/>
        <v/>
      </c>
    </row>
    <row r="329" spans="1:13" ht="14.45" customHeight="1" x14ac:dyDescent="0.2">
      <c r="A329" s="675"/>
      <c r="B329" s="671"/>
      <c r="C329" s="672"/>
      <c r="D329" s="672"/>
      <c r="E329" s="673"/>
      <c r="F329" s="671"/>
      <c r="G329" s="672"/>
      <c r="H329" s="672"/>
      <c r="I329" s="672"/>
      <c r="J329" s="672"/>
      <c r="K329" s="674"/>
      <c r="L329" s="254"/>
      <c r="M329" s="670" t="str">
        <f t="shared" si="5"/>
        <v/>
      </c>
    </row>
    <row r="330" spans="1:13" ht="14.45" customHeight="1" x14ac:dyDescent="0.2">
      <c r="A330" s="675"/>
      <c r="B330" s="671"/>
      <c r="C330" s="672"/>
      <c r="D330" s="672"/>
      <c r="E330" s="673"/>
      <c r="F330" s="671"/>
      <c r="G330" s="672"/>
      <c r="H330" s="672"/>
      <c r="I330" s="672"/>
      <c r="J330" s="672"/>
      <c r="K330" s="674"/>
      <c r="L330" s="254"/>
      <c r="M330" s="670" t="str">
        <f t="shared" si="5"/>
        <v/>
      </c>
    </row>
    <row r="331" spans="1:13" ht="14.45" customHeight="1" x14ac:dyDescent="0.2">
      <c r="A331" s="675"/>
      <c r="B331" s="671"/>
      <c r="C331" s="672"/>
      <c r="D331" s="672"/>
      <c r="E331" s="673"/>
      <c r="F331" s="671"/>
      <c r="G331" s="672"/>
      <c r="H331" s="672"/>
      <c r="I331" s="672"/>
      <c r="J331" s="672"/>
      <c r="K331" s="674"/>
      <c r="L331" s="254"/>
      <c r="M331" s="670" t="str">
        <f t="shared" si="5"/>
        <v/>
      </c>
    </row>
    <row r="332" spans="1:13" ht="14.45" customHeight="1" x14ac:dyDescent="0.2">
      <c r="A332" s="675"/>
      <c r="B332" s="671"/>
      <c r="C332" s="672"/>
      <c r="D332" s="672"/>
      <c r="E332" s="673"/>
      <c r="F332" s="671"/>
      <c r="G332" s="672"/>
      <c r="H332" s="672"/>
      <c r="I332" s="672"/>
      <c r="J332" s="672"/>
      <c r="K332" s="674"/>
      <c r="L332" s="254"/>
      <c r="M332" s="670" t="str">
        <f t="shared" si="5"/>
        <v/>
      </c>
    </row>
    <row r="333" spans="1:13" ht="14.45" customHeight="1" x14ac:dyDescent="0.2">
      <c r="A333" s="675"/>
      <c r="B333" s="671"/>
      <c r="C333" s="672"/>
      <c r="D333" s="672"/>
      <c r="E333" s="673"/>
      <c r="F333" s="671"/>
      <c r="G333" s="672"/>
      <c r="H333" s="672"/>
      <c r="I333" s="672"/>
      <c r="J333" s="672"/>
      <c r="K333" s="674"/>
      <c r="L333" s="254"/>
      <c r="M333" s="670" t="str">
        <f t="shared" si="5"/>
        <v/>
      </c>
    </row>
    <row r="334" spans="1:13" ht="14.45" customHeight="1" x14ac:dyDescent="0.2">
      <c r="A334" s="675"/>
      <c r="B334" s="671"/>
      <c r="C334" s="672"/>
      <c r="D334" s="672"/>
      <c r="E334" s="673"/>
      <c r="F334" s="671"/>
      <c r="G334" s="672"/>
      <c r="H334" s="672"/>
      <c r="I334" s="672"/>
      <c r="J334" s="672"/>
      <c r="K334" s="674"/>
      <c r="L334" s="254"/>
      <c r="M334" s="670" t="str">
        <f t="shared" si="5"/>
        <v/>
      </c>
    </row>
    <row r="335" spans="1:13" ht="14.45" customHeight="1" x14ac:dyDescent="0.2">
      <c r="A335" s="675"/>
      <c r="B335" s="671"/>
      <c r="C335" s="672"/>
      <c r="D335" s="672"/>
      <c r="E335" s="673"/>
      <c r="F335" s="671"/>
      <c r="G335" s="672"/>
      <c r="H335" s="672"/>
      <c r="I335" s="672"/>
      <c r="J335" s="672"/>
      <c r="K335" s="674"/>
      <c r="L335" s="254"/>
      <c r="M335" s="670" t="str">
        <f t="shared" si="5"/>
        <v/>
      </c>
    </row>
    <row r="336" spans="1:13" ht="14.45" customHeight="1" x14ac:dyDescent="0.2">
      <c r="A336" s="675"/>
      <c r="B336" s="671"/>
      <c r="C336" s="672"/>
      <c r="D336" s="672"/>
      <c r="E336" s="673"/>
      <c r="F336" s="671"/>
      <c r="G336" s="672"/>
      <c r="H336" s="672"/>
      <c r="I336" s="672"/>
      <c r="J336" s="672"/>
      <c r="K336" s="674"/>
      <c r="L336" s="254"/>
      <c r="M336" s="670" t="str">
        <f t="shared" si="5"/>
        <v/>
      </c>
    </row>
    <row r="337" spans="1:13" ht="14.45" customHeight="1" x14ac:dyDescent="0.2">
      <c r="A337" s="675"/>
      <c r="B337" s="671"/>
      <c r="C337" s="672"/>
      <c r="D337" s="672"/>
      <c r="E337" s="673"/>
      <c r="F337" s="671"/>
      <c r="G337" s="672"/>
      <c r="H337" s="672"/>
      <c r="I337" s="672"/>
      <c r="J337" s="672"/>
      <c r="K337" s="674"/>
      <c r="L337" s="254"/>
      <c r="M337" s="670" t="str">
        <f t="shared" si="5"/>
        <v/>
      </c>
    </row>
    <row r="338" spans="1:13" ht="14.45" customHeight="1" x14ac:dyDescent="0.2">
      <c r="A338" s="675"/>
      <c r="B338" s="671"/>
      <c r="C338" s="672"/>
      <c r="D338" s="672"/>
      <c r="E338" s="673"/>
      <c r="F338" s="671"/>
      <c r="G338" s="672"/>
      <c r="H338" s="672"/>
      <c r="I338" s="672"/>
      <c r="J338" s="672"/>
      <c r="K338" s="674"/>
      <c r="L338" s="254"/>
      <c r="M338" s="670" t="str">
        <f t="shared" si="5"/>
        <v/>
      </c>
    </row>
    <row r="339" spans="1:13" ht="14.45" customHeight="1" x14ac:dyDescent="0.2">
      <c r="A339" s="675"/>
      <c r="B339" s="671"/>
      <c r="C339" s="672"/>
      <c r="D339" s="672"/>
      <c r="E339" s="673"/>
      <c r="F339" s="671"/>
      <c r="G339" s="672"/>
      <c r="H339" s="672"/>
      <c r="I339" s="672"/>
      <c r="J339" s="672"/>
      <c r="K339" s="674"/>
      <c r="L339" s="254"/>
      <c r="M339" s="670" t="str">
        <f t="shared" si="5"/>
        <v/>
      </c>
    </row>
    <row r="340" spans="1:13" ht="14.45" customHeight="1" x14ac:dyDescent="0.2">
      <c r="A340" s="675"/>
      <c r="B340" s="671"/>
      <c r="C340" s="672"/>
      <c r="D340" s="672"/>
      <c r="E340" s="673"/>
      <c r="F340" s="671"/>
      <c r="G340" s="672"/>
      <c r="H340" s="672"/>
      <c r="I340" s="672"/>
      <c r="J340" s="672"/>
      <c r="K340" s="674"/>
      <c r="L340" s="254"/>
      <c r="M340" s="670" t="str">
        <f t="shared" si="5"/>
        <v/>
      </c>
    </row>
    <row r="341" spans="1:13" ht="14.45" customHeight="1" x14ac:dyDescent="0.2">
      <c r="A341" s="675"/>
      <c r="B341" s="671"/>
      <c r="C341" s="672"/>
      <c r="D341" s="672"/>
      <c r="E341" s="673"/>
      <c r="F341" s="671"/>
      <c r="G341" s="672"/>
      <c r="H341" s="672"/>
      <c r="I341" s="672"/>
      <c r="J341" s="672"/>
      <c r="K341" s="674"/>
      <c r="L341" s="254"/>
      <c r="M341" s="670" t="str">
        <f t="shared" si="5"/>
        <v/>
      </c>
    </row>
    <row r="342" spans="1:13" ht="14.45" customHeight="1" x14ac:dyDescent="0.2">
      <c r="A342" s="675"/>
      <c r="B342" s="671"/>
      <c r="C342" s="672"/>
      <c r="D342" s="672"/>
      <c r="E342" s="673"/>
      <c r="F342" s="671"/>
      <c r="G342" s="672"/>
      <c r="H342" s="672"/>
      <c r="I342" s="672"/>
      <c r="J342" s="672"/>
      <c r="K342" s="674"/>
      <c r="L342" s="254"/>
      <c r="M342" s="670" t="str">
        <f t="shared" si="5"/>
        <v/>
      </c>
    </row>
    <row r="343" spans="1:13" ht="14.45" customHeight="1" x14ac:dyDescent="0.2">
      <c r="A343" s="675"/>
      <c r="B343" s="671"/>
      <c r="C343" s="672"/>
      <c r="D343" s="672"/>
      <c r="E343" s="673"/>
      <c r="F343" s="671"/>
      <c r="G343" s="672"/>
      <c r="H343" s="672"/>
      <c r="I343" s="672"/>
      <c r="J343" s="672"/>
      <c r="K343" s="674"/>
      <c r="L343" s="254"/>
      <c r="M343" s="670" t="str">
        <f t="shared" si="5"/>
        <v/>
      </c>
    </row>
    <row r="344" spans="1:13" ht="14.45" customHeight="1" x14ac:dyDescent="0.2">
      <c r="A344" s="675"/>
      <c r="B344" s="671"/>
      <c r="C344" s="672"/>
      <c r="D344" s="672"/>
      <c r="E344" s="673"/>
      <c r="F344" s="671"/>
      <c r="G344" s="672"/>
      <c r="H344" s="672"/>
      <c r="I344" s="672"/>
      <c r="J344" s="672"/>
      <c r="K344" s="674"/>
      <c r="L344" s="254"/>
      <c r="M344" s="670" t="str">
        <f t="shared" si="5"/>
        <v/>
      </c>
    </row>
    <row r="345" spans="1:13" ht="14.45" customHeight="1" x14ac:dyDescent="0.2">
      <c r="A345" s="675"/>
      <c r="B345" s="671"/>
      <c r="C345" s="672"/>
      <c r="D345" s="672"/>
      <c r="E345" s="673"/>
      <c r="F345" s="671"/>
      <c r="G345" s="672"/>
      <c r="H345" s="672"/>
      <c r="I345" s="672"/>
      <c r="J345" s="672"/>
      <c r="K345" s="674"/>
      <c r="L345" s="254"/>
      <c r="M345" s="670" t="str">
        <f t="shared" si="5"/>
        <v/>
      </c>
    </row>
    <row r="346" spans="1:13" ht="14.45" customHeight="1" x14ac:dyDescent="0.2">
      <c r="A346" s="675"/>
      <c r="B346" s="671"/>
      <c r="C346" s="672"/>
      <c r="D346" s="672"/>
      <c r="E346" s="673"/>
      <c r="F346" s="671"/>
      <c r="G346" s="672"/>
      <c r="H346" s="672"/>
      <c r="I346" s="672"/>
      <c r="J346" s="672"/>
      <c r="K346" s="674"/>
      <c r="L346" s="254"/>
      <c r="M346" s="670" t="str">
        <f t="shared" si="5"/>
        <v/>
      </c>
    </row>
    <row r="347" spans="1:13" ht="14.45" customHeight="1" x14ac:dyDescent="0.2">
      <c r="A347" s="675"/>
      <c r="B347" s="671"/>
      <c r="C347" s="672"/>
      <c r="D347" s="672"/>
      <c r="E347" s="673"/>
      <c r="F347" s="671"/>
      <c r="G347" s="672"/>
      <c r="H347" s="672"/>
      <c r="I347" s="672"/>
      <c r="J347" s="672"/>
      <c r="K347" s="674"/>
      <c r="L347" s="254"/>
      <c r="M347" s="670" t="str">
        <f t="shared" si="5"/>
        <v/>
      </c>
    </row>
    <row r="348" spans="1:13" ht="14.45" customHeight="1" x14ac:dyDescent="0.2">
      <c r="A348" s="675"/>
      <c r="B348" s="671"/>
      <c r="C348" s="672"/>
      <c r="D348" s="672"/>
      <c r="E348" s="673"/>
      <c r="F348" s="671"/>
      <c r="G348" s="672"/>
      <c r="H348" s="672"/>
      <c r="I348" s="672"/>
      <c r="J348" s="672"/>
      <c r="K348" s="674"/>
      <c r="L348" s="254"/>
      <c r="M348" s="670" t="str">
        <f t="shared" si="5"/>
        <v/>
      </c>
    </row>
    <row r="349" spans="1:13" ht="14.45" customHeight="1" x14ac:dyDescent="0.2">
      <c r="A349" s="675"/>
      <c r="B349" s="671"/>
      <c r="C349" s="672"/>
      <c r="D349" s="672"/>
      <c r="E349" s="673"/>
      <c r="F349" s="671"/>
      <c r="G349" s="672"/>
      <c r="H349" s="672"/>
      <c r="I349" s="672"/>
      <c r="J349" s="672"/>
      <c r="K349" s="674"/>
      <c r="L349" s="254"/>
      <c r="M349" s="670" t="str">
        <f t="shared" si="5"/>
        <v/>
      </c>
    </row>
    <row r="350" spans="1:13" ht="14.45" customHeight="1" x14ac:dyDescent="0.2">
      <c r="A350" s="675"/>
      <c r="B350" s="671"/>
      <c r="C350" s="672"/>
      <c r="D350" s="672"/>
      <c r="E350" s="673"/>
      <c r="F350" s="671"/>
      <c r="G350" s="672"/>
      <c r="H350" s="672"/>
      <c r="I350" s="672"/>
      <c r="J350" s="672"/>
      <c r="K350" s="674"/>
      <c r="L350" s="254"/>
      <c r="M350" s="670" t="str">
        <f t="shared" si="5"/>
        <v/>
      </c>
    </row>
    <row r="351" spans="1:13" ht="14.45" customHeight="1" x14ac:dyDescent="0.2">
      <c r="A351" s="675"/>
      <c r="B351" s="671"/>
      <c r="C351" s="672"/>
      <c r="D351" s="672"/>
      <c r="E351" s="673"/>
      <c r="F351" s="671"/>
      <c r="G351" s="672"/>
      <c r="H351" s="672"/>
      <c r="I351" s="672"/>
      <c r="J351" s="672"/>
      <c r="K351" s="674"/>
      <c r="L351" s="254"/>
      <c r="M351" s="670" t="str">
        <f t="shared" si="5"/>
        <v/>
      </c>
    </row>
    <row r="352" spans="1:13" ht="14.45" customHeight="1" x14ac:dyDescent="0.2">
      <c r="A352" s="675"/>
      <c r="B352" s="671"/>
      <c r="C352" s="672"/>
      <c r="D352" s="672"/>
      <c r="E352" s="673"/>
      <c r="F352" s="671"/>
      <c r="G352" s="672"/>
      <c r="H352" s="672"/>
      <c r="I352" s="672"/>
      <c r="J352" s="672"/>
      <c r="K352" s="674"/>
      <c r="L352" s="254"/>
      <c r="M352" s="670" t="str">
        <f t="shared" si="5"/>
        <v/>
      </c>
    </row>
    <row r="353" spans="1:13" ht="14.45" customHeight="1" x14ac:dyDescent="0.2">
      <c r="A353" s="675"/>
      <c r="B353" s="671"/>
      <c r="C353" s="672"/>
      <c r="D353" s="672"/>
      <c r="E353" s="673"/>
      <c r="F353" s="671"/>
      <c r="G353" s="672"/>
      <c r="H353" s="672"/>
      <c r="I353" s="672"/>
      <c r="J353" s="672"/>
      <c r="K353" s="674"/>
      <c r="L353" s="254"/>
      <c r="M353" s="670" t="str">
        <f t="shared" si="5"/>
        <v/>
      </c>
    </row>
    <row r="354" spans="1:13" ht="14.45" customHeight="1" x14ac:dyDescent="0.2">
      <c r="A354" s="675"/>
      <c r="B354" s="671"/>
      <c r="C354" s="672"/>
      <c r="D354" s="672"/>
      <c r="E354" s="673"/>
      <c r="F354" s="671"/>
      <c r="G354" s="672"/>
      <c r="H354" s="672"/>
      <c r="I354" s="672"/>
      <c r="J354" s="672"/>
      <c r="K354" s="674"/>
      <c r="L354" s="254"/>
      <c r="M354" s="670" t="str">
        <f t="shared" si="5"/>
        <v/>
      </c>
    </row>
    <row r="355" spans="1:13" ht="14.45" customHeight="1" x14ac:dyDescent="0.2">
      <c r="A355" s="675"/>
      <c r="B355" s="671"/>
      <c r="C355" s="672"/>
      <c r="D355" s="672"/>
      <c r="E355" s="673"/>
      <c r="F355" s="671"/>
      <c r="G355" s="672"/>
      <c r="H355" s="672"/>
      <c r="I355" s="672"/>
      <c r="J355" s="672"/>
      <c r="K355" s="674"/>
      <c r="L355" s="254"/>
      <c r="M355" s="670" t="str">
        <f t="shared" si="5"/>
        <v/>
      </c>
    </row>
    <row r="356" spans="1:13" ht="14.45" customHeight="1" x14ac:dyDescent="0.2">
      <c r="A356" s="675"/>
      <c r="B356" s="671"/>
      <c r="C356" s="672"/>
      <c r="D356" s="672"/>
      <c r="E356" s="673"/>
      <c r="F356" s="671"/>
      <c r="G356" s="672"/>
      <c r="H356" s="672"/>
      <c r="I356" s="672"/>
      <c r="J356" s="672"/>
      <c r="K356" s="674"/>
      <c r="L356" s="254"/>
      <c r="M356" s="670" t="str">
        <f t="shared" si="5"/>
        <v/>
      </c>
    </row>
    <row r="357" spans="1:13" ht="14.45" customHeight="1" x14ac:dyDescent="0.2">
      <c r="A357" s="675"/>
      <c r="B357" s="671"/>
      <c r="C357" s="672"/>
      <c r="D357" s="672"/>
      <c r="E357" s="673"/>
      <c r="F357" s="671"/>
      <c r="G357" s="672"/>
      <c r="H357" s="672"/>
      <c r="I357" s="672"/>
      <c r="J357" s="672"/>
      <c r="K357" s="674"/>
      <c r="L357" s="254"/>
      <c r="M357" s="670" t="str">
        <f t="shared" si="5"/>
        <v/>
      </c>
    </row>
    <row r="358" spans="1:13" ht="14.45" customHeight="1" x14ac:dyDescent="0.2">
      <c r="A358" s="675"/>
      <c r="B358" s="671"/>
      <c r="C358" s="672"/>
      <c r="D358" s="672"/>
      <c r="E358" s="673"/>
      <c r="F358" s="671"/>
      <c r="G358" s="672"/>
      <c r="H358" s="672"/>
      <c r="I358" s="672"/>
      <c r="J358" s="672"/>
      <c r="K358" s="674"/>
      <c r="L358" s="254"/>
      <c r="M358" s="670" t="str">
        <f t="shared" si="5"/>
        <v/>
      </c>
    </row>
    <row r="359" spans="1:13" ht="14.45" customHeight="1" x14ac:dyDescent="0.2">
      <c r="A359" s="675"/>
      <c r="B359" s="671"/>
      <c r="C359" s="672"/>
      <c r="D359" s="672"/>
      <c r="E359" s="673"/>
      <c r="F359" s="671"/>
      <c r="G359" s="672"/>
      <c r="H359" s="672"/>
      <c r="I359" s="672"/>
      <c r="J359" s="672"/>
      <c r="K359" s="674"/>
      <c r="L359" s="254"/>
      <c r="M359" s="670" t="str">
        <f t="shared" si="5"/>
        <v/>
      </c>
    </row>
    <row r="360" spans="1:13" ht="14.45" customHeight="1" x14ac:dyDescent="0.2">
      <c r="A360" s="675"/>
      <c r="B360" s="671"/>
      <c r="C360" s="672"/>
      <c r="D360" s="672"/>
      <c r="E360" s="673"/>
      <c r="F360" s="671"/>
      <c r="G360" s="672"/>
      <c r="H360" s="672"/>
      <c r="I360" s="672"/>
      <c r="J360" s="672"/>
      <c r="K360" s="674"/>
      <c r="L360" s="254"/>
      <c r="M360" s="670" t="str">
        <f t="shared" si="5"/>
        <v/>
      </c>
    </row>
    <row r="361" spans="1:13" ht="14.45" customHeight="1" x14ac:dyDescent="0.2">
      <c r="A361" s="675"/>
      <c r="B361" s="671"/>
      <c r="C361" s="672"/>
      <c r="D361" s="672"/>
      <c r="E361" s="673"/>
      <c r="F361" s="671"/>
      <c r="G361" s="672"/>
      <c r="H361" s="672"/>
      <c r="I361" s="672"/>
      <c r="J361" s="672"/>
      <c r="K361" s="674"/>
      <c r="L361" s="254"/>
      <c r="M361" s="670" t="str">
        <f t="shared" si="5"/>
        <v/>
      </c>
    </row>
    <row r="362" spans="1:13" ht="14.45" customHeight="1" x14ac:dyDescent="0.2">
      <c r="A362" s="675"/>
      <c r="B362" s="671"/>
      <c r="C362" s="672"/>
      <c r="D362" s="672"/>
      <c r="E362" s="673"/>
      <c r="F362" s="671"/>
      <c r="G362" s="672"/>
      <c r="H362" s="672"/>
      <c r="I362" s="672"/>
      <c r="J362" s="672"/>
      <c r="K362" s="674"/>
      <c r="L362" s="254"/>
      <c r="M362" s="670" t="str">
        <f t="shared" si="5"/>
        <v/>
      </c>
    </row>
    <row r="363" spans="1:13" ht="14.45" customHeight="1" x14ac:dyDescent="0.2">
      <c r="A363" s="675"/>
      <c r="B363" s="671"/>
      <c r="C363" s="672"/>
      <c r="D363" s="672"/>
      <c r="E363" s="673"/>
      <c r="F363" s="671"/>
      <c r="G363" s="672"/>
      <c r="H363" s="672"/>
      <c r="I363" s="672"/>
      <c r="J363" s="672"/>
      <c r="K363" s="674"/>
      <c r="L363" s="254"/>
      <c r="M363" s="670" t="str">
        <f t="shared" si="5"/>
        <v/>
      </c>
    </row>
    <row r="364" spans="1:13" ht="14.45" customHeight="1" x14ac:dyDescent="0.2">
      <c r="A364" s="675"/>
      <c r="B364" s="671"/>
      <c r="C364" s="672"/>
      <c r="D364" s="672"/>
      <c r="E364" s="673"/>
      <c r="F364" s="671"/>
      <c r="G364" s="672"/>
      <c r="H364" s="672"/>
      <c r="I364" s="672"/>
      <c r="J364" s="672"/>
      <c r="K364" s="674"/>
      <c r="L364" s="254"/>
      <c r="M364" s="670" t="str">
        <f t="shared" si="5"/>
        <v/>
      </c>
    </row>
    <row r="365" spans="1:13" ht="14.45" customHeight="1" x14ac:dyDescent="0.2">
      <c r="A365" s="675"/>
      <c r="B365" s="671"/>
      <c r="C365" s="672"/>
      <c r="D365" s="672"/>
      <c r="E365" s="673"/>
      <c r="F365" s="671"/>
      <c r="G365" s="672"/>
      <c r="H365" s="672"/>
      <c r="I365" s="672"/>
      <c r="J365" s="672"/>
      <c r="K365" s="674"/>
      <c r="L365" s="254"/>
      <c r="M365" s="670" t="str">
        <f t="shared" si="5"/>
        <v/>
      </c>
    </row>
    <row r="366" spans="1:13" ht="14.45" customHeight="1" x14ac:dyDescent="0.2">
      <c r="A366" s="675"/>
      <c r="B366" s="671"/>
      <c r="C366" s="672"/>
      <c r="D366" s="672"/>
      <c r="E366" s="673"/>
      <c r="F366" s="671"/>
      <c r="G366" s="672"/>
      <c r="H366" s="672"/>
      <c r="I366" s="672"/>
      <c r="J366" s="672"/>
      <c r="K366" s="674"/>
      <c r="L366" s="254"/>
      <c r="M366" s="670" t="str">
        <f t="shared" si="5"/>
        <v/>
      </c>
    </row>
    <row r="367" spans="1:13" ht="14.45" customHeight="1" x14ac:dyDescent="0.2">
      <c r="A367" s="675"/>
      <c r="B367" s="671"/>
      <c r="C367" s="672"/>
      <c r="D367" s="672"/>
      <c r="E367" s="673"/>
      <c r="F367" s="671"/>
      <c r="G367" s="672"/>
      <c r="H367" s="672"/>
      <c r="I367" s="672"/>
      <c r="J367" s="672"/>
      <c r="K367" s="674"/>
      <c r="L367" s="254"/>
      <c r="M367" s="670" t="str">
        <f t="shared" si="5"/>
        <v/>
      </c>
    </row>
    <row r="368" spans="1:13" ht="14.45" customHeight="1" x14ac:dyDescent="0.2">
      <c r="A368" s="675"/>
      <c r="B368" s="671"/>
      <c r="C368" s="672"/>
      <c r="D368" s="672"/>
      <c r="E368" s="673"/>
      <c r="F368" s="671"/>
      <c r="G368" s="672"/>
      <c r="H368" s="672"/>
      <c r="I368" s="672"/>
      <c r="J368" s="672"/>
      <c r="K368" s="674"/>
      <c r="L368" s="254"/>
      <c r="M368" s="670" t="str">
        <f t="shared" si="5"/>
        <v/>
      </c>
    </row>
    <row r="369" spans="1:13" ht="14.45" customHeight="1" x14ac:dyDescent="0.2">
      <c r="A369" s="675"/>
      <c r="B369" s="671"/>
      <c r="C369" s="672"/>
      <c r="D369" s="672"/>
      <c r="E369" s="673"/>
      <c r="F369" s="671"/>
      <c r="G369" s="672"/>
      <c r="H369" s="672"/>
      <c r="I369" s="672"/>
      <c r="J369" s="672"/>
      <c r="K369" s="674"/>
      <c r="L369" s="254"/>
      <c r="M369" s="670" t="str">
        <f t="shared" si="5"/>
        <v/>
      </c>
    </row>
    <row r="370" spans="1:13" ht="14.45" customHeight="1" x14ac:dyDescent="0.2">
      <c r="A370" s="675"/>
      <c r="B370" s="671"/>
      <c r="C370" s="672"/>
      <c r="D370" s="672"/>
      <c r="E370" s="673"/>
      <c r="F370" s="671"/>
      <c r="G370" s="672"/>
      <c r="H370" s="672"/>
      <c r="I370" s="672"/>
      <c r="J370" s="672"/>
      <c r="K370" s="674"/>
      <c r="L370" s="254"/>
      <c r="M370" s="670" t="str">
        <f t="shared" si="5"/>
        <v/>
      </c>
    </row>
    <row r="371" spans="1:13" ht="14.45" customHeight="1" x14ac:dyDescent="0.2">
      <c r="A371" s="675"/>
      <c r="B371" s="671"/>
      <c r="C371" s="672"/>
      <c r="D371" s="672"/>
      <c r="E371" s="673"/>
      <c r="F371" s="671"/>
      <c r="G371" s="672"/>
      <c r="H371" s="672"/>
      <c r="I371" s="672"/>
      <c r="J371" s="672"/>
      <c r="K371" s="674"/>
      <c r="L371" s="254"/>
      <c r="M371" s="670" t="str">
        <f t="shared" si="5"/>
        <v/>
      </c>
    </row>
    <row r="372" spans="1:13" ht="14.45" customHeight="1" x14ac:dyDescent="0.2">
      <c r="A372" s="675"/>
      <c r="B372" s="671"/>
      <c r="C372" s="672"/>
      <c r="D372" s="672"/>
      <c r="E372" s="673"/>
      <c r="F372" s="671"/>
      <c r="G372" s="672"/>
      <c r="H372" s="672"/>
      <c r="I372" s="672"/>
      <c r="J372" s="672"/>
      <c r="K372" s="674"/>
      <c r="L372" s="254"/>
      <c r="M372" s="670" t="str">
        <f t="shared" si="5"/>
        <v/>
      </c>
    </row>
    <row r="373" spans="1:13" ht="14.45" customHeight="1" x14ac:dyDescent="0.2">
      <c r="A373" s="675"/>
      <c r="B373" s="671"/>
      <c r="C373" s="672"/>
      <c r="D373" s="672"/>
      <c r="E373" s="673"/>
      <c r="F373" s="671"/>
      <c r="G373" s="672"/>
      <c r="H373" s="672"/>
      <c r="I373" s="672"/>
      <c r="J373" s="672"/>
      <c r="K373" s="674"/>
      <c r="L373" s="254"/>
      <c r="M373" s="670" t="str">
        <f t="shared" si="5"/>
        <v/>
      </c>
    </row>
    <row r="374" spans="1:13" ht="14.45" customHeight="1" x14ac:dyDescent="0.2">
      <c r="A374" s="675"/>
      <c r="B374" s="671"/>
      <c r="C374" s="672"/>
      <c r="D374" s="672"/>
      <c r="E374" s="673"/>
      <c r="F374" s="671"/>
      <c r="G374" s="672"/>
      <c r="H374" s="672"/>
      <c r="I374" s="672"/>
      <c r="J374" s="672"/>
      <c r="K374" s="674"/>
      <c r="L374" s="254"/>
      <c r="M374" s="670" t="str">
        <f t="shared" si="5"/>
        <v/>
      </c>
    </row>
    <row r="375" spans="1:13" ht="14.45" customHeight="1" x14ac:dyDescent="0.2">
      <c r="A375" s="675"/>
      <c r="B375" s="671"/>
      <c r="C375" s="672"/>
      <c r="D375" s="672"/>
      <c r="E375" s="673"/>
      <c r="F375" s="671"/>
      <c r="G375" s="672"/>
      <c r="H375" s="672"/>
      <c r="I375" s="672"/>
      <c r="J375" s="672"/>
      <c r="K375" s="674"/>
      <c r="L375" s="254"/>
      <c r="M375" s="670" t="str">
        <f t="shared" si="5"/>
        <v/>
      </c>
    </row>
    <row r="376" spans="1:13" ht="14.45" customHeight="1" x14ac:dyDescent="0.2">
      <c r="A376" s="675"/>
      <c r="B376" s="671"/>
      <c r="C376" s="672"/>
      <c r="D376" s="672"/>
      <c r="E376" s="673"/>
      <c r="F376" s="671"/>
      <c r="G376" s="672"/>
      <c r="H376" s="672"/>
      <c r="I376" s="672"/>
      <c r="J376" s="672"/>
      <c r="K376" s="674"/>
      <c r="L376" s="254"/>
      <c r="M376" s="670" t="str">
        <f t="shared" si="5"/>
        <v/>
      </c>
    </row>
    <row r="377" spans="1:13" ht="14.45" customHeight="1" x14ac:dyDescent="0.2">
      <c r="A377" s="675"/>
      <c r="B377" s="671"/>
      <c r="C377" s="672"/>
      <c r="D377" s="672"/>
      <c r="E377" s="673"/>
      <c r="F377" s="671"/>
      <c r="G377" s="672"/>
      <c r="H377" s="672"/>
      <c r="I377" s="672"/>
      <c r="J377" s="672"/>
      <c r="K377" s="674"/>
      <c r="L377" s="254"/>
      <c r="M377" s="670" t="str">
        <f t="shared" si="5"/>
        <v/>
      </c>
    </row>
    <row r="378" spans="1:13" ht="14.45" customHeight="1" x14ac:dyDescent="0.2">
      <c r="A378" s="675"/>
      <c r="B378" s="671"/>
      <c r="C378" s="672"/>
      <c r="D378" s="672"/>
      <c r="E378" s="673"/>
      <c r="F378" s="671"/>
      <c r="G378" s="672"/>
      <c r="H378" s="672"/>
      <c r="I378" s="672"/>
      <c r="J378" s="672"/>
      <c r="K378" s="674"/>
      <c r="L378" s="254"/>
      <c r="M378" s="670" t="str">
        <f t="shared" si="5"/>
        <v/>
      </c>
    </row>
    <row r="379" spans="1:13" ht="14.45" customHeight="1" x14ac:dyDescent="0.2">
      <c r="A379" s="675"/>
      <c r="B379" s="671"/>
      <c r="C379" s="672"/>
      <c r="D379" s="672"/>
      <c r="E379" s="673"/>
      <c r="F379" s="671"/>
      <c r="G379" s="672"/>
      <c r="H379" s="672"/>
      <c r="I379" s="672"/>
      <c r="J379" s="672"/>
      <c r="K379" s="674"/>
      <c r="L379" s="254"/>
      <c r="M379" s="670" t="str">
        <f t="shared" si="5"/>
        <v/>
      </c>
    </row>
    <row r="380" spans="1:13" ht="14.45" customHeight="1" x14ac:dyDescent="0.2">
      <c r="A380" s="675"/>
      <c r="B380" s="671"/>
      <c r="C380" s="672"/>
      <c r="D380" s="672"/>
      <c r="E380" s="673"/>
      <c r="F380" s="671"/>
      <c r="G380" s="672"/>
      <c r="H380" s="672"/>
      <c r="I380" s="672"/>
      <c r="J380" s="672"/>
      <c r="K380" s="674"/>
      <c r="L380" s="254"/>
      <c r="M380" s="670" t="str">
        <f t="shared" si="5"/>
        <v/>
      </c>
    </row>
    <row r="381" spans="1:13" ht="14.45" customHeight="1" x14ac:dyDescent="0.2">
      <c r="A381" s="675"/>
      <c r="B381" s="671"/>
      <c r="C381" s="672"/>
      <c r="D381" s="672"/>
      <c r="E381" s="673"/>
      <c r="F381" s="671"/>
      <c r="G381" s="672"/>
      <c r="H381" s="672"/>
      <c r="I381" s="672"/>
      <c r="J381" s="672"/>
      <c r="K381" s="674"/>
      <c r="L381" s="254"/>
      <c r="M381" s="670" t="str">
        <f t="shared" si="5"/>
        <v/>
      </c>
    </row>
    <row r="382" spans="1:13" ht="14.45" customHeight="1" x14ac:dyDescent="0.2">
      <c r="A382" s="675"/>
      <c r="B382" s="671"/>
      <c r="C382" s="672"/>
      <c r="D382" s="672"/>
      <c r="E382" s="673"/>
      <c r="F382" s="671"/>
      <c r="G382" s="672"/>
      <c r="H382" s="672"/>
      <c r="I382" s="672"/>
      <c r="J382" s="672"/>
      <c r="K382" s="674"/>
      <c r="L382" s="254"/>
      <c r="M382" s="670" t="str">
        <f t="shared" si="5"/>
        <v/>
      </c>
    </row>
    <row r="383" spans="1:13" ht="14.45" customHeight="1" x14ac:dyDescent="0.2">
      <c r="A383" s="675"/>
      <c r="B383" s="671"/>
      <c r="C383" s="672"/>
      <c r="D383" s="672"/>
      <c r="E383" s="673"/>
      <c r="F383" s="671"/>
      <c r="G383" s="672"/>
      <c r="H383" s="672"/>
      <c r="I383" s="672"/>
      <c r="J383" s="672"/>
      <c r="K383" s="674"/>
      <c r="L383" s="254"/>
      <c r="M383" s="670" t="str">
        <f t="shared" si="5"/>
        <v/>
      </c>
    </row>
    <row r="384" spans="1:13" ht="14.45" customHeight="1" x14ac:dyDescent="0.2">
      <c r="A384" s="675"/>
      <c r="B384" s="671"/>
      <c r="C384" s="672"/>
      <c r="D384" s="672"/>
      <c r="E384" s="673"/>
      <c r="F384" s="671"/>
      <c r="G384" s="672"/>
      <c r="H384" s="672"/>
      <c r="I384" s="672"/>
      <c r="J384" s="672"/>
      <c r="K384" s="674"/>
      <c r="L384" s="254"/>
      <c r="M384" s="670" t="str">
        <f t="shared" si="5"/>
        <v/>
      </c>
    </row>
    <row r="385" spans="1:13" ht="14.45" customHeight="1" x14ac:dyDescent="0.2">
      <c r="A385" s="675"/>
      <c r="B385" s="671"/>
      <c r="C385" s="672"/>
      <c r="D385" s="672"/>
      <c r="E385" s="673"/>
      <c r="F385" s="671"/>
      <c r="G385" s="672"/>
      <c r="H385" s="672"/>
      <c r="I385" s="672"/>
      <c r="J385" s="672"/>
      <c r="K385" s="674"/>
      <c r="L385" s="254"/>
      <c r="M385" s="670" t="str">
        <f t="shared" si="5"/>
        <v/>
      </c>
    </row>
    <row r="386" spans="1:13" ht="14.45" customHeight="1" x14ac:dyDescent="0.2">
      <c r="A386" s="675"/>
      <c r="B386" s="671"/>
      <c r="C386" s="672"/>
      <c r="D386" s="672"/>
      <c r="E386" s="673"/>
      <c r="F386" s="671"/>
      <c r="G386" s="672"/>
      <c r="H386" s="672"/>
      <c r="I386" s="672"/>
      <c r="J386" s="672"/>
      <c r="K386" s="674"/>
      <c r="L386" s="254"/>
      <c r="M386" s="670" t="str">
        <f t="shared" si="5"/>
        <v/>
      </c>
    </row>
    <row r="387" spans="1:13" ht="14.45" customHeight="1" x14ac:dyDescent="0.2">
      <c r="A387" s="675"/>
      <c r="B387" s="671"/>
      <c r="C387" s="672"/>
      <c r="D387" s="672"/>
      <c r="E387" s="673"/>
      <c r="F387" s="671"/>
      <c r="G387" s="672"/>
      <c r="H387" s="672"/>
      <c r="I387" s="672"/>
      <c r="J387" s="672"/>
      <c r="K387" s="674"/>
      <c r="L387" s="254"/>
      <c r="M387" s="670" t="str">
        <f t="shared" si="5"/>
        <v/>
      </c>
    </row>
    <row r="388" spans="1:13" ht="14.45" customHeight="1" x14ac:dyDescent="0.2">
      <c r="A388" s="675"/>
      <c r="B388" s="671"/>
      <c r="C388" s="672"/>
      <c r="D388" s="672"/>
      <c r="E388" s="673"/>
      <c r="F388" s="671"/>
      <c r="G388" s="672"/>
      <c r="H388" s="672"/>
      <c r="I388" s="672"/>
      <c r="J388" s="672"/>
      <c r="K388" s="674"/>
      <c r="L388" s="254"/>
      <c r="M388" s="670" t="str">
        <f t="shared" si="5"/>
        <v/>
      </c>
    </row>
    <row r="389" spans="1:13" ht="14.45" customHeight="1" x14ac:dyDescent="0.2">
      <c r="A389" s="675"/>
      <c r="B389" s="671"/>
      <c r="C389" s="672"/>
      <c r="D389" s="672"/>
      <c r="E389" s="673"/>
      <c r="F389" s="671"/>
      <c r="G389" s="672"/>
      <c r="H389" s="672"/>
      <c r="I389" s="672"/>
      <c r="J389" s="672"/>
      <c r="K389" s="674"/>
      <c r="L389" s="254"/>
      <c r="M389" s="670" t="str">
        <f t="shared" si="5"/>
        <v/>
      </c>
    </row>
    <row r="390" spans="1:13" ht="14.45" customHeight="1" x14ac:dyDescent="0.2">
      <c r="A390" s="675"/>
      <c r="B390" s="671"/>
      <c r="C390" s="672"/>
      <c r="D390" s="672"/>
      <c r="E390" s="673"/>
      <c r="F390" s="671"/>
      <c r="G390" s="672"/>
      <c r="H390" s="672"/>
      <c r="I390" s="672"/>
      <c r="J390" s="672"/>
      <c r="K390" s="674"/>
      <c r="L390" s="254"/>
      <c r="M390" s="670" t="str">
        <f t="shared" ref="M390:M453" si="6">IF(A390="HV","HV",IF(OR(LEFT(A390,16)="               5",LEFT(A390,16)="               6",LEFT(A390,16)="               7",LEFT(A390,16)="               8"),"X",""))</f>
        <v/>
      </c>
    </row>
    <row r="391" spans="1:13" ht="14.45" customHeight="1" x14ac:dyDescent="0.2">
      <c r="A391" s="675"/>
      <c r="B391" s="671"/>
      <c r="C391" s="672"/>
      <c r="D391" s="672"/>
      <c r="E391" s="673"/>
      <c r="F391" s="671"/>
      <c r="G391" s="672"/>
      <c r="H391" s="672"/>
      <c r="I391" s="672"/>
      <c r="J391" s="672"/>
      <c r="K391" s="674"/>
      <c r="L391" s="254"/>
      <c r="M391" s="670" t="str">
        <f t="shared" si="6"/>
        <v/>
      </c>
    </row>
    <row r="392" spans="1:13" ht="14.45" customHeight="1" x14ac:dyDescent="0.2">
      <c r="A392" s="675"/>
      <c r="B392" s="671"/>
      <c r="C392" s="672"/>
      <c r="D392" s="672"/>
      <c r="E392" s="673"/>
      <c r="F392" s="671"/>
      <c r="G392" s="672"/>
      <c r="H392" s="672"/>
      <c r="I392" s="672"/>
      <c r="J392" s="672"/>
      <c r="K392" s="674"/>
      <c r="L392" s="254"/>
      <c r="M392" s="670" t="str">
        <f t="shared" si="6"/>
        <v/>
      </c>
    </row>
    <row r="393" spans="1:13" ht="14.45" customHeight="1" x14ac:dyDescent="0.2">
      <c r="A393" s="675"/>
      <c r="B393" s="671"/>
      <c r="C393" s="672"/>
      <c r="D393" s="672"/>
      <c r="E393" s="673"/>
      <c r="F393" s="671"/>
      <c r="G393" s="672"/>
      <c r="H393" s="672"/>
      <c r="I393" s="672"/>
      <c r="J393" s="672"/>
      <c r="K393" s="674"/>
      <c r="L393" s="254"/>
      <c r="M393" s="670" t="str">
        <f t="shared" si="6"/>
        <v/>
      </c>
    </row>
    <row r="394" spans="1:13" ht="14.45" customHeight="1" x14ac:dyDescent="0.2">
      <c r="A394" s="675"/>
      <c r="B394" s="671"/>
      <c r="C394" s="672"/>
      <c r="D394" s="672"/>
      <c r="E394" s="673"/>
      <c r="F394" s="671"/>
      <c r="G394" s="672"/>
      <c r="H394" s="672"/>
      <c r="I394" s="672"/>
      <c r="J394" s="672"/>
      <c r="K394" s="674"/>
      <c r="L394" s="254"/>
      <c r="M394" s="670" t="str">
        <f t="shared" si="6"/>
        <v/>
      </c>
    </row>
    <row r="395" spans="1:13" ht="14.45" customHeight="1" x14ac:dyDescent="0.2">
      <c r="A395" s="675"/>
      <c r="B395" s="671"/>
      <c r="C395" s="672"/>
      <c r="D395" s="672"/>
      <c r="E395" s="673"/>
      <c r="F395" s="671"/>
      <c r="G395" s="672"/>
      <c r="H395" s="672"/>
      <c r="I395" s="672"/>
      <c r="J395" s="672"/>
      <c r="K395" s="674"/>
      <c r="L395" s="254"/>
      <c r="M395" s="670" t="str">
        <f t="shared" si="6"/>
        <v/>
      </c>
    </row>
    <row r="396" spans="1:13" ht="14.45" customHeight="1" x14ac:dyDescent="0.2">
      <c r="A396" s="675"/>
      <c r="B396" s="671"/>
      <c r="C396" s="672"/>
      <c r="D396" s="672"/>
      <c r="E396" s="673"/>
      <c r="F396" s="671"/>
      <c r="G396" s="672"/>
      <c r="H396" s="672"/>
      <c r="I396" s="672"/>
      <c r="J396" s="672"/>
      <c r="K396" s="674"/>
      <c r="L396" s="254"/>
      <c r="M396" s="670" t="str">
        <f t="shared" si="6"/>
        <v/>
      </c>
    </row>
    <row r="397" spans="1:13" ht="14.45" customHeight="1" x14ac:dyDescent="0.2">
      <c r="A397" s="675"/>
      <c r="B397" s="671"/>
      <c r="C397" s="672"/>
      <c r="D397" s="672"/>
      <c r="E397" s="673"/>
      <c r="F397" s="671"/>
      <c r="G397" s="672"/>
      <c r="H397" s="672"/>
      <c r="I397" s="672"/>
      <c r="J397" s="672"/>
      <c r="K397" s="674"/>
      <c r="L397" s="254"/>
      <c r="M397" s="670" t="str">
        <f t="shared" si="6"/>
        <v/>
      </c>
    </row>
    <row r="398" spans="1:13" ht="14.45" customHeight="1" x14ac:dyDescent="0.2">
      <c r="A398" s="675"/>
      <c r="B398" s="671"/>
      <c r="C398" s="672"/>
      <c r="D398" s="672"/>
      <c r="E398" s="673"/>
      <c r="F398" s="671"/>
      <c r="G398" s="672"/>
      <c r="H398" s="672"/>
      <c r="I398" s="672"/>
      <c r="J398" s="672"/>
      <c r="K398" s="674"/>
      <c r="L398" s="254"/>
      <c r="M398" s="670" t="str">
        <f t="shared" si="6"/>
        <v/>
      </c>
    </row>
    <row r="399" spans="1:13" ht="14.45" customHeight="1" x14ac:dyDescent="0.2">
      <c r="A399" s="675"/>
      <c r="B399" s="671"/>
      <c r="C399" s="672"/>
      <c r="D399" s="672"/>
      <c r="E399" s="673"/>
      <c r="F399" s="671"/>
      <c r="G399" s="672"/>
      <c r="H399" s="672"/>
      <c r="I399" s="672"/>
      <c r="J399" s="672"/>
      <c r="K399" s="674"/>
      <c r="L399" s="254"/>
      <c r="M399" s="670" t="str">
        <f t="shared" si="6"/>
        <v/>
      </c>
    </row>
    <row r="400" spans="1:13" ht="14.45" customHeight="1" x14ac:dyDescent="0.2">
      <c r="A400" s="675"/>
      <c r="B400" s="671"/>
      <c r="C400" s="672"/>
      <c r="D400" s="672"/>
      <c r="E400" s="673"/>
      <c r="F400" s="671"/>
      <c r="G400" s="672"/>
      <c r="H400" s="672"/>
      <c r="I400" s="672"/>
      <c r="J400" s="672"/>
      <c r="K400" s="674"/>
      <c r="L400" s="254"/>
      <c r="M400" s="670" t="str">
        <f t="shared" si="6"/>
        <v/>
      </c>
    </row>
    <row r="401" spans="1:13" ht="14.45" customHeight="1" x14ac:dyDescent="0.2">
      <c r="A401" s="675"/>
      <c r="B401" s="671"/>
      <c r="C401" s="672"/>
      <c r="D401" s="672"/>
      <c r="E401" s="673"/>
      <c r="F401" s="671"/>
      <c r="G401" s="672"/>
      <c r="H401" s="672"/>
      <c r="I401" s="672"/>
      <c r="J401" s="672"/>
      <c r="K401" s="674"/>
      <c r="L401" s="254"/>
      <c r="M401" s="670" t="str">
        <f t="shared" si="6"/>
        <v/>
      </c>
    </row>
    <row r="402" spans="1:13" ht="14.45" customHeight="1" x14ac:dyDescent="0.2">
      <c r="A402" s="675"/>
      <c r="B402" s="671"/>
      <c r="C402" s="672"/>
      <c r="D402" s="672"/>
      <c r="E402" s="673"/>
      <c r="F402" s="671"/>
      <c r="G402" s="672"/>
      <c r="H402" s="672"/>
      <c r="I402" s="672"/>
      <c r="J402" s="672"/>
      <c r="K402" s="674"/>
      <c r="L402" s="254"/>
      <c r="M402" s="670" t="str">
        <f t="shared" si="6"/>
        <v/>
      </c>
    </row>
    <row r="403" spans="1:13" ht="14.45" customHeight="1" x14ac:dyDescent="0.2">
      <c r="A403" s="675"/>
      <c r="B403" s="671"/>
      <c r="C403" s="672"/>
      <c r="D403" s="672"/>
      <c r="E403" s="673"/>
      <c r="F403" s="671"/>
      <c r="G403" s="672"/>
      <c r="H403" s="672"/>
      <c r="I403" s="672"/>
      <c r="J403" s="672"/>
      <c r="K403" s="674"/>
      <c r="L403" s="254"/>
      <c r="M403" s="670" t="str">
        <f t="shared" si="6"/>
        <v/>
      </c>
    </row>
    <row r="404" spans="1:13" ht="14.45" customHeight="1" x14ac:dyDescent="0.2">
      <c r="A404" s="675"/>
      <c r="B404" s="671"/>
      <c r="C404" s="672"/>
      <c r="D404" s="672"/>
      <c r="E404" s="673"/>
      <c r="F404" s="671"/>
      <c r="G404" s="672"/>
      <c r="H404" s="672"/>
      <c r="I404" s="672"/>
      <c r="J404" s="672"/>
      <c r="K404" s="674"/>
      <c r="L404" s="254"/>
      <c r="M404" s="670" t="str">
        <f t="shared" si="6"/>
        <v/>
      </c>
    </row>
    <row r="405" spans="1:13" ht="14.45" customHeight="1" x14ac:dyDescent="0.2">
      <c r="A405" s="675"/>
      <c r="B405" s="671"/>
      <c r="C405" s="672"/>
      <c r="D405" s="672"/>
      <c r="E405" s="673"/>
      <c r="F405" s="671"/>
      <c r="G405" s="672"/>
      <c r="H405" s="672"/>
      <c r="I405" s="672"/>
      <c r="J405" s="672"/>
      <c r="K405" s="674"/>
      <c r="L405" s="254"/>
      <c r="M405" s="670" t="str">
        <f t="shared" si="6"/>
        <v/>
      </c>
    </row>
    <row r="406" spans="1:13" ht="14.45" customHeight="1" x14ac:dyDescent="0.2">
      <c r="A406" s="675"/>
      <c r="B406" s="671"/>
      <c r="C406" s="672"/>
      <c r="D406" s="672"/>
      <c r="E406" s="673"/>
      <c r="F406" s="671"/>
      <c r="G406" s="672"/>
      <c r="H406" s="672"/>
      <c r="I406" s="672"/>
      <c r="J406" s="672"/>
      <c r="K406" s="674"/>
      <c r="L406" s="254"/>
      <c r="M406" s="670" t="str">
        <f t="shared" si="6"/>
        <v/>
      </c>
    </row>
    <row r="407" spans="1:13" ht="14.45" customHeight="1" x14ac:dyDescent="0.2">
      <c r="A407" s="675"/>
      <c r="B407" s="671"/>
      <c r="C407" s="672"/>
      <c r="D407" s="672"/>
      <c r="E407" s="673"/>
      <c r="F407" s="671"/>
      <c r="G407" s="672"/>
      <c r="H407" s="672"/>
      <c r="I407" s="672"/>
      <c r="J407" s="672"/>
      <c r="K407" s="674"/>
      <c r="L407" s="254"/>
      <c r="M407" s="670" t="str">
        <f t="shared" si="6"/>
        <v/>
      </c>
    </row>
    <row r="408" spans="1:13" ht="14.45" customHeight="1" x14ac:dyDescent="0.2">
      <c r="A408" s="675"/>
      <c r="B408" s="671"/>
      <c r="C408" s="672"/>
      <c r="D408" s="672"/>
      <c r="E408" s="673"/>
      <c r="F408" s="671"/>
      <c r="G408" s="672"/>
      <c r="H408" s="672"/>
      <c r="I408" s="672"/>
      <c r="J408" s="672"/>
      <c r="K408" s="674"/>
      <c r="L408" s="254"/>
      <c r="M408" s="670" t="str">
        <f t="shared" si="6"/>
        <v/>
      </c>
    </row>
    <row r="409" spans="1:13" ht="14.45" customHeight="1" x14ac:dyDescent="0.2">
      <c r="A409" s="675"/>
      <c r="B409" s="671"/>
      <c r="C409" s="672"/>
      <c r="D409" s="672"/>
      <c r="E409" s="673"/>
      <c r="F409" s="671"/>
      <c r="G409" s="672"/>
      <c r="H409" s="672"/>
      <c r="I409" s="672"/>
      <c r="J409" s="672"/>
      <c r="K409" s="674"/>
      <c r="L409" s="254"/>
      <c r="M409" s="670" t="str">
        <f t="shared" si="6"/>
        <v/>
      </c>
    </row>
    <row r="410" spans="1:13" ht="14.45" customHeight="1" x14ac:dyDescent="0.2">
      <c r="A410" s="675"/>
      <c r="B410" s="671"/>
      <c r="C410" s="672"/>
      <c r="D410" s="672"/>
      <c r="E410" s="673"/>
      <c r="F410" s="671"/>
      <c r="G410" s="672"/>
      <c r="H410" s="672"/>
      <c r="I410" s="672"/>
      <c r="J410" s="672"/>
      <c r="K410" s="674"/>
      <c r="L410" s="254"/>
      <c r="M410" s="670" t="str">
        <f t="shared" si="6"/>
        <v/>
      </c>
    </row>
    <row r="411" spans="1:13" ht="14.45" customHeight="1" x14ac:dyDescent="0.2">
      <c r="A411" s="675"/>
      <c r="B411" s="671"/>
      <c r="C411" s="672"/>
      <c r="D411" s="672"/>
      <c r="E411" s="673"/>
      <c r="F411" s="671"/>
      <c r="G411" s="672"/>
      <c r="H411" s="672"/>
      <c r="I411" s="672"/>
      <c r="J411" s="672"/>
      <c r="K411" s="674"/>
      <c r="L411" s="254"/>
      <c r="M411" s="670" t="str">
        <f t="shared" si="6"/>
        <v/>
      </c>
    </row>
    <row r="412" spans="1:13" ht="14.45" customHeight="1" x14ac:dyDescent="0.2">
      <c r="A412" s="675"/>
      <c r="B412" s="671"/>
      <c r="C412" s="672"/>
      <c r="D412" s="672"/>
      <c r="E412" s="673"/>
      <c r="F412" s="671"/>
      <c r="G412" s="672"/>
      <c r="H412" s="672"/>
      <c r="I412" s="672"/>
      <c r="J412" s="672"/>
      <c r="K412" s="674"/>
      <c r="L412" s="254"/>
      <c r="M412" s="670" t="str">
        <f t="shared" si="6"/>
        <v/>
      </c>
    </row>
    <row r="413" spans="1:13" ht="14.45" customHeight="1" x14ac:dyDescent="0.2">
      <c r="A413" s="675"/>
      <c r="B413" s="671"/>
      <c r="C413" s="672"/>
      <c r="D413" s="672"/>
      <c r="E413" s="673"/>
      <c r="F413" s="671"/>
      <c r="G413" s="672"/>
      <c r="H413" s="672"/>
      <c r="I413" s="672"/>
      <c r="J413" s="672"/>
      <c r="K413" s="674"/>
      <c r="L413" s="254"/>
      <c r="M413" s="670" t="str">
        <f t="shared" si="6"/>
        <v/>
      </c>
    </row>
    <row r="414" spans="1:13" ht="14.45" customHeight="1" x14ac:dyDescent="0.2">
      <c r="A414" s="675"/>
      <c r="B414" s="671"/>
      <c r="C414" s="672"/>
      <c r="D414" s="672"/>
      <c r="E414" s="673"/>
      <c r="F414" s="671"/>
      <c r="G414" s="672"/>
      <c r="H414" s="672"/>
      <c r="I414" s="672"/>
      <c r="J414" s="672"/>
      <c r="K414" s="674"/>
      <c r="L414" s="254"/>
      <c r="M414" s="670" t="str">
        <f t="shared" si="6"/>
        <v/>
      </c>
    </row>
    <row r="415" spans="1:13" ht="14.45" customHeight="1" x14ac:dyDescent="0.2">
      <c r="A415" s="675"/>
      <c r="B415" s="671"/>
      <c r="C415" s="672"/>
      <c r="D415" s="672"/>
      <c r="E415" s="673"/>
      <c r="F415" s="671"/>
      <c r="G415" s="672"/>
      <c r="H415" s="672"/>
      <c r="I415" s="672"/>
      <c r="J415" s="672"/>
      <c r="K415" s="674"/>
      <c r="L415" s="254"/>
      <c r="M415" s="670" t="str">
        <f t="shared" si="6"/>
        <v/>
      </c>
    </row>
    <row r="416" spans="1:13" ht="14.45" customHeight="1" x14ac:dyDescent="0.2">
      <c r="A416" s="675"/>
      <c r="B416" s="671"/>
      <c r="C416" s="672"/>
      <c r="D416" s="672"/>
      <c r="E416" s="673"/>
      <c r="F416" s="671"/>
      <c r="G416" s="672"/>
      <c r="H416" s="672"/>
      <c r="I416" s="672"/>
      <c r="J416" s="672"/>
      <c r="K416" s="674"/>
      <c r="L416" s="254"/>
      <c r="M416" s="670" t="str">
        <f t="shared" si="6"/>
        <v/>
      </c>
    </row>
    <row r="417" spans="1:13" ht="14.45" customHeight="1" x14ac:dyDescent="0.2">
      <c r="A417" s="675"/>
      <c r="B417" s="671"/>
      <c r="C417" s="672"/>
      <c r="D417" s="672"/>
      <c r="E417" s="673"/>
      <c r="F417" s="671"/>
      <c r="G417" s="672"/>
      <c r="H417" s="672"/>
      <c r="I417" s="672"/>
      <c r="J417" s="672"/>
      <c r="K417" s="674"/>
      <c r="L417" s="254"/>
      <c r="M417" s="670" t="str">
        <f t="shared" si="6"/>
        <v/>
      </c>
    </row>
    <row r="418" spans="1:13" ht="14.45" customHeight="1" x14ac:dyDescent="0.2">
      <c r="A418" s="675"/>
      <c r="B418" s="671"/>
      <c r="C418" s="672"/>
      <c r="D418" s="672"/>
      <c r="E418" s="673"/>
      <c r="F418" s="671"/>
      <c r="G418" s="672"/>
      <c r="H418" s="672"/>
      <c r="I418" s="672"/>
      <c r="J418" s="672"/>
      <c r="K418" s="674"/>
      <c r="L418" s="254"/>
      <c r="M418" s="670" t="str">
        <f t="shared" si="6"/>
        <v/>
      </c>
    </row>
    <row r="419" spans="1:13" ht="14.45" customHeight="1" x14ac:dyDescent="0.2">
      <c r="A419" s="675"/>
      <c r="B419" s="671"/>
      <c r="C419" s="672"/>
      <c r="D419" s="672"/>
      <c r="E419" s="673"/>
      <c r="F419" s="671"/>
      <c r="G419" s="672"/>
      <c r="H419" s="672"/>
      <c r="I419" s="672"/>
      <c r="J419" s="672"/>
      <c r="K419" s="674"/>
      <c r="L419" s="254"/>
      <c r="M419" s="670" t="str">
        <f t="shared" si="6"/>
        <v/>
      </c>
    </row>
    <row r="420" spans="1:13" ht="14.45" customHeight="1" x14ac:dyDescent="0.2">
      <c r="A420" s="675"/>
      <c r="B420" s="671"/>
      <c r="C420" s="672"/>
      <c r="D420" s="672"/>
      <c r="E420" s="673"/>
      <c r="F420" s="671"/>
      <c r="G420" s="672"/>
      <c r="H420" s="672"/>
      <c r="I420" s="672"/>
      <c r="J420" s="672"/>
      <c r="K420" s="674"/>
      <c r="L420" s="254"/>
      <c r="M420" s="670" t="str">
        <f t="shared" si="6"/>
        <v/>
      </c>
    </row>
    <row r="421" spans="1:13" ht="14.45" customHeight="1" x14ac:dyDescent="0.2">
      <c r="A421" s="675"/>
      <c r="B421" s="671"/>
      <c r="C421" s="672"/>
      <c r="D421" s="672"/>
      <c r="E421" s="673"/>
      <c r="F421" s="671"/>
      <c r="G421" s="672"/>
      <c r="H421" s="672"/>
      <c r="I421" s="672"/>
      <c r="J421" s="672"/>
      <c r="K421" s="674"/>
      <c r="L421" s="254"/>
      <c r="M421" s="670" t="str">
        <f t="shared" si="6"/>
        <v/>
      </c>
    </row>
    <row r="422" spans="1:13" ht="14.45" customHeight="1" x14ac:dyDescent="0.2">
      <c r="A422" s="675"/>
      <c r="B422" s="671"/>
      <c r="C422" s="672"/>
      <c r="D422" s="672"/>
      <c r="E422" s="673"/>
      <c r="F422" s="671"/>
      <c r="G422" s="672"/>
      <c r="H422" s="672"/>
      <c r="I422" s="672"/>
      <c r="J422" s="672"/>
      <c r="K422" s="674"/>
      <c r="L422" s="254"/>
      <c r="M422" s="670" t="str">
        <f t="shared" si="6"/>
        <v/>
      </c>
    </row>
    <row r="423" spans="1:13" ht="14.45" customHeight="1" x14ac:dyDescent="0.2">
      <c r="A423" s="675"/>
      <c r="B423" s="671"/>
      <c r="C423" s="672"/>
      <c r="D423" s="672"/>
      <c r="E423" s="673"/>
      <c r="F423" s="671"/>
      <c r="G423" s="672"/>
      <c r="H423" s="672"/>
      <c r="I423" s="672"/>
      <c r="J423" s="672"/>
      <c r="K423" s="674"/>
      <c r="L423" s="254"/>
      <c r="M423" s="670" t="str">
        <f t="shared" si="6"/>
        <v/>
      </c>
    </row>
    <row r="424" spans="1:13" ht="14.45" customHeight="1" x14ac:dyDescent="0.2">
      <c r="A424" s="675"/>
      <c r="B424" s="671"/>
      <c r="C424" s="672"/>
      <c r="D424" s="672"/>
      <c r="E424" s="673"/>
      <c r="F424" s="671"/>
      <c r="G424" s="672"/>
      <c r="H424" s="672"/>
      <c r="I424" s="672"/>
      <c r="J424" s="672"/>
      <c r="K424" s="674"/>
      <c r="L424" s="254"/>
      <c r="M424" s="670" t="str">
        <f t="shared" si="6"/>
        <v/>
      </c>
    </row>
    <row r="425" spans="1:13" ht="14.45" customHeight="1" x14ac:dyDescent="0.2">
      <c r="A425" s="675"/>
      <c r="B425" s="671"/>
      <c r="C425" s="672"/>
      <c r="D425" s="672"/>
      <c r="E425" s="673"/>
      <c r="F425" s="671"/>
      <c r="G425" s="672"/>
      <c r="H425" s="672"/>
      <c r="I425" s="672"/>
      <c r="J425" s="672"/>
      <c r="K425" s="674"/>
      <c r="L425" s="254"/>
      <c r="M425" s="670" t="str">
        <f t="shared" si="6"/>
        <v/>
      </c>
    </row>
    <row r="426" spans="1:13" ht="14.45" customHeight="1" x14ac:dyDescent="0.2">
      <c r="A426" s="675"/>
      <c r="B426" s="671"/>
      <c r="C426" s="672"/>
      <c r="D426" s="672"/>
      <c r="E426" s="673"/>
      <c r="F426" s="671"/>
      <c r="G426" s="672"/>
      <c r="H426" s="672"/>
      <c r="I426" s="672"/>
      <c r="J426" s="672"/>
      <c r="K426" s="674"/>
      <c r="L426" s="254"/>
      <c r="M426" s="670" t="str">
        <f t="shared" si="6"/>
        <v/>
      </c>
    </row>
    <row r="427" spans="1:13" ht="14.45" customHeight="1" x14ac:dyDescent="0.2">
      <c r="A427" s="675"/>
      <c r="B427" s="671"/>
      <c r="C427" s="672"/>
      <c r="D427" s="672"/>
      <c r="E427" s="673"/>
      <c r="F427" s="671"/>
      <c r="G427" s="672"/>
      <c r="H427" s="672"/>
      <c r="I427" s="672"/>
      <c r="J427" s="672"/>
      <c r="K427" s="674"/>
      <c r="L427" s="254"/>
      <c r="M427" s="670" t="str">
        <f t="shared" si="6"/>
        <v/>
      </c>
    </row>
    <row r="428" spans="1:13" ht="14.45" customHeight="1" x14ac:dyDescent="0.2">
      <c r="A428" s="675"/>
      <c r="B428" s="671"/>
      <c r="C428" s="672"/>
      <c r="D428" s="672"/>
      <c r="E428" s="673"/>
      <c r="F428" s="671"/>
      <c r="G428" s="672"/>
      <c r="H428" s="672"/>
      <c r="I428" s="672"/>
      <c r="J428" s="672"/>
      <c r="K428" s="674"/>
      <c r="L428" s="254"/>
      <c r="M428" s="670" t="str">
        <f t="shared" si="6"/>
        <v/>
      </c>
    </row>
    <row r="429" spans="1:13" ht="14.45" customHeight="1" x14ac:dyDescent="0.2">
      <c r="A429" s="675"/>
      <c r="B429" s="671"/>
      <c r="C429" s="672"/>
      <c r="D429" s="672"/>
      <c r="E429" s="673"/>
      <c r="F429" s="671"/>
      <c r="G429" s="672"/>
      <c r="H429" s="672"/>
      <c r="I429" s="672"/>
      <c r="J429" s="672"/>
      <c r="K429" s="674"/>
      <c r="L429" s="254"/>
      <c r="M429" s="670" t="str">
        <f t="shared" si="6"/>
        <v/>
      </c>
    </row>
    <row r="430" spans="1:13" ht="14.45" customHeight="1" x14ac:dyDescent="0.2">
      <c r="A430" s="675"/>
      <c r="B430" s="671"/>
      <c r="C430" s="672"/>
      <c r="D430" s="672"/>
      <c r="E430" s="673"/>
      <c r="F430" s="671"/>
      <c r="G430" s="672"/>
      <c r="H430" s="672"/>
      <c r="I430" s="672"/>
      <c r="J430" s="672"/>
      <c r="K430" s="674"/>
      <c r="L430" s="254"/>
      <c r="M430" s="670" t="str">
        <f t="shared" si="6"/>
        <v/>
      </c>
    </row>
    <row r="431" spans="1:13" ht="14.45" customHeight="1" x14ac:dyDescent="0.2">
      <c r="A431" s="675"/>
      <c r="B431" s="671"/>
      <c r="C431" s="672"/>
      <c r="D431" s="672"/>
      <c r="E431" s="673"/>
      <c r="F431" s="671"/>
      <c r="G431" s="672"/>
      <c r="H431" s="672"/>
      <c r="I431" s="672"/>
      <c r="J431" s="672"/>
      <c r="K431" s="674"/>
      <c r="L431" s="254"/>
      <c r="M431" s="670" t="str">
        <f t="shared" si="6"/>
        <v/>
      </c>
    </row>
    <row r="432" spans="1:13" ht="14.45" customHeight="1" x14ac:dyDescent="0.2">
      <c r="A432" s="675"/>
      <c r="B432" s="671"/>
      <c r="C432" s="672"/>
      <c r="D432" s="672"/>
      <c r="E432" s="673"/>
      <c r="F432" s="671"/>
      <c r="G432" s="672"/>
      <c r="H432" s="672"/>
      <c r="I432" s="672"/>
      <c r="J432" s="672"/>
      <c r="K432" s="674"/>
      <c r="L432" s="254"/>
      <c r="M432" s="670" t="str">
        <f t="shared" si="6"/>
        <v/>
      </c>
    </row>
    <row r="433" spans="1:13" ht="14.45" customHeight="1" x14ac:dyDescent="0.2">
      <c r="A433" s="675"/>
      <c r="B433" s="671"/>
      <c r="C433" s="672"/>
      <c r="D433" s="672"/>
      <c r="E433" s="673"/>
      <c r="F433" s="671"/>
      <c r="G433" s="672"/>
      <c r="H433" s="672"/>
      <c r="I433" s="672"/>
      <c r="J433" s="672"/>
      <c r="K433" s="674"/>
      <c r="L433" s="254"/>
      <c r="M433" s="670" t="str">
        <f t="shared" si="6"/>
        <v/>
      </c>
    </row>
    <row r="434" spans="1:13" ht="14.45" customHeight="1" x14ac:dyDescent="0.2">
      <c r="A434" s="675"/>
      <c r="B434" s="671"/>
      <c r="C434" s="672"/>
      <c r="D434" s="672"/>
      <c r="E434" s="673"/>
      <c r="F434" s="671"/>
      <c r="G434" s="672"/>
      <c r="H434" s="672"/>
      <c r="I434" s="672"/>
      <c r="J434" s="672"/>
      <c r="K434" s="674"/>
      <c r="L434" s="254"/>
      <c r="M434" s="670" t="str">
        <f t="shared" si="6"/>
        <v/>
      </c>
    </row>
    <row r="435" spans="1:13" ht="14.45" customHeight="1" x14ac:dyDescent="0.2">
      <c r="A435" s="675"/>
      <c r="B435" s="671"/>
      <c r="C435" s="672"/>
      <c r="D435" s="672"/>
      <c r="E435" s="673"/>
      <c r="F435" s="671"/>
      <c r="G435" s="672"/>
      <c r="H435" s="672"/>
      <c r="I435" s="672"/>
      <c r="J435" s="672"/>
      <c r="K435" s="674"/>
      <c r="L435" s="254"/>
      <c r="M435" s="670" t="str">
        <f t="shared" si="6"/>
        <v/>
      </c>
    </row>
    <row r="436" spans="1:13" ht="14.45" customHeight="1" x14ac:dyDescent="0.2">
      <c r="A436" s="675"/>
      <c r="B436" s="671"/>
      <c r="C436" s="672"/>
      <c r="D436" s="672"/>
      <c r="E436" s="673"/>
      <c r="F436" s="671"/>
      <c r="G436" s="672"/>
      <c r="H436" s="672"/>
      <c r="I436" s="672"/>
      <c r="J436" s="672"/>
      <c r="K436" s="674"/>
      <c r="L436" s="254"/>
      <c r="M436" s="670" t="str">
        <f t="shared" si="6"/>
        <v/>
      </c>
    </row>
    <row r="437" spans="1:13" ht="14.45" customHeight="1" x14ac:dyDescent="0.2">
      <c r="A437" s="675"/>
      <c r="B437" s="671"/>
      <c r="C437" s="672"/>
      <c r="D437" s="672"/>
      <c r="E437" s="673"/>
      <c r="F437" s="671"/>
      <c r="G437" s="672"/>
      <c r="H437" s="672"/>
      <c r="I437" s="672"/>
      <c r="J437" s="672"/>
      <c r="K437" s="674"/>
      <c r="L437" s="254"/>
      <c r="M437" s="670" t="str">
        <f t="shared" si="6"/>
        <v/>
      </c>
    </row>
    <row r="438" spans="1:13" ht="14.45" customHeight="1" x14ac:dyDescent="0.2">
      <c r="A438" s="675"/>
      <c r="B438" s="671"/>
      <c r="C438" s="672"/>
      <c r="D438" s="672"/>
      <c r="E438" s="673"/>
      <c r="F438" s="671"/>
      <c r="G438" s="672"/>
      <c r="H438" s="672"/>
      <c r="I438" s="672"/>
      <c r="J438" s="672"/>
      <c r="K438" s="674"/>
      <c r="L438" s="254"/>
      <c r="M438" s="670" t="str">
        <f t="shared" si="6"/>
        <v/>
      </c>
    </row>
    <row r="439" spans="1:13" ht="14.45" customHeight="1" x14ac:dyDescent="0.2">
      <c r="A439" s="675"/>
      <c r="B439" s="671"/>
      <c r="C439" s="672"/>
      <c r="D439" s="672"/>
      <c r="E439" s="673"/>
      <c r="F439" s="671"/>
      <c r="G439" s="672"/>
      <c r="H439" s="672"/>
      <c r="I439" s="672"/>
      <c r="J439" s="672"/>
      <c r="K439" s="674"/>
      <c r="L439" s="254"/>
      <c r="M439" s="670" t="str">
        <f t="shared" si="6"/>
        <v/>
      </c>
    </row>
    <row r="440" spans="1:13" ht="14.45" customHeight="1" x14ac:dyDescent="0.2">
      <c r="A440" s="675"/>
      <c r="B440" s="671"/>
      <c r="C440" s="672"/>
      <c r="D440" s="672"/>
      <c r="E440" s="673"/>
      <c r="F440" s="671"/>
      <c r="G440" s="672"/>
      <c r="H440" s="672"/>
      <c r="I440" s="672"/>
      <c r="J440" s="672"/>
      <c r="K440" s="674"/>
      <c r="L440" s="254"/>
      <c r="M440" s="670" t="str">
        <f t="shared" si="6"/>
        <v/>
      </c>
    </row>
    <row r="441" spans="1:13" ht="14.45" customHeight="1" x14ac:dyDescent="0.2">
      <c r="A441" s="675"/>
      <c r="B441" s="671"/>
      <c r="C441" s="672"/>
      <c r="D441" s="672"/>
      <c r="E441" s="673"/>
      <c r="F441" s="671"/>
      <c r="G441" s="672"/>
      <c r="H441" s="672"/>
      <c r="I441" s="672"/>
      <c r="J441" s="672"/>
      <c r="K441" s="674"/>
      <c r="L441" s="254"/>
      <c r="M441" s="670" t="str">
        <f t="shared" si="6"/>
        <v/>
      </c>
    </row>
    <row r="442" spans="1:13" ht="14.45" customHeight="1" x14ac:dyDescent="0.2">
      <c r="A442" s="675"/>
      <c r="B442" s="671"/>
      <c r="C442" s="672"/>
      <c r="D442" s="672"/>
      <c r="E442" s="673"/>
      <c r="F442" s="671"/>
      <c r="G442" s="672"/>
      <c r="H442" s="672"/>
      <c r="I442" s="672"/>
      <c r="J442" s="672"/>
      <c r="K442" s="674"/>
      <c r="L442" s="254"/>
      <c r="M442" s="670" t="str">
        <f t="shared" si="6"/>
        <v/>
      </c>
    </row>
    <row r="443" spans="1:13" ht="14.45" customHeight="1" x14ac:dyDescent="0.2">
      <c r="A443" s="675"/>
      <c r="B443" s="671"/>
      <c r="C443" s="672"/>
      <c r="D443" s="672"/>
      <c r="E443" s="673"/>
      <c r="F443" s="671"/>
      <c r="G443" s="672"/>
      <c r="H443" s="672"/>
      <c r="I443" s="672"/>
      <c r="J443" s="672"/>
      <c r="K443" s="674"/>
      <c r="L443" s="254"/>
      <c r="M443" s="670" t="str">
        <f t="shared" si="6"/>
        <v/>
      </c>
    </row>
    <row r="444" spans="1:13" ht="14.45" customHeight="1" x14ac:dyDescent="0.2">
      <c r="A444" s="675"/>
      <c r="B444" s="671"/>
      <c r="C444" s="672"/>
      <c r="D444" s="672"/>
      <c r="E444" s="673"/>
      <c r="F444" s="671"/>
      <c r="G444" s="672"/>
      <c r="H444" s="672"/>
      <c r="I444" s="672"/>
      <c r="J444" s="672"/>
      <c r="K444" s="674"/>
      <c r="L444" s="254"/>
      <c r="M444" s="670" t="str">
        <f t="shared" si="6"/>
        <v/>
      </c>
    </row>
    <row r="445" spans="1:13" ht="14.45" customHeight="1" x14ac:dyDescent="0.2">
      <c r="A445" s="675"/>
      <c r="B445" s="671"/>
      <c r="C445" s="672"/>
      <c r="D445" s="672"/>
      <c r="E445" s="673"/>
      <c r="F445" s="671"/>
      <c r="G445" s="672"/>
      <c r="H445" s="672"/>
      <c r="I445" s="672"/>
      <c r="J445" s="672"/>
      <c r="K445" s="674"/>
      <c r="L445" s="254"/>
      <c r="M445" s="670" t="str">
        <f t="shared" si="6"/>
        <v/>
      </c>
    </row>
    <row r="446" spans="1:13" ht="14.45" customHeight="1" x14ac:dyDescent="0.2">
      <c r="A446" s="675"/>
      <c r="B446" s="671"/>
      <c r="C446" s="672"/>
      <c r="D446" s="672"/>
      <c r="E446" s="673"/>
      <c r="F446" s="671"/>
      <c r="G446" s="672"/>
      <c r="H446" s="672"/>
      <c r="I446" s="672"/>
      <c r="J446" s="672"/>
      <c r="K446" s="674"/>
      <c r="L446" s="254"/>
      <c r="M446" s="670" t="str">
        <f t="shared" si="6"/>
        <v/>
      </c>
    </row>
    <row r="447" spans="1:13" ht="14.45" customHeight="1" x14ac:dyDescent="0.2">
      <c r="A447" s="675"/>
      <c r="B447" s="671"/>
      <c r="C447" s="672"/>
      <c r="D447" s="672"/>
      <c r="E447" s="673"/>
      <c r="F447" s="671"/>
      <c r="G447" s="672"/>
      <c r="H447" s="672"/>
      <c r="I447" s="672"/>
      <c r="J447" s="672"/>
      <c r="K447" s="674"/>
      <c r="L447" s="254"/>
      <c r="M447" s="670" t="str">
        <f t="shared" si="6"/>
        <v/>
      </c>
    </row>
    <row r="448" spans="1:13" ht="14.45" customHeight="1" x14ac:dyDescent="0.2">
      <c r="A448" s="675"/>
      <c r="B448" s="671"/>
      <c r="C448" s="672"/>
      <c r="D448" s="672"/>
      <c r="E448" s="673"/>
      <c r="F448" s="671"/>
      <c r="G448" s="672"/>
      <c r="H448" s="672"/>
      <c r="I448" s="672"/>
      <c r="J448" s="672"/>
      <c r="K448" s="674"/>
      <c r="L448" s="254"/>
      <c r="M448" s="670" t="str">
        <f t="shared" si="6"/>
        <v/>
      </c>
    </row>
    <row r="449" spans="1:13" ht="14.45" customHeight="1" x14ac:dyDescent="0.2">
      <c r="A449" s="675"/>
      <c r="B449" s="671"/>
      <c r="C449" s="672"/>
      <c r="D449" s="672"/>
      <c r="E449" s="673"/>
      <c r="F449" s="671"/>
      <c r="G449" s="672"/>
      <c r="H449" s="672"/>
      <c r="I449" s="672"/>
      <c r="J449" s="672"/>
      <c r="K449" s="674"/>
      <c r="L449" s="254"/>
      <c r="M449" s="670" t="str">
        <f t="shared" si="6"/>
        <v/>
      </c>
    </row>
    <row r="450" spans="1:13" ht="14.45" customHeight="1" x14ac:dyDescent="0.2">
      <c r="A450" s="675"/>
      <c r="B450" s="671"/>
      <c r="C450" s="672"/>
      <c r="D450" s="672"/>
      <c r="E450" s="673"/>
      <c r="F450" s="671"/>
      <c r="G450" s="672"/>
      <c r="H450" s="672"/>
      <c r="I450" s="672"/>
      <c r="J450" s="672"/>
      <c r="K450" s="674"/>
      <c r="L450" s="254"/>
      <c r="M450" s="670" t="str">
        <f t="shared" si="6"/>
        <v/>
      </c>
    </row>
    <row r="451" spans="1:13" ht="14.45" customHeight="1" x14ac:dyDescent="0.2">
      <c r="A451" s="675"/>
      <c r="B451" s="671"/>
      <c r="C451" s="672"/>
      <c r="D451" s="672"/>
      <c r="E451" s="673"/>
      <c r="F451" s="671"/>
      <c r="G451" s="672"/>
      <c r="H451" s="672"/>
      <c r="I451" s="672"/>
      <c r="J451" s="672"/>
      <c r="K451" s="674"/>
      <c r="L451" s="254"/>
      <c r="M451" s="670" t="str">
        <f t="shared" si="6"/>
        <v/>
      </c>
    </row>
    <row r="452" spans="1:13" ht="14.45" customHeight="1" x14ac:dyDescent="0.2">
      <c r="A452" s="675"/>
      <c r="B452" s="671"/>
      <c r="C452" s="672"/>
      <c r="D452" s="672"/>
      <c r="E452" s="673"/>
      <c r="F452" s="671"/>
      <c r="G452" s="672"/>
      <c r="H452" s="672"/>
      <c r="I452" s="672"/>
      <c r="J452" s="672"/>
      <c r="K452" s="674"/>
      <c r="L452" s="254"/>
      <c r="M452" s="670" t="str">
        <f t="shared" si="6"/>
        <v/>
      </c>
    </row>
    <row r="453" spans="1:13" ht="14.45" customHeight="1" x14ac:dyDescent="0.2">
      <c r="A453" s="675"/>
      <c r="B453" s="671"/>
      <c r="C453" s="672"/>
      <c r="D453" s="672"/>
      <c r="E453" s="673"/>
      <c r="F453" s="671"/>
      <c r="G453" s="672"/>
      <c r="H453" s="672"/>
      <c r="I453" s="672"/>
      <c r="J453" s="672"/>
      <c r="K453" s="674"/>
      <c r="L453" s="254"/>
      <c r="M453" s="670" t="str">
        <f t="shared" si="6"/>
        <v/>
      </c>
    </row>
    <row r="454" spans="1:13" ht="14.45" customHeight="1" x14ac:dyDescent="0.2">
      <c r="A454" s="675"/>
      <c r="B454" s="671"/>
      <c r="C454" s="672"/>
      <c r="D454" s="672"/>
      <c r="E454" s="673"/>
      <c r="F454" s="671"/>
      <c r="G454" s="672"/>
      <c r="H454" s="672"/>
      <c r="I454" s="672"/>
      <c r="J454" s="672"/>
      <c r="K454" s="674"/>
      <c r="L454" s="254"/>
      <c r="M454" s="670" t="str">
        <f t="shared" ref="M454:M517" si="7">IF(A454="HV","HV",IF(OR(LEFT(A454,16)="               5",LEFT(A454,16)="               6",LEFT(A454,16)="               7",LEFT(A454,16)="               8"),"X",""))</f>
        <v/>
      </c>
    </row>
    <row r="455" spans="1:13" ht="14.45" customHeight="1" x14ac:dyDescent="0.2">
      <c r="A455" s="675"/>
      <c r="B455" s="671"/>
      <c r="C455" s="672"/>
      <c r="D455" s="672"/>
      <c r="E455" s="673"/>
      <c r="F455" s="671"/>
      <c r="G455" s="672"/>
      <c r="H455" s="672"/>
      <c r="I455" s="672"/>
      <c r="J455" s="672"/>
      <c r="K455" s="674"/>
      <c r="L455" s="254"/>
      <c r="M455" s="670" t="str">
        <f t="shared" si="7"/>
        <v/>
      </c>
    </row>
    <row r="456" spans="1:13" ht="14.45" customHeight="1" x14ac:dyDescent="0.2">
      <c r="A456" s="675"/>
      <c r="B456" s="671"/>
      <c r="C456" s="672"/>
      <c r="D456" s="672"/>
      <c r="E456" s="673"/>
      <c r="F456" s="671"/>
      <c r="G456" s="672"/>
      <c r="H456" s="672"/>
      <c r="I456" s="672"/>
      <c r="J456" s="672"/>
      <c r="K456" s="674"/>
      <c r="L456" s="254"/>
      <c r="M456" s="670" t="str">
        <f t="shared" si="7"/>
        <v/>
      </c>
    </row>
    <row r="457" spans="1:13" ht="14.45" customHeight="1" x14ac:dyDescent="0.2">
      <c r="A457" s="675"/>
      <c r="B457" s="671"/>
      <c r="C457" s="672"/>
      <c r="D457" s="672"/>
      <c r="E457" s="673"/>
      <c r="F457" s="671"/>
      <c r="G457" s="672"/>
      <c r="H457" s="672"/>
      <c r="I457" s="672"/>
      <c r="J457" s="672"/>
      <c r="K457" s="674"/>
      <c r="L457" s="254"/>
      <c r="M457" s="670" t="str">
        <f t="shared" si="7"/>
        <v/>
      </c>
    </row>
    <row r="458" spans="1:13" ht="14.45" customHeight="1" x14ac:dyDescent="0.2">
      <c r="A458" s="675"/>
      <c r="B458" s="671"/>
      <c r="C458" s="672"/>
      <c r="D458" s="672"/>
      <c r="E458" s="673"/>
      <c r="F458" s="671"/>
      <c r="G458" s="672"/>
      <c r="H458" s="672"/>
      <c r="I458" s="672"/>
      <c r="J458" s="672"/>
      <c r="K458" s="674"/>
      <c r="L458" s="254"/>
      <c r="M458" s="670" t="str">
        <f t="shared" si="7"/>
        <v/>
      </c>
    </row>
    <row r="459" spans="1:13" ht="14.45" customHeight="1" x14ac:dyDescent="0.2">
      <c r="A459" s="675"/>
      <c r="B459" s="671"/>
      <c r="C459" s="672"/>
      <c r="D459" s="672"/>
      <c r="E459" s="673"/>
      <c r="F459" s="671"/>
      <c r="G459" s="672"/>
      <c r="H459" s="672"/>
      <c r="I459" s="672"/>
      <c r="J459" s="672"/>
      <c r="K459" s="674"/>
      <c r="L459" s="254"/>
      <c r="M459" s="670" t="str">
        <f t="shared" si="7"/>
        <v/>
      </c>
    </row>
    <row r="460" spans="1:13" ht="14.45" customHeight="1" x14ac:dyDescent="0.2">
      <c r="A460" s="675"/>
      <c r="B460" s="671"/>
      <c r="C460" s="672"/>
      <c r="D460" s="672"/>
      <c r="E460" s="673"/>
      <c r="F460" s="671"/>
      <c r="G460" s="672"/>
      <c r="H460" s="672"/>
      <c r="I460" s="672"/>
      <c r="J460" s="672"/>
      <c r="K460" s="674"/>
      <c r="L460" s="254"/>
      <c r="M460" s="670" t="str">
        <f t="shared" si="7"/>
        <v/>
      </c>
    </row>
    <row r="461" spans="1:13" ht="14.45" customHeight="1" x14ac:dyDescent="0.2">
      <c r="A461" s="675"/>
      <c r="B461" s="671"/>
      <c r="C461" s="672"/>
      <c r="D461" s="672"/>
      <c r="E461" s="673"/>
      <c r="F461" s="671"/>
      <c r="G461" s="672"/>
      <c r="H461" s="672"/>
      <c r="I461" s="672"/>
      <c r="J461" s="672"/>
      <c r="K461" s="674"/>
      <c r="L461" s="254"/>
      <c r="M461" s="670" t="str">
        <f t="shared" si="7"/>
        <v/>
      </c>
    </row>
    <row r="462" spans="1:13" ht="14.45" customHeight="1" x14ac:dyDescent="0.2">
      <c r="A462" s="675"/>
      <c r="B462" s="671"/>
      <c r="C462" s="672"/>
      <c r="D462" s="672"/>
      <c r="E462" s="673"/>
      <c r="F462" s="671"/>
      <c r="G462" s="672"/>
      <c r="H462" s="672"/>
      <c r="I462" s="672"/>
      <c r="J462" s="672"/>
      <c r="K462" s="674"/>
      <c r="L462" s="254"/>
      <c r="M462" s="670" t="str">
        <f t="shared" si="7"/>
        <v/>
      </c>
    </row>
    <row r="463" spans="1:13" ht="14.45" customHeight="1" x14ac:dyDescent="0.2">
      <c r="A463" s="675"/>
      <c r="B463" s="671"/>
      <c r="C463" s="672"/>
      <c r="D463" s="672"/>
      <c r="E463" s="673"/>
      <c r="F463" s="671"/>
      <c r="G463" s="672"/>
      <c r="H463" s="672"/>
      <c r="I463" s="672"/>
      <c r="J463" s="672"/>
      <c r="K463" s="674"/>
      <c r="L463" s="254"/>
      <c r="M463" s="670" t="str">
        <f t="shared" si="7"/>
        <v/>
      </c>
    </row>
    <row r="464" spans="1:13" ht="14.45" customHeight="1" x14ac:dyDescent="0.2">
      <c r="A464" s="675"/>
      <c r="B464" s="671"/>
      <c r="C464" s="672"/>
      <c r="D464" s="672"/>
      <c r="E464" s="673"/>
      <c r="F464" s="671"/>
      <c r="G464" s="672"/>
      <c r="H464" s="672"/>
      <c r="I464" s="672"/>
      <c r="J464" s="672"/>
      <c r="K464" s="674"/>
      <c r="L464" s="254"/>
      <c r="M464" s="670" t="str">
        <f t="shared" si="7"/>
        <v/>
      </c>
    </row>
    <row r="465" spans="1:13" ht="14.45" customHeight="1" x14ac:dyDescent="0.2">
      <c r="A465" s="675"/>
      <c r="B465" s="671"/>
      <c r="C465" s="672"/>
      <c r="D465" s="672"/>
      <c r="E465" s="673"/>
      <c r="F465" s="671"/>
      <c r="G465" s="672"/>
      <c r="H465" s="672"/>
      <c r="I465" s="672"/>
      <c r="J465" s="672"/>
      <c r="K465" s="674"/>
      <c r="L465" s="254"/>
      <c r="M465" s="670" t="str">
        <f t="shared" si="7"/>
        <v/>
      </c>
    </row>
    <row r="466" spans="1:13" ht="14.45" customHeight="1" x14ac:dyDescent="0.2">
      <c r="A466" s="675"/>
      <c r="B466" s="671"/>
      <c r="C466" s="672"/>
      <c r="D466" s="672"/>
      <c r="E466" s="673"/>
      <c r="F466" s="671"/>
      <c r="G466" s="672"/>
      <c r="H466" s="672"/>
      <c r="I466" s="672"/>
      <c r="J466" s="672"/>
      <c r="K466" s="674"/>
      <c r="L466" s="254"/>
      <c r="M466" s="670" t="str">
        <f t="shared" si="7"/>
        <v/>
      </c>
    </row>
    <row r="467" spans="1:13" ht="14.45" customHeight="1" x14ac:dyDescent="0.2">
      <c r="A467" s="675"/>
      <c r="B467" s="671"/>
      <c r="C467" s="672"/>
      <c r="D467" s="672"/>
      <c r="E467" s="673"/>
      <c r="F467" s="671"/>
      <c r="G467" s="672"/>
      <c r="H467" s="672"/>
      <c r="I467" s="672"/>
      <c r="J467" s="672"/>
      <c r="K467" s="674"/>
      <c r="L467" s="254"/>
      <c r="M467" s="670" t="str">
        <f t="shared" si="7"/>
        <v/>
      </c>
    </row>
    <row r="468" spans="1:13" ht="14.45" customHeight="1" x14ac:dyDescent="0.2">
      <c r="A468" s="675"/>
      <c r="B468" s="671"/>
      <c r="C468" s="672"/>
      <c r="D468" s="672"/>
      <c r="E468" s="673"/>
      <c r="F468" s="671"/>
      <c r="G468" s="672"/>
      <c r="H468" s="672"/>
      <c r="I468" s="672"/>
      <c r="J468" s="672"/>
      <c r="K468" s="674"/>
      <c r="L468" s="254"/>
      <c r="M468" s="670" t="str">
        <f t="shared" si="7"/>
        <v/>
      </c>
    </row>
    <row r="469" spans="1:13" ht="14.45" customHeight="1" x14ac:dyDescent="0.2">
      <c r="A469" s="675"/>
      <c r="B469" s="671"/>
      <c r="C469" s="672"/>
      <c r="D469" s="672"/>
      <c r="E469" s="673"/>
      <c r="F469" s="671"/>
      <c r="G469" s="672"/>
      <c r="H469" s="672"/>
      <c r="I469" s="672"/>
      <c r="J469" s="672"/>
      <c r="K469" s="674"/>
      <c r="L469" s="254"/>
      <c r="M469" s="670" t="str">
        <f t="shared" si="7"/>
        <v/>
      </c>
    </row>
    <row r="470" spans="1:13" ht="14.45" customHeight="1" x14ac:dyDescent="0.2">
      <c r="A470" s="675"/>
      <c r="B470" s="671"/>
      <c r="C470" s="672"/>
      <c r="D470" s="672"/>
      <c r="E470" s="673"/>
      <c r="F470" s="671"/>
      <c r="G470" s="672"/>
      <c r="H470" s="672"/>
      <c r="I470" s="672"/>
      <c r="J470" s="672"/>
      <c r="K470" s="674"/>
      <c r="L470" s="254"/>
      <c r="M470" s="670" t="str">
        <f t="shared" si="7"/>
        <v/>
      </c>
    </row>
    <row r="471" spans="1:13" ht="14.45" customHeight="1" x14ac:dyDescent="0.2">
      <c r="A471" s="675"/>
      <c r="B471" s="671"/>
      <c r="C471" s="672"/>
      <c r="D471" s="672"/>
      <c r="E471" s="673"/>
      <c r="F471" s="671"/>
      <c r="G471" s="672"/>
      <c r="H471" s="672"/>
      <c r="I471" s="672"/>
      <c r="J471" s="672"/>
      <c r="K471" s="674"/>
      <c r="L471" s="254"/>
      <c r="M471" s="670" t="str">
        <f t="shared" si="7"/>
        <v/>
      </c>
    </row>
    <row r="472" spans="1:13" ht="14.45" customHeight="1" x14ac:dyDescent="0.2">
      <c r="A472" s="675"/>
      <c r="B472" s="671"/>
      <c r="C472" s="672"/>
      <c r="D472" s="672"/>
      <c r="E472" s="673"/>
      <c r="F472" s="671"/>
      <c r="G472" s="672"/>
      <c r="H472" s="672"/>
      <c r="I472" s="672"/>
      <c r="J472" s="672"/>
      <c r="K472" s="674"/>
      <c r="L472" s="254"/>
      <c r="M472" s="670" t="str">
        <f t="shared" si="7"/>
        <v/>
      </c>
    </row>
    <row r="473" spans="1:13" ht="14.45" customHeight="1" x14ac:dyDescent="0.2">
      <c r="A473" s="675"/>
      <c r="B473" s="671"/>
      <c r="C473" s="672"/>
      <c r="D473" s="672"/>
      <c r="E473" s="673"/>
      <c r="F473" s="671"/>
      <c r="G473" s="672"/>
      <c r="H473" s="672"/>
      <c r="I473" s="672"/>
      <c r="J473" s="672"/>
      <c r="K473" s="674"/>
      <c r="L473" s="254"/>
      <c r="M473" s="670" t="str">
        <f t="shared" si="7"/>
        <v/>
      </c>
    </row>
    <row r="474" spans="1:13" ht="14.45" customHeight="1" x14ac:dyDescent="0.2">
      <c r="A474" s="675"/>
      <c r="B474" s="671"/>
      <c r="C474" s="672"/>
      <c r="D474" s="672"/>
      <c r="E474" s="673"/>
      <c r="F474" s="671"/>
      <c r="G474" s="672"/>
      <c r="H474" s="672"/>
      <c r="I474" s="672"/>
      <c r="J474" s="672"/>
      <c r="K474" s="674"/>
      <c r="L474" s="254"/>
      <c r="M474" s="670" t="str">
        <f t="shared" si="7"/>
        <v/>
      </c>
    </row>
    <row r="475" spans="1:13" ht="14.45" customHeight="1" x14ac:dyDescent="0.2">
      <c r="A475" s="675"/>
      <c r="B475" s="671"/>
      <c r="C475" s="672"/>
      <c r="D475" s="672"/>
      <c r="E475" s="673"/>
      <c r="F475" s="671"/>
      <c r="G475" s="672"/>
      <c r="H475" s="672"/>
      <c r="I475" s="672"/>
      <c r="J475" s="672"/>
      <c r="K475" s="674"/>
      <c r="L475" s="254"/>
      <c r="M475" s="670" t="str">
        <f t="shared" si="7"/>
        <v/>
      </c>
    </row>
    <row r="476" spans="1:13" ht="14.45" customHeight="1" x14ac:dyDescent="0.2">
      <c r="A476" s="675"/>
      <c r="B476" s="671"/>
      <c r="C476" s="672"/>
      <c r="D476" s="672"/>
      <c r="E476" s="673"/>
      <c r="F476" s="671"/>
      <c r="G476" s="672"/>
      <c r="H476" s="672"/>
      <c r="I476" s="672"/>
      <c r="J476" s="672"/>
      <c r="K476" s="674"/>
      <c r="L476" s="254"/>
      <c r="M476" s="670" t="str">
        <f t="shared" si="7"/>
        <v/>
      </c>
    </row>
    <row r="477" spans="1:13" ht="14.45" customHeight="1" x14ac:dyDescent="0.2">
      <c r="A477" s="675"/>
      <c r="B477" s="671"/>
      <c r="C477" s="672"/>
      <c r="D477" s="672"/>
      <c r="E477" s="673"/>
      <c r="F477" s="671"/>
      <c r="G477" s="672"/>
      <c r="H477" s="672"/>
      <c r="I477" s="672"/>
      <c r="J477" s="672"/>
      <c r="K477" s="674"/>
      <c r="L477" s="254"/>
      <c r="M477" s="670" t="str">
        <f t="shared" si="7"/>
        <v/>
      </c>
    </row>
    <row r="478" spans="1:13" ht="14.45" customHeight="1" x14ac:dyDescent="0.2">
      <c r="A478" s="675"/>
      <c r="B478" s="671"/>
      <c r="C478" s="672"/>
      <c r="D478" s="672"/>
      <c r="E478" s="673"/>
      <c r="F478" s="671"/>
      <c r="G478" s="672"/>
      <c r="H478" s="672"/>
      <c r="I478" s="672"/>
      <c r="J478" s="672"/>
      <c r="K478" s="674"/>
      <c r="L478" s="254"/>
      <c r="M478" s="670" t="str">
        <f t="shared" si="7"/>
        <v/>
      </c>
    </row>
    <row r="479" spans="1:13" ht="14.45" customHeight="1" x14ac:dyDescent="0.2">
      <c r="A479" s="675"/>
      <c r="B479" s="671"/>
      <c r="C479" s="672"/>
      <c r="D479" s="672"/>
      <c r="E479" s="673"/>
      <c r="F479" s="671"/>
      <c r="G479" s="672"/>
      <c r="H479" s="672"/>
      <c r="I479" s="672"/>
      <c r="J479" s="672"/>
      <c r="K479" s="674"/>
      <c r="L479" s="254"/>
      <c r="M479" s="670" t="str">
        <f t="shared" si="7"/>
        <v/>
      </c>
    </row>
    <row r="480" spans="1:13" ht="14.45" customHeight="1" x14ac:dyDescent="0.2">
      <c r="A480" s="675"/>
      <c r="B480" s="671"/>
      <c r="C480" s="672"/>
      <c r="D480" s="672"/>
      <c r="E480" s="673"/>
      <c r="F480" s="671"/>
      <c r="G480" s="672"/>
      <c r="H480" s="672"/>
      <c r="I480" s="672"/>
      <c r="J480" s="672"/>
      <c r="K480" s="674"/>
      <c r="L480" s="254"/>
      <c r="M480" s="670" t="str">
        <f t="shared" si="7"/>
        <v/>
      </c>
    </row>
    <row r="481" spans="1:13" ht="14.45" customHeight="1" x14ac:dyDescent="0.2">
      <c r="A481" s="675"/>
      <c r="B481" s="671"/>
      <c r="C481" s="672"/>
      <c r="D481" s="672"/>
      <c r="E481" s="673"/>
      <c r="F481" s="671"/>
      <c r="G481" s="672"/>
      <c r="H481" s="672"/>
      <c r="I481" s="672"/>
      <c r="J481" s="672"/>
      <c r="K481" s="674"/>
      <c r="L481" s="254"/>
      <c r="M481" s="670" t="str">
        <f t="shared" si="7"/>
        <v/>
      </c>
    </row>
    <row r="482" spans="1:13" ht="14.45" customHeight="1" x14ac:dyDescent="0.2">
      <c r="A482" s="675"/>
      <c r="B482" s="671"/>
      <c r="C482" s="672"/>
      <c r="D482" s="672"/>
      <c r="E482" s="673"/>
      <c r="F482" s="671"/>
      <c r="G482" s="672"/>
      <c r="H482" s="672"/>
      <c r="I482" s="672"/>
      <c r="J482" s="672"/>
      <c r="K482" s="674"/>
      <c r="L482" s="254"/>
      <c r="M482" s="670" t="str">
        <f t="shared" si="7"/>
        <v/>
      </c>
    </row>
    <row r="483" spans="1:13" ht="14.45" customHeight="1" x14ac:dyDescent="0.2">
      <c r="A483" s="675"/>
      <c r="B483" s="671"/>
      <c r="C483" s="672"/>
      <c r="D483" s="672"/>
      <c r="E483" s="673"/>
      <c r="F483" s="671"/>
      <c r="G483" s="672"/>
      <c r="H483" s="672"/>
      <c r="I483" s="672"/>
      <c r="J483" s="672"/>
      <c r="K483" s="674"/>
      <c r="L483" s="254"/>
      <c r="M483" s="670" t="str">
        <f t="shared" si="7"/>
        <v/>
      </c>
    </row>
    <row r="484" spans="1:13" ht="14.45" customHeight="1" x14ac:dyDescent="0.2">
      <c r="A484" s="675"/>
      <c r="B484" s="671"/>
      <c r="C484" s="672"/>
      <c r="D484" s="672"/>
      <c r="E484" s="673"/>
      <c r="F484" s="671"/>
      <c r="G484" s="672"/>
      <c r="H484" s="672"/>
      <c r="I484" s="672"/>
      <c r="J484" s="672"/>
      <c r="K484" s="674"/>
      <c r="L484" s="254"/>
      <c r="M484" s="670" t="str">
        <f t="shared" si="7"/>
        <v/>
      </c>
    </row>
    <row r="485" spans="1:13" ht="14.45" customHeight="1" x14ac:dyDescent="0.2">
      <c r="A485" s="675"/>
      <c r="B485" s="671"/>
      <c r="C485" s="672"/>
      <c r="D485" s="672"/>
      <c r="E485" s="673"/>
      <c r="F485" s="671"/>
      <c r="G485" s="672"/>
      <c r="H485" s="672"/>
      <c r="I485" s="672"/>
      <c r="J485" s="672"/>
      <c r="K485" s="674"/>
      <c r="L485" s="254"/>
      <c r="M485" s="670" t="str">
        <f t="shared" si="7"/>
        <v/>
      </c>
    </row>
    <row r="486" spans="1:13" ht="14.45" customHeight="1" x14ac:dyDescent="0.2">
      <c r="A486" s="675"/>
      <c r="B486" s="671"/>
      <c r="C486" s="672"/>
      <c r="D486" s="672"/>
      <c r="E486" s="673"/>
      <c r="F486" s="671"/>
      <c r="G486" s="672"/>
      <c r="H486" s="672"/>
      <c r="I486" s="672"/>
      <c r="J486" s="672"/>
      <c r="K486" s="674"/>
      <c r="L486" s="254"/>
      <c r="M486" s="670" t="str">
        <f t="shared" si="7"/>
        <v/>
      </c>
    </row>
    <row r="487" spans="1:13" ht="14.45" customHeight="1" x14ac:dyDescent="0.2">
      <c r="A487" s="675"/>
      <c r="B487" s="671"/>
      <c r="C487" s="672"/>
      <c r="D487" s="672"/>
      <c r="E487" s="673"/>
      <c r="F487" s="671"/>
      <c r="G487" s="672"/>
      <c r="H487" s="672"/>
      <c r="I487" s="672"/>
      <c r="J487" s="672"/>
      <c r="K487" s="674"/>
      <c r="L487" s="254"/>
      <c r="M487" s="670" t="str">
        <f t="shared" si="7"/>
        <v/>
      </c>
    </row>
    <row r="488" spans="1:13" ht="14.45" customHeight="1" x14ac:dyDescent="0.2">
      <c r="A488" s="675"/>
      <c r="B488" s="671"/>
      <c r="C488" s="672"/>
      <c r="D488" s="672"/>
      <c r="E488" s="673"/>
      <c r="F488" s="671"/>
      <c r="G488" s="672"/>
      <c r="H488" s="672"/>
      <c r="I488" s="672"/>
      <c r="J488" s="672"/>
      <c r="K488" s="674"/>
      <c r="L488" s="254"/>
      <c r="M488" s="670" t="str">
        <f t="shared" si="7"/>
        <v/>
      </c>
    </row>
    <row r="489" spans="1:13" ht="14.45" customHeight="1" x14ac:dyDescent="0.2">
      <c r="A489" s="675"/>
      <c r="B489" s="671"/>
      <c r="C489" s="672"/>
      <c r="D489" s="672"/>
      <c r="E489" s="673"/>
      <c r="F489" s="671"/>
      <c r="G489" s="672"/>
      <c r="H489" s="672"/>
      <c r="I489" s="672"/>
      <c r="J489" s="672"/>
      <c r="K489" s="674"/>
      <c r="L489" s="254"/>
      <c r="M489" s="670" t="str">
        <f t="shared" si="7"/>
        <v/>
      </c>
    </row>
    <row r="490" spans="1:13" ht="14.45" customHeight="1" x14ac:dyDescent="0.2">
      <c r="A490" s="675"/>
      <c r="B490" s="671"/>
      <c r="C490" s="672"/>
      <c r="D490" s="672"/>
      <c r="E490" s="673"/>
      <c r="F490" s="671"/>
      <c r="G490" s="672"/>
      <c r="H490" s="672"/>
      <c r="I490" s="672"/>
      <c r="J490" s="672"/>
      <c r="K490" s="674"/>
      <c r="L490" s="254"/>
      <c r="M490" s="670" t="str">
        <f t="shared" si="7"/>
        <v/>
      </c>
    </row>
    <row r="491" spans="1:13" ht="14.45" customHeight="1" x14ac:dyDescent="0.2">
      <c r="A491" s="675"/>
      <c r="B491" s="671"/>
      <c r="C491" s="672"/>
      <c r="D491" s="672"/>
      <c r="E491" s="673"/>
      <c r="F491" s="671"/>
      <c r="G491" s="672"/>
      <c r="H491" s="672"/>
      <c r="I491" s="672"/>
      <c r="J491" s="672"/>
      <c r="K491" s="674"/>
      <c r="L491" s="254"/>
      <c r="M491" s="670" t="str">
        <f t="shared" si="7"/>
        <v/>
      </c>
    </row>
    <row r="492" spans="1:13" ht="14.45" customHeight="1" x14ac:dyDescent="0.2">
      <c r="A492" s="675"/>
      <c r="B492" s="671"/>
      <c r="C492" s="672"/>
      <c r="D492" s="672"/>
      <c r="E492" s="673"/>
      <c r="F492" s="671"/>
      <c r="G492" s="672"/>
      <c r="H492" s="672"/>
      <c r="I492" s="672"/>
      <c r="J492" s="672"/>
      <c r="K492" s="674"/>
      <c r="L492" s="254"/>
      <c r="M492" s="670" t="str">
        <f t="shared" si="7"/>
        <v/>
      </c>
    </row>
    <row r="493" spans="1:13" ht="14.45" customHeight="1" x14ac:dyDescent="0.2">
      <c r="A493" s="675"/>
      <c r="B493" s="671"/>
      <c r="C493" s="672"/>
      <c r="D493" s="672"/>
      <c r="E493" s="673"/>
      <c r="F493" s="671"/>
      <c r="G493" s="672"/>
      <c r="H493" s="672"/>
      <c r="I493" s="672"/>
      <c r="J493" s="672"/>
      <c r="K493" s="674"/>
      <c r="L493" s="254"/>
      <c r="M493" s="670" t="str">
        <f t="shared" si="7"/>
        <v/>
      </c>
    </row>
    <row r="494" spans="1:13" ht="14.45" customHeight="1" x14ac:dyDescent="0.2">
      <c r="A494" s="675"/>
      <c r="B494" s="671"/>
      <c r="C494" s="672"/>
      <c r="D494" s="672"/>
      <c r="E494" s="673"/>
      <c r="F494" s="671"/>
      <c r="G494" s="672"/>
      <c r="H494" s="672"/>
      <c r="I494" s="672"/>
      <c r="J494" s="672"/>
      <c r="K494" s="674"/>
      <c r="L494" s="254"/>
      <c r="M494" s="670" t="str">
        <f t="shared" si="7"/>
        <v/>
      </c>
    </row>
    <row r="495" spans="1:13" ht="14.45" customHeight="1" x14ac:dyDescent="0.2">
      <c r="A495" s="675"/>
      <c r="B495" s="671"/>
      <c r="C495" s="672"/>
      <c r="D495" s="672"/>
      <c r="E495" s="673"/>
      <c r="F495" s="671"/>
      <c r="G495" s="672"/>
      <c r="H495" s="672"/>
      <c r="I495" s="672"/>
      <c r="J495" s="672"/>
      <c r="K495" s="674"/>
      <c r="L495" s="254"/>
      <c r="M495" s="670" t="str">
        <f t="shared" si="7"/>
        <v/>
      </c>
    </row>
    <row r="496" spans="1:13" ht="14.45" customHeight="1" x14ac:dyDescent="0.2">
      <c r="A496" s="675"/>
      <c r="B496" s="671"/>
      <c r="C496" s="672"/>
      <c r="D496" s="672"/>
      <c r="E496" s="673"/>
      <c r="F496" s="671"/>
      <c r="G496" s="672"/>
      <c r="H496" s="672"/>
      <c r="I496" s="672"/>
      <c r="J496" s="672"/>
      <c r="K496" s="674"/>
      <c r="L496" s="254"/>
      <c r="M496" s="670" t="str">
        <f t="shared" si="7"/>
        <v/>
      </c>
    </row>
    <row r="497" spans="1:13" ht="14.45" customHeight="1" x14ac:dyDescent="0.2">
      <c r="A497" s="675"/>
      <c r="B497" s="671"/>
      <c r="C497" s="672"/>
      <c r="D497" s="672"/>
      <c r="E497" s="673"/>
      <c r="F497" s="671"/>
      <c r="G497" s="672"/>
      <c r="H497" s="672"/>
      <c r="I497" s="672"/>
      <c r="J497" s="672"/>
      <c r="K497" s="674"/>
      <c r="L497" s="254"/>
      <c r="M497" s="670" t="str">
        <f t="shared" si="7"/>
        <v/>
      </c>
    </row>
    <row r="498" spans="1:13" ht="14.45" customHeight="1" x14ac:dyDescent="0.2">
      <c r="A498" s="675"/>
      <c r="B498" s="671"/>
      <c r="C498" s="672"/>
      <c r="D498" s="672"/>
      <c r="E498" s="673"/>
      <c r="F498" s="671"/>
      <c r="G498" s="672"/>
      <c r="H498" s="672"/>
      <c r="I498" s="672"/>
      <c r="J498" s="672"/>
      <c r="K498" s="674"/>
      <c r="L498" s="254"/>
      <c r="M498" s="670" t="str">
        <f t="shared" si="7"/>
        <v/>
      </c>
    </row>
    <row r="499" spans="1:13" ht="14.45" customHeight="1" x14ac:dyDescent="0.2">
      <c r="A499" s="675"/>
      <c r="B499" s="671"/>
      <c r="C499" s="672"/>
      <c r="D499" s="672"/>
      <c r="E499" s="673"/>
      <c r="F499" s="671"/>
      <c r="G499" s="672"/>
      <c r="H499" s="672"/>
      <c r="I499" s="672"/>
      <c r="J499" s="672"/>
      <c r="K499" s="674"/>
      <c r="L499" s="254"/>
      <c r="M499" s="670" t="str">
        <f t="shared" si="7"/>
        <v/>
      </c>
    </row>
    <row r="500" spans="1:13" ht="14.45" customHeight="1" x14ac:dyDescent="0.2">
      <c r="A500" s="675"/>
      <c r="B500" s="671"/>
      <c r="C500" s="672"/>
      <c r="D500" s="672"/>
      <c r="E500" s="673"/>
      <c r="F500" s="671"/>
      <c r="G500" s="672"/>
      <c r="H500" s="672"/>
      <c r="I500" s="672"/>
      <c r="J500" s="672"/>
      <c r="K500" s="674"/>
      <c r="L500" s="254"/>
      <c r="M500" s="670" t="str">
        <f t="shared" si="7"/>
        <v/>
      </c>
    </row>
    <row r="501" spans="1:13" ht="14.45" customHeight="1" x14ac:dyDescent="0.2">
      <c r="A501" s="675"/>
      <c r="B501" s="671"/>
      <c r="C501" s="672"/>
      <c r="D501" s="672"/>
      <c r="E501" s="673"/>
      <c r="F501" s="671"/>
      <c r="G501" s="672"/>
      <c r="H501" s="672"/>
      <c r="I501" s="672"/>
      <c r="J501" s="672"/>
      <c r="K501" s="674"/>
      <c r="L501" s="254"/>
      <c r="M501" s="670" t="str">
        <f t="shared" si="7"/>
        <v/>
      </c>
    </row>
    <row r="502" spans="1:13" ht="14.45" customHeight="1" x14ac:dyDescent="0.2">
      <c r="A502" s="675"/>
      <c r="B502" s="671"/>
      <c r="C502" s="672"/>
      <c r="D502" s="672"/>
      <c r="E502" s="673"/>
      <c r="F502" s="671"/>
      <c r="G502" s="672"/>
      <c r="H502" s="672"/>
      <c r="I502" s="672"/>
      <c r="J502" s="672"/>
      <c r="K502" s="674"/>
      <c r="L502" s="254"/>
      <c r="M502" s="670" t="str">
        <f t="shared" si="7"/>
        <v/>
      </c>
    </row>
    <row r="503" spans="1:13" ht="14.45" customHeight="1" x14ac:dyDescent="0.2">
      <c r="A503" s="675"/>
      <c r="B503" s="671"/>
      <c r="C503" s="672"/>
      <c r="D503" s="672"/>
      <c r="E503" s="673"/>
      <c r="F503" s="671"/>
      <c r="G503" s="672"/>
      <c r="H503" s="672"/>
      <c r="I503" s="672"/>
      <c r="J503" s="672"/>
      <c r="K503" s="674"/>
      <c r="L503" s="254"/>
      <c r="M503" s="670" t="str">
        <f t="shared" si="7"/>
        <v/>
      </c>
    </row>
    <row r="504" spans="1:13" ht="14.45" customHeight="1" x14ac:dyDescent="0.2">
      <c r="A504" s="675"/>
      <c r="B504" s="671"/>
      <c r="C504" s="672"/>
      <c r="D504" s="672"/>
      <c r="E504" s="673"/>
      <c r="F504" s="671"/>
      <c r="G504" s="672"/>
      <c r="H504" s="672"/>
      <c r="I504" s="672"/>
      <c r="J504" s="672"/>
      <c r="K504" s="674"/>
      <c r="L504" s="254"/>
      <c r="M504" s="670" t="str">
        <f t="shared" si="7"/>
        <v/>
      </c>
    </row>
    <row r="505" spans="1:13" ht="14.45" customHeight="1" x14ac:dyDescent="0.2">
      <c r="A505" s="675"/>
      <c r="B505" s="671"/>
      <c r="C505" s="672"/>
      <c r="D505" s="672"/>
      <c r="E505" s="673"/>
      <c r="F505" s="671"/>
      <c r="G505" s="672"/>
      <c r="H505" s="672"/>
      <c r="I505" s="672"/>
      <c r="J505" s="672"/>
      <c r="K505" s="674"/>
      <c r="L505" s="254"/>
      <c r="M505" s="670" t="str">
        <f t="shared" si="7"/>
        <v/>
      </c>
    </row>
    <row r="506" spans="1:13" ht="14.45" customHeight="1" x14ac:dyDescent="0.2">
      <c r="A506" s="675"/>
      <c r="B506" s="671"/>
      <c r="C506" s="672"/>
      <c r="D506" s="672"/>
      <c r="E506" s="673"/>
      <c r="F506" s="671"/>
      <c r="G506" s="672"/>
      <c r="H506" s="672"/>
      <c r="I506" s="672"/>
      <c r="J506" s="672"/>
      <c r="K506" s="674"/>
      <c r="L506" s="254"/>
      <c r="M506" s="670" t="str">
        <f t="shared" si="7"/>
        <v/>
      </c>
    </row>
    <row r="507" spans="1:13" ht="14.45" customHeight="1" x14ac:dyDescent="0.2">
      <c r="A507" s="675"/>
      <c r="B507" s="671"/>
      <c r="C507" s="672"/>
      <c r="D507" s="672"/>
      <c r="E507" s="673"/>
      <c r="F507" s="671"/>
      <c r="G507" s="672"/>
      <c r="H507" s="672"/>
      <c r="I507" s="672"/>
      <c r="J507" s="672"/>
      <c r="K507" s="674"/>
      <c r="L507" s="254"/>
      <c r="M507" s="670" t="str">
        <f t="shared" si="7"/>
        <v/>
      </c>
    </row>
    <row r="508" spans="1:13" ht="14.45" customHeight="1" x14ac:dyDescent="0.2">
      <c r="A508" s="675"/>
      <c r="B508" s="671"/>
      <c r="C508" s="672"/>
      <c r="D508" s="672"/>
      <c r="E508" s="673"/>
      <c r="F508" s="671"/>
      <c r="G508" s="672"/>
      <c r="H508" s="672"/>
      <c r="I508" s="672"/>
      <c r="J508" s="672"/>
      <c r="K508" s="674"/>
      <c r="L508" s="254"/>
      <c r="M508" s="670" t="str">
        <f t="shared" si="7"/>
        <v/>
      </c>
    </row>
    <row r="509" spans="1:13" ht="14.45" customHeight="1" x14ac:dyDescent="0.2">
      <c r="A509" s="675"/>
      <c r="B509" s="671"/>
      <c r="C509" s="672"/>
      <c r="D509" s="672"/>
      <c r="E509" s="673"/>
      <c r="F509" s="671"/>
      <c r="G509" s="672"/>
      <c r="H509" s="672"/>
      <c r="I509" s="672"/>
      <c r="J509" s="672"/>
      <c r="K509" s="674"/>
      <c r="L509" s="254"/>
      <c r="M509" s="670" t="str">
        <f t="shared" si="7"/>
        <v/>
      </c>
    </row>
    <row r="510" spans="1:13" ht="14.45" customHeight="1" x14ac:dyDescent="0.2">
      <c r="A510" s="675"/>
      <c r="B510" s="671"/>
      <c r="C510" s="672"/>
      <c r="D510" s="672"/>
      <c r="E510" s="673"/>
      <c r="F510" s="671"/>
      <c r="G510" s="672"/>
      <c r="H510" s="672"/>
      <c r="I510" s="672"/>
      <c r="J510" s="672"/>
      <c r="K510" s="674"/>
      <c r="L510" s="254"/>
      <c r="M510" s="670" t="str">
        <f t="shared" si="7"/>
        <v/>
      </c>
    </row>
    <row r="511" spans="1:13" ht="14.45" customHeight="1" x14ac:dyDescent="0.2">
      <c r="A511" s="675"/>
      <c r="B511" s="671"/>
      <c r="C511" s="672"/>
      <c r="D511" s="672"/>
      <c r="E511" s="673"/>
      <c r="F511" s="671"/>
      <c r="G511" s="672"/>
      <c r="H511" s="672"/>
      <c r="I511" s="672"/>
      <c r="J511" s="672"/>
      <c r="K511" s="674"/>
      <c r="L511" s="254"/>
      <c r="M511" s="670" t="str">
        <f t="shared" si="7"/>
        <v/>
      </c>
    </row>
    <row r="512" spans="1:13" ht="14.45" customHeight="1" x14ac:dyDescent="0.2">
      <c r="A512" s="675"/>
      <c r="B512" s="671"/>
      <c r="C512" s="672"/>
      <c r="D512" s="672"/>
      <c r="E512" s="673"/>
      <c r="F512" s="671"/>
      <c r="G512" s="672"/>
      <c r="H512" s="672"/>
      <c r="I512" s="672"/>
      <c r="J512" s="672"/>
      <c r="K512" s="674"/>
      <c r="L512" s="254"/>
      <c r="M512" s="670" t="str">
        <f t="shared" si="7"/>
        <v/>
      </c>
    </row>
    <row r="513" spans="1:13" ht="14.45" customHeight="1" x14ac:dyDescent="0.2">
      <c r="A513" s="675"/>
      <c r="B513" s="671"/>
      <c r="C513" s="672"/>
      <c r="D513" s="672"/>
      <c r="E513" s="673"/>
      <c r="F513" s="671"/>
      <c r="G513" s="672"/>
      <c r="H513" s="672"/>
      <c r="I513" s="672"/>
      <c r="J513" s="672"/>
      <c r="K513" s="674"/>
      <c r="L513" s="254"/>
      <c r="M513" s="670" t="str">
        <f t="shared" si="7"/>
        <v/>
      </c>
    </row>
    <row r="514" spans="1:13" ht="14.45" customHeight="1" x14ac:dyDescent="0.2">
      <c r="A514" s="675"/>
      <c r="B514" s="671"/>
      <c r="C514" s="672"/>
      <c r="D514" s="672"/>
      <c r="E514" s="673"/>
      <c r="F514" s="671"/>
      <c r="G514" s="672"/>
      <c r="H514" s="672"/>
      <c r="I514" s="672"/>
      <c r="J514" s="672"/>
      <c r="K514" s="674"/>
      <c r="L514" s="254"/>
      <c r="M514" s="670" t="str">
        <f t="shared" si="7"/>
        <v/>
      </c>
    </row>
    <row r="515" spans="1:13" ht="14.45" customHeight="1" x14ac:dyDescent="0.2">
      <c r="A515" s="675"/>
      <c r="B515" s="671"/>
      <c r="C515" s="672"/>
      <c r="D515" s="672"/>
      <c r="E515" s="673"/>
      <c r="F515" s="671"/>
      <c r="G515" s="672"/>
      <c r="H515" s="672"/>
      <c r="I515" s="672"/>
      <c r="J515" s="672"/>
      <c r="K515" s="674"/>
      <c r="L515" s="254"/>
      <c r="M515" s="670" t="str">
        <f t="shared" si="7"/>
        <v/>
      </c>
    </row>
    <row r="516" spans="1:13" ht="14.45" customHeight="1" x14ac:dyDescent="0.2">
      <c r="A516" s="675"/>
      <c r="B516" s="671"/>
      <c r="C516" s="672"/>
      <c r="D516" s="672"/>
      <c r="E516" s="673"/>
      <c r="F516" s="671"/>
      <c r="G516" s="672"/>
      <c r="H516" s="672"/>
      <c r="I516" s="672"/>
      <c r="J516" s="672"/>
      <c r="K516" s="674"/>
      <c r="L516" s="254"/>
      <c r="M516" s="670" t="str">
        <f t="shared" si="7"/>
        <v/>
      </c>
    </row>
    <row r="517" spans="1:13" ht="14.45" customHeight="1" x14ac:dyDescent="0.2">
      <c r="A517" s="675"/>
      <c r="B517" s="671"/>
      <c r="C517" s="672"/>
      <c r="D517" s="672"/>
      <c r="E517" s="673"/>
      <c r="F517" s="671"/>
      <c r="G517" s="672"/>
      <c r="H517" s="672"/>
      <c r="I517" s="672"/>
      <c r="J517" s="672"/>
      <c r="K517" s="674"/>
      <c r="L517" s="254"/>
      <c r="M517" s="670" t="str">
        <f t="shared" si="7"/>
        <v/>
      </c>
    </row>
    <row r="518" spans="1:13" ht="14.45" customHeight="1" x14ac:dyDescent="0.2">
      <c r="A518" s="675"/>
      <c r="B518" s="671"/>
      <c r="C518" s="672"/>
      <c r="D518" s="672"/>
      <c r="E518" s="673"/>
      <c r="F518" s="671"/>
      <c r="G518" s="672"/>
      <c r="H518" s="672"/>
      <c r="I518" s="672"/>
      <c r="J518" s="672"/>
      <c r="K518" s="674"/>
      <c r="L518" s="254"/>
      <c r="M518" s="670" t="str">
        <f t="shared" ref="M518:M581" si="8">IF(A518="HV","HV",IF(OR(LEFT(A518,16)="               5",LEFT(A518,16)="               6",LEFT(A518,16)="               7",LEFT(A518,16)="               8"),"X",""))</f>
        <v/>
      </c>
    </row>
    <row r="519" spans="1:13" ht="14.45" customHeight="1" x14ac:dyDescent="0.2">
      <c r="A519" s="675"/>
      <c r="B519" s="671"/>
      <c r="C519" s="672"/>
      <c r="D519" s="672"/>
      <c r="E519" s="673"/>
      <c r="F519" s="671"/>
      <c r="G519" s="672"/>
      <c r="H519" s="672"/>
      <c r="I519" s="672"/>
      <c r="J519" s="672"/>
      <c r="K519" s="674"/>
      <c r="L519" s="254"/>
      <c r="M519" s="670" t="str">
        <f t="shared" si="8"/>
        <v/>
      </c>
    </row>
    <row r="520" spans="1:13" ht="14.45" customHeight="1" x14ac:dyDescent="0.2">
      <c r="A520" s="675"/>
      <c r="B520" s="671"/>
      <c r="C520" s="672"/>
      <c r="D520" s="672"/>
      <c r="E520" s="673"/>
      <c r="F520" s="671"/>
      <c r="G520" s="672"/>
      <c r="H520" s="672"/>
      <c r="I520" s="672"/>
      <c r="J520" s="672"/>
      <c r="K520" s="674"/>
      <c r="L520" s="254"/>
      <c r="M520" s="670" t="str">
        <f t="shared" si="8"/>
        <v/>
      </c>
    </row>
    <row r="521" spans="1:13" ht="14.45" customHeight="1" x14ac:dyDescent="0.2">
      <c r="A521" s="675"/>
      <c r="B521" s="671"/>
      <c r="C521" s="672"/>
      <c r="D521" s="672"/>
      <c r="E521" s="673"/>
      <c r="F521" s="671"/>
      <c r="G521" s="672"/>
      <c r="H521" s="672"/>
      <c r="I521" s="672"/>
      <c r="J521" s="672"/>
      <c r="K521" s="674"/>
      <c r="L521" s="254"/>
      <c r="M521" s="670" t="str">
        <f t="shared" si="8"/>
        <v/>
      </c>
    </row>
    <row r="522" spans="1:13" ht="14.45" customHeight="1" x14ac:dyDescent="0.2">
      <c r="A522" s="675"/>
      <c r="B522" s="671"/>
      <c r="C522" s="672"/>
      <c r="D522" s="672"/>
      <c r="E522" s="673"/>
      <c r="F522" s="671"/>
      <c r="G522" s="672"/>
      <c r="H522" s="672"/>
      <c r="I522" s="672"/>
      <c r="J522" s="672"/>
      <c r="K522" s="674"/>
      <c r="L522" s="254"/>
      <c r="M522" s="670" t="str">
        <f t="shared" si="8"/>
        <v/>
      </c>
    </row>
    <row r="523" spans="1:13" ht="14.45" customHeight="1" x14ac:dyDescent="0.2">
      <c r="A523" s="675"/>
      <c r="B523" s="671"/>
      <c r="C523" s="672"/>
      <c r="D523" s="672"/>
      <c r="E523" s="673"/>
      <c r="F523" s="671"/>
      <c r="G523" s="672"/>
      <c r="H523" s="672"/>
      <c r="I523" s="672"/>
      <c r="J523" s="672"/>
      <c r="K523" s="674"/>
      <c r="L523" s="254"/>
      <c r="M523" s="670" t="str">
        <f t="shared" si="8"/>
        <v/>
      </c>
    </row>
    <row r="524" spans="1:13" ht="14.45" customHeight="1" x14ac:dyDescent="0.2">
      <c r="A524" s="675"/>
      <c r="B524" s="671"/>
      <c r="C524" s="672"/>
      <c r="D524" s="672"/>
      <c r="E524" s="673"/>
      <c r="F524" s="671"/>
      <c r="G524" s="672"/>
      <c r="H524" s="672"/>
      <c r="I524" s="672"/>
      <c r="J524" s="672"/>
      <c r="K524" s="674"/>
      <c r="L524" s="254"/>
      <c r="M524" s="670" t="str">
        <f t="shared" si="8"/>
        <v/>
      </c>
    </row>
    <row r="525" spans="1:13" ht="14.45" customHeight="1" x14ac:dyDescent="0.2">
      <c r="A525" s="675"/>
      <c r="B525" s="671"/>
      <c r="C525" s="672"/>
      <c r="D525" s="672"/>
      <c r="E525" s="673"/>
      <c r="F525" s="671"/>
      <c r="G525" s="672"/>
      <c r="H525" s="672"/>
      <c r="I525" s="672"/>
      <c r="J525" s="672"/>
      <c r="K525" s="674"/>
      <c r="L525" s="254"/>
      <c r="M525" s="670" t="str">
        <f t="shared" si="8"/>
        <v/>
      </c>
    </row>
    <row r="526" spans="1:13" ht="14.45" customHeight="1" x14ac:dyDescent="0.2">
      <c r="A526" s="675"/>
      <c r="B526" s="671"/>
      <c r="C526" s="672"/>
      <c r="D526" s="672"/>
      <c r="E526" s="673"/>
      <c r="F526" s="671"/>
      <c r="G526" s="672"/>
      <c r="H526" s="672"/>
      <c r="I526" s="672"/>
      <c r="J526" s="672"/>
      <c r="K526" s="674"/>
      <c r="L526" s="254"/>
      <c r="M526" s="670" t="str">
        <f t="shared" si="8"/>
        <v/>
      </c>
    </row>
    <row r="527" spans="1:13" ht="14.45" customHeight="1" x14ac:dyDescent="0.2">
      <c r="A527" s="675"/>
      <c r="B527" s="671"/>
      <c r="C527" s="672"/>
      <c r="D527" s="672"/>
      <c r="E527" s="673"/>
      <c r="F527" s="671"/>
      <c r="G527" s="672"/>
      <c r="H527" s="672"/>
      <c r="I527" s="672"/>
      <c r="J527" s="672"/>
      <c r="K527" s="674"/>
      <c r="L527" s="254"/>
      <c r="M527" s="670" t="str">
        <f t="shared" si="8"/>
        <v/>
      </c>
    </row>
    <row r="528" spans="1:13" ht="14.45" customHeight="1" x14ac:dyDescent="0.2">
      <c r="A528" s="675"/>
      <c r="B528" s="671"/>
      <c r="C528" s="672"/>
      <c r="D528" s="672"/>
      <c r="E528" s="673"/>
      <c r="F528" s="671"/>
      <c r="G528" s="672"/>
      <c r="H528" s="672"/>
      <c r="I528" s="672"/>
      <c r="J528" s="672"/>
      <c r="K528" s="674"/>
      <c r="L528" s="254"/>
      <c r="M528" s="670" t="str">
        <f t="shared" si="8"/>
        <v/>
      </c>
    </row>
    <row r="529" spans="1:13" ht="14.45" customHeight="1" x14ac:dyDescent="0.2">
      <c r="A529" s="675"/>
      <c r="B529" s="671"/>
      <c r="C529" s="672"/>
      <c r="D529" s="672"/>
      <c r="E529" s="673"/>
      <c r="F529" s="671"/>
      <c r="G529" s="672"/>
      <c r="H529" s="672"/>
      <c r="I529" s="672"/>
      <c r="J529" s="672"/>
      <c r="K529" s="674"/>
      <c r="L529" s="254"/>
      <c r="M529" s="670" t="str">
        <f t="shared" si="8"/>
        <v/>
      </c>
    </row>
    <row r="530" spans="1:13" ht="14.45" customHeight="1" x14ac:dyDescent="0.2">
      <c r="A530" s="675"/>
      <c r="B530" s="671"/>
      <c r="C530" s="672"/>
      <c r="D530" s="672"/>
      <c r="E530" s="673"/>
      <c r="F530" s="671"/>
      <c r="G530" s="672"/>
      <c r="H530" s="672"/>
      <c r="I530" s="672"/>
      <c r="J530" s="672"/>
      <c r="K530" s="674"/>
      <c r="L530" s="254"/>
      <c r="M530" s="670" t="str">
        <f t="shared" si="8"/>
        <v/>
      </c>
    </row>
    <row r="531" spans="1:13" ht="14.45" customHeight="1" x14ac:dyDescent="0.2">
      <c r="A531" s="675"/>
      <c r="B531" s="671"/>
      <c r="C531" s="672"/>
      <c r="D531" s="672"/>
      <c r="E531" s="673"/>
      <c r="F531" s="671"/>
      <c r="G531" s="672"/>
      <c r="H531" s="672"/>
      <c r="I531" s="672"/>
      <c r="J531" s="672"/>
      <c r="K531" s="674"/>
      <c r="L531" s="254"/>
      <c r="M531" s="670" t="str">
        <f t="shared" si="8"/>
        <v/>
      </c>
    </row>
    <row r="532" spans="1:13" ht="14.45" customHeight="1" x14ac:dyDescent="0.2">
      <c r="A532" s="675"/>
      <c r="B532" s="671"/>
      <c r="C532" s="672"/>
      <c r="D532" s="672"/>
      <c r="E532" s="673"/>
      <c r="F532" s="671"/>
      <c r="G532" s="672"/>
      <c r="H532" s="672"/>
      <c r="I532" s="672"/>
      <c r="J532" s="672"/>
      <c r="K532" s="674"/>
      <c r="L532" s="254"/>
      <c r="M532" s="670" t="str">
        <f t="shared" si="8"/>
        <v/>
      </c>
    </row>
    <row r="533" spans="1:13" ht="14.45" customHeight="1" x14ac:dyDescent="0.2">
      <c r="A533" s="675"/>
      <c r="B533" s="671"/>
      <c r="C533" s="672"/>
      <c r="D533" s="672"/>
      <c r="E533" s="673"/>
      <c r="F533" s="671"/>
      <c r="G533" s="672"/>
      <c r="H533" s="672"/>
      <c r="I533" s="672"/>
      <c r="J533" s="672"/>
      <c r="K533" s="674"/>
      <c r="L533" s="254"/>
      <c r="M533" s="670" t="str">
        <f t="shared" si="8"/>
        <v/>
      </c>
    </row>
    <row r="534" spans="1:13" ht="14.45" customHeight="1" x14ac:dyDescent="0.2">
      <c r="A534" s="675"/>
      <c r="B534" s="671"/>
      <c r="C534" s="672"/>
      <c r="D534" s="672"/>
      <c r="E534" s="673"/>
      <c r="F534" s="671"/>
      <c r="G534" s="672"/>
      <c r="H534" s="672"/>
      <c r="I534" s="672"/>
      <c r="J534" s="672"/>
      <c r="K534" s="674"/>
      <c r="L534" s="254"/>
      <c r="M534" s="670" t="str">
        <f t="shared" si="8"/>
        <v/>
      </c>
    </row>
    <row r="535" spans="1:13" ht="14.45" customHeight="1" x14ac:dyDescent="0.2">
      <c r="A535" s="675"/>
      <c r="B535" s="671"/>
      <c r="C535" s="672"/>
      <c r="D535" s="672"/>
      <c r="E535" s="673"/>
      <c r="F535" s="671"/>
      <c r="G535" s="672"/>
      <c r="H535" s="672"/>
      <c r="I535" s="672"/>
      <c r="J535" s="672"/>
      <c r="K535" s="674"/>
      <c r="L535" s="254"/>
      <c r="M535" s="670" t="str">
        <f t="shared" si="8"/>
        <v/>
      </c>
    </row>
    <row r="536" spans="1:13" ht="14.45" customHeight="1" x14ac:dyDescent="0.2">
      <c r="A536" s="675"/>
      <c r="B536" s="671"/>
      <c r="C536" s="672"/>
      <c r="D536" s="672"/>
      <c r="E536" s="673"/>
      <c r="F536" s="671"/>
      <c r="G536" s="672"/>
      <c r="H536" s="672"/>
      <c r="I536" s="672"/>
      <c r="J536" s="672"/>
      <c r="K536" s="674"/>
      <c r="L536" s="254"/>
      <c r="M536" s="670" t="str">
        <f t="shared" si="8"/>
        <v/>
      </c>
    </row>
    <row r="537" spans="1:13" ht="14.45" customHeight="1" x14ac:dyDescent="0.2">
      <c r="A537" s="675"/>
      <c r="B537" s="671"/>
      <c r="C537" s="672"/>
      <c r="D537" s="672"/>
      <c r="E537" s="673"/>
      <c r="F537" s="671"/>
      <c r="G537" s="672"/>
      <c r="H537" s="672"/>
      <c r="I537" s="672"/>
      <c r="J537" s="672"/>
      <c r="K537" s="674"/>
      <c r="L537" s="254"/>
      <c r="M537" s="670" t="str">
        <f t="shared" si="8"/>
        <v/>
      </c>
    </row>
    <row r="538" spans="1:13" ht="14.45" customHeight="1" x14ac:dyDescent="0.2">
      <c r="A538" s="675"/>
      <c r="B538" s="671"/>
      <c r="C538" s="672"/>
      <c r="D538" s="672"/>
      <c r="E538" s="673"/>
      <c r="F538" s="671"/>
      <c r="G538" s="672"/>
      <c r="H538" s="672"/>
      <c r="I538" s="672"/>
      <c r="J538" s="672"/>
      <c r="K538" s="674"/>
      <c r="L538" s="254"/>
      <c r="M538" s="670" t="str">
        <f t="shared" si="8"/>
        <v/>
      </c>
    </row>
    <row r="539" spans="1:13" ht="14.45" customHeight="1" x14ac:dyDescent="0.2">
      <c r="A539" s="675"/>
      <c r="B539" s="671"/>
      <c r="C539" s="672"/>
      <c r="D539" s="672"/>
      <c r="E539" s="673"/>
      <c r="F539" s="671"/>
      <c r="G539" s="672"/>
      <c r="H539" s="672"/>
      <c r="I539" s="672"/>
      <c r="J539" s="672"/>
      <c r="K539" s="674"/>
      <c r="L539" s="254"/>
      <c r="M539" s="670" t="str">
        <f t="shared" si="8"/>
        <v/>
      </c>
    </row>
    <row r="540" spans="1:13" ht="14.45" customHeight="1" x14ac:dyDescent="0.2">
      <c r="A540" s="675"/>
      <c r="B540" s="671"/>
      <c r="C540" s="672"/>
      <c r="D540" s="672"/>
      <c r="E540" s="673"/>
      <c r="F540" s="671"/>
      <c r="G540" s="672"/>
      <c r="H540" s="672"/>
      <c r="I540" s="672"/>
      <c r="J540" s="672"/>
      <c r="K540" s="674"/>
      <c r="L540" s="254"/>
      <c r="M540" s="670" t="str">
        <f t="shared" si="8"/>
        <v/>
      </c>
    </row>
    <row r="541" spans="1:13" ht="14.45" customHeight="1" x14ac:dyDescent="0.2">
      <c r="A541" s="675"/>
      <c r="B541" s="671"/>
      <c r="C541" s="672"/>
      <c r="D541" s="672"/>
      <c r="E541" s="673"/>
      <c r="F541" s="671"/>
      <c r="G541" s="672"/>
      <c r="H541" s="672"/>
      <c r="I541" s="672"/>
      <c r="J541" s="672"/>
      <c r="K541" s="674"/>
      <c r="L541" s="254"/>
      <c r="M541" s="670" t="str">
        <f t="shared" si="8"/>
        <v/>
      </c>
    </row>
    <row r="542" spans="1:13" ht="14.45" customHeight="1" x14ac:dyDescent="0.2">
      <c r="A542" s="675"/>
      <c r="B542" s="671"/>
      <c r="C542" s="672"/>
      <c r="D542" s="672"/>
      <c r="E542" s="673"/>
      <c r="F542" s="671"/>
      <c r="G542" s="672"/>
      <c r="H542" s="672"/>
      <c r="I542" s="672"/>
      <c r="J542" s="672"/>
      <c r="K542" s="674"/>
      <c r="L542" s="254"/>
      <c r="M542" s="670" t="str">
        <f t="shared" si="8"/>
        <v/>
      </c>
    </row>
    <row r="543" spans="1:13" ht="14.45" customHeight="1" x14ac:dyDescent="0.2">
      <c r="A543" s="675"/>
      <c r="B543" s="671"/>
      <c r="C543" s="672"/>
      <c r="D543" s="672"/>
      <c r="E543" s="673"/>
      <c r="F543" s="671"/>
      <c r="G543" s="672"/>
      <c r="H543" s="672"/>
      <c r="I543" s="672"/>
      <c r="J543" s="672"/>
      <c r="K543" s="674"/>
      <c r="L543" s="254"/>
      <c r="M543" s="670" t="str">
        <f t="shared" si="8"/>
        <v/>
      </c>
    </row>
    <row r="544" spans="1:13" ht="14.45" customHeight="1" x14ac:dyDescent="0.2">
      <c r="A544" s="675"/>
      <c r="B544" s="671"/>
      <c r="C544" s="672"/>
      <c r="D544" s="672"/>
      <c r="E544" s="673"/>
      <c r="F544" s="671"/>
      <c r="G544" s="672"/>
      <c r="H544" s="672"/>
      <c r="I544" s="672"/>
      <c r="J544" s="672"/>
      <c r="K544" s="674"/>
      <c r="L544" s="254"/>
      <c r="M544" s="670" t="str">
        <f t="shared" si="8"/>
        <v/>
      </c>
    </row>
    <row r="545" spans="1:13" ht="14.45" customHeight="1" x14ac:dyDescent="0.2">
      <c r="A545" s="675"/>
      <c r="B545" s="671"/>
      <c r="C545" s="672"/>
      <c r="D545" s="672"/>
      <c r="E545" s="673"/>
      <c r="F545" s="671"/>
      <c r="G545" s="672"/>
      <c r="H545" s="672"/>
      <c r="I545" s="672"/>
      <c r="J545" s="672"/>
      <c r="K545" s="674"/>
      <c r="L545" s="254"/>
      <c r="M545" s="670" t="str">
        <f t="shared" si="8"/>
        <v/>
      </c>
    </row>
    <row r="546" spans="1:13" ht="14.45" customHeight="1" x14ac:dyDescent="0.2">
      <c r="A546" s="675"/>
      <c r="B546" s="671"/>
      <c r="C546" s="672"/>
      <c r="D546" s="672"/>
      <c r="E546" s="673"/>
      <c r="F546" s="671"/>
      <c r="G546" s="672"/>
      <c r="H546" s="672"/>
      <c r="I546" s="672"/>
      <c r="J546" s="672"/>
      <c r="K546" s="674"/>
      <c r="L546" s="254"/>
      <c r="M546" s="670" t="str">
        <f t="shared" si="8"/>
        <v/>
      </c>
    </row>
    <row r="547" spans="1:13" ht="14.45" customHeight="1" x14ac:dyDescent="0.2">
      <c r="A547" s="675"/>
      <c r="B547" s="671"/>
      <c r="C547" s="672"/>
      <c r="D547" s="672"/>
      <c r="E547" s="673"/>
      <c r="F547" s="671"/>
      <c r="G547" s="672"/>
      <c r="H547" s="672"/>
      <c r="I547" s="672"/>
      <c r="J547" s="672"/>
      <c r="K547" s="674"/>
      <c r="L547" s="254"/>
      <c r="M547" s="670" t="str">
        <f t="shared" si="8"/>
        <v/>
      </c>
    </row>
    <row r="548" spans="1:13" ht="14.45" customHeight="1" x14ac:dyDescent="0.2">
      <c r="A548" s="675"/>
      <c r="B548" s="671"/>
      <c r="C548" s="672"/>
      <c r="D548" s="672"/>
      <c r="E548" s="673"/>
      <c r="F548" s="671"/>
      <c r="G548" s="672"/>
      <c r="H548" s="672"/>
      <c r="I548" s="672"/>
      <c r="J548" s="672"/>
      <c r="K548" s="674"/>
      <c r="L548" s="254"/>
      <c r="M548" s="670" t="str">
        <f t="shared" si="8"/>
        <v/>
      </c>
    </row>
    <row r="549" spans="1:13" ht="14.45" customHeight="1" x14ac:dyDescent="0.2">
      <c r="A549" s="675"/>
      <c r="B549" s="671"/>
      <c r="C549" s="672"/>
      <c r="D549" s="672"/>
      <c r="E549" s="673"/>
      <c r="F549" s="671"/>
      <c r="G549" s="672"/>
      <c r="H549" s="672"/>
      <c r="I549" s="672"/>
      <c r="J549" s="672"/>
      <c r="K549" s="674"/>
      <c r="L549" s="254"/>
      <c r="M549" s="670" t="str">
        <f t="shared" si="8"/>
        <v/>
      </c>
    </row>
    <row r="550" spans="1:13" ht="14.45" customHeight="1" x14ac:dyDescent="0.2">
      <c r="A550" s="675"/>
      <c r="B550" s="671"/>
      <c r="C550" s="672"/>
      <c r="D550" s="672"/>
      <c r="E550" s="673"/>
      <c r="F550" s="671"/>
      <c r="G550" s="672"/>
      <c r="H550" s="672"/>
      <c r="I550" s="672"/>
      <c r="J550" s="672"/>
      <c r="K550" s="674"/>
      <c r="L550" s="254"/>
      <c r="M550" s="670" t="str">
        <f t="shared" si="8"/>
        <v/>
      </c>
    </row>
    <row r="551" spans="1:13" ht="14.45" customHeight="1" x14ac:dyDescent="0.2">
      <c r="A551" s="675"/>
      <c r="B551" s="671"/>
      <c r="C551" s="672"/>
      <c r="D551" s="672"/>
      <c r="E551" s="673"/>
      <c r="F551" s="671"/>
      <c r="G551" s="672"/>
      <c r="H551" s="672"/>
      <c r="I551" s="672"/>
      <c r="J551" s="672"/>
      <c r="K551" s="674"/>
      <c r="L551" s="254"/>
      <c r="M551" s="670" t="str">
        <f t="shared" si="8"/>
        <v/>
      </c>
    </row>
    <row r="552" spans="1:13" ht="14.45" customHeight="1" x14ac:dyDescent="0.2">
      <c r="A552" s="675"/>
      <c r="B552" s="671"/>
      <c r="C552" s="672"/>
      <c r="D552" s="672"/>
      <c r="E552" s="673"/>
      <c r="F552" s="671"/>
      <c r="G552" s="672"/>
      <c r="H552" s="672"/>
      <c r="I552" s="672"/>
      <c r="J552" s="672"/>
      <c r="K552" s="674"/>
      <c r="L552" s="254"/>
      <c r="M552" s="670" t="str">
        <f t="shared" si="8"/>
        <v/>
      </c>
    </row>
    <row r="553" spans="1:13" ht="14.45" customHeight="1" x14ac:dyDescent="0.2">
      <c r="A553" s="675"/>
      <c r="B553" s="671"/>
      <c r="C553" s="672"/>
      <c r="D553" s="672"/>
      <c r="E553" s="673"/>
      <c r="F553" s="671"/>
      <c r="G553" s="672"/>
      <c r="H553" s="672"/>
      <c r="I553" s="672"/>
      <c r="J553" s="672"/>
      <c r="K553" s="674"/>
      <c r="L553" s="254"/>
      <c r="M553" s="670" t="str">
        <f t="shared" si="8"/>
        <v/>
      </c>
    </row>
    <row r="554" spans="1:13" ht="14.45" customHeight="1" x14ac:dyDescent="0.2">
      <c r="A554" s="675"/>
      <c r="B554" s="671"/>
      <c r="C554" s="672"/>
      <c r="D554" s="672"/>
      <c r="E554" s="673"/>
      <c r="F554" s="671"/>
      <c r="G554" s="672"/>
      <c r="H554" s="672"/>
      <c r="I554" s="672"/>
      <c r="J554" s="672"/>
      <c r="K554" s="674"/>
      <c r="L554" s="254"/>
      <c r="M554" s="670" t="str">
        <f t="shared" si="8"/>
        <v/>
      </c>
    </row>
    <row r="555" spans="1:13" ht="14.45" customHeight="1" x14ac:dyDescent="0.2">
      <c r="A555" s="675"/>
      <c r="B555" s="671"/>
      <c r="C555" s="672"/>
      <c r="D555" s="672"/>
      <c r="E555" s="673"/>
      <c r="F555" s="671"/>
      <c r="G555" s="672"/>
      <c r="H555" s="672"/>
      <c r="I555" s="672"/>
      <c r="J555" s="672"/>
      <c r="K555" s="674"/>
      <c r="L555" s="254"/>
      <c r="M555" s="670" t="str">
        <f t="shared" si="8"/>
        <v/>
      </c>
    </row>
    <row r="556" spans="1:13" ht="14.45" customHeight="1" x14ac:dyDescent="0.2">
      <c r="A556" s="675"/>
      <c r="B556" s="671"/>
      <c r="C556" s="672"/>
      <c r="D556" s="672"/>
      <c r="E556" s="673"/>
      <c r="F556" s="671"/>
      <c r="G556" s="672"/>
      <c r="H556" s="672"/>
      <c r="I556" s="672"/>
      <c r="J556" s="672"/>
      <c r="K556" s="674"/>
      <c r="L556" s="254"/>
      <c r="M556" s="670" t="str">
        <f t="shared" si="8"/>
        <v/>
      </c>
    </row>
    <row r="557" spans="1:13" ht="14.45" customHeight="1" x14ac:dyDescent="0.2">
      <c r="A557" s="675"/>
      <c r="B557" s="671"/>
      <c r="C557" s="672"/>
      <c r="D557" s="672"/>
      <c r="E557" s="673"/>
      <c r="F557" s="671"/>
      <c r="G557" s="672"/>
      <c r="H557" s="672"/>
      <c r="I557" s="672"/>
      <c r="J557" s="672"/>
      <c r="K557" s="674"/>
      <c r="L557" s="254"/>
      <c r="M557" s="670" t="str">
        <f t="shared" si="8"/>
        <v/>
      </c>
    </row>
    <row r="558" spans="1:13" ht="14.45" customHeight="1" x14ac:dyDescent="0.2">
      <c r="A558" s="675"/>
      <c r="B558" s="671"/>
      <c r="C558" s="672"/>
      <c r="D558" s="672"/>
      <c r="E558" s="673"/>
      <c r="F558" s="671"/>
      <c r="G558" s="672"/>
      <c r="H558" s="672"/>
      <c r="I558" s="672"/>
      <c r="J558" s="672"/>
      <c r="K558" s="674"/>
      <c r="L558" s="254"/>
      <c r="M558" s="670" t="str">
        <f t="shared" si="8"/>
        <v/>
      </c>
    </row>
    <row r="559" spans="1:13" ht="14.45" customHeight="1" x14ac:dyDescent="0.2">
      <c r="A559" s="675"/>
      <c r="B559" s="671"/>
      <c r="C559" s="672"/>
      <c r="D559" s="672"/>
      <c r="E559" s="673"/>
      <c r="F559" s="671"/>
      <c r="G559" s="672"/>
      <c r="H559" s="672"/>
      <c r="I559" s="672"/>
      <c r="J559" s="672"/>
      <c r="K559" s="674"/>
      <c r="L559" s="254"/>
      <c r="M559" s="670" t="str">
        <f t="shared" si="8"/>
        <v/>
      </c>
    </row>
    <row r="560" spans="1:13" ht="14.45" customHeight="1" x14ac:dyDescent="0.2">
      <c r="A560" s="675"/>
      <c r="B560" s="671"/>
      <c r="C560" s="672"/>
      <c r="D560" s="672"/>
      <c r="E560" s="673"/>
      <c r="F560" s="671"/>
      <c r="G560" s="672"/>
      <c r="H560" s="672"/>
      <c r="I560" s="672"/>
      <c r="J560" s="672"/>
      <c r="K560" s="674"/>
      <c r="L560" s="254"/>
      <c r="M560" s="670" t="str">
        <f t="shared" si="8"/>
        <v/>
      </c>
    </row>
    <row r="561" spans="1:13" ht="14.45" customHeight="1" x14ac:dyDescent="0.2">
      <c r="A561" s="675"/>
      <c r="B561" s="671"/>
      <c r="C561" s="672"/>
      <c r="D561" s="672"/>
      <c r="E561" s="673"/>
      <c r="F561" s="671"/>
      <c r="G561" s="672"/>
      <c r="H561" s="672"/>
      <c r="I561" s="672"/>
      <c r="J561" s="672"/>
      <c r="K561" s="674"/>
      <c r="L561" s="254"/>
      <c r="M561" s="670" t="str">
        <f t="shared" si="8"/>
        <v/>
      </c>
    </row>
    <row r="562" spans="1:13" ht="14.45" customHeight="1" x14ac:dyDescent="0.2">
      <c r="A562" s="675"/>
      <c r="B562" s="671"/>
      <c r="C562" s="672"/>
      <c r="D562" s="672"/>
      <c r="E562" s="673"/>
      <c r="F562" s="671"/>
      <c r="G562" s="672"/>
      <c r="H562" s="672"/>
      <c r="I562" s="672"/>
      <c r="J562" s="672"/>
      <c r="K562" s="674"/>
      <c r="L562" s="254"/>
      <c r="M562" s="670" t="str">
        <f t="shared" si="8"/>
        <v/>
      </c>
    </row>
    <row r="563" spans="1:13" ht="14.45" customHeight="1" x14ac:dyDescent="0.2">
      <c r="A563" s="675"/>
      <c r="B563" s="671"/>
      <c r="C563" s="672"/>
      <c r="D563" s="672"/>
      <c r="E563" s="673"/>
      <c r="F563" s="671"/>
      <c r="G563" s="672"/>
      <c r="H563" s="672"/>
      <c r="I563" s="672"/>
      <c r="J563" s="672"/>
      <c r="K563" s="674"/>
      <c r="L563" s="254"/>
      <c r="M563" s="670" t="str">
        <f t="shared" si="8"/>
        <v/>
      </c>
    </row>
    <row r="564" spans="1:13" ht="14.45" customHeight="1" x14ac:dyDescent="0.2">
      <c r="A564" s="675"/>
      <c r="B564" s="671"/>
      <c r="C564" s="672"/>
      <c r="D564" s="672"/>
      <c r="E564" s="673"/>
      <c r="F564" s="671"/>
      <c r="G564" s="672"/>
      <c r="H564" s="672"/>
      <c r="I564" s="672"/>
      <c r="J564" s="672"/>
      <c r="K564" s="674"/>
      <c r="L564" s="254"/>
      <c r="M564" s="670" t="str">
        <f t="shared" si="8"/>
        <v/>
      </c>
    </row>
    <row r="565" spans="1:13" ht="14.45" customHeight="1" x14ac:dyDescent="0.2">
      <c r="A565" s="675"/>
      <c r="B565" s="671"/>
      <c r="C565" s="672"/>
      <c r="D565" s="672"/>
      <c r="E565" s="673"/>
      <c r="F565" s="671"/>
      <c r="G565" s="672"/>
      <c r="H565" s="672"/>
      <c r="I565" s="672"/>
      <c r="J565" s="672"/>
      <c r="K565" s="674"/>
      <c r="L565" s="254"/>
      <c r="M565" s="670" t="str">
        <f t="shared" si="8"/>
        <v/>
      </c>
    </row>
    <row r="566" spans="1:13" ht="14.45" customHeight="1" x14ac:dyDescent="0.2">
      <c r="A566" s="675"/>
      <c r="B566" s="671"/>
      <c r="C566" s="672"/>
      <c r="D566" s="672"/>
      <c r="E566" s="673"/>
      <c r="F566" s="671"/>
      <c r="G566" s="672"/>
      <c r="H566" s="672"/>
      <c r="I566" s="672"/>
      <c r="J566" s="672"/>
      <c r="K566" s="674"/>
      <c r="L566" s="254"/>
      <c r="M566" s="670" t="str">
        <f t="shared" si="8"/>
        <v/>
      </c>
    </row>
    <row r="567" spans="1:13" ht="14.45" customHeight="1" x14ac:dyDescent="0.2">
      <c r="A567" s="675"/>
      <c r="B567" s="671"/>
      <c r="C567" s="672"/>
      <c r="D567" s="672"/>
      <c r="E567" s="673"/>
      <c r="F567" s="671"/>
      <c r="G567" s="672"/>
      <c r="H567" s="672"/>
      <c r="I567" s="672"/>
      <c r="J567" s="672"/>
      <c r="K567" s="674"/>
      <c r="L567" s="254"/>
      <c r="M567" s="670" t="str">
        <f t="shared" si="8"/>
        <v/>
      </c>
    </row>
    <row r="568" spans="1:13" ht="14.45" customHeight="1" x14ac:dyDescent="0.2">
      <c r="A568" s="675"/>
      <c r="B568" s="671"/>
      <c r="C568" s="672"/>
      <c r="D568" s="672"/>
      <c r="E568" s="673"/>
      <c r="F568" s="671"/>
      <c r="G568" s="672"/>
      <c r="H568" s="672"/>
      <c r="I568" s="672"/>
      <c r="J568" s="672"/>
      <c r="K568" s="674"/>
      <c r="L568" s="254"/>
      <c r="M568" s="670" t="str">
        <f t="shared" si="8"/>
        <v/>
      </c>
    </row>
    <row r="569" spans="1:13" ht="14.45" customHeight="1" x14ac:dyDescent="0.2">
      <c r="A569" s="675"/>
      <c r="B569" s="671"/>
      <c r="C569" s="672"/>
      <c r="D569" s="672"/>
      <c r="E569" s="673"/>
      <c r="F569" s="671"/>
      <c r="G569" s="672"/>
      <c r="H569" s="672"/>
      <c r="I569" s="672"/>
      <c r="J569" s="672"/>
      <c r="K569" s="674"/>
      <c r="L569" s="254"/>
      <c r="M569" s="670" t="str">
        <f t="shared" si="8"/>
        <v/>
      </c>
    </row>
    <row r="570" spans="1:13" ht="14.45" customHeight="1" x14ac:dyDescent="0.2">
      <c r="A570" s="675"/>
      <c r="B570" s="671"/>
      <c r="C570" s="672"/>
      <c r="D570" s="672"/>
      <c r="E570" s="673"/>
      <c r="F570" s="671"/>
      <c r="G570" s="672"/>
      <c r="H570" s="672"/>
      <c r="I570" s="672"/>
      <c r="J570" s="672"/>
      <c r="K570" s="674"/>
      <c r="L570" s="254"/>
      <c r="M570" s="670" t="str">
        <f t="shared" si="8"/>
        <v/>
      </c>
    </row>
    <row r="571" spans="1:13" ht="14.45" customHeight="1" x14ac:dyDescent="0.2">
      <c r="A571" s="675"/>
      <c r="B571" s="671"/>
      <c r="C571" s="672"/>
      <c r="D571" s="672"/>
      <c r="E571" s="673"/>
      <c r="F571" s="671"/>
      <c r="G571" s="672"/>
      <c r="H571" s="672"/>
      <c r="I571" s="672"/>
      <c r="J571" s="672"/>
      <c r="K571" s="674"/>
      <c r="L571" s="254"/>
      <c r="M571" s="670" t="str">
        <f t="shared" si="8"/>
        <v/>
      </c>
    </row>
    <row r="572" spans="1:13" ht="14.45" customHeight="1" x14ac:dyDescent="0.2">
      <c r="A572" s="675"/>
      <c r="B572" s="671"/>
      <c r="C572" s="672"/>
      <c r="D572" s="672"/>
      <c r="E572" s="673"/>
      <c r="F572" s="671"/>
      <c r="G572" s="672"/>
      <c r="H572" s="672"/>
      <c r="I572" s="672"/>
      <c r="J572" s="672"/>
      <c r="K572" s="674"/>
      <c r="L572" s="254"/>
      <c r="M572" s="670" t="str">
        <f t="shared" si="8"/>
        <v/>
      </c>
    </row>
    <row r="573" spans="1:13" ht="14.45" customHeight="1" x14ac:dyDescent="0.2">
      <c r="A573" s="675"/>
      <c r="B573" s="671"/>
      <c r="C573" s="672"/>
      <c r="D573" s="672"/>
      <c r="E573" s="673"/>
      <c r="F573" s="671"/>
      <c r="G573" s="672"/>
      <c r="H573" s="672"/>
      <c r="I573" s="672"/>
      <c r="J573" s="672"/>
      <c r="K573" s="674"/>
      <c r="L573" s="254"/>
      <c r="M573" s="670" t="str">
        <f t="shared" si="8"/>
        <v/>
      </c>
    </row>
    <row r="574" spans="1:13" ht="14.45" customHeight="1" x14ac:dyDescent="0.2">
      <c r="A574" s="675"/>
      <c r="B574" s="671"/>
      <c r="C574" s="672"/>
      <c r="D574" s="672"/>
      <c r="E574" s="673"/>
      <c r="F574" s="671"/>
      <c r="G574" s="672"/>
      <c r="H574" s="672"/>
      <c r="I574" s="672"/>
      <c r="J574" s="672"/>
      <c r="K574" s="674"/>
      <c r="L574" s="254"/>
      <c r="M574" s="670" t="str">
        <f t="shared" si="8"/>
        <v/>
      </c>
    </row>
    <row r="575" spans="1:13" ht="14.45" customHeight="1" x14ac:dyDescent="0.2">
      <c r="A575" s="675"/>
      <c r="B575" s="671"/>
      <c r="C575" s="672"/>
      <c r="D575" s="672"/>
      <c r="E575" s="673"/>
      <c r="F575" s="671"/>
      <c r="G575" s="672"/>
      <c r="H575" s="672"/>
      <c r="I575" s="672"/>
      <c r="J575" s="672"/>
      <c r="K575" s="674"/>
      <c r="L575" s="254"/>
      <c r="M575" s="670" t="str">
        <f t="shared" si="8"/>
        <v/>
      </c>
    </row>
    <row r="576" spans="1:13" ht="14.45" customHeight="1" x14ac:dyDescent="0.2">
      <c r="A576" s="675"/>
      <c r="B576" s="671"/>
      <c r="C576" s="672"/>
      <c r="D576" s="672"/>
      <c r="E576" s="673"/>
      <c r="F576" s="671"/>
      <c r="G576" s="672"/>
      <c r="H576" s="672"/>
      <c r="I576" s="672"/>
      <c r="J576" s="672"/>
      <c r="K576" s="674"/>
      <c r="L576" s="254"/>
      <c r="M576" s="670" t="str">
        <f t="shared" si="8"/>
        <v/>
      </c>
    </row>
    <row r="577" spans="1:13" ht="14.45" customHeight="1" x14ac:dyDescent="0.2">
      <c r="A577" s="675"/>
      <c r="B577" s="671"/>
      <c r="C577" s="672"/>
      <c r="D577" s="672"/>
      <c r="E577" s="673"/>
      <c r="F577" s="671"/>
      <c r="G577" s="672"/>
      <c r="H577" s="672"/>
      <c r="I577" s="672"/>
      <c r="J577" s="672"/>
      <c r="K577" s="674"/>
      <c r="L577" s="254"/>
      <c r="M577" s="670" t="str">
        <f t="shared" si="8"/>
        <v/>
      </c>
    </row>
    <row r="578" spans="1:13" ht="14.45" customHeight="1" x14ac:dyDescent="0.2">
      <c r="A578" s="675"/>
      <c r="B578" s="671"/>
      <c r="C578" s="672"/>
      <c r="D578" s="672"/>
      <c r="E578" s="673"/>
      <c r="F578" s="671"/>
      <c r="G578" s="672"/>
      <c r="H578" s="672"/>
      <c r="I578" s="672"/>
      <c r="J578" s="672"/>
      <c r="K578" s="674"/>
      <c r="L578" s="254"/>
      <c r="M578" s="670" t="str">
        <f t="shared" si="8"/>
        <v/>
      </c>
    </row>
    <row r="579" spans="1:13" ht="14.45" customHeight="1" x14ac:dyDescent="0.2">
      <c r="A579" s="675"/>
      <c r="B579" s="671"/>
      <c r="C579" s="672"/>
      <c r="D579" s="672"/>
      <c r="E579" s="673"/>
      <c r="F579" s="671"/>
      <c r="G579" s="672"/>
      <c r="H579" s="672"/>
      <c r="I579" s="672"/>
      <c r="J579" s="672"/>
      <c r="K579" s="674"/>
      <c r="L579" s="254"/>
      <c r="M579" s="670" t="str">
        <f t="shared" si="8"/>
        <v/>
      </c>
    </row>
    <row r="580" spans="1:13" ht="14.45" customHeight="1" x14ac:dyDescent="0.2">
      <c r="A580" s="675"/>
      <c r="B580" s="671"/>
      <c r="C580" s="672"/>
      <c r="D580" s="672"/>
      <c r="E580" s="673"/>
      <c r="F580" s="671"/>
      <c r="G580" s="672"/>
      <c r="H580" s="672"/>
      <c r="I580" s="672"/>
      <c r="J580" s="672"/>
      <c r="K580" s="674"/>
      <c r="L580" s="254"/>
      <c r="M580" s="670" t="str">
        <f t="shared" si="8"/>
        <v/>
      </c>
    </row>
    <row r="581" spans="1:13" ht="14.45" customHeight="1" x14ac:dyDescent="0.2">
      <c r="A581" s="675"/>
      <c r="B581" s="671"/>
      <c r="C581" s="672"/>
      <c r="D581" s="672"/>
      <c r="E581" s="673"/>
      <c r="F581" s="671"/>
      <c r="G581" s="672"/>
      <c r="H581" s="672"/>
      <c r="I581" s="672"/>
      <c r="J581" s="672"/>
      <c r="K581" s="674"/>
      <c r="L581" s="254"/>
      <c r="M581" s="670" t="str">
        <f t="shared" si="8"/>
        <v/>
      </c>
    </row>
    <row r="582" spans="1:13" ht="14.45" customHeight="1" x14ac:dyDescent="0.2">
      <c r="A582" s="675"/>
      <c r="B582" s="671"/>
      <c r="C582" s="672"/>
      <c r="D582" s="672"/>
      <c r="E582" s="673"/>
      <c r="F582" s="671"/>
      <c r="G582" s="672"/>
      <c r="H582" s="672"/>
      <c r="I582" s="672"/>
      <c r="J582" s="672"/>
      <c r="K582" s="674"/>
      <c r="L582" s="254"/>
      <c r="M582" s="670" t="str">
        <f t="shared" ref="M582:M645" si="9">IF(A582="HV","HV",IF(OR(LEFT(A582,16)="               5",LEFT(A582,16)="               6",LEFT(A582,16)="               7",LEFT(A582,16)="               8"),"X",""))</f>
        <v/>
      </c>
    </row>
    <row r="583" spans="1:13" ht="14.45" customHeight="1" x14ac:dyDescent="0.2">
      <c r="A583" s="675"/>
      <c r="B583" s="671"/>
      <c r="C583" s="672"/>
      <c r="D583" s="672"/>
      <c r="E583" s="673"/>
      <c r="F583" s="671"/>
      <c r="G583" s="672"/>
      <c r="H583" s="672"/>
      <c r="I583" s="672"/>
      <c r="J583" s="672"/>
      <c r="K583" s="674"/>
      <c r="L583" s="254"/>
      <c r="M583" s="670" t="str">
        <f t="shared" si="9"/>
        <v/>
      </c>
    </row>
    <row r="584" spans="1:13" ht="14.45" customHeight="1" x14ac:dyDescent="0.2">
      <c r="A584" s="675"/>
      <c r="B584" s="671"/>
      <c r="C584" s="672"/>
      <c r="D584" s="672"/>
      <c r="E584" s="673"/>
      <c r="F584" s="671"/>
      <c r="G584" s="672"/>
      <c r="H584" s="672"/>
      <c r="I584" s="672"/>
      <c r="J584" s="672"/>
      <c r="K584" s="674"/>
      <c r="L584" s="254"/>
      <c r="M584" s="670" t="str">
        <f t="shared" si="9"/>
        <v/>
      </c>
    </row>
    <row r="585" spans="1:13" ht="14.45" customHeight="1" x14ac:dyDescent="0.2">
      <c r="A585" s="675"/>
      <c r="B585" s="671"/>
      <c r="C585" s="672"/>
      <c r="D585" s="672"/>
      <c r="E585" s="673"/>
      <c r="F585" s="671"/>
      <c r="G585" s="672"/>
      <c r="H585" s="672"/>
      <c r="I585" s="672"/>
      <c r="J585" s="672"/>
      <c r="K585" s="674"/>
      <c r="L585" s="254"/>
      <c r="M585" s="670" t="str">
        <f t="shared" si="9"/>
        <v/>
      </c>
    </row>
    <row r="586" spans="1:13" ht="14.45" customHeight="1" x14ac:dyDescent="0.2">
      <c r="A586" s="675"/>
      <c r="B586" s="671"/>
      <c r="C586" s="672"/>
      <c r="D586" s="672"/>
      <c r="E586" s="673"/>
      <c r="F586" s="671"/>
      <c r="G586" s="672"/>
      <c r="H586" s="672"/>
      <c r="I586" s="672"/>
      <c r="J586" s="672"/>
      <c r="K586" s="674"/>
      <c r="L586" s="254"/>
      <c r="M586" s="670" t="str">
        <f t="shared" si="9"/>
        <v/>
      </c>
    </row>
    <row r="587" spans="1:13" ht="14.45" customHeight="1" x14ac:dyDescent="0.2">
      <c r="A587" s="675"/>
      <c r="B587" s="671"/>
      <c r="C587" s="672"/>
      <c r="D587" s="672"/>
      <c r="E587" s="673"/>
      <c r="F587" s="671"/>
      <c r="G587" s="672"/>
      <c r="H587" s="672"/>
      <c r="I587" s="672"/>
      <c r="J587" s="672"/>
      <c r="K587" s="674"/>
      <c r="L587" s="254"/>
      <c r="M587" s="670" t="str">
        <f t="shared" si="9"/>
        <v/>
      </c>
    </row>
    <row r="588" spans="1:13" ht="14.45" customHeight="1" x14ac:dyDescent="0.2">
      <c r="A588" s="675"/>
      <c r="B588" s="671"/>
      <c r="C588" s="672"/>
      <c r="D588" s="672"/>
      <c r="E588" s="673"/>
      <c r="F588" s="671"/>
      <c r="G588" s="672"/>
      <c r="H588" s="672"/>
      <c r="I588" s="672"/>
      <c r="J588" s="672"/>
      <c r="K588" s="674"/>
      <c r="L588" s="254"/>
      <c r="M588" s="670" t="str">
        <f t="shared" si="9"/>
        <v/>
      </c>
    </row>
    <row r="589" spans="1:13" ht="14.45" customHeight="1" x14ac:dyDescent="0.2">
      <c r="A589" s="675"/>
      <c r="B589" s="671"/>
      <c r="C589" s="672"/>
      <c r="D589" s="672"/>
      <c r="E589" s="673"/>
      <c r="F589" s="671"/>
      <c r="G589" s="672"/>
      <c r="H589" s="672"/>
      <c r="I589" s="672"/>
      <c r="J589" s="672"/>
      <c r="K589" s="674"/>
      <c r="L589" s="254"/>
      <c r="M589" s="670" t="str">
        <f t="shared" si="9"/>
        <v/>
      </c>
    </row>
    <row r="590" spans="1:13" ht="14.45" customHeight="1" x14ac:dyDescent="0.2">
      <c r="A590" s="675"/>
      <c r="B590" s="671"/>
      <c r="C590" s="672"/>
      <c r="D590" s="672"/>
      <c r="E590" s="673"/>
      <c r="F590" s="671"/>
      <c r="G590" s="672"/>
      <c r="H590" s="672"/>
      <c r="I590" s="672"/>
      <c r="J590" s="672"/>
      <c r="K590" s="674"/>
      <c r="L590" s="254"/>
      <c r="M590" s="670" t="str">
        <f t="shared" si="9"/>
        <v/>
      </c>
    </row>
    <row r="591" spans="1:13" ht="14.45" customHeight="1" x14ac:dyDescent="0.2">
      <c r="A591" s="675"/>
      <c r="B591" s="671"/>
      <c r="C591" s="672"/>
      <c r="D591" s="672"/>
      <c r="E591" s="673"/>
      <c r="F591" s="671"/>
      <c r="G591" s="672"/>
      <c r="H591" s="672"/>
      <c r="I591" s="672"/>
      <c r="J591" s="672"/>
      <c r="K591" s="674"/>
      <c r="L591" s="254"/>
      <c r="M591" s="670" t="str">
        <f t="shared" si="9"/>
        <v/>
      </c>
    </row>
    <row r="592" spans="1:13" ht="14.45" customHeight="1" x14ac:dyDescent="0.2">
      <c r="A592" s="675"/>
      <c r="B592" s="671"/>
      <c r="C592" s="672"/>
      <c r="D592" s="672"/>
      <c r="E592" s="673"/>
      <c r="F592" s="671"/>
      <c r="G592" s="672"/>
      <c r="H592" s="672"/>
      <c r="I592" s="672"/>
      <c r="J592" s="672"/>
      <c r="K592" s="674"/>
      <c r="L592" s="254"/>
      <c r="M592" s="670" t="str">
        <f t="shared" si="9"/>
        <v/>
      </c>
    </row>
    <row r="593" spans="1:13" ht="14.45" customHeight="1" x14ac:dyDescent="0.2">
      <c r="A593" s="675"/>
      <c r="B593" s="671"/>
      <c r="C593" s="672"/>
      <c r="D593" s="672"/>
      <c r="E593" s="673"/>
      <c r="F593" s="671"/>
      <c r="G593" s="672"/>
      <c r="H593" s="672"/>
      <c r="I593" s="672"/>
      <c r="J593" s="672"/>
      <c r="K593" s="674"/>
      <c r="L593" s="254"/>
      <c r="M593" s="670" t="str">
        <f t="shared" si="9"/>
        <v/>
      </c>
    </row>
    <row r="594" spans="1:13" ht="14.45" customHeight="1" x14ac:dyDescent="0.2">
      <c r="A594" s="675"/>
      <c r="B594" s="671"/>
      <c r="C594" s="672"/>
      <c r="D594" s="672"/>
      <c r="E594" s="673"/>
      <c r="F594" s="671"/>
      <c r="G594" s="672"/>
      <c r="H594" s="672"/>
      <c r="I594" s="672"/>
      <c r="J594" s="672"/>
      <c r="K594" s="674"/>
      <c r="L594" s="254"/>
      <c r="M594" s="670" t="str">
        <f t="shared" si="9"/>
        <v/>
      </c>
    </row>
    <row r="595" spans="1:13" ht="14.45" customHeight="1" x14ac:dyDescent="0.2">
      <c r="A595" s="675"/>
      <c r="B595" s="671"/>
      <c r="C595" s="672"/>
      <c r="D595" s="672"/>
      <c r="E595" s="673"/>
      <c r="F595" s="671"/>
      <c r="G595" s="672"/>
      <c r="H595" s="672"/>
      <c r="I595" s="672"/>
      <c r="J595" s="672"/>
      <c r="K595" s="674"/>
      <c r="L595" s="254"/>
      <c r="M595" s="670" t="str">
        <f t="shared" si="9"/>
        <v/>
      </c>
    </row>
    <row r="596" spans="1:13" ht="14.45" customHeight="1" x14ac:dyDescent="0.2">
      <c r="A596" s="675"/>
      <c r="B596" s="671"/>
      <c r="C596" s="672"/>
      <c r="D596" s="672"/>
      <c r="E596" s="673"/>
      <c r="F596" s="671"/>
      <c r="G596" s="672"/>
      <c r="H596" s="672"/>
      <c r="I596" s="672"/>
      <c r="J596" s="672"/>
      <c r="K596" s="674"/>
      <c r="L596" s="254"/>
      <c r="M596" s="670" t="str">
        <f t="shared" si="9"/>
        <v/>
      </c>
    </row>
    <row r="597" spans="1:13" ht="14.45" customHeight="1" x14ac:dyDescent="0.2">
      <c r="A597" s="675"/>
      <c r="B597" s="671"/>
      <c r="C597" s="672"/>
      <c r="D597" s="672"/>
      <c r="E597" s="673"/>
      <c r="F597" s="671"/>
      <c r="G597" s="672"/>
      <c r="H597" s="672"/>
      <c r="I597" s="672"/>
      <c r="J597" s="672"/>
      <c r="K597" s="674"/>
      <c r="L597" s="254"/>
      <c r="M597" s="670" t="str">
        <f t="shared" si="9"/>
        <v/>
      </c>
    </row>
    <row r="598" spans="1:13" ht="14.45" customHeight="1" x14ac:dyDescent="0.2">
      <c r="A598" s="675"/>
      <c r="B598" s="671"/>
      <c r="C598" s="672"/>
      <c r="D598" s="672"/>
      <c r="E598" s="673"/>
      <c r="F598" s="671"/>
      <c r="G598" s="672"/>
      <c r="H598" s="672"/>
      <c r="I598" s="672"/>
      <c r="J598" s="672"/>
      <c r="K598" s="674"/>
      <c r="L598" s="254"/>
      <c r="M598" s="670" t="str">
        <f t="shared" si="9"/>
        <v/>
      </c>
    </row>
    <row r="599" spans="1:13" ht="14.45" customHeight="1" x14ac:dyDescent="0.2">
      <c r="A599" s="675"/>
      <c r="B599" s="671"/>
      <c r="C599" s="672"/>
      <c r="D599" s="672"/>
      <c r="E599" s="673"/>
      <c r="F599" s="671"/>
      <c r="G599" s="672"/>
      <c r="H599" s="672"/>
      <c r="I599" s="672"/>
      <c r="J599" s="672"/>
      <c r="K599" s="674"/>
      <c r="L599" s="254"/>
      <c r="M599" s="670" t="str">
        <f t="shared" si="9"/>
        <v/>
      </c>
    </row>
    <row r="600" spans="1:13" ht="14.45" customHeight="1" x14ac:dyDescent="0.2">
      <c r="A600" s="675"/>
      <c r="B600" s="671"/>
      <c r="C600" s="672"/>
      <c r="D600" s="672"/>
      <c r="E600" s="673"/>
      <c r="F600" s="671"/>
      <c r="G600" s="672"/>
      <c r="H600" s="672"/>
      <c r="I600" s="672"/>
      <c r="J600" s="672"/>
      <c r="K600" s="674"/>
      <c r="L600" s="254"/>
      <c r="M600" s="670" t="str">
        <f t="shared" si="9"/>
        <v/>
      </c>
    </row>
    <row r="601" spans="1:13" ht="14.45" customHeight="1" x14ac:dyDescent="0.2">
      <c r="A601" s="675"/>
      <c r="B601" s="671"/>
      <c r="C601" s="672"/>
      <c r="D601" s="672"/>
      <c r="E601" s="673"/>
      <c r="F601" s="671"/>
      <c r="G601" s="672"/>
      <c r="H601" s="672"/>
      <c r="I601" s="672"/>
      <c r="J601" s="672"/>
      <c r="K601" s="674"/>
      <c r="L601" s="254"/>
      <c r="M601" s="670" t="str">
        <f t="shared" si="9"/>
        <v/>
      </c>
    </row>
    <row r="602" spans="1:13" ht="14.45" customHeight="1" x14ac:dyDescent="0.2">
      <c r="A602" s="675"/>
      <c r="B602" s="671"/>
      <c r="C602" s="672"/>
      <c r="D602" s="672"/>
      <c r="E602" s="673"/>
      <c r="F602" s="671"/>
      <c r="G602" s="672"/>
      <c r="H602" s="672"/>
      <c r="I602" s="672"/>
      <c r="J602" s="672"/>
      <c r="K602" s="674"/>
      <c r="L602" s="254"/>
      <c r="M602" s="670" t="str">
        <f t="shared" si="9"/>
        <v/>
      </c>
    </row>
    <row r="603" spans="1:13" ht="14.45" customHeight="1" x14ac:dyDescent="0.2">
      <c r="A603" s="675"/>
      <c r="B603" s="671"/>
      <c r="C603" s="672"/>
      <c r="D603" s="672"/>
      <c r="E603" s="673"/>
      <c r="F603" s="671"/>
      <c r="G603" s="672"/>
      <c r="H603" s="672"/>
      <c r="I603" s="672"/>
      <c r="J603" s="672"/>
      <c r="K603" s="674"/>
      <c r="L603" s="254"/>
      <c r="M603" s="670" t="str">
        <f t="shared" si="9"/>
        <v/>
      </c>
    </row>
    <row r="604" spans="1:13" ht="14.45" customHeight="1" x14ac:dyDescent="0.2">
      <c r="A604" s="675"/>
      <c r="B604" s="671"/>
      <c r="C604" s="672"/>
      <c r="D604" s="672"/>
      <c r="E604" s="673"/>
      <c r="F604" s="671"/>
      <c r="G604" s="672"/>
      <c r="H604" s="672"/>
      <c r="I604" s="672"/>
      <c r="J604" s="672"/>
      <c r="K604" s="674"/>
      <c r="L604" s="254"/>
      <c r="M604" s="670" t="str">
        <f t="shared" si="9"/>
        <v/>
      </c>
    </row>
    <row r="605" spans="1:13" ht="14.45" customHeight="1" x14ac:dyDescent="0.2">
      <c r="A605" s="675"/>
      <c r="B605" s="671"/>
      <c r="C605" s="672"/>
      <c r="D605" s="672"/>
      <c r="E605" s="673"/>
      <c r="F605" s="671"/>
      <c r="G605" s="672"/>
      <c r="H605" s="672"/>
      <c r="I605" s="672"/>
      <c r="J605" s="672"/>
      <c r="K605" s="674"/>
      <c r="L605" s="254"/>
      <c r="M605" s="670" t="str">
        <f t="shared" si="9"/>
        <v/>
      </c>
    </row>
    <row r="606" spans="1:13" ht="14.45" customHeight="1" x14ac:dyDescent="0.2">
      <c r="A606" s="675"/>
      <c r="B606" s="671"/>
      <c r="C606" s="672"/>
      <c r="D606" s="672"/>
      <c r="E606" s="673"/>
      <c r="F606" s="671"/>
      <c r="G606" s="672"/>
      <c r="H606" s="672"/>
      <c r="I606" s="672"/>
      <c r="J606" s="672"/>
      <c r="K606" s="674"/>
      <c r="L606" s="254"/>
      <c r="M606" s="670" t="str">
        <f t="shared" si="9"/>
        <v/>
      </c>
    </row>
    <row r="607" spans="1:13" ht="14.45" customHeight="1" x14ac:dyDescent="0.2">
      <c r="A607" s="675"/>
      <c r="B607" s="671"/>
      <c r="C607" s="672"/>
      <c r="D607" s="672"/>
      <c r="E607" s="673"/>
      <c r="F607" s="671"/>
      <c r="G607" s="672"/>
      <c r="H607" s="672"/>
      <c r="I607" s="672"/>
      <c r="J607" s="672"/>
      <c r="K607" s="674"/>
      <c r="L607" s="254"/>
      <c r="M607" s="670" t="str">
        <f t="shared" si="9"/>
        <v/>
      </c>
    </row>
    <row r="608" spans="1:13" ht="14.45" customHeight="1" x14ac:dyDescent="0.2">
      <c r="A608" s="675"/>
      <c r="B608" s="671"/>
      <c r="C608" s="672"/>
      <c r="D608" s="672"/>
      <c r="E608" s="673"/>
      <c r="F608" s="671"/>
      <c r="G608" s="672"/>
      <c r="H608" s="672"/>
      <c r="I608" s="672"/>
      <c r="J608" s="672"/>
      <c r="K608" s="674"/>
      <c r="L608" s="254"/>
      <c r="M608" s="670" t="str">
        <f t="shared" si="9"/>
        <v/>
      </c>
    </row>
    <row r="609" spans="1:13" ht="14.45" customHeight="1" x14ac:dyDescent="0.2">
      <c r="A609" s="675"/>
      <c r="B609" s="671"/>
      <c r="C609" s="672"/>
      <c r="D609" s="672"/>
      <c r="E609" s="673"/>
      <c r="F609" s="671"/>
      <c r="G609" s="672"/>
      <c r="H609" s="672"/>
      <c r="I609" s="672"/>
      <c r="J609" s="672"/>
      <c r="K609" s="674"/>
      <c r="L609" s="254"/>
      <c r="M609" s="670" t="str">
        <f t="shared" si="9"/>
        <v/>
      </c>
    </row>
    <row r="610" spans="1:13" ht="14.45" customHeight="1" x14ac:dyDescent="0.2">
      <c r="A610" s="675"/>
      <c r="B610" s="671"/>
      <c r="C610" s="672"/>
      <c r="D610" s="672"/>
      <c r="E610" s="673"/>
      <c r="F610" s="671"/>
      <c r="G610" s="672"/>
      <c r="H610" s="672"/>
      <c r="I610" s="672"/>
      <c r="J610" s="672"/>
      <c r="K610" s="674"/>
      <c r="L610" s="254"/>
      <c r="M610" s="670" t="str">
        <f t="shared" si="9"/>
        <v/>
      </c>
    </row>
    <row r="611" spans="1:13" ht="14.45" customHeight="1" x14ac:dyDescent="0.2">
      <c r="A611" s="675"/>
      <c r="B611" s="671"/>
      <c r="C611" s="672"/>
      <c r="D611" s="672"/>
      <c r="E611" s="673"/>
      <c r="F611" s="671"/>
      <c r="G611" s="672"/>
      <c r="H611" s="672"/>
      <c r="I611" s="672"/>
      <c r="J611" s="672"/>
      <c r="K611" s="674"/>
      <c r="L611" s="254"/>
      <c r="M611" s="670" t="str">
        <f t="shared" si="9"/>
        <v/>
      </c>
    </row>
    <row r="612" spans="1:13" ht="14.45" customHeight="1" x14ac:dyDescent="0.2">
      <c r="A612" s="675"/>
      <c r="B612" s="671"/>
      <c r="C612" s="672"/>
      <c r="D612" s="672"/>
      <c r="E612" s="673"/>
      <c r="F612" s="671"/>
      <c r="G612" s="672"/>
      <c r="H612" s="672"/>
      <c r="I612" s="672"/>
      <c r="J612" s="672"/>
      <c r="K612" s="674"/>
      <c r="L612" s="254"/>
      <c r="M612" s="670" t="str">
        <f t="shared" si="9"/>
        <v/>
      </c>
    </row>
    <row r="613" spans="1:13" ht="14.45" customHeight="1" x14ac:dyDescent="0.2">
      <c r="A613" s="675"/>
      <c r="B613" s="671"/>
      <c r="C613" s="672"/>
      <c r="D613" s="672"/>
      <c r="E613" s="673"/>
      <c r="F613" s="671"/>
      <c r="G613" s="672"/>
      <c r="H613" s="672"/>
      <c r="I613" s="672"/>
      <c r="J613" s="672"/>
      <c r="K613" s="674"/>
      <c r="L613" s="254"/>
      <c r="M613" s="670" t="str">
        <f t="shared" si="9"/>
        <v/>
      </c>
    </row>
    <row r="614" spans="1:13" ht="14.45" customHeight="1" x14ac:dyDescent="0.2">
      <c r="A614" s="675"/>
      <c r="B614" s="671"/>
      <c r="C614" s="672"/>
      <c r="D614" s="672"/>
      <c r="E614" s="673"/>
      <c r="F614" s="671"/>
      <c r="G614" s="672"/>
      <c r="H614" s="672"/>
      <c r="I614" s="672"/>
      <c r="J614" s="672"/>
      <c r="K614" s="674"/>
      <c r="L614" s="254"/>
      <c r="M614" s="670" t="str">
        <f t="shared" si="9"/>
        <v/>
      </c>
    </row>
    <row r="615" spans="1:13" ht="14.45" customHeight="1" x14ac:dyDescent="0.2">
      <c r="A615" s="675"/>
      <c r="B615" s="671"/>
      <c r="C615" s="672"/>
      <c r="D615" s="672"/>
      <c r="E615" s="673"/>
      <c r="F615" s="671"/>
      <c r="G615" s="672"/>
      <c r="H615" s="672"/>
      <c r="I615" s="672"/>
      <c r="J615" s="672"/>
      <c r="K615" s="674"/>
      <c r="L615" s="254"/>
      <c r="M615" s="670" t="str">
        <f t="shared" si="9"/>
        <v/>
      </c>
    </row>
    <row r="616" spans="1:13" ht="14.45" customHeight="1" x14ac:dyDescent="0.2">
      <c r="A616" s="675"/>
      <c r="B616" s="671"/>
      <c r="C616" s="672"/>
      <c r="D616" s="672"/>
      <c r="E616" s="673"/>
      <c r="F616" s="671"/>
      <c r="G616" s="672"/>
      <c r="H616" s="672"/>
      <c r="I616" s="672"/>
      <c r="J616" s="672"/>
      <c r="K616" s="674"/>
      <c r="L616" s="254"/>
      <c r="M616" s="670" t="str">
        <f t="shared" si="9"/>
        <v/>
      </c>
    </row>
    <row r="617" spans="1:13" ht="14.45" customHeight="1" x14ac:dyDescent="0.2">
      <c r="A617" s="675"/>
      <c r="B617" s="671"/>
      <c r="C617" s="672"/>
      <c r="D617" s="672"/>
      <c r="E617" s="673"/>
      <c r="F617" s="671"/>
      <c r="G617" s="672"/>
      <c r="H617" s="672"/>
      <c r="I617" s="672"/>
      <c r="J617" s="672"/>
      <c r="K617" s="674"/>
      <c r="L617" s="254"/>
      <c r="M617" s="670" t="str">
        <f t="shared" si="9"/>
        <v/>
      </c>
    </row>
    <row r="618" spans="1:13" ht="14.45" customHeight="1" x14ac:dyDescent="0.2">
      <c r="A618" s="675"/>
      <c r="B618" s="671"/>
      <c r="C618" s="672"/>
      <c r="D618" s="672"/>
      <c r="E618" s="673"/>
      <c r="F618" s="671"/>
      <c r="G618" s="672"/>
      <c r="H618" s="672"/>
      <c r="I618" s="672"/>
      <c r="J618" s="672"/>
      <c r="K618" s="674"/>
      <c r="L618" s="254"/>
      <c r="M618" s="670" t="str">
        <f t="shared" si="9"/>
        <v/>
      </c>
    </row>
    <row r="619" spans="1:13" ht="14.45" customHeight="1" x14ac:dyDescent="0.2">
      <c r="A619" s="675"/>
      <c r="B619" s="671"/>
      <c r="C619" s="672"/>
      <c r="D619" s="672"/>
      <c r="E619" s="673"/>
      <c r="F619" s="671"/>
      <c r="G619" s="672"/>
      <c r="H619" s="672"/>
      <c r="I619" s="672"/>
      <c r="J619" s="672"/>
      <c r="K619" s="674"/>
      <c r="L619" s="254"/>
      <c r="M619" s="670" t="str">
        <f t="shared" si="9"/>
        <v/>
      </c>
    </row>
    <row r="620" spans="1:13" ht="14.45" customHeight="1" x14ac:dyDescent="0.2">
      <c r="A620" s="675"/>
      <c r="B620" s="671"/>
      <c r="C620" s="672"/>
      <c r="D620" s="672"/>
      <c r="E620" s="673"/>
      <c r="F620" s="671"/>
      <c r="G620" s="672"/>
      <c r="H620" s="672"/>
      <c r="I620" s="672"/>
      <c r="J620" s="672"/>
      <c r="K620" s="674"/>
      <c r="L620" s="254"/>
      <c r="M620" s="670" t="str">
        <f t="shared" si="9"/>
        <v/>
      </c>
    </row>
    <row r="621" spans="1:13" ht="14.45" customHeight="1" x14ac:dyDescent="0.2">
      <c r="A621" s="675"/>
      <c r="B621" s="671"/>
      <c r="C621" s="672"/>
      <c r="D621" s="672"/>
      <c r="E621" s="673"/>
      <c r="F621" s="671"/>
      <c r="G621" s="672"/>
      <c r="H621" s="672"/>
      <c r="I621" s="672"/>
      <c r="J621" s="672"/>
      <c r="K621" s="674"/>
      <c r="L621" s="254"/>
      <c r="M621" s="670" t="str">
        <f t="shared" si="9"/>
        <v/>
      </c>
    </row>
    <row r="622" spans="1:13" ht="14.45" customHeight="1" x14ac:dyDescent="0.2">
      <c r="A622" s="675"/>
      <c r="B622" s="671"/>
      <c r="C622" s="672"/>
      <c r="D622" s="672"/>
      <c r="E622" s="673"/>
      <c r="F622" s="671"/>
      <c r="G622" s="672"/>
      <c r="H622" s="672"/>
      <c r="I622" s="672"/>
      <c r="J622" s="672"/>
      <c r="K622" s="674"/>
      <c r="L622" s="254"/>
      <c r="M622" s="670" t="str">
        <f t="shared" si="9"/>
        <v/>
      </c>
    </row>
    <row r="623" spans="1:13" ht="14.45" customHeight="1" x14ac:dyDescent="0.2">
      <c r="A623" s="675"/>
      <c r="B623" s="671"/>
      <c r="C623" s="672"/>
      <c r="D623" s="672"/>
      <c r="E623" s="673"/>
      <c r="F623" s="671"/>
      <c r="G623" s="672"/>
      <c r="H623" s="672"/>
      <c r="I623" s="672"/>
      <c r="J623" s="672"/>
      <c r="K623" s="674"/>
      <c r="L623" s="254"/>
      <c r="M623" s="670" t="str">
        <f t="shared" si="9"/>
        <v/>
      </c>
    </row>
    <row r="624" spans="1:13" ht="14.45" customHeight="1" x14ac:dyDescent="0.2">
      <c r="A624" s="675"/>
      <c r="B624" s="671"/>
      <c r="C624" s="672"/>
      <c r="D624" s="672"/>
      <c r="E624" s="673"/>
      <c r="F624" s="671"/>
      <c r="G624" s="672"/>
      <c r="H624" s="672"/>
      <c r="I624" s="672"/>
      <c r="J624" s="672"/>
      <c r="K624" s="674"/>
      <c r="L624" s="254"/>
      <c r="M624" s="670" t="str">
        <f t="shared" si="9"/>
        <v/>
      </c>
    </row>
    <row r="625" spans="1:13" ht="14.45" customHeight="1" x14ac:dyDescent="0.2">
      <c r="A625" s="675"/>
      <c r="B625" s="671"/>
      <c r="C625" s="672"/>
      <c r="D625" s="672"/>
      <c r="E625" s="673"/>
      <c r="F625" s="671"/>
      <c r="G625" s="672"/>
      <c r="H625" s="672"/>
      <c r="I625" s="672"/>
      <c r="J625" s="672"/>
      <c r="K625" s="674"/>
      <c r="L625" s="254"/>
      <c r="M625" s="670" t="str">
        <f t="shared" si="9"/>
        <v/>
      </c>
    </row>
    <row r="626" spans="1:13" ht="14.45" customHeight="1" x14ac:dyDescent="0.2">
      <c r="A626" s="675"/>
      <c r="B626" s="671"/>
      <c r="C626" s="672"/>
      <c r="D626" s="672"/>
      <c r="E626" s="673"/>
      <c r="F626" s="671"/>
      <c r="G626" s="672"/>
      <c r="H626" s="672"/>
      <c r="I626" s="672"/>
      <c r="J626" s="672"/>
      <c r="K626" s="674"/>
      <c r="L626" s="254"/>
      <c r="M626" s="670" t="str">
        <f t="shared" si="9"/>
        <v/>
      </c>
    </row>
    <row r="627" spans="1:13" ht="14.45" customHeight="1" x14ac:dyDescent="0.2">
      <c r="A627" s="675"/>
      <c r="B627" s="671"/>
      <c r="C627" s="672"/>
      <c r="D627" s="672"/>
      <c r="E627" s="673"/>
      <c r="F627" s="671"/>
      <c r="G627" s="672"/>
      <c r="H627" s="672"/>
      <c r="I627" s="672"/>
      <c r="J627" s="672"/>
      <c r="K627" s="674"/>
      <c r="L627" s="254"/>
      <c r="M627" s="670" t="str">
        <f t="shared" si="9"/>
        <v/>
      </c>
    </row>
    <row r="628" spans="1:13" ht="14.45" customHeight="1" x14ac:dyDescent="0.2">
      <c r="A628" s="675"/>
      <c r="B628" s="671"/>
      <c r="C628" s="672"/>
      <c r="D628" s="672"/>
      <c r="E628" s="673"/>
      <c r="F628" s="671"/>
      <c r="G628" s="672"/>
      <c r="H628" s="672"/>
      <c r="I628" s="672"/>
      <c r="J628" s="672"/>
      <c r="K628" s="674"/>
      <c r="L628" s="254"/>
      <c r="M628" s="670" t="str">
        <f t="shared" si="9"/>
        <v/>
      </c>
    </row>
    <row r="629" spans="1:13" ht="14.45" customHeight="1" x14ac:dyDescent="0.2">
      <c r="A629" s="675"/>
      <c r="B629" s="671"/>
      <c r="C629" s="672"/>
      <c r="D629" s="672"/>
      <c r="E629" s="673"/>
      <c r="F629" s="671"/>
      <c r="G629" s="672"/>
      <c r="H629" s="672"/>
      <c r="I629" s="672"/>
      <c r="J629" s="672"/>
      <c r="K629" s="674"/>
      <c r="L629" s="254"/>
      <c r="M629" s="670" t="str">
        <f t="shared" si="9"/>
        <v/>
      </c>
    </row>
    <row r="630" spans="1:13" ht="14.45" customHeight="1" x14ac:dyDescent="0.2">
      <c r="A630" s="675"/>
      <c r="B630" s="671"/>
      <c r="C630" s="672"/>
      <c r="D630" s="672"/>
      <c r="E630" s="673"/>
      <c r="F630" s="671"/>
      <c r="G630" s="672"/>
      <c r="H630" s="672"/>
      <c r="I630" s="672"/>
      <c r="J630" s="672"/>
      <c r="K630" s="674"/>
      <c r="L630" s="254"/>
      <c r="M630" s="670" t="str">
        <f t="shared" si="9"/>
        <v/>
      </c>
    </row>
    <row r="631" spans="1:13" ht="14.45" customHeight="1" x14ac:dyDescent="0.2">
      <c r="A631" s="675"/>
      <c r="B631" s="671"/>
      <c r="C631" s="672"/>
      <c r="D631" s="672"/>
      <c r="E631" s="673"/>
      <c r="F631" s="671"/>
      <c r="G631" s="672"/>
      <c r="H631" s="672"/>
      <c r="I631" s="672"/>
      <c r="J631" s="672"/>
      <c r="K631" s="674"/>
      <c r="L631" s="254"/>
      <c r="M631" s="670" t="str">
        <f t="shared" si="9"/>
        <v/>
      </c>
    </row>
    <row r="632" spans="1:13" ht="14.45" customHeight="1" x14ac:dyDescent="0.2">
      <c r="A632" s="675"/>
      <c r="B632" s="671"/>
      <c r="C632" s="672"/>
      <c r="D632" s="672"/>
      <c r="E632" s="673"/>
      <c r="F632" s="671"/>
      <c r="G632" s="672"/>
      <c r="H632" s="672"/>
      <c r="I632" s="672"/>
      <c r="J632" s="672"/>
      <c r="K632" s="674"/>
      <c r="L632" s="254"/>
      <c r="M632" s="670" t="str">
        <f t="shared" si="9"/>
        <v/>
      </c>
    </row>
    <row r="633" spans="1:13" ht="14.45" customHeight="1" x14ac:dyDescent="0.2">
      <c r="A633" s="675"/>
      <c r="B633" s="671"/>
      <c r="C633" s="672"/>
      <c r="D633" s="672"/>
      <c r="E633" s="673"/>
      <c r="F633" s="671"/>
      <c r="G633" s="672"/>
      <c r="H633" s="672"/>
      <c r="I633" s="672"/>
      <c r="J633" s="672"/>
      <c r="K633" s="674"/>
      <c r="L633" s="254"/>
      <c r="M633" s="670" t="str">
        <f t="shared" si="9"/>
        <v/>
      </c>
    </row>
    <row r="634" spans="1:13" ht="14.45" customHeight="1" x14ac:dyDescent="0.2">
      <c r="A634" s="675"/>
      <c r="B634" s="671"/>
      <c r="C634" s="672"/>
      <c r="D634" s="672"/>
      <c r="E634" s="673"/>
      <c r="F634" s="671"/>
      <c r="G634" s="672"/>
      <c r="H634" s="672"/>
      <c r="I634" s="672"/>
      <c r="J634" s="672"/>
      <c r="K634" s="674"/>
      <c r="L634" s="254"/>
      <c r="M634" s="670" t="str">
        <f t="shared" si="9"/>
        <v/>
      </c>
    </row>
    <row r="635" spans="1:13" ht="14.45" customHeight="1" x14ac:dyDescent="0.2">
      <c r="A635" s="675"/>
      <c r="B635" s="671"/>
      <c r="C635" s="672"/>
      <c r="D635" s="672"/>
      <c r="E635" s="673"/>
      <c r="F635" s="671"/>
      <c r="G635" s="672"/>
      <c r="H635" s="672"/>
      <c r="I635" s="672"/>
      <c r="J635" s="672"/>
      <c r="K635" s="674"/>
      <c r="L635" s="254"/>
      <c r="M635" s="670" t="str">
        <f t="shared" si="9"/>
        <v/>
      </c>
    </row>
    <row r="636" spans="1:13" ht="14.45" customHeight="1" x14ac:dyDescent="0.2">
      <c r="A636" s="675"/>
      <c r="B636" s="671"/>
      <c r="C636" s="672"/>
      <c r="D636" s="672"/>
      <c r="E636" s="673"/>
      <c r="F636" s="671"/>
      <c r="G636" s="672"/>
      <c r="H636" s="672"/>
      <c r="I636" s="672"/>
      <c r="J636" s="672"/>
      <c r="K636" s="674"/>
      <c r="L636" s="254"/>
      <c r="M636" s="670" t="str">
        <f t="shared" si="9"/>
        <v/>
      </c>
    </row>
    <row r="637" spans="1:13" ht="14.45" customHeight="1" x14ac:dyDescent="0.2">
      <c r="A637" s="675"/>
      <c r="B637" s="671"/>
      <c r="C637" s="672"/>
      <c r="D637" s="672"/>
      <c r="E637" s="673"/>
      <c r="F637" s="671"/>
      <c r="G637" s="672"/>
      <c r="H637" s="672"/>
      <c r="I637" s="672"/>
      <c r="J637" s="672"/>
      <c r="K637" s="674"/>
      <c r="L637" s="254"/>
      <c r="M637" s="670" t="str">
        <f t="shared" si="9"/>
        <v/>
      </c>
    </row>
    <row r="638" spans="1:13" ht="14.45" customHeight="1" x14ac:dyDescent="0.2">
      <c r="A638" s="675"/>
      <c r="B638" s="671"/>
      <c r="C638" s="672"/>
      <c r="D638" s="672"/>
      <c r="E638" s="673"/>
      <c r="F638" s="671"/>
      <c r="G638" s="672"/>
      <c r="H638" s="672"/>
      <c r="I638" s="672"/>
      <c r="J638" s="672"/>
      <c r="K638" s="674"/>
      <c r="L638" s="254"/>
      <c r="M638" s="670" t="str">
        <f t="shared" si="9"/>
        <v/>
      </c>
    </row>
    <row r="639" spans="1:13" ht="14.45" customHeight="1" x14ac:dyDescent="0.2">
      <c r="A639" s="675"/>
      <c r="B639" s="671"/>
      <c r="C639" s="672"/>
      <c r="D639" s="672"/>
      <c r="E639" s="673"/>
      <c r="F639" s="671"/>
      <c r="G639" s="672"/>
      <c r="H639" s="672"/>
      <c r="I639" s="672"/>
      <c r="J639" s="672"/>
      <c r="K639" s="674"/>
      <c r="L639" s="254"/>
      <c r="M639" s="670" t="str">
        <f t="shared" si="9"/>
        <v/>
      </c>
    </row>
    <row r="640" spans="1:13" ht="14.45" customHeight="1" x14ac:dyDescent="0.2">
      <c r="A640" s="675"/>
      <c r="B640" s="671"/>
      <c r="C640" s="672"/>
      <c r="D640" s="672"/>
      <c r="E640" s="673"/>
      <c r="F640" s="671"/>
      <c r="G640" s="672"/>
      <c r="H640" s="672"/>
      <c r="I640" s="672"/>
      <c r="J640" s="672"/>
      <c r="K640" s="674"/>
      <c r="L640" s="254"/>
      <c r="M640" s="670" t="str">
        <f t="shared" si="9"/>
        <v/>
      </c>
    </row>
    <row r="641" spans="1:13" ht="14.45" customHeight="1" x14ac:dyDescent="0.2">
      <c r="A641" s="675"/>
      <c r="B641" s="671"/>
      <c r="C641" s="672"/>
      <c r="D641" s="672"/>
      <c r="E641" s="673"/>
      <c r="F641" s="671"/>
      <c r="G641" s="672"/>
      <c r="H641" s="672"/>
      <c r="I641" s="672"/>
      <c r="J641" s="672"/>
      <c r="K641" s="674"/>
      <c r="L641" s="254"/>
      <c r="M641" s="670" t="str">
        <f t="shared" si="9"/>
        <v/>
      </c>
    </row>
    <row r="642" spans="1:13" ht="14.45" customHeight="1" x14ac:dyDescent="0.2">
      <c r="A642" s="675"/>
      <c r="B642" s="671"/>
      <c r="C642" s="672"/>
      <c r="D642" s="672"/>
      <c r="E642" s="673"/>
      <c r="F642" s="671"/>
      <c r="G642" s="672"/>
      <c r="H642" s="672"/>
      <c r="I642" s="672"/>
      <c r="J642" s="672"/>
      <c r="K642" s="674"/>
      <c r="L642" s="254"/>
      <c r="M642" s="670" t="str">
        <f t="shared" si="9"/>
        <v/>
      </c>
    </row>
    <row r="643" spans="1:13" ht="14.45" customHeight="1" x14ac:dyDescent="0.2">
      <c r="A643" s="675"/>
      <c r="B643" s="671"/>
      <c r="C643" s="672"/>
      <c r="D643" s="672"/>
      <c r="E643" s="673"/>
      <c r="F643" s="671"/>
      <c r="G643" s="672"/>
      <c r="H643" s="672"/>
      <c r="I643" s="672"/>
      <c r="J643" s="672"/>
      <c r="K643" s="674"/>
      <c r="L643" s="254"/>
      <c r="M643" s="670" t="str">
        <f t="shared" si="9"/>
        <v/>
      </c>
    </row>
    <row r="644" spans="1:13" ht="14.45" customHeight="1" x14ac:dyDescent="0.2">
      <c r="A644" s="675"/>
      <c r="B644" s="671"/>
      <c r="C644" s="672"/>
      <c r="D644" s="672"/>
      <c r="E644" s="673"/>
      <c r="F644" s="671"/>
      <c r="G644" s="672"/>
      <c r="H644" s="672"/>
      <c r="I644" s="672"/>
      <c r="J644" s="672"/>
      <c r="K644" s="674"/>
      <c r="L644" s="254"/>
      <c r="M644" s="670" t="str">
        <f t="shared" si="9"/>
        <v/>
      </c>
    </row>
    <row r="645" spans="1:13" ht="14.45" customHeight="1" x14ac:dyDescent="0.2">
      <c r="A645" s="675"/>
      <c r="B645" s="671"/>
      <c r="C645" s="672"/>
      <c r="D645" s="672"/>
      <c r="E645" s="673"/>
      <c r="F645" s="671"/>
      <c r="G645" s="672"/>
      <c r="H645" s="672"/>
      <c r="I645" s="672"/>
      <c r="J645" s="672"/>
      <c r="K645" s="674"/>
      <c r="L645" s="254"/>
      <c r="M645" s="670" t="str">
        <f t="shared" si="9"/>
        <v/>
      </c>
    </row>
    <row r="646" spans="1:13" ht="14.45" customHeight="1" x14ac:dyDescent="0.2">
      <c r="A646" s="675"/>
      <c r="B646" s="671"/>
      <c r="C646" s="672"/>
      <c r="D646" s="672"/>
      <c r="E646" s="673"/>
      <c r="F646" s="671"/>
      <c r="G646" s="672"/>
      <c r="H646" s="672"/>
      <c r="I646" s="672"/>
      <c r="J646" s="672"/>
      <c r="K646" s="674"/>
      <c r="L646" s="254"/>
      <c r="M646" s="670" t="str">
        <f t="shared" ref="M646:M709" si="10">IF(A646="HV","HV",IF(OR(LEFT(A646,16)="               5",LEFT(A646,16)="               6",LEFT(A646,16)="               7",LEFT(A646,16)="               8"),"X",""))</f>
        <v/>
      </c>
    </row>
    <row r="647" spans="1:13" ht="14.45" customHeight="1" x14ac:dyDescent="0.2">
      <c r="A647" s="675"/>
      <c r="B647" s="671"/>
      <c r="C647" s="672"/>
      <c r="D647" s="672"/>
      <c r="E647" s="673"/>
      <c r="F647" s="671"/>
      <c r="G647" s="672"/>
      <c r="H647" s="672"/>
      <c r="I647" s="672"/>
      <c r="J647" s="672"/>
      <c r="K647" s="674"/>
      <c r="L647" s="254"/>
      <c r="M647" s="670" t="str">
        <f t="shared" si="10"/>
        <v/>
      </c>
    </row>
    <row r="648" spans="1:13" ht="14.45" customHeight="1" x14ac:dyDescent="0.2">
      <c r="A648" s="675"/>
      <c r="B648" s="671"/>
      <c r="C648" s="672"/>
      <c r="D648" s="672"/>
      <c r="E648" s="673"/>
      <c r="F648" s="671"/>
      <c r="G648" s="672"/>
      <c r="H648" s="672"/>
      <c r="I648" s="672"/>
      <c r="J648" s="672"/>
      <c r="K648" s="674"/>
      <c r="L648" s="254"/>
      <c r="M648" s="670" t="str">
        <f t="shared" si="10"/>
        <v/>
      </c>
    </row>
    <row r="649" spans="1:13" ht="14.45" customHeight="1" x14ac:dyDescent="0.2">
      <c r="A649" s="675"/>
      <c r="B649" s="671"/>
      <c r="C649" s="672"/>
      <c r="D649" s="672"/>
      <c r="E649" s="673"/>
      <c r="F649" s="671"/>
      <c r="G649" s="672"/>
      <c r="H649" s="672"/>
      <c r="I649" s="672"/>
      <c r="J649" s="672"/>
      <c r="K649" s="674"/>
      <c r="L649" s="254"/>
      <c r="M649" s="670" t="str">
        <f t="shared" si="10"/>
        <v/>
      </c>
    </row>
    <row r="650" spans="1:13" ht="14.45" customHeight="1" x14ac:dyDescent="0.2">
      <c r="A650" s="675"/>
      <c r="B650" s="671"/>
      <c r="C650" s="672"/>
      <c r="D650" s="672"/>
      <c r="E650" s="673"/>
      <c r="F650" s="671"/>
      <c r="G650" s="672"/>
      <c r="H650" s="672"/>
      <c r="I650" s="672"/>
      <c r="J650" s="672"/>
      <c r="K650" s="674"/>
      <c r="L650" s="254"/>
      <c r="M650" s="670" t="str">
        <f t="shared" si="10"/>
        <v/>
      </c>
    </row>
    <row r="651" spans="1:13" ht="14.45" customHeight="1" x14ac:dyDescent="0.2">
      <c r="A651" s="675"/>
      <c r="B651" s="671"/>
      <c r="C651" s="672"/>
      <c r="D651" s="672"/>
      <c r="E651" s="673"/>
      <c r="F651" s="671"/>
      <c r="G651" s="672"/>
      <c r="H651" s="672"/>
      <c r="I651" s="672"/>
      <c r="J651" s="672"/>
      <c r="K651" s="674"/>
      <c r="L651" s="254"/>
      <c r="M651" s="670" t="str">
        <f t="shared" si="10"/>
        <v/>
      </c>
    </row>
    <row r="652" spans="1:13" ht="14.45" customHeight="1" x14ac:dyDescent="0.2">
      <c r="A652" s="675"/>
      <c r="B652" s="671"/>
      <c r="C652" s="672"/>
      <c r="D652" s="672"/>
      <c r="E652" s="673"/>
      <c r="F652" s="671"/>
      <c r="G652" s="672"/>
      <c r="H652" s="672"/>
      <c r="I652" s="672"/>
      <c r="J652" s="672"/>
      <c r="K652" s="674"/>
      <c r="L652" s="254"/>
      <c r="M652" s="670" t="str">
        <f t="shared" si="10"/>
        <v/>
      </c>
    </row>
    <row r="653" spans="1:13" ht="14.45" customHeight="1" x14ac:dyDescent="0.2">
      <c r="A653" s="675"/>
      <c r="B653" s="671"/>
      <c r="C653" s="672"/>
      <c r="D653" s="672"/>
      <c r="E653" s="673"/>
      <c r="F653" s="671"/>
      <c r="G653" s="672"/>
      <c r="H653" s="672"/>
      <c r="I653" s="672"/>
      <c r="J653" s="672"/>
      <c r="K653" s="674"/>
      <c r="L653" s="254"/>
      <c r="M653" s="670" t="str">
        <f t="shared" si="10"/>
        <v/>
      </c>
    </row>
    <row r="654" spans="1:13" ht="14.45" customHeight="1" x14ac:dyDescent="0.2">
      <c r="A654" s="675"/>
      <c r="B654" s="671"/>
      <c r="C654" s="672"/>
      <c r="D654" s="672"/>
      <c r="E654" s="673"/>
      <c r="F654" s="671"/>
      <c r="G654" s="672"/>
      <c r="H654" s="672"/>
      <c r="I654" s="672"/>
      <c r="J654" s="672"/>
      <c r="K654" s="674"/>
      <c r="L654" s="254"/>
      <c r="M654" s="670" t="str">
        <f t="shared" si="10"/>
        <v/>
      </c>
    </row>
    <row r="655" spans="1:13" ht="14.45" customHeight="1" x14ac:dyDescent="0.2">
      <c r="A655" s="675"/>
      <c r="B655" s="671"/>
      <c r="C655" s="672"/>
      <c r="D655" s="672"/>
      <c r="E655" s="673"/>
      <c r="F655" s="671"/>
      <c r="G655" s="672"/>
      <c r="H655" s="672"/>
      <c r="I655" s="672"/>
      <c r="J655" s="672"/>
      <c r="K655" s="674"/>
      <c r="L655" s="254"/>
      <c r="M655" s="670" t="str">
        <f t="shared" si="10"/>
        <v/>
      </c>
    </row>
    <row r="656" spans="1:13" ht="14.45" customHeight="1" x14ac:dyDescent="0.2">
      <c r="A656" s="675"/>
      <c r="B656" s="671"/>
      <c r="C656" s="672"/>
      <c r="D656" s="672"/>
      <c r="E656" s="673"/>
      <c r="F656" s="671"/>
      <c r="G656" s="672"/>
      <c r="H656" s="672"/>
      <c r="I656" s="672"/>
      <c r="J656" s="672"/>
      <c r="K656" s="674"/>
      <c r="L656" s="254"/>
      <c r="M656" s="670" t="str">
        <f t="shared" si="10"/>
        <v/>
      </c>
    </row>
    <row r="657" spans="1:13" ht="14.45" customHeight="1" x14ac:dyDescent="0.2">
      <c r="A657" s="675"/>
      <c r="B657" s="671"/>
      <c r="C657" s="672"/>
      <c r="D657" s="672"/>
      <c r="E657" s="673"/>
      <c r="F657" s="671"/>
      <c r="G657" s="672"/>
      <c r="H657" s="672"/>
      <c r="I657" s="672"/>
      <c r="J657" s="672"/>
      <c r="K657" s="674"/>
      <c r="L657" s="254"/>
      <c r="M657" s="670" t="str">
        <f t="shared" si="10"/>
        <v/>
      </c>
    </row>
    <row r="658" spans="1:13" ht="14.45" customHeight="1" x14ac:dyDescent="0.2">
      <c r="A658" s="675"/>
      <c r="B658" s="671"/>
      <c r="C658" s="672"/>
      <c r="D658" s="672"/>
      <c r="E658" s="673"/>
      <c r="F658" s="671"/>
      <c r="G658" s="672"/>
      <c r="H658" s="672"/>
      <c r="I658" s="672"/>
      <c r="J658" s="672"/>
      <c r="K658" s="674"/>
      <c r="L658" s="254"/>
      <c r="M658" s="670" t="str">
        <f t="shared" si="10"/>
        <v/>
      </c>
    </row>
    <row r="659" spans="1:13" ht="14.45" customHeight="1" x14ac:dyDescent="0.2">
      <c r="A659" s="675"/>
      <c r="B659" s="671"/>
      <c r="C659" s="672"/>
      <c r="D659" s="672"/>
      <c r="E659" s="673"/>
      <c r="F659" s="671"/>
      <c r="G659" s="672"/>
      <c r="H659" s="672"/>
      <c r="I659" s="672"/>
      <c r="J659" s="672"/>
      <c r="K659" s="674"/>
      <c r="L659" s="254"/>
      <c r="M659" s="670" t="str">
        <f t="shared" si="10"/>
        <v/>
      </c>
    </row>
    <row r="660" spans="1:13" ht="14.45" customHeight="1" x14ac:dyDescent="0.2">
      <c r="A660" s="675"/>
      <c r="B660" s="671"/>
      <c r="C660" s="672"/>
      <c r="D660" s="672"/>
      <c r="E660" s="673"/>
      <c r="F660" s="671"/>
      <c r="G660" s="672"/>
      <c r="H660" s="672"/>
      <c r="I660" s="672"/>
      <c r="J660" s="672"/>
      <c r="K660" s="674"/>
      <c r="L660" s="254"/>
      <c r="M660" s="670" t="str">
        <f t="shared" si="10"/>
        <v/>
      </c>
    </row>
    <row r="661" spans="1:13" ht="14.45" customHeight="1" x14ac:dyDescent="0.2">
      <c r="A661" s="675"/>
      <c r="B661" s="671"/>
      <c r="C661" s="672"/>
      <c r="D661" s="672"/>
      <c r="E661" s="673"/>
      <c r="F661" s="671"/>
      <c r="G661" s="672"/>
      <c r="H661" s="672"/>
      <c r="I661" s="672"/>
      <c r="J661" s="672"/>
      <c r="K661" s="674"/>
      <c r="L661" s="254"/>
      <c r="M661" s="670" t="str">
        <f t="shared" si="10"/>
        <v/>
      </c>
    </row>
    <row r="662" spans="1:13" ht="14.45" customHeight="1" x14ac:dyDescent="0.2">
      <c r="A662" s="675"/>
      <c r="B662" s="671"/>
      <c r="C662" s="672"/>
      <c r="D662" s="672"/>
      <c r="E662" s="673"/>
      <c r="F662" s="671"/>
      <c r="G662" s="672"/>
      <c r="H662" s="672"/>
      <c r="I662" s="672"/>
      <c r="J662" s="672"/>
      <c r="K662" s="674"/>
      <c r="L662" s="254"/>
      <c r="M662" s="670" t="str">
        <f t="shared" si="10"/>
        <v/>
      </c>
    </row>
    <row r="663" spans="1:13" ht="14.45" customHeight="1" x14ac:dyDescent="0.2">
      <c r="A663" s="675"/>
      <c r="B663" s="671"/>
      <c r="C663" s="672"/>
      <c r="D663" s="672"/>
      <c r="E663" s="673"/>
      <c r="F663" s="671"/>
      <c r="G663" s="672"/>
      <c r="H663" s="672"/>
      <c r="I663" s="672"/>
      <c r="J663" s="672"/>
      <c r="K663" s="674"/>
      <c r="L663" s="254"/>
      <c r="M663" s="670" t="str">
        <f t="shared" si="10"/>
        <v/>
      </c>
    </row>
    <row r="664" spans="1:13" ht="14.45" customHeight="1" x14ac:dyDescent="0.2">
      <c r="A664" s="675"/>
      <c r="B664" s="671"/>
      <c r="C664" s="672"/>
      <c r="D664" s="672"/>
      <c r="E664" s="673"/>
      <c r="F664" s="671"/>
      <c r="G664" s="672"/>
      <c r="H664" s="672"/>
      <c r="I664" s="672"/>
      <c r="J664" s="672"/>
      <c r="K664" s="674"/>
      <c r="L664" s="254"/>
      <c r="M664" s="670" t="str">
        <f t="shared" si="10"/>
        <v/>
      </c>
    </row>
    <row r="665" spans="1:13" ht="14.45" customHeight="1" x14ac:dyDescent="0.2">
      <c r="A665" s="675"/>
      <c r="B665" s="671"/>
      <c r="C665" s="672"/>
      <c r="D665" s="672"/>
      <c r="E665" s="673"/>
      <c r="F665" s="671"/>
      <c r="G665" s="672"/>
      <c r="H665" s="672"/>
      <c r="I665" s="672"/>
      <c r="J665" s="672"/>
      <c r="K665" s="674"/>
      <c r="L665" s="254"/>
      <c r="M665" s="670" t="str">
        <f t="shared" si="10"/>
        <v/>
      </c>
    </row>
    <row r="666" spans="1:13" ht="14.45" customHeight="1" x14ac:dyDescent="0.2">
      <c r="A666" s="675"/>
      <c r="B666" s="671"/>
      <c r="C666" s="672"/>
      <c r="D666" s="672"/>
      <c r="E666" s="673"/>
      <c r="F666" s="671"/>
      <c r="G666" s="672"/>
      <c r="H666" s="672"/>
      <c r="I666" s="672"/>
      <c r="J666" s="672"/>
      <c r="K666" s="674"/>
      <c r="L666" s="254"/>
      <c r="M666" s="670" t="str">
        <f t="shared" si="10"/>
        <v/>
      </c>
    </row>
    <row r="667" spans="1:13" ht="14.45" customHeight="1" x14ac:dyDescent="0.2">
      <c r="A667" s="675"/>
      <c r="B667" s="671"/>
      <c r="C667" s="672"/>
      <c r="D667" s="672"/>
      <c r="E667" s="673"/>
      <c r="F667" s="671"/>
      <c r="G667" s="672"/>
      <c r="H667" s="672"/>
      <c r="I667" s="672"/>
      <c r="J667" s="672"/>
      <c r="K667" s="674"/>
      <c r="L667" s="254"/>
      <c r="M667" s="670" t="str">
        <f t="shared" si="10"/>
        <v/>
      </c>
    </row>
    <row r="668" spans="1:13" ht="14.45" customHeight="1" x14ac:dyDescent="0.2">
      <c r="A668" s="675"/>
      <c r="B668" s="671"/>
      <c r="C668" s="672"/>
      <c r="D668" s="672"/>
      <c r="E668" s="673"/>
      <c r="F668" s="671"/>
      <c r="G668" s="672"/>
      <c r="H668" s="672"/>
      <c r="I668" s="672"/>
      <c r="J668" s="672"/>
      <c r="K668" s="674"/>
      <c r="L668" s="254"/>
      <c r="M668" s="670" t="str">
        <f t="shared" si="10"/>
        <v/>
      </c>
    </row>
    <row r="669" spans="1:13" ht="14.45" customHeight="1" x14ac:dyDescent="0.2">
      <c r="A669" s="675"/>
      <c r="B669" s="671"/>
      <c r="C669" s="672"/>
      <c r="D669" s="672"/>
      <c r="E669" s="673"/>
      <c r="F669" s="671"/>
      <c r="G669" s="672"/>
      <c r="H669" s="672"/>
      <c r="I669" s="672"/>
      <c r="J669" s="672"/>
      <c r="K669" s="674"/>
      <c r="L669" s="254"/>
      <c r="M669" s="670" t="str">
        <f t="shared" si="10"/>
        <v/>
      </c>
    </row>
    <row r="670" spans="1:13" ht="14.45" customHeight="1" x14ac:dyDescent="0.2">
      <c r="A670" s="675"/>
      <c r="B670" s="671"/>
      <c r="C670" s="672"/>
      <c r="D670" s="672"/>
      <c r="E670" s="673"/>
      <c r="F670" s="671"/>
      <c r="G670" s="672"/>
      <c r="H670" s="672"/>
      <c r="I670" s="672"/>
      <c r="J670" s="672"/>
      <c r="K670" s="674"/>
      <c r="L670" s="254"/>
      <c r="M670" s="670" t="str">
        <f t="shared" si="10"/>
        <v/>
      </c>
    </row>
    <row r="671" spans="1:13" ht="14.45" customHeight="1" x14ac:dyDescent="0.2">
      <c r="A671" s="675"/>
      <c r="B671" s="671"/>
      <c r="C671" s="672"/>
      <c r="D671" s="672"/>
      <c r="E671" s="673"/>
      <c r="F671" s="671"/>
      <c r="G671" s="672"/>
      <c r="H671" s="672"/>
      <c r="I671" s="672"/>
      <c r="J671" s="672"/>
      <c r="K671" s="674"/>
      <c r="L671" s="254"/>
      <c r="M671" s="670" t="str">
        <f t="shared" si="10"/>
        <v/>
      </c>
    </row>
    <row r="672" spans="1:13" ht="14.45" customHeight="1" x14ac:dyDescent="0.2">
      <c r="A672" s="675"/>
      <c r="B672" s="671"/>
      <c r="C672" s="672"/>
      <c r="D672" s="672"/>
      <c r="E672" s="673"/>
      <c r="F672" s="671"/>
      <c r="G672" s="672"/>
      <c r="H672" s="672"/>
      <c r="I672" s="672"/>
      <c r="J672" s="672"/>
      <c r="K672" s="674"/>
      <c r="L672" s="254"/>
      <c r="M672" s="670" t="str">
        <f t="shared" si="10"/>
        <v/>
      </c>
    </row>
    <row r="673" spans="1:13" ht="14.45" customHeight="1" x14ac:dyDescent="0.2">
      <c r="A673" s="675"/>
      <c r="B673" s="671"/>
      <c r="C673" s="672"/>
      <c r="D673" s="672"/>
      <c r="E673" s="673"/>
      <c r="F673" s="671"/>
      <c r="G673" s="672"/>
      <c r="H673" s="672"/>
      <c r="I673" s="672"/>
      <c r="J673" s="672"/>
      <c r="K673" s="674"/>
      <c r="L673" s="254"/>
      <c r="M673" s="670" t="str">
        <f t="shared" si="10"/>
        <v/>
      </c>
    </row>
    <row r="674" spans="1:13" ht="14.45" customHeight="1" x14ac:dyDescent="0.2">
      <c r="A674" s="675"/>
      <c r="B674" s="671"/>
      <c r="C674" s="672"/>
      <c r="D674" s="672"/>
      <c r="E674" s="673"/>
      <c r="F674" s="671"/>
      <c r="G674" s="672"/>
      <c r="H674" s="672"/>
      <c r="I674" s="672"/>
      <c r="J674" s="672"/>
      <c r="K674" s="674"/>
      <c r="L674" s="254"/>
      <c r="M674" s="670" t="str">
        <f t="shared" si="10"/>
        <v/>
      </c>
    </row>
    <row r="675" spans="1:13" ht="14.45" customHeight="1" x14ac:dyDescent="0.2">
      <c r="A675" s="675"/>
      <c r="B675" s="671"/>
      <c r="C675" s="672"/>
      <c r="D675" s="672"/>
      <c r="E675" s="673"/>
      <c r="F675" s="671"/>
      <c r="G675" s="672"/>
      <c r="H675" s="672"/>
      <c r="I675" s="672"/>
      <c r="J675" s="672"/>
      <c r="K675" s="674"/>
      <c r="L675" s="254"/>
      <c r="M675" s="670" t="str">
        <f t="shared" si="10"/>
        <v/>
      </c>
    </row>
    <row r="676" spans="1:13" ht="14.45" customHeight="1" x14ac:dyDescent="0.2">
      <c r="A676" s="675"/>
      <c r="B676" s="671"/>
      <c r="C676" s="672"/>
      <c r="D676" s="672"/>
      <c r="E676" s="673"/>
      <c r="F676" s="671"/>
      <c r="G676" s="672"/>
      <c r="H676" s="672"/>
      <c r="I676" s="672"/>
      <c r="J676" s="672"/>
      <c r="K676" s="674"/>
      <c r="L676" s="254"/>
      <c r="M676" s="670" t="str">
        <f t="shared" si="10"/>
        <v/>
      </c>
    </row>
    <row r="677" spans="1:13" ht="14.45" customHeight="1" x14ac:dyDescent="0.2">
      <c r="A677" s="675"/>
      <c r="B677" s="671"/>
      <c r="C677" s="672"/>
      <c r="D677" s="672"/>
      <c r="E677" s="673"/>
      <c r="F677" s="671"/>
      <c r="G677" s="672"/>
      <c r="H677" s="672"/>
      <c r="I677" s="672"/>
      <c r="J677" s="672"/>
      <c r="K677" s="674"/>
      <c r="L677" s="254"/>
      <c r="M677" s="670" t="str">
        <f t="shared" si="10"/>
        <v/>
      </c>
    </row>
    <row r="678" spans="1:13" ht="14.45" customHeight="1" x14ac:dyDescent="0.2">
      <c r="A678" s="675"/>
      <c r="B678" s="671"/>
      <c r="C678" s="672"/>
      <c r="D678" s="672"/>
      <c r="E678" s="673"/>
      <c r="F678" s="671"/>
      <c r="G678" s="672"/>
      <c r="H678" s="672"/>
      <c r="I678" s="672"/>
      <c r="J678" s="672"/>
      <c r="K678" s="674"/>
      <c r="L678" s="254"/>
      <c r="M678" s="670" t="str">
        <f t="shared" si="10"/>
        <v/>
      </c>
    </row>
    <row r="679" spans="1:13" ht="14.45" customHeight="1" x14ac:dyDescent="0.2">
      <c r="A679" s="675"/>
      <c r="B679" s="671"/>
      <c r="C679" s="672"/>
      <c r="D679" s="672"/>
      <c r="E679" s="673"/>
      <c r="F679" s="671"/>
      <c r="G679" s="672"/>
      <c r="H679" s="672"/>
      <c r="I679" s="672"/>
      <c r="J679" s="672"/>
      <c r="K679" s="674"/>
      <c r="L679" s="254"/>
      <c r="M679" s="670" t="str">
        <f t="shared" si="10"/>
        <v/>
      </c>
    </row>
    <row r="680" spans="1:13" ht="14.45" customHeight="1" x14ac:dyDescent="0.2">
      <c r="A680" s="675"/>
      <c r="B680" s="671"/>
      <c r="C680" s="672"/>
      <c r="D680" s="672"/>
      <c r="E680" s="673"/>
      <c r="F680" s="671"/>
      <c r="G680" s="672"/>
      <c r="H680" s="672"/>
      <c r="I680" s="672"/>
      <c r="J680" s="672"/>
      <c r="K680" s="674"/>
      <c r="L680" s="254"/>
      <c r="M680" s="670" t="str">
        <f t="shared" si="10"/>
        <v/>
      </c>
    </row>
    <row r="681" spans="1:13" ht="14.45" customHeight="1" x14ac:dyDescent="0.2">
      <c r="A681" s="675"/>
      <c r="B681" s="671"/>
      <c r="C681" s="672"/>
      <c r="D681" s="672"/>
      <c r="E681" s="673"/>
      <c r="F681" s="671"/>
      <c r="G681" s="672"/>
      <c r="H681" s="672"/>
      <c r="I681" s="672"/>
      <c r="J681" s="672"/>
      <c r="K681" s="674"/>
      <c r="L681" s="254"/>
      <c r="M681" s="670" t="str">
        <f t="shared" si="10"/>
        <v/>
      </c>
    </row>
    <row r="682" spans="1:13" ht="14.45" customHeight="1" x14ac:dyDescent="0.2">
      <c r="A682" s="675"/>
      <c r="B682" s="671"/>
      <c r="C682" s="672"/>
      <c r="D682" s="672"/>
      <c r="E682" s="673"/>
      <c r="F682" s="671"/>
      <c r="G682" s="672"/>
      <c r="H682" s="672"/>
      <c r="I682" s="672"/>
      <c r="J682" s="672"/>
      <c r="K682" s="674"/>
      <c r="L682" s="254"/>
      <c r="M682" s="670" t="str">
        <f t="shared" si="10"/>
        <v/>
      </c>
    </row>
    <row r="683" spans="1:13" ht="14.45" customHeight="1" x14ac:dyDescent="0.2">
      <c r="A683" s="675"/>
      <c r="B683" s="671"/>
      <c r="C683" s="672"/>
      <c r="D683" s="672"/>
      <c r="E683" s="673"/>
      <c r="F683" s="671"/>
      <c r="G683" s="672"/>
      <c r="H683" s="672"/>
      <c r="I683" s="672"/>
      <c r="J683" s="672"/>
      <c r="K683" s="674"/>
      <c r="L683" s="254"/>
      <c r="M683" s="670" t="str">
        <f t="shared" si="10"/>
        <v/>
      </c>
    </row>
    <row r="684" spans="1:13" ht="14.45" customHeight="1" x14ac:dyDescent="0.2">
      <c r="A684" s="675"/>
      <c r="B684" s="671"/>
      <c r="C684" s="672"/>
      <c r="D684" s="672"/>
      <c r="E684" s="673"/>
      <c r="F684" s="671"/>
      <c r="G684" s="672"/>
      <c r="H684" s="672"/>
      <c r="I684" s="672"/>
      <c r="J684" s="672"/>
      <c r="K684" s="674"/>
      <c r="L684" s="254"/>
      <c r="M684" s="670" t="str">
        <f t="shared" si="10"/>
        <v/>
      </c>
    </row>
    <row r="685" spans="1:13" ht="14.45" customHeight="1" x14ac:dyDescent="0.2">
      <c r="A685" s="675"/>
      <c r="B685" s="671"/>
      <c r="C685" s="672"/>
      <c r="D685" s="672"/>
      <c r="E685" s="673"/>
      <c r="F685" s="671"/>
      <c r="G685" s="672"/>
      <c r="H685" s="672"/>
      <c r="I685" s="672"/>
      <c r="J685" s="672"/>
      <c r="K685" s="674"/>
      <c r="L685" s="254"/>
      <c r="M685" s="670" t="str">
        <f t="shared" si="10"/>
        <v/>
      </c>
    </row>
    <row r="686" spans="1:13" ht="14.45" customHeight="1" x14ac:dyDescent="0.2">
      <c r="A686" s="675"/>
      <c r="B686" s="671"/>
      <c r="C686" s="672"/>
      <c r="D686" s="672"/>
      <c r="E686" s="673"/>
      <c r="F686" s="671"/>
      <c r="G686" s="672"/>
      <c r="H686" s="672"/>
      <c r="I686" s="672"/>
      <c r="J686" s="672"/>
      <c r="K686" s="674"/>
      <c r="L686" s="254"/>
      <c r="M686" s="670" t="str">
        <f t="shared" si="10"/>
        <v/>
      </c>
    </row>
    <row r="687" spans="1:13" ht="14.45" customHeight="1" x14ac:dyDescent="0.2">
      <c r="A687" s="675"/>
      <c r="B687" s="671"/>
      <c r="C687" s="672"/>
      <c r="D687" s="672"/>
      <c r="E687" s="673"/>
      <c r="F687" s="671"/>
      <c r="G687" s="672"/>
      <c r="H687" s="672"/>
      <c r="I687" s="672"/>
      <c r="J687" s="672"/>
      <c r="K687" s="674"/>
      <c r="L687" s="254"/>
      <c r="M687" s="670" t="str">
        <f t="shared" si="10"/>
        <v/>
      </c>
    </row>
    <row r="688" spans="1:13" ht="14.45" customHeight="1" x14ac:dyDescent="0.2">
      <c r="A688" s="675"/>
      <c r="B688" s="671"/>
      <c r="C688" s="672"/>
      <c r="D688" s="672"/>
      <c r="E688" s="673"/>
      <c r="F688" s="671"/>
      <c r="G688" s="672"/>
      <c r="H688" s="672"/>
      <c r="I688" s="672"/>
      <c r="J688" s="672"/>
      <c r="K688" s="674"/>
      <c r="L688" s="254"/>
      <c r="M688" s="670" t="str">
        <f t="shared" si="10"/>
        <v/>
      </c>
    </row>
    <row r="689" spans="1:13" ht="14.45" customHeight="1" x14ac:dyDescent="0.2">
      <c r="A689" s="675"/>
      <c r="B689" s="671"/>
      <c r="C689" s="672"/>
      <c r="D689" s="672"/>
      <c r="E689" s="673"/>
      <c r="F689" s="671"/>
      <c r="G689" s="672"/>
      <c r="H689" s="672"/>
      <c r="I689" s="672"/>
      <c r="J689" s="672"/>
      <c r="K689" s="674"/>
      <c r="L689" s="254"/>
      <c r="M689" s="670" t="str">
        <f t="shared" si="10"/>
        <v/>
      </c>
    </row>
    <row r="690" spans="1:13" ht="14.45" customHeight="1" x14ac:dyDescent="0.2">
      <c r="A690" s="675"/>
      <c r="B690" s="671"/>
      <c r="C690" s="672"/>
      <c r="D690" s="672"/>
      <c r="E690" s="673"/>
      <c r="F690" s="671"/>
      <c r="G690" s="672"/>
      <c r="H690" s="672"/>
      <c r="I690" s="672"/>
      <c r="J690" s="672"/>
      <c r="K690" s="674"/>
      <c r="L690" s="254"/>
      <c r="M690" s="670" t="str">
        <f t="shared" si="10"/>
        <v/>
      </c>
    </row>
    <row r="691" spans="1:13" ht="14.45" customHeight="1" x14ac:dyDescent="0.2">
      <c r="A691" s="675"/>
      <c r="B691" s="671"/>
      <c r="C691" s="672"/>
      <c r="D691" s="672"/>
      <c r="E691" s="673"/>
      <c r="F691" s="671"/>
      <c r="G691" s="672"/>
      <c r="H691" s="672"/>
      <c r="I691" s="672"/>
      <c r="J691" s="672"/>
      <c r="K691" s="674"/>
      <c r="L691" s="254"/>
      <c r="M691" s="670" t="str">
        <f t="shared" si="10"/>
        <v/>
      </c>
    </row>
    <row r="692" spans="1:13" ht="14.45" customHeight="1" x14ac:dyDescent="0.2">
      <c r="A692" s="675"/>
      <c r="B692" s="671"/>
      <c r="C692" s="672"/>
      <c r="D692" s="672"/>
      <c r="E692" s="673"/>
      <c r="F692" s="671"/>
      <c r="G692" s="672"/>
      <c r="H692" s="672"/>
      <c r="I692" s="672"/>
      <c r="J692" s="672"/>
      <c r="K692" s="674"/>
      <c r="L692" s="254"/>
      <c r="M692" s="670" t="str">
        <f t="shared" si="10"/>
        <v/>
      </c>
    </row>
    <row r="693" spans="1:13" ht="14.45" customHeight="1" x14ac:dyDescent="0.2">
      <c r="A693" s="675"/>
      <c r="B693" s="671"/>
      <c r="C693" s="672"/>
      <c r="D693" s="672"/>
      <c r="E693" s="673"/>
      <c r="F693" s="671"/>
      <c r="G693" s="672"/>
      <c r="H693" s="672"/>
      <c r="I693" s="672"/>
      <c r="J693" s="672"/>
      <c r="K693" s="674"/>
      <c r="L693" s="254"/>
      <c r="M693" s="670" t="str">
        <f t="shared" si="10"/>
        <v/>
      </c>
    </row>
    <row r="694" spans="1:13" ht="14.45" customHeight="1" x14ac:dyDescent="0.2">
      <c r="A694" s="675"/>
      <c r="B694" s="671"/>
      <c r="C694" s="672"/>
      <c r="D694" s="672"/>
      <c r="E694" s="673"/>
      <c r="F694" s="671"/>
      <c r="G694" s="672"/>
      <c r="H694" s="672"/>
      <c r="I694" s="672"/>
      <c r="J694" s="672"/>
      <c r="K694" s="674"/>
      <c r="L694" s="254"/>
      <c r="M694" s="670" t="str">
        <f t="shared" si="10"/>
        <v/>
      </c>
    </row>
    <row r="695" spans="1:13" ht="14.45" customHeight="1" x14ac:dyDescent="0.2">
      <c r="A695" s="675"/>
      <c r="B695" s="671"/>
      <c r="C695" s="672"/>
      <c r="D695" s="672"/>
      <c r="E695" s="673"/>
      <c r="F695" s="671"/>
      <c r="G695" s="672"/>
      <c r="H695" s="672"/>
      <c r="I695" s="672"/>
      <c r="J695" s="672"/>
      <c r="K695" s="674"/>
      <c r="L695" s="254"/>
      <c r="M695" s="670" t="str">
        <f t="shared" si="10"/>
        <v/>
      </c>
    </row>
    <row r="696" spans="1:13" ht="14.45" customHeight="1" x14ac:dyDescent="0.2">
      <c r="A696" s="675"/>
      <c r="B696" s="671"/>
      <c r="C696" s="672"/>
      <c r="D696" s="672"/>
      <c r="E696" s="673"/>
      <c r="F696" s="671"/>
      <c r="G696" s="672"/>
      <c r="H696" s="672"/>
      <c r="I696" s="672"/>
      <c r="J696" s="672"/>
      <c r="K696" s="674"/>
      <c r="L696" s="254"/>
      <c r="M696" s="670" t="str">
        <f t="shared" si="10"/>
        <v/>
      </c>
    </row>
    <row r="697" spans="1:13" ht="14.45" customHeight="1" x14ac:dyDescent="0.2">
      <c r="A697" s="675"/>
      <c r="B697" s="671"/>
      <c r="C697" s="672"/>
      <c r="D697" s="672"/>
      <c r="E697" s="673"/>
      <c r="F697" s="671"/>
      <c r="G697" s="672"/>
      <c r="H697" s="672"/>
      <c r="I697" s="672"/>
      <c r="J697" s="672"/>
      <c r="K697" s="674"/>
      <c r="L697" s="254"/>
      <c r="M697" s="670" t="str">
        <f t="shared" si="10"/>
        <v/>
      </c>
    </row>
    <row r="698" spans="1:13" ht="14.45" customHeight="1" x14ac:dyDescent="0.2">
      <c r="A698" s="675"/>
      <c r="B698" s="671"/>
      <c r="C698" s="672"/>
      <c r="D698" s="672"/>
      <c r="E698" s="673"/>
      <c r="F698" s="671"/>
      <c r="G698" s="672"/>
      <c r="H698" s="672"/>
      <c r="I698" s="672"/>
      <c r="J698" s="672"/>
      <c r="K698" s="674"/>
      <c r="L698" s="254"/>
      <c r="M698" s="670" t="str">
        <f t="shared" si="10"/>
        <v/>
      </c>
    </row>
    <row r="699" spans="1:13" ht="14.45" customHeight="1" x14ac:dyDescent="0.2">
      <c r="A699" s="675"/>
      <c r="B699" s="671"/>
      <c r="C699" s="672"/>
      <c r="D699" s="672"/>
      <c r="E699" s="673"/>
      <c r="F699" s="671"/>
      <c r="G699" s="672"/>
      <c r="H699" s="672"/>
      <c r="I699" s="672"/>
      <c r="J699" s="672"/>
      <c r="K699" s="674"/>
      <c r="L699" s="254"/>
      <c r="M699" s="670" t="str">
        <f t="shared" si="10"/>
        <v/>
      </c>
    </row>
    <row r="700" spans="1:13" ht="14.45" customHeight="1" x14ac:dyDescent="0.2">
      <c r="A700" s="675"/>
      <c r="B700" s="671"/>
      <c r="C700" s="672"/>
      <c r="D700" s="672"/>
      <c r="E700" s="673"/>
      <c r="F700" s="671"/>
      <c r="G700" s="672"/>
      <c r="H700" s="672"/>
      <c r="I700" s="672"/>
      <c r="J700" s="672"/>
      <c r="K700" s="674"/>
      <c r="L700" s="254"/>
      <c r="M700" s="670" t="str">
        <f t="shared" si="10"/>
        <v/>
      </c>
    </row>
    <row r="701" spans="1:13" ht="14.45" customHeight="1" x14ac:dyDescent="0.2">
      <c r="A701" s="675"/>
      <c r="B701" s="671"/>
      <c r="C701" s="672"/>
      <c r="D701" s="672"/>
      <c r="E701" s="673"/>
      <c r="F701" s="671"/>
      <c r="G701" s="672"/>
      <c r="H701" s="672"/>
      <c r="I701" s="672"/>
      <c r="J701" s="672"/>
      <c r="K701" s="674"/>
      <c r="L701" s="254"/>
      <c r="M701" s="670" t="str">
        <f t="shared" si="10"/>
        <v/>
      </c>
    </row>
    <row r="702" spans="1:13" ht="14.45" customHeight="1" x14ac:dyDescent="0.2">
      <c r="A702" s="675"/>
      <c r="B702" s="671"/>
      <c r="C702" s="672"/>
      <c r="D702" s="672"/>
      <c r="E702" s="673"/>
      <c r="F702" s="671"/>
      <c r="G702" s="672"/>
      <c r="H702" s="672"/>
      <c r="I702" s="672"/>
      <c r="J702" s="672"/>
      <c r="K702" s="674"/>
      <c r="L702" s="254"/>
      <c r="M702" s="670" t="str">
        <f t="shared" si="10"/>
        <v/>
      </c>
    </row>
    <row r="703" spans="1:13" ht="14.45" customHeight="1" x14ac:dyDescent="0.2">
      <c r="A703" s="675"/>
      <c r="B703" s="671"/>
      <c r="C703" s="672"/>
      <c r="D703" s="672"/>
      <c r="E703" s="673"/>
      <c r="F703" s="671"/>
      <c r="G703" s="672"/>
      <c r="H703" s="672"/>
      <c r="I703" s="672"/>
      <c r="J703" s="672"/>
      <c r="K703" s="674"/>
      <c r="L703" s="254"/>
      <c r="M703" s="670" t="str">
        <f t="shared" si="10"/>
        <v/>
      </c>
    </row>
    <row r="704" spans="1:13" ht="14.45" customHeight="1" x14ac:dyDescent="0.2">
      <c r="A704" s="675"/>
      <c r="B704" s="671"/>
      <c r="C704" s="672"/>
      <c r="D704" s="672"/>
      <c r="E704" s="673"/>
      <c r="F704" s="671"/>
      <c r="G704" s="672"/>
      <c r="H704" s="672"/>
      <c r="I704" s="672"/>
      <c r="J704" s="672"/>
      <c r="K704" s="674"/>
      <c r="L704" s="254"/>
      <c r="M704" s="670" t="str">
        <f t="shared" si="10"/>
        <v/>
      </c>
    </row>
    <row r="705" spans="1:13" ht="14.45" customHeight="1" x14ac:dyDescent="0.2">
      <c r="A705" s="675"/>
      <c r="B705" s="671"/>
      <c r="C705" s="672"/>
      <c r="D705" s="672"/>
      <c r="E705" s="673"/>
      <c r="F705" s="671"/>
      <c r="G705" s="672"/>
      <c r="H705" s="672"/>
      <c r="I705" s="672"/>
      <c r="J705" s="672"/>
      <c r="K705" s="674"/>
      <c r="L705" s="254"/>
      <c r="M705" s="670" t="str">
        <f t="shared" si="10"/>
        <v/>
      </c>
    </row>
    <row r="706" spans="1:13" ht="14.45" customHeight="1" x14ac:dyDescent="0.2">
      <c r="A706" s="675"/>
      <c r="B706" s="671"/>
      <c r="C706" s="672"/>
      <c r="D706" s="672"/>
      <c r="E706" s="673"/>
      <c r="F706" s="671"/>
      <c r="G706" s="672"/>
      <c r="H706" s="672"/>
      <c r="I706" s="672"/>
      <c r="J706" s="672"/>
      <c r="K706" s="674"/>
      <c r="L706" s="254"/>
      <c r="M706" s="670" t="str">
        <f t="shared" si="10"/>
        <v/>
      </c>
    </row>
    <row r="707" spans="1:13" ht="14.45" customHeight="1" x14ac:dyDescent="0.2">
      <c r="A707" s="675"/>
      <c r="B707" s="671"/>
      <c r="C707" s="672"/>
      <c r="D707" s="672"/>
      <c r="E707" s="673"/>
      <c r="F707" s="671"/>
      <c r="G707" s="672"/>
      <c r="H707" s="672"/>
      <c r="I707" s="672"/>
      <c r="J707" s="672"/>
      <c r="K707" s="674"/>
      <c r="L707" s="254"/>
      <c r="M707" s="670" t="str">
        <f t="shared" si="10"/>
        <v/>
      </c>
    </row>
    <row r="708" spans="1:13" ht="14.45" customHeight="1" x14ac:dyDescent="0.2">
      <c r="A708" s="675"/>
      <c r="B708" s="671"/>
      <c r="C708" s="672"/>
      <c r="D708" s="672"/>
      <c r="E708" s="673"/>
      <c r="F708" s="671"/>
      <c r="G708" s="672"/>
      <c r="H708" s="672"/>
      <c r="I708" s="672"/>
      <c r="J708" s="672"/>
      <c r="K708" s="674"/>
      <c r="L708" s="254"/>
      <c r="M708" s="670" t="str">
        <f t="shared" si="10"/>
        <v/>
      </c>
    </row>
    <row r="709" spans="1:13" ht="14.45" customHeight="1" x14ac:dyDescent="0.2">
      <c r="A709" s="675"/>
      <c r="B709" s="671"/>
      <c r="C709" s="672"/>
      <c r="D709" s="672"/>
      <c r="E709" s="673"/>
      <c r="F709" s="671"/>
      <c r="G709" s="672"/>
      <c r="H709" s="672"/>
      <c r="I709" s="672"/>
      <c r="J709" s="672"/>
      <c r="K709" s="674"/>
      <c r="L709" s="254"/>
      <c r="M709" s="670" t="str">
        <f t="shared" si="10"/>
        <v/>
      </c>
    </row>
    <row r="710" spans="1:13" ht="14.45" customHeight="1" x14ac:dyDescent="0.2">
      <c r="A710" s="675"/>
      <c r="B710" s="671"/>
      <c r="C710" s="672"/>
      <c r="D710" s="672"/>
      <c r="E710" s="673"/>
      <c r="F710" s="671"/>
      <c r="G710" s="672"/>
      <c r="H710" s="672"/>
      <c r="I710" s="672"/>
      <c r="J710" s="672"/>
      <c r="K710" s="674"/>
      <c r="L710" s="254"/>
      <c r="M710" s="670" t="str">
        <f t="shared" ref="M710:M773" si="11">IF(A710="HV","HV",IF(OR(LEFT(A710,16)="               5",LEFT(A710,16)="               6",LEFT(A710,16)="               7",LEFT(A710,16)="               8"),"X",""))</f>
        <v/>
      </c>
    </row>
    <row r="711" spans="1:13" ht="14.45" customHeight="1" x14ac:dyDescent="0.2">
      <c r="A711" s="675"/>
      <c r="B711" s="671"/>
      <c r="C711" s="672"/>
      <c r="D711" s="672"/>
      <c r="E711" s="673"/>
      <c r="F711" s="671"/>
      <c r="G711" s="672"/>
      <c r="H711" s="672"/>
      <c r="I711" s="672"/>
      <c r="J711" s="672"/>
      <c r="K711" s="674"/>
      <c r="L711" s="254"/>
      <c r="M711" s="670" t="str">
        <f t="shared" si="11"/>
        <v/>
      </c>
    </row>
    <row r="712" spans="1:13" ht="14.45" customHeight="1" x14ac:dyDescent="0.2">
      <c r="A712" s="675"/>
      <c r="B712" s="671"/>
      <c r="C712" s="672"/>
      <c r="D712" s="672"/>
      <c r="E712" s="673"/>
      <c r="F712" s="671"/>
      <c r="G712" s="672"/>
      <c r="H712" s="672"/>
      <c r="I712" s="672"/>
      <c r="J712" s="672"/>
      <c r="K712" s="674"/>
      <c r="L712" s="254"/>
      <c r="M712" s="670" t="str">
        <f t="shared" si="11"/>
        <v/>
      </c>
    </row>
    <row r="713" spans="1:13" ht="14.45" customHeight="1" x14ac:dyDescent="0.2">
      <c r="A713" s="675"/>
      <c r="B713" s="671"/>
      <c r="C713" s="672"/>
      <c r="D713" s="672"/>
      <c r="E713" s="673"/>
      <c r="F713" s="671"/>
      <c r="G713" s="672"/>
      <c r="H713" s="672"/>
      <c r="I713" s="672"/>
      <c r="J713" s="672"/>
      <c r="K713" s="674"/>
      <c r="L713" s="254"/>
      <c r="M713" s="670" t="str">
        <f t="shared" si="11"/>
        <v/>
      </c>
    </row>
    <row r="714" spans="1:13" ht="14.45" customHeight="1" x14ac:dyDescent="0.2">
      <c r="A714" s="675"/>
      <c r="B714" s="671"/>
      <c r="C714" s="672"/>
      <c r="D714" s="672"/>
      <c r="E714" s="673"/>
      <c r="F714" s="671"/>
      <c r="G714" s="672"/>
      <c r="H714" s="672"/>
      <c r="I714" s="672"/>
      <c r="J714" s="672"/>
      <c r="K714" s="674"/>
      <c r="L714" s="254"/>
      <c r="M714" s="670" t="str">
        <f t="shared" si="11"/>
        <v/>
      </c>
    </row>
    <row r="715" spans="1:13" ht="14.45" customHeight="1" x14ac:dyDescent="0.2">
      <c r="A715" s="675"/>
      <c r="B715" s="671"/>
      <c r="C715" s="672"/>
      <c r="D715" s="672"/>
      <c r="E715" s="673"/>
      <c r="F715" s="671"/>
      <c r="G715" s="672"/>
      <c r="H715" s="672"/>
      <c r="I715" s="672"/>
      <c r="J715" s="672"/>
      <c r="K715" s="674"/>
      <c r="L715" s="254"/>
      <c r="M715" s="670" t="str">
        <f t="shared" si="11"/>
        <v/>
      </c>
    </row>
    <row r="716" spans="1:13" ht="14.45" customHeight="1" x14ac:dyDescent="0.2">
      <c r="A716" s="675"/>
      <c r="B716" s="671"/>
      <c r="C716" s="672"/>
      <c r="D716" s="672"/>
      <c r="E716" s="673"/>
      <c r="F716" s="671"/>
      <c r="G716" s="672"/>
      <c r="H716" s="672"/>
      <c r="I716" s="672"/>
      <c r="J716" s="672"/>
      <c r="K716" s="674"/>
      <c r="L716" s="254"/>
      <c r="M716" s="670" t="str">
        <f t="shared" si="11"/>
        <v/>
      </c>
    </row>
    <row r="717" spans="1:13" ht="14.45" customHeight="1" x14ac:dyDescent="0.2">
      <c r="A717" s="675"/>
      <c r="B717" s="671"/>
      <c r="C717" s="672"/>
      <c r="D717" s="672"/>
      <c r="E717" s="673"/>
      <c r="F717" s="671"/>
      <c r="G717" s="672"/>
      <c r="H717" s="672"/>
      <c r="I717" s="672"/>
      <c r="J717" s="672"/>
      <c r="K717" s="674"/>
      <c r="L717" s="254"/>
      <c r="M717" s="670" t="str">
        <f t="shared" si="11"/>
        <v/>
      </c>
    </row>
    <row r="718" spans="1:13" ht="14.45" customHeight="1" x14ac:dyDescent="0.2">
      <c r="A718" s="675"/>
      <c r="B718" s="671"/>
      <c r="C718" s="672"/>
      <c r="D718" s="672"/>
      <c r="E718" s="673"/>
      <c r="F718" s="671"/>
      <c r="G718" s="672"/>
      <c r="H718" s="672"/>
      <c r="I718" s="672"/>
      <c r="J718" s="672"/>
      <c r="K718" s="674"/>
      <c r="L718" s="254"/>
      <c r="M718" s="670" t="str">
        <f t="shared" si="11"/>
        <v/>
      </c>
    </row>
    <row r="719" spans="1:13" ht="14.45" customHeight="1" x14ac:dyDescent="0.2">
      <c r="A719" s="675"/>
      <c r="B719" s="671"/>
      <c r="C719" s="672"/>
      <c r="D719" s="672"/>
      <c r="E719" s="673"/>
      <c r="F719" s="671"/>
      <c r="G719" s="672"/>
      <c r="H719" s="672"/>
      <c r="I719" s="672"/>
      <c r="J719" s="672"/>
      <c r="K719" s="674"/>
      <c r="L719" s="254"/>
      <c r="M719" s="670" t="str">
        <f t="shared" si="11"/>
        <v/>
      </c>
    </row>
    <row r="720" spans="1:13" ht="14.45" customHeight="1" x14ac:dyDescent="0.2">
      <c r="A720" s="675"/>
      <c r="B720" s="671"/>
      <c r="C720" s="672"/>
      <c r="D720" s="672"/>
      <c r="E720" s="673"/>
      <c r="F720" s="671"/>
      <c r="G720" s="672"/>
      <c r="H720" s="672"/>
      <c r="I720" s="672"/>
      <c r="J720" s="672"/>
      <c r="K720" s="674"/>
      <c r="L720" s="254"/>
      <c r="M720" s="670" t="str">
        <f t="shared" si="11"/>
        <v/>
      </c>
    </row>
    <row r="721" spans="1:13" ht="14.45" customHeight="1" x14ac:dyDescent="0.2">
      <c r="A721" s="675"/>
      <c r="B721" s="671"/>
      <c r="C721" s="672"/>
      <c r="D721" s="672"/>
      <c r="E721" s="673"/>
      <c r="F721" s="671"/>
      <c r="G721" s="672"/>
      <c r="H721" s="672"/>
      <c r="I721" s="672"/>
      <c r="J721" s="672"/>
      <c r="K721" s="674"/>
      <c r="L721" s="254"/>
      <c r="M721" s="670" t="str">
        <f t="shared" si="11"/>
        <v/>
      </c>
    </row>
    <row r="722" spans="1:13" ht="14.45" customHeight="1" x14ac:dyDescent="0.2">
      <c r="A722" s="675"/>
      <c r="B722" s="671"/>
      <c r="C722" s="672"/>
      <c r="D722" s="672"/>
      <c r="E722" s="673"/>
      <c r="F722" s="671"/>
      <c r="G722" s="672"/>
      <c r="H722" s="672"/>
      <c r="I722" s="672"/>
      <c r="J722" s="672"/>
      <c r="K722" s="674"/>
      <c r="L722" s="254"/>
      <c r="M722" s="670" t="str">
        <f t="shared" si="11"/>
        <v/>
      </c>
    </row>
    <row r="723" spans="1:13" ht="14.45" customHeight="1" x14ac:dyDescent="0.2">
      <c r="A723" s="675"/>
      <c r="B723" s="671"/>
      <c r="C723" s="672"/>
      <c r="D723" s="672"/>
      <c r="E723" s="673"/>
      <c r="F723" s="671"/>
      <c r="G723" s="672"/>
      <c r="H723" s="672"/>
      <c r="I723" s="672"/>
      <c r="J723" s="672"/>
      <c r="K723" s="674"/>
      <c r="L723" s="254"/>
      <c r="M723" s="670" t="str">
        <f t="shared" si="11"/>
        <v/>
      </c>
    </row>
    <row r="724" spans="1:13" ht="14.45" customHeight="1" x14ac:dyDescent="0.2">
      <c r="A724" s="675"/>
      <c r="B724" s="671"/>
      <c r="C724" s="672"/>
      <c r="D724" s="672"/>
      <c r="E724" s="673"/>
      <c r="F724" s="671"/>
      <c r="G724" s="672"/>
      <c r="H724" s="672"/>
      <c r="I724" s="672"/>
      <c r="J724" s="672"/>
      <c r="K724" s="674"/>
      <c r="L724" s="254"/>
      <c r="M724" s="670" t="str">
        <f t="shared" si="11"/>
        <v/>
      </c>
    </row>
    <row r="725" spans="1:13" ht="14.45" customHeight="1" x14ac:dyDescent="0.2">
      <c r="A725" s="675"/>
      <c r="B725" s="671"/>
      <c r="C725" s="672"/>
      <c r="D725" s="672"/>
      <c r="E725" s="673"/>
      <c r="F725" s="671"/>
      <c r="G725" s="672"/>
      <c r="H725" s="672"/>
      <c r="I725" s="672"/>
      <c r="J725" s="672"/>
      <c r="K725" s="674"/>
      <c r="L725" s="254"/>
      <c r="M725" s="670" t="str">
        <f t="shared" si="11"/>
        <v/>
      </c>
    </row>
    <row r="726" spans="1:13" ht="14.45" customHeight="1" x14ac:dyDescent="0.2">
      <c r="A726" s="675"/>
      <c r="B726" s="671"/>
      <c r="C726" s="672"/>
      <c r="D726" s="672"/>
      <c r="E726" s="673"/>
      <c r="F726" s="671"/>
      <c r="G726" s="672"/>
      <c r="H726" s="672"/>
      <c r="I726" s="672"/>
      <c r="J726" s="672"/>
      <c r="K726" s="674"/>
      <c r="L726" s="254"/>
      <c r="M726" s="670" t="str">
        <f t="shared" si="11"/>
        <v/>
      </c>
    </row>
    <row r="727" spans="1:13" ht="14.45" customHeight="1" x14ac:dyDescent="0.2">
      <c r="A727" s="675"/>
      <c r="B727" s="671"/>
      <c r="C727" s="672"/>
      <c r="D727" s="672"/>
      <c r="E727" s="673"/>
      <c r="F727" s="671"/>
      <c r="G727" s="672"/>
      <c r="H727" s="672"/>
      <c r="I727" s="672"/>
      <c r="J727" s="672"/>
      <c r="K727" s="674"/>
      <c r="L727" s="254"/>
      <c r="M727" s="670" t="str">
        <f t="shared" si="11"/>
        <v/>
      </c>
    </row>
    <row r="728" spans="1:13" ht="14.45" customHeight="1" x14ac:dyDescent="0.2">
      <c r="A728" s="675"/>
      <c r="B728" s="671"/>
      <c r="C728" s="672"/>
      <c r="D728" s="672"/>
      <c r="E728" s="673"/>
      <c r="F728" s="671"/>
      <c r="G728" s="672"/>
      <c r="H728" s="672"/>
      <c r="I728" s="672"/>
      <c r="J728" s="672"/>
      <c r="K728" s="674"/>
      <c r="L728" s="254"/>
      <c r="M728" s="670" t="str">
        <f t="shared" si="11"/>
        <v/>
      </c>
    </row>
    <row r="729" spans="1:13" ht="14.45" customHeight="1" x14ac:dyDescent="0.2">
      <c r="A729" s="675"/>
      <c r="B729" s="671"/>
      <c r="C729" s="672"/>
      <c r="D729" s="672"/>
      <c r="E729" s="673"/>
      <c r="F729" s="671"/>
      <c r="G729" s="672"/>
      <c r="H729" s="672"/>
      <c r="I729" s="672"/>
      <c r="J729" s="672"/>
      <c r="K729" s="674"/>
      <c r="L729" s="254"/>
      <c r="M729" s="670" t="str">
        <f t="shared" si="11"/>
        <v/>
      </c>
    </row>
    <row r="730" spans="1:13" ht="14.45" customHeight="1" x14ac:dyDescent="0.2">
      <c r="A730" s="675"/>
      <c r="B730" s="671"/>
      <c r="C730" s="672"/>
      <c r="D730" s="672"/>
      <c r="E730" s="673"/>
      <c r="F730" s="671"/>
      <c r="G730" s="672"/>
      <c r="H730" s="672"/>
      <c r="I730" s="672"/>
      <c r="J730" s="672"/>
      <c r="K730" s="674"/>
      <c r="L730" s="254"/>
      <c r="M730" s="670" t="str">
        <f t="shared" si="11"/>
        <v/>
      </c>
    </row>
    <row r="731" spans="1:13" ht="14.45" customHeight="1" x14ac:dyDescent="0.2">
      <c r="A731" s="675"/>
      <c r="B731" s="671"/>
      <c r="C731" s="672"/>
      <c r="D731" s="672"/>
      <c r="E731" s="673"/>
      <c r="F731" s="671"/>
      <c r="G731" s="672"/>
      <c r="H731" s="672"/>
      <c r="I731" s="672"/>
      <c r="J731" s="672"/>
      <c r="K731" s="674"/>
      <c r="L731" s="254"/>
      <c r="M731" s="670" t="str">
        <f t="shared" si="11"/>
        <v/>
      </c>
    </row>
    <row r="732" spans="1:13" ht="14.45" customHeight="1" x14ac:dyDescent="0.2">
      <c r="A732" s="675"/>
      <c r="B732" s="671"/>
      <c r="C732" s="672"/>
      <c r="D732" s="672"/>
      <c r="E732" s="673"/>
      <c r="F732" s="671"/>
      <c r="G732" s="672"/>
      <c r="H732" s="672"/>
      <c r="I732" s="672"/>
      <c r="J732" s="672"/>
      <c r="K732" s="674"/>
      <c r="L732" s="254"/>
      <c r="M732" s="670" t="str">
        <f t="shared" si="11"/>
        <v/>
      </c>
    </row>
    <row r="733" spans="1:13" ht="14.45" customHeight="1" x14ac:dyDescent="0.2">
      <c r="A733" s="675"/>
      <c r="B733" s="671"/>
      <c r="C733" s="672"/>
      <c r="D733" s="672"/>
      <c r="E733" s="673"/>
      <c r="F733" s="671"/>
      <c r="G733" s="672"/>
      <c r="H733" s="672"/>
      <c r="I733" s="672"/>
      <c r="J733" s="672"/>
      <c r="K733" s="674"/>
      <c r="L733" s="254"/>
      <c r="M733" s="670" t="str">
        <f t="shared" si="11"/>
        <v/>
      </c>
    </row>
    <row r="734" spans="1:13" ht="14.45" customHeight="1" x14ac:dyDescent="0.2">
      <c r="A734" s="675"/>
      <c r="B734" s="671"/>
      <c r="C734" s="672"/>
      <c r="D734" s="672"/>
      <c r="E734" s="673"/>
      <c r="F734" s="671"/>
      <c r="G734" s="672"/>
      <c r="H734" s="672"/>
      <c r="I734" s="672"/>
      <c r="J734" s="672"/>
      <c r="K734" s="674"/>
      <c r="L734" s="254"/>
      <c r="M734" s="670" t="str">
        <f t="shared" si="11"/>
        <v/>
      </c>
    </row>
    <row r="735" spans="1:13" ht="14.45" customHeight="1" x14ac:dyDescent="0.2">
      <c r="A735" s="675"/>
      <c r="B735" s="671"/>
      <c r="C735" s="672"/>
      <c r="D735" s="672"/>
      <c r="E735" s="673"/>
      <c r="F735" s="671"/>
      <c r="G735" s="672"/>
      <c r="H735" s="672"/>
      <c r="I735" s="672"/>
      <c r="J735" s="672"/>
      <c r="K735" s="674"/>
      <c r="L735" s="254"/>
      <c r="M735" s="670" t="str">
        <f t="shared" si="11"/>
        <v/>
      </c>
    </row>
    <row r="736" spans="1:13" ht="14.45" customHeight="1" x14ac:dyDescent="0.2">
      <c r="A736" s="675"/>
      <c r="B736" s="671"/>
      <c r="C736" s="672"/>
      <c r="D736" s="672"/>
      <c r="E736" s="673"/>
      <c r="F736" s="671"/>
      <c r="G736" s="672"/>
      <c r="H736" s="672"/>
      <c r="I736" s="672"/>
      <c r="J736" s="672"/>
      <c r="K736" s="674"/>
      <c r="L736" s="254"/>
      <c r="M736" s="670" t="str">
        <f t="shared" si="11"/>
        <v/>
      </c>
    </row>
    <row r="737" spans="1:13" ht="14.45" customHeight="1" x14ac:dyDescent="0.2">
      <c r="A737" s="675"/>
      <c r="B737" s="671"/>
      <c r="C737" s="672"/>
      <c r="D737" s="672"/>
      <c r="E737" s="673"/>
      <c r="F737" s="671"/>
      <c r="G737" s="672"/>
      <c r="H737" s="672"/>
      <c r="I737" s="672"/>
      <c r="J737" s="672"/>
      <c r="K737" s="674"/>
      <c r="L737" s="254"/>
      <c r="M737" s="670" t="str">
        <f t="shared" si="11"/>
        <v/>
      </c>
    </row>
    <row r="738" spans="1:13" ht="14.45" customHeight="1" x14ac:dyDescent="0.2">
      <c r="A738" s="675"/>
      <c r="B738" s="671"/>
      <c r="C738" s="672"/>
      <c r="D738" s="672"/>
      <c r="E738" s="673"/>
      <c r="F738" s="671"/>
      <c r="G738" s="672"/>
      <c r="H738" s="672"/>
      <c r="I738" s="672"/>
      <c r="J738" s="672"/>
      <c r="K738" s="674"/>
      <c r="L738" s="254"/>
      <c r="M738" s="670" t="str">
        <f t="shared" si="11"/>
        <v/>
      </c>
    </row>
    <row r="739" spans="1:13" ht="14.45" customHeight="1" x14ac:dyDescent="0.2">
      <c r="A739" s="675"/>
      <c r="B739" s="671"/>
      <c r="C739" s="672"/>
      <c r="D739" s="672"/>
      <c r="E739" s="673"/>
      <c r="F739" s="671"/>
      <c r="G739" s="672"/>
      <c r="H739" s="672"/>
      <c r="I739" s="672"/>
      <c r="J739" s="672"/>
      <c r="K739" s="674"/>
      <c r="L739" s="254"/>
      <c r="M739" s="670" t="str">
        <f t="shared" si="11"/>
        <v/>
      </c>
    </row>
    <row r="740" spans="1:13" ht="14.45" customHeight="1" x14ac:dyDescent="0.2">
      <c r="A740" s="675"/>
      <c r="B740" s="671"/>
      <c r="C740" s="672"/>
      <c r="D740" s="672"/>
      <c r="E740" s="673"/>
      <c r="F740" s="671"/>
      <c r="G740" s="672"/>
      <c r="H740" s="672"/>
      <c r="I740" s="672"/>
      <c r="J740" s="672"/>
      <c r="K740" s="674"/>
      <c r="L740" s="254"/>
      <c r="M740" s="670" t="str">
        <f t="shared" si="11"/>
        <v/>
      </c>
    </row>
    <row r="741" spans="1:13" ht="14.45" customHeight="1" x14ac:dyDescent="0.2">
      <c r="A741" s="675"/>
      <c r="B741" s="671"/>
      <c r="C741" s="672"/>
      <c r="D741" s="672"/>
      <c r="E741" s="673"/>
      <c r="F741" s="671"/>
      <c r="G741" s="672"/>
      <c r="H741" s="672"/>
      <c r="I741" s="672"/>
      <c r="J741" s="672"/>
      <c r="K741" s="674"/>
      <c r="L741" s="254"/>
      <c r="M741" s="670" t="str">
        <f t="shared" si="11"/>
        <v/>
      </c>
    </row>
    <row r="742" spans="1:13" ht="14.45" customHeight="1" x14ac:dyDescent="0.2">
      <c r="A742" s="675"/>
      <c r="B742" s="671"/>
      <c r="C742" s="672"/>
      <c r="D742" s="672"/>
      <c r="E742" s="673"/>
      <c r="F742" s="671"/>
      <c r="G742" s="672"/>
      <c r="H742" s="672"/>
      <c r="I742" s="672"/>
      <c r="J742" s="672"/>
      <c r="K742" s="674"/>
      <c r="L742" s="254"/>
      <c r="M742" s="670" t="str">
        <f t="shared" si="11"/>
        <v/>
      </c>
    </row>
    <row r="743" spans="1:13" ht="14.45" customHeight="1" x14ac:dyDescent="0.2">
      <c r="A743" s="675"/>
      <c r="B743" s="671"/>
      <c r="C743" s="672"/>
      <c r="D743" s="672"/>
      <c r="E743" s="673"/>
      <c r="F743" s="671"/>
      <c r="G743" s="672"/>
      <c r="H743" s="672"/>
      <c r="I743" s="672"/>
      <c r="J743" s="672"/>
      <c r="K743" s="674"/>
      <c r="L743" s="254"/>
      <c r="M743" s="670" t="str">
        <f t="shared" si="11"/>
        <v/>
      </c>
    </row>
    <row r="744" spans="1:13" ht="14.45" customHeight="1" x14ac:dyDescent="0.2">
      <c r="A744" s="675"/>
      <c r="B744" s="671"/>
      <c r="C744" s="672"/>
      <c r="D744" s="672"/>
      <c r="E744" s="673"/>
      <c r="F744" s="671"/>
      <c r="G744" s="672"/>
      <c r="H744" s="672"/>
      <c r="I744" s="672"/>
      <c r="J744" s="672"/>
      <c r="K744" s="674"/>
      <c r="L744" s="254"/>
      <c r="M744" s="670" t="str">
        <f t="shared" si="11"/>
        <v/>
      </c>
    </row>
    <row r="745" spans="1:13" ht="14.45" customHeight="1" x14ac:dyDescent="0.2">
      <c r="A745" s="675"/>
      <c r="B745" s="671"/>
      <c r="C745" s="672"/>
      <c r="D745" s="672"/>
      <c r="E745" s="673"/>
      <c r="F745" s="671"/>
      <c r="G745" s="672"/>
      <c r="H745" s="672"/>
      <c r="I745" s="672"/>
      <c r="J745" s="672"/>
      <c r="K745" s="674"/>
      <c r="L745" s="254"/>
      <c r="M745" s="670" t="str">
        <f t="shared" si="11"/>
        <v/>
      </c>
    </row>
    <row r="746" spans="1:13" ht="14.45" customHeight="1" x14ac:dyDescent="0.2">
      <c r="A746" s="675"/>
      <c r="B746" s="671"/>
      <c r="C746" s="672"/>
      <c r="D746" s="672"/>
      <c r="E746" s="673"/>
      <c r="F746" s="671"/>
      <c r="G746" s="672"/>
      <c r="H746" s="672"/>
      <c r="I746" s="672"/>
      <c r="J746" s="672"/>
      <c r="K746" s="674"/>
      <c r="L746" s="254"/>
      <c r="M746" s="670" t="str">
        <f t="shared" si="11"/>
        <v/>
      </c>
    </row>
    <row r="747" spans="1:13" ht="14.45" customHeight="1" x14ac:dyDescent="0.2">
      <c r="A747" s="675"/>
      <c r="B747" s="671"/>
      <c r="C747" s="672"/>
      <c r="D747" s="672"/>
      <c r="E747" s="673"/>
      <c r="F747" s="671"/>
      <c r="G747" s="672"/>
      <c r="H747" s="672"/>
      <c r="I747" s="672"/>
      <c r="J747" s="672"/>
      <c r="K747" s="674"/>
      <c r="L747" s="254"/>
      <c r="M747" s="670" t="str">
        <f t="shared" si="11"/>
        <v/>
      </c>
    </row>
    <row r="748" spans="1:13" ht="14.45" customHeight="1" x14ac:dyDescent="0.2">
      <c r="A748" s="675"/>
      <c r="B748" s="671"/>
      <c r="C748" s="672"/>
      <c r="D748" s="672"/>
      <c r="E748" s="673"/>
      <c r="F748" s="671"/>
      <c r="G748" s="672"/>
      <c r="H748" s="672"/>
      <c r="I748" s="672"/>
      <c r="J748" s="672"/>
      <c r="K748" s="674"/>
      <c r="L748" s="254"/>
      <c r="M748" s="670" t="str">
        <f t="shared" si="11"/>
        <v/>
      </c>
    </row>
    <row r="749" spans="1:13" ht="14.45" customHeight="1" x14ac:dyDescent="0.2">
      <c r="A749" s="675"/>
      <c r="B749" s="671"/>
      <c r="C749" s="672"/>
      <c r="D749" s="672"/>
      <c r="E749" s="673"/>
      <c r="F749" s="671"/>
      <c r="G749" s="672"/>
      <c r="H749" s="672"/>
      <c r="I749" s="672"/>
      <c r="J749" s="672"/>
      <c r="K749" s="674"/>
      <c r="L749" s="254"/>
      <c r="M749" s="670" t="str">
        <f t="shared" si="11"/>
        <v/>
      </c>
    </row>
    <row r="750" spans="1:13" ht="14.45" customHeight="1" x14ac:dyDescent="0.2">
      <c r="A750" s="675"/>
      <c r="B750" s="671"/>
      <c r="C750" s="672"/>
      <c r="D750" s="672"/>
      <c r="E750" s="673"/>
      <c r="F750" s="671"/>
      <c r="G750" s="672"/>
      <c r="H750" s="672"/>
      <c r="I750" s="672"/>
      <c r="J750" s="672"/>
      <c r="K750" s="674"/>
      <c r="L750" s="254"/>
      <c r="M750" s="670" t="str">
        <f t="shared" si="11"/>
        <v/>
      </c>
    </row>
    <row r="751" spans="1:13" ht="14.45" customHeight="1" x14ac:dyDescent="0.2">
      <c r="A751" s="675"/>
      <c r="B751" s="671"/>
      <c r="C751" s="672"/>
      <c r="D751" s="672"/>
      <c r="E751" s="673"/>
      <c r="F751" s="671"/>
      <c r="G751" s="672"/>
      <c r="H751" s="672"/>
      <c r="I751" s="672"/>
      <c r="J751" s="672"/>
      <c r="K751" s="674"/>
      <c r="L751" s="254"/>
      <c r="M751" s="670" t="str">
        <f t="shared" si="11"/>
        <v/>
      </c>
    </row>
    <row r="752" spans="1:13" ht="14.45" customHeight="1" x14ac:dyDescent="0.2">
      <c r="A752" s="675"/>
      <c r="B752" s="671"/>
      <c r="C752" s="672"/>
      <c r="D752" s="672"/>
      <c r="E752" s="673"/>
      <c r="F752" s="671"/>
      <c r="G752" s="672"/>
      <c r="H752" s="672"/>
      <c r="I752" s="672"/>
      <c r="J752" s="672"/>
      <c r="K752" s="674"/>
      <c r="L752" s="254"/>
      <c r="M752" s="670" t="str">
        <f t="shared" si="11"/>
        <v/>
      </c>
    </row>
    <row r="753" spans="1:13" ht="14.45" customHeight="1" x14ac:dyDescent="0.2">
      <c r="A753" s="675"/>
      <c r="B753" s="671"/>
      <c r="C753" s="672"/>
      <c r="D753" s="672"/>
      <c r="E753" s="673"/>
      <c r="F753" s="671"/>
      <c r="G753" s="672"/>
      <c r="H753" s="672"/>
      <c r="I753" s="672"/>
      <c r="J753" s="672"/>
      <c r="K753" s="674"/>
      <c r="L753" s="254"/>
      <c r="M753" s="670" t="str">
        <f t="shared" si="11"/>
        <v/>
      </c>
    </row>
    <row r="754" spans="1:13" ht="14.45" customHeight="1" x14ac:dyDescent="0.2">
      <c r="A754" s="675"/>
      <c r="B754" s="671"/>
      <c r="C754" s="672"/>
      <c r="D754" s="672"/>
      <c r="E754" s="673"/>
      <c r="F754" s="671"/>
      <c r="G754" s="672"/>
      <c r="H754" s="672"/>
      <c r="I754" s="672"/>
      <c r="J754" s="672"/>
      <c r="K754" s="674"/>
      <c r="L754" s="254"/>
      <c r="M754" s="670" t="str">
        <f t="shared" si="11"/>
        <v/>
      </c>
    </row>
    <row r="755" spans="1:13" ht="14.45" customHeight="1" x14ac:dyDescent="0.2">
      <c r="A755" s="675"/>
      <c r="B755" s="671"/>
      <c r="C755" s="672"/>
      <c r="D755" s="672"/>
      <c r="E755" s="673"/>
      <c r="F755" s="671"/>
      <c r="G755" s="672"/>
      <c r="H755" s="672"/>
      <c r="I755" s="672"/>
      <c r="J755" s="672"/>
      <c r="K755" s="674"/>
      <c r="L755" s="254"/>
      <c r="M755" s="670" t="str">
        <f t="shared" si="11"/>
        <v/>
      </c>
    </row>
    <row r="756" spans="1:13" ht="14.45" customHeight="1" x14ac:dyDescent="0.2">
      <c r="A756" s="675"/>
      <c r="B756" s="671"/>
      <c r="C756" s="672"/>
      <c r="D756" s="672"/>
      <c r="E756" s="673"/>
      <c r="F756" s="671"/>
      <c r="G756" s="672"/>
      <c r="H756" s="672"/>
      <c r="I756" s="672"/>
      <c r="J756" s="672"/>
      <c r="K756" s="674"/>
      <c r="L756" s="254"/>
      <c r="M756" s="670" t="str">
        <f t="shared" si="11"/>
        <v/>
      </c>
    </row>
    <row r="757" spans="1:13" ht="14.45" customHeight="1" x14ac:dyDescent="0.2">
      <c r="A757" s="675"/>
      <c r="B757" s="671"/>
      <c r="C757" s="672"/>
      <c r="D757" s="672"/>
      <c r="E757" s="673"/>
      <c r="F757" s="671"/>
      <c r="G757" s="672"/>
      <c r="H757" s="672"/>
      <c r="I757" s="672"/>
      <c r="J757" s="672"/>
      <c r="K757" s="674"/>
      <c r="L757" s="254"/>
      <c r="M757" s="670" t="str">
        <f t="shared" si="11"/>
        <v/>
      </c>
    </row>
    <row r="758" spans="1:13" ht="14.45" customHeight="1" x14ac:dyDescent="0.2">
      <c r="A758" s="675"/>
      <c r="B758" s="671"/>
      <c r="C758" s="672"/>
      <c r="D758" s="672"/>
      <c r="E758" s="673"/>
      <c r="F758" s="671"/>
      <c r="G758" s="672"/>
      <c r="H758" s="672"/>
      <c r="I758" s="672"/>
      <c r="J758" s="672"/>
      <c r="K758" s="674"/>
      <c r="L758" s="254"/>
      <c r="M758" s="670" t="str">
        <f t="shared" si="11"/>
        <v/>
      </c>
    </row>
    <row r="759" spans="1:13" ht="14.45" customHeight="1" x14ac:dyDescent="0.2">
      <c r="A759" s="675"/>
      <c r="B759" s="671"/>
      <c r="C759" s="672"/>
      <c r="D759" s="672"/>
      <c r="E759" s="673"/>
      <c r="F759" s="671"/>
      <c r="G759" s="672"/>
      <c r="H759" s="672"/>
      <c r="I759" s="672"/>
      <c r="J759" s="672"/>
      <c r="K759" s="674"/>
      <c r="L759" s="254"/>
      <c r="M759" s="670" t="str">
        <f t="shared" si="11"/>
        <v/>
      </c>
    </row>
    <row r="760" spans="1:13" ht="14.45" customHeight="1" x14ac:dyDescent="0.2">
      <c r="A760" s="675"/>
      <c r="B760" s="671"/>
      <c r="C760" s="672"/>
      <c r="D760" s="672"/>
      <c r="E760" s="673"/>
      <c r="F760" s="671"/>
      <c r="G760" s="672"/>
      <c r="H760" s="672"/>
      <c r="I760" s="672"/>
      <c r="J760" s="672"/>
      <c r="K760" s="674"/>
      <c r="L760" s="254"/>
      <c r="M760" s="670" t="str">
        <f t="shared" si="11"/>
        <v/>
      </c>
    </row>
    <row r="761" spans="1:13" ht="14.45" customHeight="1" x14ac:dyDescent="0.2">
      <c r="A761" s="675"/>
      <c r="B761" s="671"/>
      <c r="C761" s="672"/>
      <c r="D761" s="672"/>
      <c r="E761" s="673"/>
      <c r="F761" s="671"/>
      <c r="G761" s="672"/>
      <c r="H761" s="672"/>
      <c r="I761" s="672"/>
      <c r="J761" s="672"/>
      <c r="K761" s="674"/>
      <c r="L761" s="254"/>
      <c r="M761" s="670" t="str">
        <f t="shared" si="11"/>
        <v/>
      </c>
    </row>
    <row r="762" spans="1:13" ht="14.45" customHeight="1" x14ac:dyDescent="0.2">
      <c r="A762" s="675"/>
      <c r="B762" s="671"/>
      <c r="C762" s="672"/>
      <c r="D762" s="672"/>
      <c r="E762" s="673"/>
      <c r="F762" s="671"/>
      <c r="G762" s="672"/>
      <c r="H762" s="672"/>
      <c r="I762" s="672"/>
      <c r="J762" s="672"/>
      <c r="K762" s="674"/>
      <c r="L762" s="254"/>
      <c r="M762" s="670" t="str">
        <f t="shared" si="11"/>
        <v/>
      </c>
    </row>
    <row r="763" spans="1:13" ht="14.45" customHeight="1" x14ac:dyDescent="0.2">
      <c r="A763" s="675"/>
      <c r="B763" s="671"/>
      <c r="C763" s="672"/>
      <c r="D763" s="672"/>
      <c r="E763" s="673"/>
      <c r="F763" s="671"/>
      <c r="G763" s="672"/>
      <c r="H763" s="672"/>
      <c r="I763" s="672"/>
      <c r="J763" s="672"/>
      <c r="K763" s="674"/>
      <c r="L763" s="254"/>
      <c r="M763" s="670" t="str">
        <f t="shared" si="11"/>
        <v/>
      </c>
    </row>
    <row r="764" spans="1:13" ht="14.45" customHeight="1" x14ac:dyDescent="0.2">
      <c r="A764" s="675"/>
      <c r="B764" s="671"/>
      <c r="C764" s="672"/>
      <c r="D764" s="672"/>
      <c r="E764" s="673"/>
      <c r="F764" s="671"/>
      <c r="G764" s="672"/>
      <c r="H764" s="672"/>
      <c r="I764" s="672"/>
      <c r="J764" s="672"/>
      <c r="K764" s="674"/>
      <c r="L764" s="254"/>
      <c r="M764" s="670" t="str">
        <f t="shared" si="11"/>
        <v/>
      </c>
    </row>
    <row r="765" spans="1:13" ht="14.45" customHeight="1" x14ac:dyDescent="0.2">
      <c r="A765" s="675"/>
      <c r="B765" s="671"/>
      <c r="C765" s="672"/>
      <c r="D765" s="672"/>
      <c r="E765" s="673"/>
      <c r="F765" s="671"/>
      <c r="G765" s="672"/>
      <c r="H765" s="672"/>
      <c r="I765" s="672"/>
      <c r="J765" s="672"/>
      <c r="K765" s="674"/>
      <c r="L765" s="254"/>
      <c r="M765" s="670" t="str">
        <f t="shared" si="11"/>
        <v/>
      </c>
    </row>
    <row r="766" spans="1:13" ht="14.45" customHeight="1" x14ac:dyDescent="0.2">
      <c r="A766" s="675"/>
      <c r="B766" s="671"/>
      <c r="C766" s="672"/>
      <c r="D766" s="672"/>
      <c r="E766" s="673"/>
      <c r="F766" s="671"/>
      <c r="G766" s="672"/>
      <c r="H766" s="672"/>
      <c r="I766" s="672"/>
      <c r="J766" s="672"/>
      <c r="K766" s="674"/>
      <c r="L766" s="254"/>
      <c r="M766" s="670" t="str">
        <f t="shared" si="11"/>
        <v/>
      </c>
    </row>
    <row r="767" spans="1:13" ht="14.45" customHeight="1" x14ac:dyDescent="0.2">
      <c r="A767" s="675"/>
      <c r="B767" s="671"/>
      <c r="C767" s="672"/>
      <c r="D767" s="672"/>
      <c r="E767" s="673"/>
      <c r="F767" s="671"/>
      <c r="G767" s="672"/>
      <c r="H767" s="672"/>
      <c r="I767" s="672"/>
      <c r="J767" s="672"/>
      <c r="K767" s="674"/>
      <c r="L767" s="254"/>
      <c r="M767" s="670" t="str">
        <f t="shared" si="11"/>
        <v/>
      </c>
    </row>
    <row r="768" spans="1:13" ht="14.45" customHeight="1" x14ac:dyDescent="0.2">
      <c r="A768" s="675"/>
      <c r="B768" s="671"/>
      <c r="C768" s="672"/>
      <c r="D768" s="672"/>
      <c r="E768" s="673"/>
      <c r="F768" s="671"/>
      <c r="G768" s="672"/>
      <c r="H768" s="672"/>
      <c r="I768" s="672"/>
      <c r="J768" s="672"/>
      <c r="K768" s="674"/>
      <c r="L768" s="254"/>
      <c r="M768" s="670" t="str">
        <f t="shared" si="11"/>
        <v/>
      </c>
    </row>
    <row r="769" spans="1:13" ht="14.45" customHeight="1" x14ac:dyDescent="0.2">
      <c r="A769" s="675"/>
      <c r="B769" s="671"/>
      <c r="C769" s="672"/>
      <c r="D769" s="672"/>
      <c r="E769" s="673"/>
      <c r="F769" s="671"/>
      <c r="G769" s="672"/>
      <c r="H769" s="672"/>
      <c r="I769" s="672"/>
      <c r="J769" s="672"/>
      <c r="K769" s="674"/>
      <c r="L769" s="254"/>
      <c r="M769" s="670" t="str">
        <f t="shared" si="11"/>
        <v/>
      </c>
    </row>
    <row r="770" spans="1:13" ht="14.45" customHeight="1" x14ac:dyDescent="0.2">
      <c r="A770" s="675"/>
      <c r="B770" s="671"/>
      <c r="C770" s="672"/>
      <c r="D770" s="672"/>
      <c r="E770" s="673"/>
      <c r="F770" s="671"/>
      <c r="G770" s="672"/>
      <c r="H770" s="672"/>
      <c r="I770" s="672"/>
      <c r="J770" s="672"/>
      <c r="K770" s="674"/>
      <c r="L770" s="254"/>
      <c r="M770" s="670" t="str">
        <f t="shared" si="11"/>
        <v/>
      </c>
    </row>
    <row r="771" spans="1:13" ht="14.45" customHeight="1" x14ac:dyDescent="0.2">
      <c r="A771" s="675"/>
      <c r="B771" s="671"/>
      <c r="C771" s="672"/>
      <c r="D771" s="672"/>
      <c r="E771" s="673"/>
      <c r="F771" s="671"/>
      <c r="G771" s="672"/>
      <c r="H771" s="672"/>
      <c r="I771" s="672"/>
      <c r="J771" s="672"/>
      <c r="K771" s="674"/>
      <c r="L771" s="254"/>
      <c r="M771" s="670" t="str">
        <f t="shared" si="11"/>
        <v/>
      </c>
    </row>
    <row r="772" spans="1:13" ht="14.45" customHeight="1" x14ac:dyDescent="0.2">
      <c r="A772" s="675"/>
      <c r="B772" s="671"/>
      <c r="C772" s="672"/>
      <c r="D772" s="672"/>
      <c r="E772" s="673"/>
      <c r="F772" s="671"/>
      <c r="G772" s="672"/>
      <c r="H772" s="672"/>
      <c r="I772" s="672"/>
      <c r="J772" s="672"/>
      <c r="K772" s="674"/>
      <c r="L772" s="254"/>
      <c r="M772" s="670" t="str">
        <f t="shared" si="11"/>
        <v/>
      </c>
    </row>
    <row r="773" spans="1:13" ht="14.45" customHeight="1" x14ac:dyDescent="0.2">
      <c r="A773" s="675"/>
      <c r="B773" s="671"/>
      <c r="C773" s="672"/>
      <c r="D773" s="672"/>
      <c r="E773" s="673"/>
      <c r="F773" s="671"/>
      <c r="G773" s="672"/>
      <c r="H773" s="672"/>
      <c r="I773" s="672"/>
      <c r="J773" s="672"/>
      <c r="K773" s="674"/>
      <c r="L773" s="254"/>
      <c r="M773" s="670" t="str">
        <f t="shared" si="11"/>
        <v/>
      </c>
    </row>
    <row r="774" spans="1:13" ht="14.45" customHeight="1" x14ac:dyDescent="0.2">
      <c r="A774" s="675"/>
      <c r="B774" s="671"/>
      <c r="C774" s="672"/>
      <c r="D774" s="672"/>
      <c r="E774" s="673"/>
      <c r="F774" s="671"/>
      <c r="G774" s="672"/>
      <c r="H774" s="672"/>
      <c r="I774" s="672"/>
      <c r="J774" s="672"/>
      <c r="K774" s="674"/>
      <c r="L774" s="254"/>
      <c r="M774" s="670" t="str">
        <f t="shared" ref="M774:M818" si="12">IF(A774="HV","HV",IF(OR(LEFT(A774,16)="               5",LEFT(A774,16)="               6",LEFT(A774,16)="               7",LEFT(A774,16)="               8"),"X",""))</f>
        <v/>
      </c>
    </row>
    <row r="775" spans="1:13" ht="14.45" customHeight="1" x14ac:dyDescent="0.2">
      <c r="A775" s="675"/>
      <c r="B775" s="671"/>
      <c r="C775" s="672"/>
      <c r="D775" s="672"/>
      <c r="E775" s="673"/>
      <c r="F775" s="671"/>
      <c r="G775" s="672"/>
      <c r="H775" s="672"/>
      <c r="I775" s="672"/>
      <c r="J775" s="672"/>
      <c r="K775" s="674"/>
      <c r="L775" s="254"/>
      <c r="M775" s="670" t="str">
        <f t="shared" si="12"/>
        <v/>
      </c>
    </row>
    <row r="776" spans="1:13" ht="14.45" customHeight="1" x14ac:dyDescent="0.2">
      <c r="A776" s="675"/>
      <c r="B776" s="671"/>
      <c r="C776" s="672"/>
      <c r="D776" s="672"/>
      <c r="E776" s="673"/>
      <c r="F776" s="671"/>
      <c r="G776" s="672"/>
      <c r="H776" s="672"/>
      <c r="I776" s="672"/>
      <c r="J776" s="672"/>
      <c r="K776" s="674"/>
      <c r="L776" s="254"/>
      <c r="M776" s="670" t="str">
        <f t="shared" si="12"/>
        <v/>
      </c>
    </row>
    <row r="777" spans="1:13" ht="14.45" customHeight="1" x14ac:dyDescent="0.2">
      <c r="A777" s="675"/>
      <c r="B777" s="671"/>
      <c r="C777" s="672"/>
      <c r="D777" s="672"/>
      <c r="E777" s="673"/>
      <c r="F777" s="671"/>
      <c r="G777" s="672"/>
      <c r="H777" s="672"/>
      <c r="I777" s="672"/>
      <c r="J777" s="672"/>
      <c r="K777" s="674"/>
      <c r="L777" s="254"/>
      <c r="M777" s="670" t="str">
        <f t="shared" si="12"/>
        <v/>
      </c>
    </row>
    <row r="778" spans="1:13" ht="14.45" customHeight="1" x14ac:dyDescent="0.2">
      <c r="A778" s="675"/>
      <c r="B778" s="671"/>
      <c r="C778" s="672"/>
      <c r="D778" s="672"/>
      <c r="E778" s="673"/>
      <c r="F778" s="671"/>
      <c r="G778" s="672"/>
      <c r="H778" s="672"/>
      <c r="I778" s="672"/>
      <c r="J778" s="672"/>
      <c r="K778" s="674"/>
      <c r="L778" s="254"/>
      <c r="M778" s="670" t="str">
        <f t="shared" si="12"/>
        <v/>
      </c>
    </row>
    <row r="779" spans="1:13" ht="14.45" customHeight="1" x14ac:dyDescent="0.2">
      <c r="A779" s="675"/>
      <c r="B779" s="671"/>
      <c r="C779" s="672"/>
      <c r="D779" s="672"/>
      <c r="E779" s="673"/>
      <c r="F779" s="671"/>
      <c r="G779" s="672"/>
      <c r="H779" s="672"/>
      <c r="I779" s="672"/>
      <c r="J779" s="672"/>
      <c r="K779" s="674"/>
      <c r="L779" s="254"/>
      <c r="M779" s="670" t="str">
        <f t="shared" si="12"/>
        <v/>
      </c>
    </row>
    <row r="780" spans="1:13" ht="14.45" customHeight="1" x14ac:dyDescent="0.2">
      <c r="A780" s="675"/>
      <c r="B780" s="671"/>
      <c r="C780" s="672"/>
      <c r="D780" s="672"/>
      <c r="E780" s="673"/>
      <c r="F780" s="671"/>
      <c r="G780" s="672"/>
      <c r="H780" s="672"/>
      <c r="I780" s="672"/>
      <c r="J780" s="672"/>
      <c r="K780" s="674"/>
      <c r="L780" s="254"/>
      <c r="M780" s="670" t="str">
        <f t="shared" si="12"/>
        <v/>
      </c>
    </row>
    <row r="781" spans="1:13" ht="14.45" customHeight="1" x14ac:dyDescent="0.2">
      <c r="A781" s="675"/>
      <c r="B781" s="671"/>
      <c r="C781" s="672"/>
      <c r="D781" s="672"/>
      <c r="E781" s="673"/>
      <c r="F781" s="671"/>
      <c r="G781" s="672"/>
      <c r="H781" s="672"/>
      <c r="I781" s="672"/>
      <c r="J781" s="672"/>
      <c r="K781" s="674"/>
      <c r="L781" s="254"/>
      <c r="M781" s="670" t="str">
        <f t="shared" si="12"/>
        <v/>
      </c>
    </row>
    <row r="782" spans="1:13" ht="14.45" customHeight="1" x14ac:dyDescent="0.2">
      <c r="A782" s="675"/>
      <c r="B782" s="671"/>
      <c r="C782" s="672"/>
      <c r="D782" s="672"/>
      <c r="E782" s="673"/>
      <c r="F782" s="671"/>
      <c r="G782" s="672"/>
      <c r="H782" s="672"/>
      <c r="I782" s="672"/>
      <c r="J782" s="672"/>
      <c r="K782" s="674"/>
      <c r="L782" s="254"/>
      <c r="M782" s="670" t="str">
        <f t="shared" si="12"/>
        <v/>
      </c>
    </row>
    <row r="783" spans="1:13" ht="14.45" customHeight="1" x14ac:dyDescent="0.2">
      <c r="A783" s="675"/>
      <c r="B783" s="671"/>
      <c r="C783" s="672"/>
      <c r="D783" s="672"/>
      <c r="E783" s="673"/>
      <c r="F783" s="671"/>
      <c r="G783" s="672"/>
      <c r="H783" s="672"/>
      <c r="I783" s="672"/>
      <c r="J783" s="672"/>
      <c r="K783" s="674"/>
      <c r="L783" s="254"/>
      <c r="M783" s="670" t="str">
        <f t="shared" si="12"/>
        <v/>
      </c>
    </row>
    <row r="784" spans="1:13" ht="14.45" customHeight="1" x14ac:dyDescent="0.2">
      <c r="A784" s="675"/>
      <c r="B784" s="671"/>
      <c r="C784" s="672"/>
      <c r="D784" s="672"/>
      <c r="E784" s="673"/>
      <c r="F784" s="671"/>
      <c r="G784" s="672"/>
      <c r="H784" s="672"/>
      <c r="I784" s="672"/>
      <c r="J784" s="672"/>
      <c r="K784" s="674"/>
      <c r="L784" s="254"/>
      <c r="M784" s="670" t="str">
        <f t="shared" si="12"/>
        <v/>
      </c>
    </row>
    <row r="785" spans="1:13" ht="14.45" customHeight="1" x14ac:dyDescent="0.2">
      <c r="A785" s="675"/>
      <c r="B785" s="671"/>
      <c r="C785" s="672"/>
      <c r="D785" s="672"/>
      <c r="E785" s="673"/>
      <c r="F785" s="671"/>
      <c r="G785" s="672"/>
      <c r="H785" s="672"/>
      <c r="I785" s="672"/>
      <c r="J785" s="672"/>
      <c r="K785" s="674"/>
      <c r="L785" s="254"/>
      <c r="M785" s="670" t="str">
        <f t="shared" si="12"/>
        <v/>
      </c>
    </row>
    <row r="786" spans="1:13" ht="14.45" customHeight="1" x14ac:dyDescent="0.2">
      <c r="A786" s="675"/>
      <c r="B786" s="671"/>
      <c r="C786" s="672"/>
      <c r="D786" s="672"/>
      <c r="E786" s="673"/>
      <c r="F786" s="671"/>
      <c r="G786" s="672"/>
      <c r="H786" s="672"/>
      <c r="I786" s="672"/>
      <c r="J786" s="672"/>
      <c r="K786" s="674"/>
      <c r="L786" s="254"/>
      <c r="M786" s="670" t="str">
        <f t="shared" si="12"/>
        <v/>
      </c>
    </row>
    <row r="787" spans="1:13" ht="14.45" customHeight="1" x14ac:dyDescent="0.2">
      <c r="A787" s="675"/>
      <c r="B787" s="671"/>
      <c r="C787" s="672"/>
      <c r="D787" s="672"/>
      <c r="E787" s="673"/>
      <c r="F787" s="671"/>
      <c r="G787" s="672"/>
      <c r="H787" s="672"/>
      <c r="I787" s="672"/>
      <c r="J787" s="672"/>
      <c r="K787" s="674"/>
      <c r="L787" s="254"/>
      <c r="M787" s="670" t="str">
        <f t="shared" si="12"/>
        <v/>
      </c>
    </row>
    <row r="788" spans="1:13" ht="14.45" customHeight="1" x14ac:dyDescent="0.2">
      <c r="A788" s="675"/>
      <c r="B788" s="671"/>
      <c r="C788" s="672"/>
      <c r="D788" s="672"/>
      <c r="E788" s="673"/>
      <c r="F788" s="671"/>
      <c r="G788" s="672"/>
      <c r="H788" s="672"/>
      <c r="I788" s="672"/>
      <c r="J788" s="672"/>
      <c r="K788" s="674"/>
      <c r="L788" s="254"/>
      <c r="M788" s="670" t="str">
        <f t="shared" si="12"/>
        <v/>
      </c>
    </row>
    <row r="789" spans="1:13" ht="14.45" customHeight="1" x14ac:dyDescent="0.2">
      <c r="A789" s="675"/>
      <c r="B789" s="671"/>
      <c r="C789" s="672"/>
      <c r="D789" s="672"/>
      <c r="E789" s="673"/>
      <c r="F789" s="671"/>
      <c r="G789" s="672"/>
      <c r="H789" s="672"/>
      <c r="I789" s="672"/>
      <c r="J789" s="672"/>
      <c r="K789" s="674"/>
      <c r="L789" s="254"/>
      <c r="M789" s="670" t="str">
        <f t="shared" si="12"/>
        <v/>
      </c>
    </row>
    <row r="790" spans="1:13" ht="14.45" customHeight="1" x14ac:dyDescent="0.2">
      <c r="A790" s="675"/>
      <c r="B790" s="671"/>
      <c r="C790" s="672"/>
      <c r="D790" s="672"/>
      <c r="E790" s="673"/>
      <c r="F790" s="671"/>
      <c r="G790" s="672"/>
      <c r="H790" s="672"/>
      <c r="I790" s="672"/>
      <c r="J790" s="672"/>
      <c r="K790" s="674"/>
      <c r="L790" s="254"/>
      <c r="M790" s="670" t="str">
        <f t="shared" si="12"/>
        <v/>
      </c>
    </row>
    <row r="791" spans="1:13" ht="14.45" customHeight="1" x14ac:dyDescent="0.2">
      <c r="A791" s="675"/>
      <c r="B791" s="671"/>
      <c r="C791" s="672"/>
      <c r="D791" s="672"/>
      <c r="E791" s="673"/>
      <c r="F791" s="671"/>
      <c r="G791" s="672"/>
      <c r="H791" s="672"/>
      <c r="I791" s="672"/>
      <c r="J791" s="672"/>
      <c r="K791" s="674"/>
      <c r="L791" s="254"/>
      <c r="M791" s="670" t="str">
        <f t="shared" si="12"/>
        <v/>
      </c>
    </row>
    <row r="792" spans="1:13" ht="14.45" customHeight="1" x14ac:dyDescent="0.2">
      <c r="A792" s="675"/>
      <c r="B792" s="671"/>
      <c r="C792" s="672"/>
      <c r="D792" s="672"/>
      <c r="E792" s="673"/>
      <c r="F792" s="671"/>
      <c r="G792" s="672"/>
      <c r="H792" s="672"/>
      <c r="I792" s="672"/>
      <c r="J792" s="672"/>
      <c r="K792" s="674"/>
      <c r="L792" s="254"/>
      <c r="M792" s="670" t="str">
        <f t="shared" si="12"/>
        <v/>
      </c>
    </row>
    <row r="793" spans="1:13" ht="14.45" customHeight="1" x14ac:dyDescent="0.2">
      <c r="A793" s="675"/>
      <c r="B793" s="671"/>
      <c r="C793" s="672"/>
      <c r="D793" s="672"/>
      <c r="E793" s="673"/>
      <c r="F793" s="671"/>
      <c r="G793" s="672"/>
      <c r="H793" s="672"/>
      <c r="I793" s="672"/>
      <c r="J793" s="672"/>
      <c r="K793" s="674"/>
      <c r="L793" s="254"/>
      <c r="M793" s="670" t="str">
        <f t="shared" si="12"/>
        <v/>
      </c>
    </row>
    <row r="794" spans="1:13" ht="14.45" customHeight="1" x14ac:dyDescent="0.2">
      <c r="A794" s="675"/>
      <c r="B794" s="671"/>
      <c r="C794" s="672"/>
      <c r="D794" s="672"/>
      <c r="E794" s="673"/>
      <c r="F794" s="671"/>
      <c r="G794" s="672"/>
      <c r="H794" s="672"/>
      <c r="I794" s="672"/>
      <c r="J794" s="672"/>
      <c r="K794" s="674"/>
      <c r="L794" s="254"/>
      <c r="M794" s="670" t="str">
        <f t="shared" si="12"/>
        <v/>
      </c>
    </row>
    <row r="795" spans="1:13" ht="14.45" customHeight="1" x14ac:dyDescent="0.2">
      <c r="A795" s="675"/>
      <c r="B795" s="671"/>
      <c r="C795" s="672"/>
      <c r="D795" s="672"/>
      <c r="E795" s="673"/>
      <c r="F795" s="671"/>
      <c r="G795" s="672"/>
      <c r="H795" s="672"/>
      <c r="I795" s="672"/>
      <c r="J795" s="672"/>
      <c r="K795" s="674"/>
      <c r="L795" s="254"/>
      <c r="M795" s="670" t="str">
        <f t="shared" si="12"/>
        <v/>
      </c>
    </row>
    <row r="796" spans="1:13" ht="14.45" customHeight="1" x14ac:dyDescent="0.2">
      <c r="A796" s="675"/>
      <c r="B796" s="671"/>
      <c r="C796" s="672"/>
      <c r="D796" s="672"/>
      <c r="E796" s="673"/>
      <c r="F796" s="671"/>
      <c r="G796" s="672"/>
      <c r="H796" s="672"/>
      <c r="I796" s="672"/>
      <c r="J796" s="672"/>
      <c r="K796" s="674"/>
      <c r="L796" s="254"/>
      <c r="M796" s="670" t="str">
        <f t="shared" si="12"/>
        <v/>
      </c>
    </row>
    <row r="797" spans="1:13" ht="14.45" customHeight="1" x14ac:dyDescent="0.2">
      <c r="A797" s="675"/>
      <c r="B797" s="671"/>
      <c r="C797" s="672"/>
      <c r="D797" s="672"/>
      <c r="E797" s="673"/>
      <c r="F797" s="671"/>
      <c r="G797" s="672"/>
      <c r="H797" s="672"/>
      <c r="I797" s="672"/>
      <c r="J797" s="672"/>
      <c r="K797" s="674"/>
      <c r="L797" s="254"/>
      <c r="M797" s="670" t="str">
        <f t="shared" si="12"/>
        <v/>
      </c>
    </row>
    <row r="798" spans="1:13" ht="14.45" customHeight="1" x14ac:dyDescent="0.2">
      <c r="A798" s="675"/>
      <c r="B798" s="671"/>
      <c r="C798" s="672"/>
      <c r="D798" s="672"/>
      <c r="E798" s="673"/>
      <c r="F798" s="671"/>
      <c r="G798" s="672"/>
      <c r="H798" s="672"/>
      <c r="I798" s="672"/>
      <c r="J798" s="672"/>
      <c r="K798" s="674"/>
      <c r="L798" s="254"/>
      <c r="M798" s="670" t="str">
        <f t="shared" si="12"/>
        <v/>
      </c>
    </row>
    <row r="799" spans="1:13" ht="14.45" customHeight="1" x14ac:dyDescent="0.2">
      <c r="A799" s="675"/>
      <c r="B799" s="671"/>
      <c r="C799" s="672"/>
      <c r="D799" s="672"/>
      <c r="E799" s="673"/>
      <c r="F799" s="671"/>
      <c r="G799" s="672"/>
      <c r="H799" s="672"/>
      <c r="I799" s="672"/>
      <c r="J799" s="672"/>
      <c r="K799" s="674"/>
      <c r="L799" s="254"/>
      <c r="M799" s="670" t="str">
        <f t="shared" si="12"/>
        <v/>
      </c>
    </row>
    <row r="800" spans="1:13" ht="14.45" customHeight="1" x14ac:dyDescent="0.2">
      <c r="A800" s="675"/>
      <c r="B800" s="671"/>
      <c r="C800" s="672"/>
      <c r="D800" s="672"/>
      <c r="E800" s="673"/>
      <c r="F800" s="671"/>
      <c r="G800" s="672"/>
      <c r="H800" s="672"/>
      <c r="I800" s="672"/>
      <c r="J800" s="672"/>
      <c r="K800" s="674"/>
      <c r="L800" s="254"/>
      <c r="M800" s="670" t="str">
        <f t="shared" si="12"/>
        <v/>
      </c>
    </row>
    <row r="801" spans="1:13" ht="14.45" customHeight="1" x14ac:dyDescent="0.2">
      <c r="A801" s="675"/>
      <c r="B801" s="671"/>
      <c r="C801" s="672"/>
      <c r="D801" s="672"/>
      <c r="E801" s="673"/>
      <c r="F801" s="671"/>
      <c r="G801" s="672"/>
      <c r="H801" s="672"/>
      <c r="I801" s="672"/>
      <c r="J801" s="672"/>
      <c r="K801" s="674"/>
      <c r="L801" s="254"/>
      <c r="M801" s="670" t="str">
        <f t="shared" si="12"/>
        <v/>
      </c>
    </row>
    <row r="802" spans="1:13" ht="14.45" customHeight="1" x14ac:dyDescent="0.2">
      <c r="A802" s="675"/>
      <c r="B802" s="671"/>
      <c r="C802" s="672"/>
      <c r="D802" s="672"/>
      <c r="E802" s="673"/>
      <c r="F802" s="671"/>
      <c r="G802" s="672"/>
      <c r="H802" s="672"/>
      <c r="I802" s="672"/>
      <c r="J802" s="672"/>
      <c r="K802" s="674"/>
      <c r="L802" s="254"/>
      <c r="M802" s="670" t="str">
        <f t="shared" si="12"/>
        <v/>
      </c>
    </row>
    <row r="803" spans="1:13" ht="14.45" customHeight="1" x14ac:dyDescent="0.2">
      <c r="A803" s="675"/>
      <c r="B803" s="671"/>
      <c r="C803" s="672"/>
      <c r="D803" s="672"/>
      <c r="E803" s="673"/>
      <c r="F803" s="671"/>
      <c r="G803" s="672"/>
      <c r="H803" s="672"/>
      <c r="I803" s="672"/>
      <c r="J803" s="672"/>
      <c r="K803" s="674"/>
      <c r="L803" s="254"/>
      <c r="M803" s="670" t="str">
        <f t="shared" si="12"/>
        <v/>
      </c>
    </row>
    <row r="804" spans="1:13" ht="14.45" customHeight="1" x14ac:dyDescent="0.2">
      <c r="A804" s="675"/>
      <c r="B804" s="671"/>
      <c r="C804" s="672"/>
      <c r="D804" s="672"/>
      <c r="E804" s="673"/>
      <c r="F804" s="671"/>
      <c r="G804" s="672"/>
      <c r="H804" s="672"/>
      <c r="I804" s="672"/>
      <c r="J804" s="672"/>
      <c r="K804" s="674"/>
      <c r="L804" s="254"/>
      <c r="M804" s="670" t="str">
        <f t="shared" si="12"/>
        <v/>
      </c>
    </row>
    <row r="805" spans="1:13" ht="14.45" customHeight="1" x14ac:dyDescent="0.2">
      <c r="A805" s="675"/>
      <c r="B805" s="671"/>
      <c r="C805" s="672"/>
      <c r="D805" s="672"/>
      <c r="E805" s="673"/>
      <c r="F805" s="671"/>
      <c r="G805" s="672"/>
      <c r="H805" s="672"/>
      <c r="I805" s="672"/>
      <c r="J805" s="672"/>
      <c r="K805" s="674"/>
      <c r="L805" s="254"/>
      <c r="M805" s="670" t="str">
        <f t="shared" si="12"/>
        <v/>
      </c>
    </row>
    <row r="806" spans="1:13" ht="14.45" customHeight="1" x14ac:dyDescent="0.2">
      <c r="A806" s="675"/>
      <c r="B806" s="671"/>
      <c r="C806" s="672"/>
      <c r="D806" s="672"/>
      <c r="E806" s="673"/>
      <c r="F806" s="671"/>
      <c r="G806" s="672"/>
      <c r="H806" s="672"/>
      <c r="I806" s="672"/>
      <c r="J806" s="672"/>
      <c r="K806" s="674"/>
      <c r="L806" s="254"/>
      <c r="M806" s="670" t="str">
        <f t="shared" si="12"/>
        <v/>
      </c>
    </row>
    <row r="807" spans="1:13" ht="14.45" customHeight="1" x14ac:dyDescent="0.2">
      <c r="A807" s="675"/>
      <c r="B807" s="671"/>
      <c r="C807" s="672"/>
      <c r="D807" s="672"/>
      <c r="E807" s="673"/>
      <c r="F807" s="671"/>
      <c r="G807" s="672"/>
      <c r="H807" s="672"/>
      <c r="I807" s="672"/>
      <c r="J807" s="672"/>
      <c r="K807" s="674"/>
      <c r="L807" s="254"/>
      <c r="M807" s="670" t="str">
        <f t="shared" si="12"/>
        <v/>
      </c>
    </row>
    <row r="808" spans="1:13" ht="14.45" customHeight="1" x14ac:dyDescent="0.2">
      <c r="A808" s="675"/>
      <c r="B808" s="671"/>
      <c r="C808" s="672"/>
      <c r="D808" s="672"/>
      <c r="E808" s="673"/>
      <c r="F808" s="671"/>
      <c r="G808" s="672"/>
      <c r="H808" s="672"/>
      <c r="I808" s="672"/>
      <c r="J808" s="672"/>
      <c r="K808" s="674"/>
      <c r="L808" s="254"/>
      <c r="M808" s="670" t="str">
        <f t="shared" si="12"/>
        <v/>
      </c>
    </row>
    <row r="809" spans="1:13" ht="14.45" customHeight="1" x14ac:dyDescent="0.2">
      <c r="A809" s="675"/>
      <c r="B809" s="671"/>
      <c r="C809" s="672"/>
      <c r="D809" s="672"/>
      <c r="E809" s="673"/>
      <c r="F809" s="671"/>
      <c r="G809" s="672"/>
      <c r="H809" s="672"/>
      <c r="I809" s="672"/>
      <c r="J809" s="672"/>
      <c r="K809" s="674"/>
      <c r="L809" s="254"/>
      <c r="M809" s="670" t="str">
        <f t="shared" si="12"/>
        <v/>
      </c>
    </row>
    <row r="810" spans="1:13" ht="14.45" customHeight="1" x14ac:dyDescent="0.2">
      <c r="A810" s="675"/>
      <c r="B810" s="671"/>
      <c r="C810" s="672"/>
      <c r="D810" s="672"/>
      <c r="E810" s="673"/>
      <c r="F810" s="671"/>
      <c r="G810" s="672"/>
      <c r="H810" s="672"/>
      <c r="I810" s="672"/>
      <c r="J810" s="672"/>
      <c r="K810" s="674"/>
      <c r="L810" s="254"/>
      <c r="M810" s="670" t="str">
        <f t="shared" si="12"/>
        <v/>
      </c>
    </row>
    <row r="811" spans="1:13" ht="14.45" customHeight="1" x14ac:dyDescent="0.2">
      <c r="A811" s="675"/>
      <c r="B811" s="671"/>
      <c r="C811" s="672"/>
      <c r="D811" s="672"/>
      <c r="E811" s="673"/>
      <c r="F811" s="671"/>
      <c r="G811" s="672"/>
      <c r="H811" s="672"/>
      <c r="I811" s="672"/>
      <c r="J811" s="672"/>
      <c r="K811" s="674"/>
      <c r="L811" s="254"/>
      <c r="M811" s="670" t="str">
        <f t="shared" si="12"/>
        <v/>
      </c>
    </row>
    <row r="812" spans="1:13" ht="14.45" customHeight="1" x14ac:dyDescent="0.2">
      <c r="A812" s="675"/>
      <c r="B812" s="671"/>
      <c r="C812" s="672"/>
      <c r="D812" s="672"/>
      <c r="E812" s="673"/>
      <c r="F812" s="671"/>
      <c r="G812" s="672"/>
      <c r="H812" s="672"/>
      <c r="I812" s="672"/>
      <c r="J812" s="672"/>
      <c r="K812" s="674"/>
      <c r="L812" s="254"/>
      <c r="M812" s="670" t="str">
        <f t="shared" si="12"/>
        <v/>
      </c>
    </row>
    <row r="813" spans="1:13" ht="14.45" customHeight="1" x14ac:dyDescent="0.2">
      <c r="A813" s="675"/>
      <c r="B813" s="671"/>
      <c r="C813" s="672"/>
      <c r="D813" s="672"/>
      <c r="E813" s="673"/>
      <c r="F813" s="671"/>
      <c r="G813" s="672"/>
      <c r="H813" s="672"/>
      <c r="I813" s="672"/>
      <c r="J813" s="672"/>
      <c r="K813" s="674"/>
      <c r="L813" s="254"/>
      <c r="M813" s="670" t="str">
        <f t="shared" si="12"/>
        <v/>
      </c>
    </row>
    <row r="814" spans="1:13" ht="14.45" customHeight="1" x14ac:dyDescent="0.2">
      <c r="A814" s="675"/>
      <c r="B814" s="671"/>
      <c r="C814" s="672"/>
      <c r="D814" s="672"/>
      <c r="E814" s="673"/>
      <c r="F814" s="671"/>
      <c r="G814" s="672"/>
      <c r="H814" s="672"/>
      <c r="I814" s="672"/>
      <c r="J814" s="672"/>
      <c r="K814" s="674"/>
      <c r="L814" s="254"/>
      <c r="M814" s="670" t="str">
        <f t="shared" si="12"/>
        <v/>
      </c>
    </row>
    <row r="815" spans="1:13" ht="14.45" customHeight="1" x14ac:dyDescent="0.2">
      <c r="A815" s="675"/>
      <c r="B815" s="671"/>
      <c r="C815" s="672"/>
      <c r="D815" s="672"/>
      <c r="E815" s="673"/>
      <c r="F815" s="671"/>
      <c r="G815" s="672"/>
      <c r="H815" s="672"/>
      <c r="I815" s="672"/>
      <c r="J815" s="672"/>
      <c r="K815" s="674"/>
      <c r="L815" s="254"/>
      <c r="M815" s="670" t="str">
        <f t="shared" si="12"/>
        <v/>
      </c>
    </row>
    <row r="816" spans="1:13" ht="14.45" customHeight="1" x14ac:dyDescent="0.2">
      <c r="A816" s="675"/>
      <c r="B816" s="671"/>
      <c r="C816" s="672"/>
      <c r="D816" s="672"/>
      <c r="E816" s="673"/>
      <c r="F816" s="671"/>
      <c r="G816" s="672"/>
      <c r="H816" s="672"/>
      <c r="I816" s="672"/>
      <c r="J816" s="672"/>
      <c r="K816" s="674"/>
      <c r="L816" s="254"/>
      <c r="M816" s="670" t="str">
        <f t="shared" si="12"/>
        <v/>
      </c>
    </row>
    <row r="817" spans="1:13" ht="14.45" customHeight="1" x14ac:dyDescent="0.2">
      <c r="A817" s="675"/>
      <c r="B817" s="671"/>
      <c r="C817" s="672"/>
      <c r="D817" s="672"/>
      <c r="E817" s="673"/>
      <c r="F817" s="671"/>
      <c r="G817" s="672"/>
      <c r="H817" s="672"/>
      <c r="I817" s="672"/>
      <c r="J817" s="672"/>
      <c r="K817" s="674"/>
      <c r="L817" s="254"/>
      <c r="M817" s="670" t="str">
        <f t="shared" si="12"/>
        <v/>
      </c>
    </row>
    <row r="818" spans="1:13" ht="14.45" customHeight="1" x14ac:dyDescent="0.2">
      <c r="A818" s="675"/>
      <c r="B818" s="671"/>
      <c r="C818" s="672"/>
      <c r="D818" s="672"/>
      <c r="E818" s="673"/>
      <c r="F818" s="671"/>
      <c r="G818" s="672"/>
      <c r="H818" s="672"/>
      <c r="I818" s="672"/>
      <c r="J818" s="672"/>
      <c r="K818" s="674"/>
      <c r="L818" s="254"/>
      <c r="M818" s="670" t="str">
        <f t="shared" si="12"/>
        <v/>
      </c>
    </row>
  </sheetData>
  <autoFilter ref="A5" xr:uid="{00000000-0009-0000-0000-000006000000}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conditionalFormatting sqref="A23:K818">
    <cfRule type="expression" dxfId="64" priority="3">
      <formula>$M23="HV"</formula>
    </cfRule>
    <cfRule type="expression" dxfId="63" priority="4">
      <formula>$M23="X"</formula>
    </cfRule>
  </conditionalFormatting>
  <conditionalFormatting sqref="A6:K22">
    <cfRule type="expression" dxfId="62" priority="1">
      <formula>$M6="HV"</formula>
    </cfRule>
    <cfRule type="expression" dxfId="61" priority="2">
      <formula>$M6="X"</formula>
    </cfRule>
  </conditionalFormatting>
  <hyperlinks>
    <hyperlink ref="A2" location="Obsah!A1" display="Zpět na Obsah  KL 01  1.-4.měsíc" xr:uid="{39BDE803-BDDA-422E-BB3F-90C7C0875833}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9">
    <tabColor theme="3" tint="0.39997558519241921"/>
    <pageSetUpPr fitToPage="1"/>
  </sheetPr>
  <dimension ref="A1:J30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313" customWidth="1"/>
    <col min="2" max="2" width="61.140625" style="313" customWidth="1"/>
    <col min="3" max="3" width="9.5703125" style="233" hidden="1" customWidth="1" outlineLevel="1"/>
    <col min="4" max="4" width="9.5703125" style="314" customWidth="1" collapsed="1"/>
    <col min="5" max="5" width="2.28515625" style="314" customWidth="1"/>
    <col min="6" max="6" width="9.5703125" style="315" customWidth="1"/>
    <col min="7" max="7" width="9.5703125" style="312" customWidth="1"/>
    <col min="8" max="9" width="9.5703125" style="233" customWidth="1"/>
    <col min="10" max="10" width="0" style="233" hidden="1" customWidth="1"/>
    <col min="11" max="16384" width="8.85546875" style="233"/>
  </cols>
  <sheetData>
    <row r="1" spans="1:10" ht="18.600000000000001" customHeight="1" thickBot="1" x14ac:dyDescent="0.35">
      <c r="A1" s="526" t="s">
        <v>160</v>
      </c>
      <c r="B1" s="527"/>
      <c r="C1" s="527"/>
      <c r="D1" s="527"/>
      <c r="E1" s="527"/>
      <c r="F1" s="527"/>
      <c r="G1" s="497"/>
      <c r="H1" s="528"/>
      <c r="I1" s="528"/>
    </row>
    <row r="2" spans="1:10" ht="14.45" customHeight="1" thickBot="1" x14ac:dyDescent="0.25">
      <c r="A2" s="350" t="s">
        <v>305</v>
      </c>
      <c r="B2" s="311"/>
      <c r="C2" s="311"/>
      <c r="D2" s="311"/>
      <c r="E2" s="311"/>
      <c r="F2" s="311"/>
    </row>
    <row r="3" spans="1:10" ht="14.45" customHeight="1" thickBot="1" x14ac:dyDescent="0.25">
      <c r="A3" s="350"/>
      <c r="B3" s="416"/>
      <c r="C3" s="415">
        <v>2019</v>
      </c>
      <c r="D3" s="357">
        <v>2020</v>
      </c>
      <c r="E3" s="11"/>
      <c r="F3" s="505">
        <v>2021</v>
      </c>
      <c r="G3" s="523"/>
      <c r="H3" s="523"/>
      <c r="I3" s="506"/>
    </row>
    <row r="4" spans="1:10" ht="14.45" customHeight="1" thickBot="1" x14ac:dyDescent="0.25">
      <c r="A4" s="361" t="s">
        <v>0</v>
      </c>
      <c r="B4" s="362" t="s">
        <v>216</v>
      </c>
      <c r="C4" s="524" t="s">
        <v>80</v>
      </c>
      <c r="D4" s="525"/>
      <c r="E4" s="363"/>
      <c r="F4" s="358" t="s">
        <v>80</v>
      </c>
      <c r="G4" s="359" t="s">
        <v>81</v>
      </c>
      <c r="H4" s="359" t="s">
        <v>55</v>
      </c>
      <c r="I4" s="360" t="s">
        <v>82</v>
      </c>
    </row>
    <row r="5" spans="1:10" ht="14.45" customHeight="1" x14ac:dyDescent="0.2">
      <c r="A5" s="676" t="s">
        <v>537</v>
      </c>
      <c r="B5" s="677" t="s">
        <v>538</v>
      </c>
      <c r="C5" s="678" t="s">
        <v>306</v>
      </c>
      <c r="D5" s="678" t="s">
        <v>306</v>
      </c>
      <c r="E5" s="678"/>
      <c r="F5" s="678" t="s">
        <v>306</v>
      </c>
      <c r="G5" s="678" t="s">
        <v>306</v>
      </c>
      <c r="H5" s="678" t="s">
        <v>306</v>
      </c>
      <c r="I5" s="679" t="s">
        <v>306</v>
      </c>
      <c r="J5" s="680" t="s">
        <v>60</v>
      </c>
    </row>
    <row r="6" spans="1:10" ht="14.45" customHeight="1" x14ac:dyDescent="0.2">
      <c r="A6" s="676" t="s">
        <v>537</v>
      </c>
      <c r="B6" s="677" t="s">
        <v>539</v>
      </c>
      <c r="C6" s="678">
        <v>4069.5181400000019</v>
      </c>
      <c r="D6" s="678">
        <v>4387.8552499999978</v>
      </c>
      <c r="E6" s="678"/>
      <c r="F6" s="678">
        <v>5826.4415500000014</v>
      </c>
      <c r="G6" s="678">
        <v>0</v>
      </c>
      <c r="H6" s="678">
        <v>5826.4415500000014</v>
      </c>
      <c r="I6" s="679" t="s">
        <v>306</v>
      </c>
      <c r="J6" s="680" t="s">
        <v>1</v>
      </c>
    </row>
    <row r="7" spans="1:10" ht="14.45" customHeight="1" x14ac:dyDescent="0.2">
      <c r="A7" s="676" t="s">
        <v>537</v>
      </c>
      <c r="B7" s="677" t="s">
        <v>540</v>
      </c>
      <c r="C7" s="678">
        <v>1925.4214900000002</v>
      </c>
      <c r="D7" s="678">
        <v>1846.8977600000007</v>
      </c>
      <c r="E7" s="678"/>
      <c r="F7" s="678">
        <v>2024.2509299999997</v>
      </c>
      <c r="G7" s="678">
        <v>0</v>
      </c>
      <c r="H7" s="678">
        <v>2024.2509299999997</v>
      </c>
      <c r="I7" s="679" t="s">
        <v>306</v>
      </c>
      <c r="J7" s="680" t="s">
        <v>1</v>
      </c>
    </row>
    <row r="8" spans="1:10" ht="14.45" customHeight="1" x14ac:dyDescent="0.2">
      <c r="A8" s="676" t="s">
        <v>537</v>
      </c>
      <c r="B8" s="677" t="s">
        <v>541</v>
      </c>
      <c r="C8" s="678">
        <v>190.31206</v>
      </c>
      <c r="D8" s="678">
        <v>165.19240999999997</v>
      </c>
      <c r="E8" s="678"/>
      <c r="F8" s="678">
        <v>257.10026000000005</v>
      </c>
      <c r="G8" s="678">
        <v>0</v>
      </c>
      <c r="H8" s="678">
        <v>257.10026000000005</v>
      </c>
      <c r="I8" s="679" t="s">
        <v>306</v>
      </c>
      <c r="J8" s="680" t="s">
        <v>1</v>
      </c>
    </row>
    <row r="9" spans="1:10" ht="14.45" customHeight="1" x14ac:dyDescent="0.2">
      <c r="A9" s="676" t="s">
        <v>537</v>
      </c>
      <c r="B9" s="677" t="s">
        <v>542</v>
      </c>
      <c r="C9" s="678">
        <v>1060.9094600000008</v>
      </c>
      <c r="D9" s="678">
        <v>1348.3234200000013</v>
      </c>
      <c r="E9" s="678"/>
      <c r="F9" s="678">
        <v>2168.2047500000022</v>
      </c>
      <c r="G9" s="678">
        <v>0</v>
      </c>
      <c r="H9" s="678">
        <v>2168.2047500000022</v>
      </c>
      <c r="I9" s="679" t="s">
        <v>306</v>
      </c>
      <c r="J9" s="680" t="s">
        <v>1</v>
      </c>
    </row>
    <row r="10" spans="1:10" ht="14.45" customHeight="1" x14ac:dyDescent="0.2">
      <c r="A10" s="676" t="s">
        <v>537</v>
      </c>
      <c r="B10" s="677" t="s">
        <v>543</v>
      </c>
      <c r="C10" s="678">
        <v>210.05769999999993</v>
      </c>
      <c r="D10" s="678">
        <v>379.80384000000015</v>
      </c>
      <c r="E10" s="678"/>
      <c r="F10" s="678">
        <v>613.90365000000054</v>
      </c>
      <c r="G10" s="678">
        <v>0</v>
      </c>
      <c r="H10" s="678">
        <v>613.90365000000054</v>
      </c>
      <c r="I10" s="679" t="s">
        <v>306</v>
      </c>
      <c r="J10" s="680" t="s">
        <v>1</v>
      </c>
    </row>
    <row r="11" spans="1:10" ht="14.45" customHeight="1" x14ac:dyDescent="0.2">
      <c r="A11" s="676" t="s">
        <v>537</v>
      </c>
      <c r="B11" s="677" t="s">
        <v>544</v>
      </c>
      <c r="C11" s="678">
        <v>0</v>
      </c>
      <c r="D11" s="678">
        <v>0</v>
      </c>
      <c r="E11" s="678"/>
      <c r="F11" s="678">
        <v>49.181979999999996</v>
      </c>
      <c r="G11" s="678">
        <v>0</v>
      </c>
      <c r="H11" s="678">
        <v>49.181979999999996</v>
      </c>
      <c r="I11" s="679" t="s">
        <v>306</v>
      </c>
      <c r="J11" s="680" t="s">
        <v>1</v>
      </c>
    </row>
    <row r="12" spans="1:10" ht="14.45" customHeight="1" x14ac:dyDescent="0.2">
      <c r="A12" s="676" t="s">
        <v>537</v>
      </c>
      <c r="B12" s="677" t="s">
        <v>545</v>
      </c>
      <c r="C12" s="678">
        <v>920.22235999999953</v>
      </c>
      <c r="D12" s="678">
        <v>1193.87435</v>
      </c>
      <c r="E12" s="678"/>
      <c r="F12" s="678">
        <v>1389.2819000000002</v>
      </c>
      <c r="G12" s="678">
        <v>0</v>
      </c>
      <c r="H12" s="678">
        <v>1389.2819000000002</v>
      </c>
      <c r="I12" s="679" t="s">
        <v>306</v>
      </c>
      <c r="J12" s="680" t="s">
        <v>1</v>
      </c>
    </row>
    <row r="13" spans="1:10" ht="14.45" customHeight="1" x14ac:dyDescent="0.2">
      <c r="A13" s="676" t="s">
        <v>537</v>
      </c>
      <c r="B13" s="677" t="s">
        <v>546</v>
      </c>
      <c r="C13" s="678">
        <v>297.35521999999992</v>
      </c>
      <c r="D13" s="678">
        <v>617.98984999999993</v>
      </c>
      <c r="E13" s="678"/>
      <c r="F13" s="678">
        <v>222.42271999999997</v>
      </c>
      <c r="G13" s="678">
        <v>0</v>
      </c>
      <c r="H13" s="678">
        <v>222.42271999999997</v>
      </c>
      <c r="I13" s="679" t="s">
        <v>306</v>
      </c>
      <c r="J13" s="680" t="s">
        <v>1</v>
      </c>
    </row>
    <row r="14" spans="1:10" ht="14.45" customHeight="1" x14ac:dyDescent="0.2">
      <c r="A14" s="676" t="s">
        <v>537</v>
      </c>
      <c r="B14" s="677" t="s">
        <v>547</v>
      </c>
      <c r="C14" s="678">
        <v>133.22726</v>
      </c>
      <c r="D14" s="678">
        <v>185.17159000000001</v>
      </c>
      <c r="E14" s="678"/>
      <c r="F14" s="678">
        <v>261.46460999999994</v>
      </c>
      <c r="G14" s="678">
        <v>0</v>
      </c>
      <c r="H14" s="678">
        <v>261.46460999999994</v>
      </c>
      <c r="I14" s="679" t="s">
        <v>306</v>
      </c>
      <c r="J14" s="680" t="s">
        <v>1</v>
      </c>
    </row>
    <row r="15" spans="1:10" ht="14.45" customHeight="1" x14ac:dyDescent="0.2">
      <c r="A15" s="676" t="s">
        <v>537</v>
      </c>
      <c r="B15" s="677" t="s">
        <v>548</v>
      </c>
      <c r="C15" s="678">
        <v>8807.0236900000018</v>
      </c>
      <c r="D15" s="678">
        <v>10125.108469999999</v>
      </c>
      <c r="E15" s="678"/>
      <c r="F15" s="678">
        <v>12812.252350000002</v>
      </c>
      <c r="G15" s="678">
        <v>0</v>
      </c>
      <c r="H15" s="678">
        <v>12812.252350000002</v>
      </c>
      <c r="I15" s="679" t="s">
        <v>306</v>
      </c>
      <c r="J15" s="680" t="s">
        <v>549</v>
      </c>
    </row>
    <row r="17" spans="1:10" ht="14.45" customHeight="1" x14ac:dyDescent="0.2">
      <c r="A17" s="676" t="s">
        <v>537</v>
      </c>
      <c r="B17" s="677" t="s">
        <v>538</v>
      </c>
      <c r="C17" s="678" t="s">
        <v>306</v>
      </c>
      <c r="D17" s="678" t="s">
        <v>306</v>
      </c>
      <c r="E17" s="678"/>
      <c r="F17" s="678" t="s">
        <v>306</v>
      </c>
      <c r="G17" s="678" t="s">
        <v>306</v>
      </c>
      <c r="H17" s="678" t="s">
        <v>306</v>
      </c>
      <c r="I17" s="679" t="s">
        <v>306</v>
      </c>
      <c r="J17" s="680" t="s">
        <v>60</v>
      </c>
    </row>
    <row r="18" spans="1:10" ht="14.45" customHeight="1" x14ac:dyDescent="0.2">
      <c r="A18" s="676" t="s">
        <v>550</v>
      </c>
      <c r="B18" s="677" t="s">
        <v>551</v>
      </c>
      <c r="C18" s="678" t="s">
        <v>306</v>
      </c>
      <c r="D18" s="678" t="s">
        <v>306</v>
      </c>
      <c r="E18" s="678"/>
      <c r="F18" s="678" t="s">
        <v>306</v>
      </c>
      <c r="G18" s="678" t="s">
        <v>306</v>
      </c>
      <c r="H18" s="678" t="s">
        <v>306</v>
      </c>
      <c r="I18" s="679" t="s">
        <v>306</v>
      </c>
      <c r="J18" s="680" t="s">
        <v>0</v>
      </c>
    </row>
    <row r="19" spans="1:10" ht="14.45" customHeight="1" x14ac:dyDescent="0.2">
      <c r="A19" s="676" t="s">
        <v>550</v>
      </c>
      <c r="B19" s="677" t="s">
        <v>539</v>
      </c>
      <c r="C19" s="678">
        <v>4069.5181400000019</v>
      </c>
      <c r="D19" s="678">
        <v>4387.8552499999978</v>
      </c>
      <c r="E19" s="678"/>
      <c r="F19" s="678">
        <v>5826.4415500000014</v>
      </c>
      <c r="G19" s="678">
        <v>0</v>
      </c>
      <c r="H19" s="678">
        <v>5826.4415500000014</v>
      </c>
      <c r="I19" s="679" t="s">
        <v>306</v>
      </c>
      <c r="J19" s="680" t="s">
        <v>1</v>
      </c>
    </row>
    <row r="20" spans="1:10" ht="14.45" customHeight="1" x14ac:dyDescent="0.2">
      <c r="A20" s="676" t="s">
        <v>550</v>
      </c>
      <c r="B20" s="677" t="s">
        <v>540</v>
      </c>
      <c r="C20" s="678">
        <v>1925.4214900000002</v>
      </c>
      <c r="D20" s="678">
        <v>1846.8977600000007</v>
      </c>
      <c r="E20" s="678"/>
      <c r="F20" s="678">
        <v>2024.2509299999997</v>
      </c>
      <c r="G20" s="678">
        <v>0</v>
      </c>
      <c r="H20" s="678">
        <v>2024.2509299999997</v>
      </c>
      <c r="I20" s="679" t="s">
        <v>306</v>
      </c>
      <c r="J20" s="680" t="s">
        <v>1</v>
      </c>
    </row>
    <row r="21" spans="1:10" ht="14.45" customHeight="1" x14ac:dyDescent="0.2">
      <c r="A21" s="676" t="s">
        <v>550</v>
      </c>
      <c r="B21" s="677" t="s">
        <v>541</v>
      </c>
      <c r="C21" s="678">
        <v>190.31206</v>
      </c>
      <c r="D21" s="678">
        <v>165.19240999999997</v>
      </c>
      <c r="E21" s="678"/>
      <c r="F21" s="678">
        <v>257.10026000000005</v>
      </c>
      <c r="G21" s="678">
        <v>0</v>
      </c>
      <c r="H21" s="678">
        <v>257.10026000000005</v>
      </c>
      <c r="I21" s="679" t="s">
        <v>306</v>
      </c>
      <c r="J21" s="680" t="s">
        <v>1</v>
      </c>
    </row>
    <row r="22" spans="1:10" ht="14.45" customHeight="1" x14ac:dyDescent="0.2">
      <c r="A22" s="676" t="s">
        <v>550</v>
      </c>
      <c r="B22" s="677" t="s">
        <v>542</v>
      </c>
      <c r="C22" s="678">
        <v>1060.9094600000008</v>
      </c>
      <c r="D22" s="678">
        <v>1348.3234200000013</v>
      </c>
      <c r="E22" s="678"/>
      <c r="F22" s="678">
        <v>2168.2047500000022</v>
      </c>
      <c r="G22" s="678">
        <v>0</v>
      </c>
      <c r="H22" s="678">
        <v>2168.2047500000022</v>
      </c>
      <c r="I22" s="679" t="s">
        <v>306</v>
      </c>
      <c r="J22" s="680" t="s">
        <v>1</v>
      </c>
    </row>
    <row r="23" spans="1:10" ht="14.45" customHeight="1" x14ac:dyDescent="0.2">
      <c r="A23" s="676" t="s">
        <v>550</v>
      </c>
      <c r="B23" s="677" t="s">
        <v>543</v>
      </c>
      <c r="C23" s="678">
        <v>210.05769999999993</v>
      </c>
      <c r="D23" s="678">
        <v>379.80384000000015</v>
      </c>
      <c r="E23" s="678"/>
      <c r="F23" s="678">
        <v>613.90365000000054</v>
      </c>
      <c r="G23" s="678">
        <v>0</v>
      </c>
      <c r="H23" s="678">
        <v>613.90365000000054</v>
      </c>
      <c r="I23" s="679" t="s">
        <v>306</v>
      </c>
      <c r="J23" s="680" t="s">
        <v>1</v>
      </c>
    </row>
    <row r="24" spans="1:10" ht="14.45" customHeight="1" x14ac:dyDescent="0.2">
      <c r="A24" s="676" t="s">
        <v>550</v>
      </c>
      <c r="B24" s="677" t="s">
        <v>544</v>
      </c>
      <c r="C24" s="678">
        <v>0</v>
      </c>
      <c r="D24" s="678">
        <v>0</v>
      </c>
      <c r="E24" s="678"/>
      <c r="F24" s="678">
        <v>49.181979999999996</v>
      </c>
      <c r="G24" s="678">
        <v>0</v>
      </c>
      <c r="H24" s="678">
        <v>49.181979999999996</v>
      </c>
      <c r="I24" s="679" t="s">
        <v>306</v>
      </c>
      <c r="J24" s="680" t="s">
        <v>1</v>
      </c>
    </row>
    <row r="25" spans="1:10" ht="14.45" customHeight="1" x14ac:dyDescent="0.2">
      <c r="A25" s="676" t="s">
        <v>550</v>
      </c>
      <c r="B25" s="677" t="s">
        <v>545</v>
      </c>
      <c r="C25" s="678">
        <v>920.22235999999953</v>
      </c>
      <c r="D25" s="678">
        <v>1193.87435</v>
      </c>
      <c r="E25" s="678"/>
      <c r="F25" s="678">
        <v>1389.2819000000002</v>
      </c>
      <c r="G25" s="678">
        <v>0</v>
      </c>
      <c r="H25" s="678">
        <v>1389.2819000000002</v>
      </c>
      <c r="I25" s="679" t="s">
        <v>306</v>
      </c>
      <c r="J25" s="680" t="s">
        <v>1</v>
      </c>
    </row>
    <row r="26" spans="1:10" ht="14.45" customHeight="1" x14ac:dyDescent="0.2">
      <c r="A26" s="676" t="s">
        <v>550</v>
      </c>
      <c r="B26" s="677" t="s">
        <v>546</v>
      </c>
      <c r="C26" s="678">
        <v>297.35521999999992</v>
      </c>
      <c r="D26" s="678">
        <v>617.98984999999993</v>
      </c>
      <c r="E26" s="678"/>
      <c r="F26" s="678">
        <v>222.42271999999997</v>
      </c>
      <c r="G26" s="678">
        <v>0</v>
      </c>
      <c r="H26" s="678">
        <v>222.42271999999997</v>
      </c>
      <c r="I26" s="679" t="s">
        <v>306</v>
      </c>
      <c r="J26" s="680" t="s">
        <v>1</v>
      </c>
    </row>
    <row r="27" spans="1:10" ht="14.45" customHeight="1" x14ac:dyDescent="0.2">
      <c r="A27" s="676" t="s">
        <v>550</v>
      </c>
      <c r="B27" s="677" t="s">
        <v>547</v>
      </c>
      <c r="C27" s="678">
        <v>133.22726</v>
      </c>
      <c r="D27" s="678">
        <v>185.17159000000001</v>
      </c>
      <c r="E27" s="678"/>
      <c r="F27" s="678">
        <v>261.46460999999994</v>
      </c>
      <c r="G27" s="678">
        <v>0</v>
      </c>
      <c r="H27" s="678">
        <v>261.46460999999994</v>
      </c>
      <c r="I27" s="679" t="s">
        <v>306</v>
      </c>
      <c r="J27" s="680" t="s">
        <v>1</v>
      </c>
    </row>
    <row r="28" spans="1:10" ht="14.45" customHeight="1" x14ac:dyDescent="0.2">
      <c r="A28" s="676" t="s">
        <v>550</v>
      </c>
      <c r="B28" s="677" t="s">
        <v>552</v>
      </c>
      <c r="C28" s="678">
        <v>8807.0236900000018</v>
      </c>
      <c r="D28" s="678">
        <v>10125.108469999999</v>
      </c>
      <c r="E28" s="678"/>
      <c r="F28" s="678">
        <v>12812.252350000002</v>
      </c>
      <c r="G28" s="678">
        <v>0</v>
      </c>
      <c r="H28" s="678">
        <v>12812.252350000002</v>
      </c>
      <c r="I28" s="679" t="s">
        <v>306</v>
      </c>
      <c r="J28" s="680" t="s">
        <v>553</v>
      </c>
    </row>
    <row r="29" spans="1:10" ht="14.45" customHeight="1" x14ac:dyDescent="0.2">
      <c r="A29" s="676" t="s">
        <v>306</v>
      </c>
      <c r="B29" s="677" t="s">
        <v>306</v>
      </c>
      <c r="C29" s="678" t="s">
        <v>306</v>
      </c>
      <c r="D29" s="678" t="s">
        <v>306</v>
      </c>
      <c r="E29" s="678"/>
      <c r="F29" s="678" t="s">
        <v>306</v>
      </c>
      <c r="G29" s="678" t="s">
        <v>306</v>
      </c>
      <c r="H29" s="678" t="s">
        <v>306</v>
      </c>
      <c r="I29" s="679" t="s">
        <v>306</v>
      </c>
      <c r="J29" s="680" t="s">
        <v>554</v>
      </c>
    </row>
    <row r="30" spans="1:10" ht="14.45" customHeight="1" x14ac:dyDescent="0.2">
      <c r="A30" s="676" t="s">
        <v>537</v>
      </c>
      <c r="B30" s="677" t="s">
        <v>548</v>
      </c>
      <c r="C30" s="678">
        <v>8807.0236900000018</v>
      </c>
      <c r="D30" s="678">
        <v>10125.108469999999</v>
      </c>
      <c r="E30" s="678"/>
      <c r="F30" s="678">
        <v>12812.252350000002</v>
      </c>
      <c r="G30" s="678">
        <v>0</v>
      </c>
      <c r="H30" s="678">
        <v>12812.252350000002</v>
      </c>
      <c r="I30" s="679" t="s">
        <v>306</v>
      </c>
      <c r="J30" s="680" t="s">
        <v>549</v>
      </c>
    </row>
  </sheetData>
  <mergeCells count="3">
    <mergeCell ref="F3:I3"/>
    <mergeCell ref="C4:D4"/>
    <mergeCell ref="A1:I1"/>
  </mergeCells>
  <conditionalFormatting sqref="F16 F31:F65537">
    <cfRule type="cellIs" dxfId="60" priority="18" stopIfTrue="1" operator="greaterThan">
      <formula>1</formula>
    </cfRule>
  </conditionalFormatting>
  <conditionalFormatting sqref="H5:H15">
    <cfRule type="expression" dxfId="59" priority="14">
      <formula>$H5&gt;0</formula>
    </cfRule>
  </conditionalFormatting>
  <conditionalFormatting sqref="I5:I15">
    <cfRule type="expression" dxfId="58" priority="15">
      <formula>$I5&gt;1</formula>
    </cfRule>
  </conditionalFormatting>
  <conditionalFormatting sqref="B5:B15">
    <cfRule type="expression" dxfId="57" priority="11">
      <formula>OR($J5="NS",$J5="SumaNS",$J5="Účet")</formula>
    </cfRule>
  </conditionalFormatting>
  <conditionalFormatting sqref="B5:D15 F5:I15">
    <cfRule type="expression" dxfId="56" priority="17">
      <formula>AND($J5&lt;&gt;"",$J5&lt;&gt;"mezeraKL")</formula>
    </cfRule>
  </conditionalFormatting>
  <conditionalFormatting sqref="B5:D15 F5:I15">
    <cfRule type="expression" dxfId="55" priority="12">
      <formula>OR($J5="KL",$J5="SumaKL")</formula>
    </cfRule>
    <cfRule type="expression" priority="16" stopIfTrue="1">
      <formula>OR($J5="mezeraNS",$J5="mezeraKL")</formula>
    </cfRule>
  </conditionalFormatting>
  <conditionalFormatting sqref="F5:I15 B5:D15">
    <cfRule type="expression" dxfId="54" priority="13">
      <formula>OR($J5="SumaNS",$J5="NS")</formula>
    </cfRule>
  </conditionalFormatting>
  <conditionalFormatting sqref="A5:A15">
    <cfRule type="expression" dxfId="53" priority="9">
      <formula>AND($J5&lt;&gt;"mezeraKL",$J5&lt;&gt;"")</formula>
    </cfRule>
  </conditionalFormatting>
  <conditionalFormatting sqref="A5:A15">
    <cfRule type="expression" dxfId="52" priority="10">
      <formula>AND($J5&lt;&gt;"",$J5&lt;&gt;"mezeraKL")</formula>
    </cfRule>
  </conditionalFormatting>
  <conditionalFormatting sqref="H17:H30">
    <cfRule type="expression" dxfId="51" priority="5">
      <formula>$H17&gt;0</formula>
    </cfRule>
  </conditionalFormatting>
  <conditionalFormatting sqref="A17:A30">
    <cfRule type="expression" dxfId="50" priority="2">
      <formula>AND($J17&lt;&gt;"mezeraKL",$J17&lt;&gt;"")</formula>
    </cfRule>
  </conditionalFormatting>
  <conditionalFormatting sqref="I17:I30">
    <cfRule type="expression" dxfId="49" priority="6">
      <formula>$I17&gt;1</formula>
    </cfRule>
  </conditionalFormatting>
  <conditionalFormatting sqref="B17:B30">
    <cfRule type="expression" dxfId="48" priority="1">
      <formula>OR($J17="NS",$J17="SumaNS",$J17="Účet")</formula>
    </cfRule>
  </conditionalFormatting>
  <conditionalFormatting sqref="A17:D30 F17:I30">
    <cfRule type="expression" dxfId="47" priority="8">
      <formula>AND($J17&lt;&gt;"",$J17&lt;&gt;"mezeraKL")</formula>
    </cfRule>
  </conditionalFormatting>
  <conditionalFormatting sqref="B17:D30 F17:I30">
    <cfRule type="expression" dxfId="46" priority="3">
      <formula>OR($J17="KL",$J17="SumaKL")</formula>
    </cfRule>
    <cfRule type="expression" priority="7" stopIfTrue="1">
      <formula>OR($J17="mezeraNS",$J17="mezeraKL")</formula>
    </cfRule>
  </conditionalFormatting>
  <conditionalFormatting sqref="B17:D30 F17:I30">
    <cfRule type="expression" dxfId="45" priority="4">
      <formula>OR($J17="SumaNS",$J17="NS")</formula>
    </cfRule>
  </conditionalFormatting>
  <hyperlinks>
    <hyperlink ref="A2" location="Obsah!A1" display="Zpět na Obsah  KL 01  1.-4.měsíc" xr:uid="{6B091AD6-E917-4301-B0C0-625C1E3BC9BD}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List10">
    <tabColor theme="0" tint="-0.249977111117893"/>
    <pageSetUpPr fitToPage="1"/>
  </sheetPr>
  <dimension ref="A1:N579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ColWidth="8.85546875" defaultRowHeight="14.45" customHeight="1" outlineLevelCol="1" x14ac:dyDescent="0.2"/>
  <cols>
    <col min="1" max="1" width="6.7109375" style="233" hidden="1" customWidth="1" outlineLevel="1"/>
    <col min="2" max="2" width="28.28515625" style="233" hidden="1" customWidth="1" outlineLevel="1"/>
    <col min="3" max="3" width="5.28515625" style="314" bestFit="1" customWidth="1" collapsed="1"/>
    <col min="4" max="4" width="18.7109375" style="318" customWidth="1"/>
    <col min="5" max="5" width="9" style="437" bestFit="1" customWidth="1"/>
    <col min="6" max="6" width="18.7109375" style="318" customWidth="1"/>
    <col min="7" max="7" width="5" style="314" customWidth="1"/>
    <col min="8" max="8" width="12.42578125" style="314" hidden="1" customWidth="1" outlineLevel="1"/>
    <col min="9" max="9" width="8.5703125" style="314" hidden="1" customWidth="1" outlineLevel="1"/>
    <col min="10" max="10" width="25.7109375" style="314" customWidth="1" collapsed="1"/>
    <col min="11" max="11" width="8.7109375" style="314" customWidth="1"/>
    <col min="12" max="13" width="7.7109375" style="312" customWidth="1"/>
    <col min="14" max="14" width="12.7109375" style="312" customWidth="1"/>
    <col min="15" max="16384" width="8.85546875" style="233"/>
  </cols>
  <sheetData>
    <row r="1" spans="1:14" ht="18.600000000000001" customHeight="1" thickBot="1" x14ac:dyDescent="0.35">
      <c r="A1" s="533" t="s">
        <v>182</v>
      </c>
      <c r="B1" s="497"/>
      <c r="C1" s="497"/>
      <c r="D1" s="497"/>
      <c r="E1" s="497"/>
      <c r="F1" s="497"/>
      <c r="G1" s="497"/>
      <c r="H1" s="497"/>
      <c r="I1" s="497"/>
      <c r="J1" s="497"/>
      <c r="K1" s="497"/>
      <c r="L1" s="497"/>
      <c r="M1" s="497"/>
      <c r="N1" s="497"/>
    </row>
    <row r="2" spans="1:14" ht="14.45" customHeight="1" thickBot="1" x14ac:dyDescent="0.25">
      <c r="A2" s="350" t="s">
        <v>305</v>
      </c>
      <c r="B2" s="66"/>
      <c r="C2" s="316"/>
      <c r="D2" s="316"/>
      <c r="E2" s="436"/>
      <c r="F2" s="316"/>
      <c r="G2" s="316"/>
      <c r="H2" s="316"/>
      <c r="I2" s="316"/>
      <c r="J2" s="316"/>
      <c r="K2" s="316"/>
      <c r="L2" s="317"/>
      <c r="M2" s="317"/>
      <c r="N2" s="317"/>
    </row>
    <row r="3" spans="1:14" ht="14.45" customHeight="1" thickBot="1" x14ac:dyDescent="0.25">
      <c r="A3" s="66"/>
      <c r="B3" s="66"/>
      <c r="C3" s="529"/>
      <c r="D3" s="530"/>
      <c r="E3" s="530"/>
      <c r="F3" s="530"/>
      <c r="G3" s="530"/>
      <c r="H3" s="530"/>
      <c r="I3" s="530"/>
      <c r="J3" s="531" t="s">
        <v>143</v>
      </c>
      <c r="K3" s="532"/>
      <c r="L3" s="189">
        <f>IF(M3&lt;&gt;0,N3/M3,0)</f>
        <v>441.5529015780491</v>
      </c>
      <c r="M3" s="189">
        <f>SUBTOTAL(9,M5:M1048576)</f>
        <v>27362.889999999996</v>
      </c>
      <c r="N3" s="190">
        <f>SUBTOTAL(9,N5:N1048576)</f>
        <v>12082163.475060983</v>
      </c>
    </row>
    <row r="4" spans="1:14" s="313" customFormat="1" ht="14.45" customHeight="1" thickBot="1" x14ac:dyDescent="0.25">
      <c r="A4" s="681" t="s">
        <v>4</v>
      </c>
      <c r="B4" s="682" t="s">
        <v>5</v>
      </c>
      <c r="C4" s="682" t="s">
        <v>0</v>
      </c>
      <c r="D4" s="682" t="s">
        <v>6</v>
      </c>
      <c r="E4" s="683" t="s">
        <v>7</v>
      </c>
      <c r="F4" s="682" t="s">
        <v>1</v>
      </c>
      <c r="G4" s="682" t="s">
        <v>8</v>
      </c>
      <c r="H4" s="682" t="s">
        <v>9</v>
      </c>
      <c r="I4" s="682" t="s">
        <v>10</v>
      </c>
      <c r="J4" s="684" t="s">
        <v>11</v>
      </c>
      <c r="K4" s="684" t="s">
        <v>12</v>
      </c>
      <c r="L4" s="685" t="s">
        <v>167</v>
      </c>
      <c r="M4" s="685" t="s">
        <v>13</v>
      </c>
      <c r="N4" s="686" t="s">
        <v>178</v>
      </c>
    </row>
    <row r="5" spans="1:14" ht="14.45" customHeight="1" x14ac:dyDescent="0.2">
      <c r="A5" s="689" t="s">
        <v>537</v>
      </c>
      <c r="B5" s="690" t="s">
        <v>538</v>
      </c>
      <c r="C5" s="691" t="s">
        <v>550</v>
      </c>
      <c r="D5" s="692" t="s">
        <v>551</v>
      </c>
      <c r="E5" s="693">
        <v>50113001</v>
      </c>
      <c r="F5" s="692" t="s">
        <v>555</v>
      </c>
      <c r="G5" s="691" t="s">
        <v>556</v>
      </c>
      <c r="H5" s="691">
        <v>846758</v>
      </c>
      <c r="I5" s="691">
        <v>103387</v>
      </c>
      <c r="J5" s="691" t="s">
        <v>557</v>
      </c>
      <c r="K5" s="691" t="s">
        <v>558</v>
      </c>
      <c r="L5" s="694">
        <v>81.280413744248918</v>
      </c>
      <c r="M5" s="694">
        <v>556</v>
      </c>
      <c r="N5" s="695">
        <v>45191.910041802395</v>
      </c>
    </row>
    <row r="6" spans="1:14" ht="14.45" customHeight="1" x14ac:dyDescent="0.2">
      <c r="A6" s="696" t="s">
        <v>537</v>
      </c>
      <c r="B6" s="697" t="s">
        <v>538</v>
      </c>
      <c r="C6" s="698" t="s">
        <v>550</v>
      </c>
      <c r="D6" s="699" t="s">
        <v>551</v>
      </c>
      <c r="E6" s="700">
        <v>50113001</v>
      </c>
      <c r="F6" s="699" t="s">
        <v>555</v>
      </c>
      <c r="G6" s="698" t="s">
        <v>556</v>
      </c>
      <c r="H6" s="698">
        <v>502433</v>
      </c>
      <c r="I6" s="698">
        <v>9999999</v>
      </c>
      <c r="J6" s="698" t="s">
        <v>559</v>
      </c>
      <c r="K6" s="698" t="s">
        <v>558</v>
      </c>
      <c r="L6" s="701">
        <v>107.8</v>
      </c>
      <c r="M6" s="701">
        <v>56</v>
      </c>
      <c r="N6" s="702">
        <v>6036.8</v>
      </c>
    </row>
    <row r="7" spans="1:14" ht="14.45" customHeight="1" x14ac:dyDescent="0.2">
      <c r="A7" s="696" t="s">
        <v>537</v>
      </c>
      <c r="B7" s="697" t="s">
        <v>538</v>
      </c>
      <c r="C7" s="698" t="s">
        <v>550</v>
      </c>
      <c r="D7" s="699" t="s">
        <v>551</v>
      </c>
      <c r="E7" s="700">
        <v>50113001</v>
      </c>
      <c r="F7" s="699" t="s">
        <v>555</v>
      </c>
      <c r="G7" s="698" t="s">
        <v>556</v>
      </c>
      <c r="H7" s="698">
        <v>501927</v>
      </c>
      <c r="I7" s="698">
        <v>172774</v>
      </c>
      <c r="J7" s="698" t="s">
        <v>560</v>
      </c>
      <c r="K7" s="698" t="s">
        <v>561</v>
      </c>
      <c r="L7" s="701">
        <v>302.50179487179491</v>
      </c>
      <c r="M7" s="701">
        <v>39</v>
      </c>
      <c r="N7" s="702">
        <v>11797.570000000002</v>
      </c>
    </row>
    <row r="8" spans="1:14" ht="14.45" customHeight="1" x14ac:dyDescent="0.2">
      <c r="A8" s="696" t="s">
        <v>537</v>
      </c>
      <c r="B8" s="697" t="s">
        <v>538</v>
      </c>
      <c r="C8" s="698" t="s">
        <v>550</v>
      </c>
      <c r="D8" s="699" t="s">
        <v>551</v>
      </c>
      <c r="E8" s="700">
        <v>50113001</v>
      </c>
      <c r="F8" s="699" t="s">
        <v>555</v>
      </c>
      <c r="G8" s="698" t="s">
        <v>306</v>
      </c>
      <c r="H8" s="698">
        <v>172775</v>
      </c>
      <c r="I8" s="698">
        <v>172775</v>
      </c>
      <c r="J8" s="698" t="s">
        <v>560</v>
      </c>
      <c r="K8" s="698" t="s">
        <v>562</v>
      </c>
      <c r="L8" s="701">
        <v>538.03</v>
      </c>
      <c r="M8" s="701">
        <v>3</v>
      </c>
      <c r="N8" s="702">
        <v>1614.09</v>
      </c>
    </row>
    <row r="9" spans="1:14" ht="14.45" customHeight="1" x14ac:dyDescent="0.2">
      <c r="A9" s="696" t="s">
        <v>537</v>
      </c>
      <c r="B9" s="697" t="s">
        <v>538</v>
      </c>
      <c r="C9" s="698" t="s">
        <v>550</v>
      </c>
      <c r="D9" s="699" t="s">
        <v>551</v>
      </c>
      <c r="E9" s="700">
        <v>50113001</v>
      </c>
      <c r="F9" s="699" t="s">
        <v>555</v>
      </c>
      <c r="G9" s="698" t="s">
        <v>556</v>
      </c>
      <c r="H9" s="698">
        <v>243462</v>
      </c>
      <c r="I9" s="698">
        <v>243462</v>
      </c>
      <c r="J9" s="698" t="s">
        <v>563</v>
      </c>
      <c r="K9" s="698" t="s">
        <v>564</v>
      </c>
      <c r="L9" s="701">
        <v>49.098899521531102</v>
      </c>
      <c r="M9" s="701">
        <v>209</v>
      </c>
      <c r="N9" s="702">
        <v>10261.67</v>
      </c>
    </row>
    <row r="10" spans="1:14" ht="14.45" customHeight="1" x14ac:dyDescent="0.2">
      <c r="A10" s="696" t="s">
        <v>537</v>
      </c>
      <c r="B10" s="697" t="s">
        <v>538</v>
      </c>
      <c r="C10" s="698" t="s">
        <v>550</v>
      </c>
      <c r="D10" s="699" t="s">
        <v>551</v>
      </c>
      <c r="E10" s="700">
        <v>50113001</v>
      </c>
      <c r="F10" s="699" t="s">
        <v>555</v>
      </c>
      <c r="G10" s="698" t="s">
        <v>556</v>
      </c>
      <c r="H10" s="698">
        <v>243014</v>
      </c>
      <c r="I10" s="698">
        <v>243014</v>
      </c>
      <c r="J10" s="698" t="s">
        <v>565</v>
      </c>
      <c r="K10" s="698" t="s">
        <v>566</v>
      </c>
      <c r="L10" s="701">
        <v>153.88999999999999</v>
      </c>
      <c r="M10" s="701">
        <v>1</v>
      </c>
      <c r="N10" s="702">
        <v>153.88999999999999</v>
      </c>
    </row>
    <row r="11" spans="1:14" ht="14.45" customHeight="1" x14ac:dyDescent="0.2">
      <c r="A11" s="696" t="s">
        <v>537</v>
      </c>
      <c r="B11" s="697" t="s">
        <v>538</v>
      </c>
      <c r="C11" s="698" t="s">
        <v>550</v>
      </c>
      <c r="D11" s="699" t="s">
        <v>551</v>
      </c>
      <c r="E11" s="700">
        <v>50113001</v>
      </c>
      <c r="F11" s="699" t="s">
        <v>555</v>
      </c>
      <c r="G11" s="698" t="s">
        <v>556</v>
      </c>
      <c r="H11" s="698">
        <v>221862</v>
      </c>
      <c r="I11" s="698">
        <v>221862</v>
      </c>
      <c r="J11" s="698" t="s">
        <v>567</v>
      </c>
      <c r="K11" s="698" t="s">
        <v>568</v>
      </c>
      <c r="L11" s="701">
        <v>112.05999999999997</v>
      </c>
      <c r="M11" s="701">
        <v>2</v>
      </c>
      <c r="N11" s="702">
        <v>224.11999999999995</v>
      </c>
    </row>
    <row r="12" spans="1:14" ht="14.45" customHeight="1" x14ac:dyDescent="0.2">
      <c r="A12" s="696" t="s">
        <v>537</v>
      </c>
      <c r="B12" s="697" t="s">
        <v>538</v>
      </c>
      <c r="C12" s="698" t="s">
        <v>550</v>
      </c>
      <c r="D12" s="699" t="s">
        <v>551</v>
      </c>
      <c r="E12" s="700">
        <v>50113001</v>
      </c>
      <c r="F12" s="699" t="s">
        <v>555</v>
      </c>
      <c r="G12" s="698" t="s">
        <v>556</v>
      </c>
      <c r="H12" s="698">
        <v>100362</v>
      </c>
      <c r="I12" s="698">
        <v>362</v>
      </c>
      <c r="J12" s="698" t="s">
        <v>569</v>
      </c>
      <c r="K12" s="698" t="s">
        <v>570</v>
      </c>
      <c r="L12" s="701">
        <v>72.848888888888894</v>
      </c>
      <c r="M12" s="701">
        <v>9</v>
      </c>
      <c r="N12" s="702">
        <v>655.64</v>
      </c>
    </row>
    <row r="13" spans="1:14" ht="14.45" customHeight="1" x14ac:dyDescent="0.2">
      <c r="A13" s="696" t="s">
        <v>537</v>
      </c>
      <c r="B13" s="697" t="s">
        <v>538</v>
      </c>
      <c r="C13" s="698" t="s">
        <v>550</v>
      </c>
      <c r="D13" s="699" t="s">
        <v>551</v>
      </c>
      <c r="E13" s="700">
        <v>50113001</v>
      </c>
      <c r="F13" s="699" t="s">
        <v>555</v>
      </c>
      <c r="G13" s="698" t="s">
        <v>571</v>
      </c>
      <c r="H13" s="698">
        <v>149149</v>
      </c>
      <c r="I13" s="698">
        <v>149149</v>
      </c>
      <c r="J13" s="698" t="s">
        <v>572</v>
      </c>
      <c r="K13" s="698" t="s">
        <v>573</v>
      </c>
      <c r="L13" s="701">
        <v>2199.85</v>
      </c>
      <c r="M13" s="701">
        <v>1</v>
      </c>
      <c r="N13" s="702">
        <v>2199.85</v>
      </c>
    </row>
    <row r="14" spans="1:14" ht="14.45" customHeight="1" x14ac:dyDescent="0.2">
      <c r="A14" s="696" t="s">
        <v>537</v>
      </c>
      <c r="B14" s="697" t="s">
        <v>538</v>
      </c>
      <c r="C14" s="698" t="s">
        <v>550</v>
      </c>
      <c r="D14" s="699" t="s">
        <v>551</v>
      </c>
      <c r="E14" s="700">
        <v>50113001</v>
      </c>
      <c r="F14" s="699" t="s">
        <v>555</v>
      </c>
      <c r="G14" s="698" t="s">
        <v>571</v>
      </c>
      <c r="H14" s="698">
        <v>129710</v>
      </c>
      <c r="I14" s="698">
        <v>29710</v>
      </c>
      <c r="J14" s="698" t="s">
        <v>574</v>
      </c>
      <c r="K14" s="698" t="s">
        <v>575</v>
      </c>
      <c r="L14" s="701">
        <v>3735.97</v>
      </c>
      <c r="M14" s="701">
        <v>1</v>
      </c>
      <c r="N14" s="702">
        <v>3735.97</v>
      </c>
    </row>
    <row r="15" spans="1:14" ht="14.45" customHeight="1" x14ac:dyDescent="0.2">
      <c r="A15" s="696" t="s">
        <v>537</v>
      </c>
      <c r="B15" s="697" t="s">
        <v>538</v>
      </c>
      <c r="C15" s="698" t="s">
        <v>550</v>
      </c>
      <c r="D15" s="699" t="s">
        <v>551</v>
      </c>
      <c r="E15" s="700">
        <v>50113001</v>
      </c>
      <c r="F15" s="699" t="s">
        <v>555</v>
      </c>
      <c r="G15" s="698" t="s">
        <v>556</v>
      </c>
      <c r="H15" s="698">
        <v>128837</v>
      </c>
      <c r="I15" s="698">
        <v>28837</v>
      </c>
      <c r="J15" s="698" t="s">
        <v>576</v>
      </c>
      <c r="K15" s="698" t="s">
        <v>577</v>
      </c>
      <c r="L15" s="701">
        <v>79.299999999999983</v>
      </c>
      <c r="M15" s="701">
        <v>1</v>
      </c>
      <c r="N15" s="702">
        <v>79.299999999999983</v>
      </c>
    </row>
    <row r="16" spans="1:14" ht="14.45" customHeight="1" x14ac:dyDescent="0.2">
      <c r="A16" s="696" t="s">
        <v>537</v>
      </c>
      <c r="B16" s="697" t="s">
        <v>538</v>
      </c>
      <c r="C16" s="698" t="s">
        <v>550</v>
      </c>
      <c r="D16" s="699" t="s">
        <v>551</v>
      </c>
      <c r="E16" s="700">
        <v>50113001</v>
      </c>
      <c r="F16" s="699" t="s">
        <v>555</v>
      </c>
      <c r="G16" s="698" t="s">
        <v>556</v>
      </c>
      <c r="H16" s="698">
        <v>202701</v>
      </c>
      <c r="I16" s="698">
        <v>202701</v>
      </c>
      <c r="J16" s="698" t="s">
        <v>578</v>
      </c>
      <c r="K16" s="698" t="s">
        <v>579</v>
      </c>
      <c r="L16" s="701">
        <v>161.56000502419519</v>
      </c>
      <c r="M16" s="701">
        <v>3</v>
      </c>
      <c r="N16" s="702">
        <v>484.68001507258555</v>
      </c>
    </row>
    <row r="17" spans="1:14" ht="14.45" customHeight="1" x14ac:dyDescent="0.2">
      <c r="A17" s="696" t="s">
        <v>537</v>
      </c>
      <c r="B17" s="697" t="s">
        <v>538</v>
      </c>
      <c r="C17" s="698" t="s">
        <v>550</v>
      </c>
      <c r="D17" s="699" t="s">
        <v>551</v>
      </c>
      <c r="E17" s="700">
        <v>50113001</v>
      </c>
      <c r="F17" s="699" t="s">
        <v>555</v>
      </c>
      <c r="G17" s="698" t="s">
        <v>556</v>
      </c>
      <c r="H17" s="698">
        <v>845008</v>
      </c>
      <c r="I17" s="698">
        <v>107806</v>
      </c>
      <c r="J17" s="698" t="s">
        <v>578</v>
      </c>
      <c r="K17" s="698" t="s">
        <v>580</v>
      </c>
      <c r="L17" s="701">
        <v>72.553750000000008</v>
      </c>
      <c r="M17" s="701">
        <v>8</v>
      </c>
      <c r="N17" s="702">
        <v>580.43000000000006</v>
      </c>
    </row>
    <row r="18" spans="1:14" ht="14.45" customHeight="1" x14ac:dyDescent="0.2">
      <c r="A18" s="696" t="s">
        <v>537</v>
      </c>
      <c r="B18" s="697" t="s">
        <v>538</v>
      </c>
      <c r="C18" s="698" t="s">
        <v>550</v>
      </c>
      <c r="D18" s="699" t="s">
        <v>551</v>
      </c>
      <c r="E18" s="700">
        <v>50113001</v>
      </c>
      <c r="F18" s="699" t="s">
        <v>555</v>
      </c>
      <c r="G18" s="698" t="s">
        <v>556</v>
      </c>
      <c r="H18" s="698">
        <v>153200</v>
      </c>
      <c r="I18" s="698">
        <v>53200</v>
      </c>
      <c r="J18" s="698" t="s">
        <v>581</v>
      </c>
      <c r="K18" s="698" t="s">
        <v>582</v>
      </c>
      <c r="L18" s="701">
        <v>52.765862068965525</v>
      </c>
      <c r="M18" s="701">
        <v>29</v>
      </c>
      <c r="N18" s="702">
        <v>1530.2100000000003</v>
      </c>
    </row>
    <row r="19" spans="1:14" ht="14.45" customHeight="1" x14ac:dyDescent="0.2">
      <c r="A19" s="696" t="s">
        <v>537</v>
      </c>
      <c r="B19" s="697" t="s">
        <v>538</v>
      </c>
      <c r="C19" s="698" t="s">
        <v>550</v>
      </c>
      <c r="D19" s="699" t="s">
        <v>551</v>
      </c>
      <c r="E19" s="700">
        <v>50113001</v>
      </c>
      <c r="F19" s="699" t="s">
        <v>555</v>
      </c>
      <c r="G19" s="698" t="s">
        <v>571</v>
      </c>
      <c r="H19" s="698">
        <v>102945</v>
      </c>
      <c r="I19" s="698">
        <v>2945</v>
      </c>
      <c r="J19" s="698" t="s">
        <v>583</v>
      </c>
      <c r="K19" s="698" t="s">
        <v>584</v>
      </c>
      <c r="L19" s="701">
        <v>8.6999999999999975</v>
      </c>
      <c r="M19" s="701">
        <v>1</v>
      </c>
      <c r="N19" s="702">
        <v>8.6999999999999975</v>
      </c>
    </row>
    <row r="20" spans="1:14" ht="14.45" customHeight="1" x14ac:dyDescent="0.2">
      <c r="A20" s="696" t="s">
        <v>537</v>
      </c>
      <c r="B20" s="697" t="s">
        <v>538</v>
      </c>
      <c r="C20" s="698" t="s">
        <v>550</v>
      </c>
      <c r="D20" s="699" t="s">
        <v>551</v>
      </c>
      <c r="E20" s="700">
        <v>50113001</v>
      </c>
      <c r="F20" s="699" t="s">
        <v>555</v>
      </c>
      <c r="G20" s="698" t="s">
        <v>306</v>
      </c>
      <c r="H20" s="698">
        <v>191696</v>
      </c>
      <c r="I20" s="698">
        <v>191696</v>
      </c>
      <c r="J20" s="698" t="s">
        <v>585</v>
      </c>
      <c r="K20" s="698" t="s">
        <v>586</v>
      </c>
      <c r="L20" s="701">
        <v>163.07999999999998</v>
      </c>
      <c r="M20" s="701">
        <v>1</v>
      </c>
      <c r="N20" s="702">
        <v>163.07999999999998</v>
      </c>
    </row>
    <row r="21" spans="1:14" ht="14.45" customHeight="1" x14ac:dyDescent="0.2">
      <c r="A21" s="696" t="s">
        <v>537</v>
      </c>
      <c r="B21" s="697" t="s">
        <v>538</v>
      </c>
      <c r="C21" s="698" t="s">
        <v>550</v>
      </c>
      <c r="D21" s="699" t="s">
        <v>551</v>
      </c>
      <c r="E21" s="700">
        <v>50113001</v>
      </c>
      <c r="F21" s="699" t="s">
        <v>555</v>
      </c>
      <c r="G21" s="698" t="s">
        <v>556</v>
      </c>
      <c r="H21" s="698">
        <v>176954</v>
      </c>
      <c r="I21" s="698">
        <v>176954</v>
      </c>
      <c r="J21" s="698" t="s">
        <v>587</v>
      </c>
      <c r="K21" s="698" t="s">
        <v>588</v>
      </c>
      <c r="L21" s="701">
        <v>95.11999192481484</v>
      </c>
      <c r="M21" s="701">
        <v>2</v>
      </c>
      <c r="N21" s="702">
        <v>190.23998384962968</v>
      </c>
    </row>
    <row r="22" spans="1:14" ht="14.45" customHeight="1" x14ac:dyDescent="0.2">
      <c r="A22" s="696" t="s">
        <v>537</v>
      </c>
      <c r="B22" s="697" t="s">
        <v>538</v>
      </c>
      <c r="C22" s="698" t="s">
        <v>550</v>
      </c>
      <c r="D22" s="699" t="s">
        <v>551</v>
      </c>
      <c r="E22" s="700">
        <v>50113001</v>
      </c>
      <c r="F22" s="699" t="s">
        <v>555</v>
      </c>
      <c r="G22" s="698" t="s">
        <v>556</v>
      </c>
      <c r="H22" s="698">
        <v>167547</v>
      </c>
      <c r="I22" s="698">
        <v>67547</v>
      </c>
      <c r="J22" s="698" t="s">
        <v>589</v>
      </c>
      <c r="K22" s="698" t="s">
        <v>590</v>
      </c>
      <c r="L22" s="701">
        <v>48.80954545454545</v>
      </c>
      <c r="M22" s="701">
        <v>22</v>
      </c>
      <c r="N22" s="702">
        <v>1073.81</v>
      </c>
    </row>
    <row r="23" spans="1:14" ht="14.45" customHeight="1" x14ac:dyDescent="0.2">
      <c r="A23" s="696" t="s">
        <v>537</v>
      </c>
      <c r="B23" s="697" t="s">
        <v>538</v>
      </c>
      <c r="C23" s="698" t="s">
        <v>550</v>
      </c>
      <c r="D23" s="699" t="s">
        <v>551</v>
      </c>
      <c r="E23" s="700">
        <v>50113001</v>
      </c>
      <c r="F23" s="699" t="s">
        <v>555</v>
      </c>
      <c r="G23" s="698" t="s">
        <v>556</v>
      </c>
      <c r="H23" s="698">
        <v>194916</v>
      </c>
      <c r="I23" s="698">
        <v>94916</v>
      </c>
      <c r="J23" s="698" t="s">
        <v>591</v>
      </c>
      <c r="K23" s="698" t="s">
        <v>592</v>
      </c>
      <c r="L23" s="701">
        <v>84.568333333333328</v>
      </c>
      <c r="M23" s="701">
        <v>12</v>
      </c>
      <c r="N23" s="702">
        <v>1014.8199999999999</v>
      </c>
    </row>
    <row r="24" spans="1:14" ht="14.45" customHeight="1" x14ac:dyDescent="0.2">
      <c r="A24" s="696" t="s">
        <v>537</v>
      </c>
      <c r="B24" s="697" t="s">
        <v>538</v>
      </c>
      <c r="C24" s="698" t="s">
        <v>550</v>
      </c>
      <c r="D24" s="699" t="s">
        <v>551</v>
      </c>
      <c r="E24" s="700">
        <v>50113001</v>
      </c>
      <c r="F24" s="699" t="s">
        <v>555</v>
      </c>
      <c r="G24" s="698" t="s">
        <v>556</v>
      </c>
      <c r="H24" s="698">
        <v>194920</v>
      </c>
      <c r="I24" s="698">
        <v>94920</v>
      </c>
      <c r="J24" s="698" t="s">
        <v>593</v>
      </c>
      <c r="K24" s="698" t="s">
        <v>594</v>
      </c>
      <c r="L24" s="701">
        <v>74.931999999999974</v>
      </c>
      <c r="M24" s="701">
        <v>5</v>
      </c>
      <c r="N24" s="702">
        <v>374.65999999999985</v>
      </c>
    </row>
    <row r="25" spans="1:14" ht="14.45" customHeight="1" x14ac:dyDescent="0.2">
      <c r="A25" s="696" t="s">
        <v>537</v>
      </c>
      <c r="B25" s="697" t="s">
        <v>538</v>
      </c>
      <c r="C25" s="698" t="s">
        <v>550</v>
      </c>
      <c r="D25" s="699" t="s">
        <v>551</v>
      </c>
      <c r="E25" s="700">
        <v>50113001</v>
      </c>
      <c r="F25" s="699" t="s">
        <v>555</v>
      </c>
      <c r="G25" s="698" t="s">
        <v>556</v>
      </c>
      <c r="H25" s="698">
        <v>223855</v>
      </c>
      <c r="I25" s="698">
        <v>223855</v>
      </c>
      <c r="J25" s="698" t="s">
        <v>595</v>
      </c>
      <c r="K25" s="698" t="s">
        <v>596</v>
      </c>
      <c r="L25" s="701">
        <v>146.63478260869564</v>
      </c>
      <c r="M25" s="701">
        <v>115</v>
      </c>
      <c r="N25" s="702">
        <v>16863</v>
      </c>
    </row>
    <row r="26" spans="1:14" ht="14.45" customHeight="1" x14ac:dyDescent="0.2">
      <c r="A26" s="696" t="s">
        <v>537</v>
      </c>
      <c r="B26" s="697" t="s">
        <v>538</v>
      </c>
      <c r="C26" s="698" t="s">
        <v>550</v>
      </c>
      <c r="D26" s="699" t="s">
        <v>551</v>
      </c>
      <c r="E26" s="700">
        <v>50113001</v>
      </c>
      <c r="F26" s="699" t="s">
        <v>555</v>
      </c>
      <c r="G26" s="698" t="s">
        <v>556</v>
      </c>
      <c r="H26" s="698">
        <v>246096</v>
      </c>
      <c r="I26" s="698">
        <v>246096</v>
      </c>
      <c r="J26" s="698" t="s">
        <v>597</v>
      </c>
      <c r="K26" s="698" t="s">
        <v>598</v>
      </c>
      <c r="L26" s="701">
        <v>322.32117647058828</v>
      </c>
      <c r="M26" s="701">
        <v>17</v>
      </c>
      <c r="N26" s="702">
        <v>5479.4600000000009</v>
      </c>
    </row>
    <row r="27" spans="1:14" ht="14.45" customHeight="1" x14ac:dyDescent="0.2">
      <c r="A27" s="696" t="s">
        <v>537</v>
      </c>
      <c r="B27" s="697" t="s">
        <v>538</v>
      </c>
      <c r="C27" s="698" t="s">
        <v>550</v>
      </c>
      <c r="D27" s="699" t="s">
        <v>551</v>
      </c>
      <c r="E27" s="700">
        <v>50113001</v>
      </c>
      <c r="F27" s="699" t="s">
        <v>555</v>
      </c>
      <c r="G27" s="698" t="s">
        <v>556</v>
      </c>
      <c r="H27" s="698">
        <v>845369</v>
      </c>
      <c r="I27" s="698">
        <v>107987</v>
      </c>
      <c r="J27" s="698" t="s">
        <v>599</v>
      </c>
      <c r="K27" s="698" t="s">
        <v>600</v>
      </c>
      <c r="L27" s="701">
        <v>118.15933333333332</v>
      </c>
      <c r="M27" s="701">
        <v>15</v>
      </c>
      <c r="N27" s="702">
        <v>1772.3899999999999</v>
      </c>
    </row>
    <row r="28" spans="1:14" ht="14.45" customHeight="1" x14ac:dyDescent="0.2">
      <c r="A28" s="696" t="s">
        <v>537</v>
      </c>
      <c r="B28" s="697" t="s">
        <v>538</v>
      </c>
      <c r="C28" s="698" t="s">
        <v>550</v>
      </c>
      <c r="D28" s="699" t="s">
        <v>551</v>
      </c>
      <c r="E28" s="700">
        <v>50113001</v>
      </c>
      <c r="F28" s="699" t="s">
        <v>555</v>
      </c>
      <c r="G28" s="698" t="s">
        <v>556</v>
      </c>
      <c r="H28" s="698">
        <v>235897</v>
      </c>
      <c r="I28" s="698">
        <v>235897</v>
      </c>
      <c r="J28" s="698" t="s">
        <v>601</v>
      </c>
      <c r="K28" s="698" t="s">
        <v>602</v>
      </c>
      <c r="L28" s="701">
        <v>72.61</v>
      </c>
      <c r="M28" s="701">
        <v>1</v>
      </c>
      <c r="N28" s="702">
        <v>72.61</v>
      </c>
    </row>
    <row r="29" spans="1:14" ht="14.45" customHeight="1" x14ac:dyDescent="0.2">
      <c r="A29" s="696" t="s">
        <v>537</v>
      </c>
      <c r="B29" s="697" t="s">
        <v>538</v>
      </c>
      <c r="C29" s="698" t="s">
        <v>550</v>
      </c>
      <c r="D29" s="699" t="s">
        <v>551</v>
      </c>
      <c r="E29" s="700">
        <v>50113001</v>
      </c>
      <c r="F29" s="699" t="s">
        <v>555</v>
      </c>
      <c r="G29" s="698" t="s">
        <v>556</v>
      </c>
      <c r="H29" s="698">
        <v>207931</v>
      </c>
      <c r="I29" s="698">
        <v>207931</v>
      </c>
      <c r="J29" s="698" t="s">
        <v>603</v>
      </c>
      <c r="K29" s="698" t="s">
        <v>604</v>
      </c>
      <c r="L29" s="701">
        <v>33.780000000000008</v>
      </c>
      <c r="M29" s="701">
        <v>3</v>
      </c>
      <c r="N29" s="702">
        <v>101.34000000000002</v>
      </c>
    </row>
    <row r="30" spans="1:14" ht="14.45" customHeight="1" x14ac:dyDescent="0.2">
      <c r="A30" s="696" t="s">
        <v>537</v>
      </c>
      <c r="B30" s="697" t="s">
        <v>538</v>
      </c>
      <c r="C30" s="698" t="s">
        <v>550</v>
      </c>
      <c r="D30" s="699" t="s">
        <v>551</v>
      </c>
      <c r="E30" s="700">
        <v>50113001</v>
      </c>
      <c r="F30" s="699" t="s">
        <v>555</v>
      </c>
      <c r="G30" s="698" t="s">
        <v>556</v>
      </c>
      <c r="H30" s="698">
        <v>196610</v>
      </c>
      <c r="I30" s="698">
        <v>96610</v>
      </c>
      <c r="J30" s="698" t="s">
        <v>605</v>
      </c>
      <c r="K30" s="698" t="s">
        <v>606</v>
      </c>
      <c r="L30" s="701">
        <v>76.190128205128218</v>
      </c>
      <c r="M30" s="701">
        <v>78</v>
      </c>
      <c r="N30" s="702">
        <v>5942.8300000000008</v>
      </c>
    </row>
    <row r="31" spans="1:14" ht="14.45" customHeight="1" x14ac:dyDescent="0.2">
      <c r="A31" s="696" t="s">
        <v>537</v>
      </c>
      <c r="B31" s="697" t="s">
        <v>538</v>
      </c>
      <c r="C31" s="698" t="s">
        <v>550</v>
      </c>
      <c r="D31" s="699" t="s">
        <v>551</v>
      </c>
      <c r="E31" s="700">
        <v>50113001</v>
      </c>
      <c r="F31" s="699" t="s">
        <v>555</v>
      </c>
      <c r="G31" s="698" t="s">
        <v>556</v>
      </c>
      <c r="H31" s="698">
        <v>173314</v>
      </c>
      <c r="I31" s="698">
        <v>173314</v>
      </c>
      <c r="J31" s="698" t="s">
        <v>607</v>
      </c>
      <c r="K31" s="698" t="s">
        <v>608</v>
      </c>
      <c r="L31" s="701">
        <v>207.57</v>
      </c>
      <c r="M31" s="701">
        <v>86.999999999999986</v>
      </c>
      <c r="N31" s="702">
        <v>18058.589999999997</v>
      </c>
    </row>
    <row r="32" spans="1:14" ht="14.45" customHeight="1" x14ac:dyDescent="0.2">
      <c r="A32" s="696" t="s">
        <v>537</v>
      </c>
      <c r="B32" s="697" t="s">
        <v>538</v>
      </c>
      <c r="C32" s="698" t="s">
        <v>550</v>
      </c>
      <c r="D32" s="699" t="s">
        <v>551</v>
      </c>
      <c r="E32" s="700">
        <v>50113001</v>
      </c>
      <c r="F32" s="699" t="s">
        <v>555</v>
      </c>
      <c r="G32" s="698" t="s">
        <v>556</v>
      </c>
      <c r="H32" s="698">
        <v>173312</v>
      </c>
      <c r="I32" s="698">
        <v>173312</v>
      </c>
      <c r="J32" s="698" t="s">
        <v>607</v>
      </c>
      <c r="K32" s="698" t="s">
        <v>609</v>
      </c>
      <c r="L32" s="701">
        <v>218.79</v>
      </c>
      <c r="M32" s="701">
        <v>8</v>
      </c>
      <c r="N32" s="702">
        <v>1750.32</v>
      </c>
    </row>
    <row r="33" spans="1:14" ht="14.45" customHeight="1" x14ac:dyDescent="0.2">
      <c r="A33" s="696" t="s">
        <v>537</v>
      </c>
      <c r="B33" s="697" t="s">
        <v>538</v>
      </c>
      <c r="C33" s="698" t="s">
        <v>550</v>
      </c>
      <c r="D33" s="699" t="s">
        <v>551</v>
      </c>
      <c r="E33" s="700">
        <v>50113001</v>
      </c>
      <c r="F33" s="699" t="s">
        <v>555</v>
      </c>
      <c r="G33" s="698" t="s">
        <v>556</v>
      </c>
      <c r="H33" s="698">
        <v>10561</v>
      </c>
      <c r="I33" s="698">
        <v>10561</v>
      </c>
      <c r="J33" s="698" t="s">
        <v>610</v>
      </c>
      <c r="K33" s="698" t="s">
        <v>611</v>
      </c>
      <c r="L33" s="701">
        <v>316.64454545454549</v>
      </c>
      <c r="M33" s="701">
        <v>22</v>
      </c>
      <c r="N33" s="702">
        <v>6966.18</v>
      </c>
    </row>
    <row r="34" spans="1:14" ht="14.45" customHeight="1" x14ac:dyDescent="0.2">
      <c r="A34" s="696" t="s">
        <v>537</v>
      </c>
      <c r="B34" s="697" t="s">
        <v>538</v>
      </c>
      <c r="C34" s="698" t="s">
        <v>550</v>
      </c>
      <c r="D34" s="699" t="s">
        <v>551</v>
      </c>
      <c r="E34" s="700">
        <v>50113001</v>
      </c>
      <c r="F34" s="699" t="s">
        <v>555</v>
      </c>
      <c r="G34" s="698" t="s">
        <v>556</v>
      </c>
      <c r="H34" s="698">
        <v>110555</v>
      </c>
      <c r="I34" s="698">
        <v>10555</v>
      </c>
      <c r="J34" s="698" t="s">
        <v>610</v>
      </c>
      <c r="K34" s="698" t="s">
        <v>612</v>
      </c>
      <c r="L34" s="701">
        <v>254.97999999999993</v>
      </c>
      <c r="M34" s="701">
        <v>46</v>
      </c>
      <c r="N34" s="702">
        <v>11729.079999999996</v>
      </c>
    </row>
    <row r="35" spans="1:14" ht="14.45" customHeight="1" x14ac:dyDescent="0.2">
      <c r="A35" s="696" t="s">
        <v>537</v>
      </c>
      <c r="B35" s="697" t="s">
        <v>538</v>
      </c>
      <c r="C35" s="698" t="s">
        <v>550</v>
      </c>
      <c r="D35" s="699" t="s">
        <v>551</v>
      </c>
      <c r="E35" s="700">
        <v>50113001</v>
      </c>
      <c r="F35" s="699" t="s">
        <v>555</v>
      </c>
      <c r="G35" s="698" t="s">
        <v>306</v>
      </c>
      <c r="H35" s="698">
        <v>126259</v>
      </c>
      <c r="I35" s="698">
        <v>26259</v>
      </c>
      <c r="J35" s="698" t="s">
        <v>613</v>
      </c>
      <c r="K35" s="698" t="s">
        <v>580</v>
      </c>
      <c r="L35" s="701">
        <v>625.31000000000006</v>
      </c>
      <c r="M35" s="701">
        <v>1</v>
      </c>
      <c r="N35" s="702">
        <v>625.31000000000006</v>
      </c>
    </row>
    <row r="36" spans="1:14" ht="14.45" customHeight="1" x14ac:dyDescent="0.2">
      <c r="A36" s="696" t="s">
        <v>537</v>
      </c>
      <c r="B36" s="697" t="s">
        <v>538</v>
      </c>
      <c r="C36" s="698" t="s">
        <v>550</v>
      </c>
      <c r="D36" s="699" t="s">
        <v>551</v>
      </c>
      <c r="E36" s="700">
        <v>50113001</v>
      </c>
      <c r="F36" s="699" t="s">
        <v>555</v>
      </c>
      <c r="G36" s="698" t="s">
        <v>556</v>
      </c>
      <c r="H36" s="698">
        <v>173316</v>
      </c>
      <c r="I36" s="698">
        <v>173316</v>
      </c>
      <c r="J36" s="698" t="s">
        <v>614</v>
      </c>
      <c r="K36" s="698" t="s">
        <v>615</v>
      </c>
      <c r="L36" s="701">
        <v>503.68999999999994</v>
      </c>
      <c r="M36" s="701">
        <v>25</v>
      </c>
      <c r="N36" s="702">
        <v>12592.249999999998</v>
      </c>
    </row>
    <row r="37" spans="1:14" ht="14.45" customHeight="1" x14ac:dyDescent="0.2">
      <c r="A37" s="696" t="s">
        <v>537</v>
      </c>
      <c r="B37" s="697" t="s">
        <v>538</v>
      </c>
      <c r="C37" s="698" t="s">
        <v>550</v>
      </c>
      <c r="D37" s="699" t="s">
        <v>551</v>
      </c>
      <c r="E37" s="700">
        <v>50113001</v>
      </c>
      <c r="F37" s="699" t="s">
        <v>555</v>
      </c>
      <c r="G37" s="698" t="s">
        <v>556</v>
      </c>
      <c r="H37" s="698">
        <v>173315</v>
      </c>
      <c r="I37" s="698">
        <v>173315</v>
      </c>
      <c r="J37" s="698" t="s">
        <v>614</v>
      </c>
      <c r="K37" s="698" t="s">
        <v>616</v>
      </c>
      <c r="L37" s="701">
        <v>448.35999999999996</v>
      </c>
      <c r="M37" s="701">
        <v>14</v>
      </c>
      <c r="N37" s="702">
        <v>6277.0399999999991</v>
      </c>
    </row>
    <row r="38" spans="1:14" ht="14.45" customHeight="1" x14ac:dyDescent="0.2">
      <c r="A38" s="696" t="s">
        <v>537</v>
      </c>
      <c r="B38" s="697" t="s">
        <v>538</v>
      </c>
      <c r="C38" s="698" t="s">
        <v>550</v>
      </c>
      <c r="D38" s="699" t="s">
        <v>551</v>
      </c>
      <c r="E38" s="700">
        <v>50113001</v>
      </c>
      <c r="F38" s="699" t="s">
        <v>555</v>
      </c>
      <c r="G38" s="698" t="s">
        <v>556</v>
      </c>
      <c r="H38" s="698">
        <v>173320</v>
      </c>
      <c r="I38" s="698">
        <v>173320</v>
      </c>
      <c r="J38" s="698" t="s">
        <v>617</v>
      </c>
      <c r="K38" s="698" t="s">
        <v>618</v>
      </c>
      <c r="L38" s="701">
        <v>524.59</v>
      </c>
      <c r="M38" s="701">
        <v>3</v>
      </c>
      <c r="N38" s="702">
        <v>1573.77</v>
      </c>
    </row>
    <row r="39" spans="1:14" ht="14.45" customHeight="1" x14ac:dyDescent="0.2">
      <c r="A39" s="696" t="s">
        <v>537</v>
      </c>
      <c r="B39" s="697" t="s">
        <v>538</v>
      </c>
      <c r="C39" s="698" t="s">
        <v>550</v>
      </c>
      <c r="D39" s="699" t="s">
        <v>551</v>
      </c>
      <c r="E39" s="700">
        <v>50113001</v>
      </c>
      <c r="F39" s="699" t="s">
        <v>555</v>
      </c>
      <c r="G39" s="698" t="s">
        <v>556</v>
      </c>
      <c r="H39" s="698">
        <v>173322</v>
      </c>
      <c r="I39" s="698">
        <v>173322</v>
      </c>
      <c r="J39" s="698" t="s">
        <v>619</v>
      </c>
      <c r="K39" s="698" t="s">
        <v>620</v>
      </c>
      <c r="L39" s="701">
        <v>803.66</v>
      </c>
      <c r="M39" s="701">
        <v>15</v>
      </c>
      <c r="N39" s="702">
        <v>12054.9</v>
      </c>
    </row>
    <row r="40" spans="1:14" ht="14.45" customHeight="1" x14ac:dyDescent="0.2">
      <c r="A40" s="696" t="s">
        <v>537</v>
      </c>
      <c r="B40" s="697" t="s">
        <v>538</v>
      </c>
      <c r="C40" s="698" t="s">
        <v>550</v>
      </c>
      <c r="D40" s="699" t="s">
        <v>551</v>
      </c>
      <c r="E40" s="700">
        <v>50113001</v>
      </c>
      <c r="F40" s="699" t="s">
        <v>555</v>
      </c>
      <c r="G40" s="698" t="s">
        <v>556</v>
      </c>
      <c r="H40" s="698">
        <v>173367</v>
      </c>
      <c r="I40" s="698">
        <v>173367</v>
      </c>
      <c r="J40" s="698" t="s">
        <v>621</v>
      </c>
      <c r="K40" s="698" t="s">
        <v>622</v>
      </c>
      <c r="L40" s="701">
        <v>1035.6500000000003</v>
      </c>
      <c r="M40" s="701">
        <v>31</v>
      </c>
      <c r="N40" s="702">
        <v>32105.150000000009</v>
      </c>
    </row>
    <row r="41" spans="1:14" ht="14.45" customHeight="1" x14ac:dyDescent="0.2">
      <c r="A41" s="696" t="s">
        <v>537</v>
      </c>
      <c r="B41" s="697" t="s">
        <v>538</v>
      </c>
      <c r="C41" s="698" t="s">
        <v>550</v>
      </c>
      <c r="D41" s="699" t="s">
        <v>551</v>
      </c>
      <c r="E41" s="700">
        <v>50113001</v>
      </c>
      <c r="F41" s="699" t="s">
        <v>555</v>
      </c>
      <c r="G41" s="698" t="s">
        <v>556</v>
      </c>
      <c r="H41" s="698">
        <v>187822</v>
      </c>
      <c r="I41" s="698">
        <v>87822</v>
      </c>
      <c r="J41" s="698" t="s">
        <v>623</v>
      </c>
      <c r="K41" s="698" t="s">
        <v>624</v>
      </c>
      <c r="L41" s="701">
        <v>1324.8083333333332</v>
      </c>
      <c r="M41" s="701">
        <v>6</v>
      </c>
      <c r="N41" s="702">
        <v>7948.8499999999995</v>
      </c>
    </row>
    <row r="42" spans="1:14" ht="14.45" customHeight="1" x14ac:dyDescent="0.2">
      <c r="A42" s="696" t="s">
        <v>537</v>
      </c>
      <c r="B42" s="697" t="s">
        <v>538</v>
      </c>
      <c r="C42" s="698" t="s">
        <v>550</v>
      </c>
      <c r="D42" s="699" t="s">
        <v>551</v>
      </c>
      <c r="E42" s="700">
        <v>50113001</v>
      </c>
      <c r="F42" s="699" t="s">
        <v>555</v>
      </c>
      <c r="G42" s="698" t="s">
        <v>556</v>
      </c>
      <c r="H42" s="698">
        <v>230402</v>
      </c>
      <c r="I42" s="698">
        <v>230402</v>
      </c>
      <c r="J42" s="698" t="s">
        <v>625</v>
      </c>
      <c r="K42" s="698" t="s">
        <v>626</v>
      </c>
      <c r="L42" s="701">
        <v>119.76000000000003</v>
      </c>
      <c r="M42" s="701">
        <v>1</v>
      </c>
      <c r="N42" s="702">
        <v>119.76000000000003</v>
      </c>
    </row>
    <row r="43" spans="1:14" ht="14.45" customHeight="1" x14ac:dyDescent="0.2">
      <c r="A43" s="696" t="s">
        <v>537</v>
      </c>
      <c r="B43" s="697" t="s">
        <v>538</v>
      </c>
      <c r="C43" s="698" t="s">
        <v>550</v>
      </c>
      <c r="D43" s="699" t="s">
        <v>551</v>
      </c>
      <c r="E43" s="700">
        <v>50113001</v>
      </c>
      <c r="F43" s="699" t="s">
        <v>555</v>
      </c>
      <c r="G43" s="698" t="s">
        <v>556</v>
      </c>
      <c r="H43" s="698">
        <v>243863</v>
      </c>
      <c r="I43" s="698">
        <v>243863</v>
      </c>
      <c r="J43" s="698" t="s">
        <v>627</v>
      </c>
      <c r="K43" s="698" t="s">
        <v>628</v>
      </c>
      <c r="L43" s="701">
        <v>57.529999999999994</v>
      </c>
      <c r="M43" s="701">
        <v>7</v>
      </c>
      <c r="N43" s="702">
        <v>402.71</v>
      </c>
    </row>
    <row r="44" spans="1:14" ht="14.45" customHeight="1" x14ac:dyDescent="0.2">
      <c r="A44" s="696" t="s">
        <v>537</v>
      </c>
      <c r="B44" s="697" t="s">
        <v>538</v>
      </c>
      <c r="C44" s="698" t="s">
        <v>550</v>
      </c>
      <c r="D44" s="699" t="s">
        <v>551</v>
      </c>
      <c r="E44" s="700">
        <v>50113001</v>
      </c>
      <c r="F44" s="699" t="s">
        <v>555</v>
      </c>
      <c r="G44" s="698" t="s">
        <v>556</v>
      </c>
      <c r="H44" s="698">
        <v>192351</v>
      </c>
      <c r="I44" s="698">
        <v>92351</v>
      </c>
      <c r="J44" s="698" t="s">
        <v>629</v>
      </c>
      <c r="K44" s="698" t="s">
        <v>630</v>
      </c>
      <c r="L44" s="701">
        <v>86.219999999999985</v>
      </c>
      <c r="M44" s="701">
        <v>12</v>
      </c>
      <c r="N44" s="702">
        <v>1034.6399999999999</v>
      </c>
    </row>
    <row r="45" spans="1:14" ht="14.45" customHeight="1" x14ac:dyDescent="0.2">
      <c r="A45" s="696" t="s">
        <v>537</v>
      </c>
      <c r="B45" s="697" t="s">
        <v>538</v>
      </c>
      <c r="C45" s="698" t="s">
        <v>550</v>
      </c>
      <c r="D45" s="699" t="s">
        <v>551</v>
      </c>
      <c r="E45" s="700">
        <v>50113001</v>
      </c>
      <c r="F45" s="699" t="s">
        <v>555</v>
      </c>
      <c r="G45" s="698" t="s">
        <v>556</v>
      </c>
      <c r="H45" s="698">
        <v>112892</v>
      </c>
      <c r="I45" s="698">
        <v>12892</v>
      </c>
      <c r="J45" s="698" t="s">
        <v>631</v>
      </c>
      <c r="K45" s="698" t="s">
        <v>632</v>
      </c>
      <c r="L45" s="701">
        <v>104.20999999999997</v>
      </c>
      <c r="M45" s="701">
        <v>1</v>
      </c>
      <c r="N45" s="702">
        <v>104.20999999999997</v>
      </c>
    </row>
    <row r="46" spans="1:14" ht="14.45" customHeight="1" x14ac:dyDescent="0.2">
      <c r="A46" s="696" t="s">
        <v>537</v>
      </c>
      <c r="B46" s="697" t="s">
        <v>538</v>
      </c>
      <c r="C46" s="698" t="s">
        <v>550</v>
      </c>
      <c r="D46" s="699" t="s">
        <v>551</v>
      </c>
      <c r="E46" s="700">
        <v>50113001</v>
      </c>
      <c r="F46" s="699" t="s">
        <v>555</v>
      </c>
      <c r="G46" s="698" t="s">
        <v>556</v>
      </c>
      <c r="H46" s="698">
        <v>237830</v>
      </c>
      <c r="I46" s="698">
        <v>237830</v>
      </c>
      <c r="J46" s="698" t="s">
        <v>633</v>
      </c>
      <c r="K46" s="698" t="s">
        <v>634</v>
      </c>
      <c r="L46" s="701">
        <v>118.86000000000003</v>
      </c>
      <c r="M46" s="701">
        <v>1</v>
      </c>
      <c r="N46" s="702">
        <v>118.86000000000003</v>
      </c>
    </row>
    <row r="47" spans="1:14" ht="14.45" customHeight="1" x14ac:dyDescent="0.2">
      <c r="A47" s="696" t="s">
        <v>537</v>
      </c>
      <c r="B47" s="697" t="s">
        <v>538</v>
      </c>
      <c r="C47" s="698" t="s">
        <v>550</v>
      </c>
      <c r="D47" s="699" t="s">
        <v>551</v>
      </c>
      <c r="E47" s="700">
        <v>50113001</v>
      </c>
      <c r="F47" s="699" t="s">
        <v>555</v>
      </c>
      <c r="G47" s="698" t="s">
        <v>556</v>
      </c>
      <c r="H47" s="698">
        <v>176496</v>
      </c>
      <c r="I47" s="698">
        <v>76496</v>
      </c>
      <c r="J47" s="698" t="s">
        <v>635</v>
      </c>
      <c r="K47" s="698" t="s">
        <v>636</v>
      </c>
      <c r="L47" s="701">
        <v>125.42999999999999</v>
      </c>
      <c r="M47" s="701">
        <v>99</v>
      </c>
      <c r="N47" s="702">
        <v>12417.57</v>
      </c>
    </row>
    <row r="48" spans="1:14" ht="14.45" customHeight="1" x14ac:dyDescent="0.2">
      <c r="A48" s="696" t="s">
        <v>537</v>
      </c>
      <c r="B48" s="697" t="s">
        <v>538</v>
      </c>
      <c r="C48" s="698" t="s">
        <v>550</v>
      </c>
      <c r="D48" s="699" t="s">
        <v>551</v>
      </c>
      <c r="E48" s="700">
        <v>50113001</v>
      </c>
      <c r="F48" s="699" t="s">
        <v>555</v>
      </c>
      <c r="G48" s="698" t="s">
        <v>556</v>
      </c>
      <c r="H48" s="698">
        <v>162321</v>
      </c>
      <c r="I48" s="698">
        <v>62321</v>
      </c>
      <c r="J48" s="698" t="s">
        <v>637</v>
      </c>
      <c r="K48" s="698" t="s">
        <v>638</v>
      </c>
      <c r="L48" s="701">
        <v>148.38999999999999</v>
      </c>
      <c r="M48" s="701">
        <v>2</v>
      </c>
      <c r="N48" s="702">
        <v>296.77999999999997</v>
      </c>
    </row>
    <row r="49" spans="1:14" ht="14.45" customHeight="1" x14ac:dyDescent="0.2">
      <c r="A49" s="696" t="s">
        <v>537</v>
      </c>
      <c r="B49" s="697" t="s">
        <v>538</v>
      </c>
      <c r="C49" s="698" t="s">
        <v>550</v>
      </c>
      <c r="D49" s="699" t="s">
        <v>551</v>
      </c>
      <c r="E49" s="700">
        <v>50113001</v>
      </c>
      <c r="F49" s="699" t="s">
        <v>555</v>
      </c>
      <c r="G49" s="698" t="s">
        <v>556</v>
      </c>
      <c r="H49" s="698">
        <v>162317</v>
      </c>
      <c r="I49" s="698">
        <v>62317</v>
      </c>
      <c r="J49" s="698" t="s">
        <v>639</v>
      </c>
      <c r="K49" s="698" t="s">
        <v>640</v>
      </c>
      <c r="L49" s="701">
        <v>437.49800000000005</v>
      </c>
      <c r="M49" s="701">
        <v>5</v>
      </c>
      <c r="N49" s="702">
        <v>2187.4900000000002</v>
      </c>
    </row>
    <row r="50" spans="1:14" ht="14.45" customHeight="1" x14ac:dyDescent="0.2">
      <c r="A50" s="696" t="s">
        <v>537</v>
      </c>
      <c r="B50" s="697" t="s">
        <v>538</v>
      </c>
      <c r="C50" s="698" t="s">
        <v>550</v>
      </c>
      <c r="D50" s="699" t="s">
        <v>551</v>
      </c>
      <c r="E50" s="700">
        <v>50113001</v>
      </c>
      <c r="F50" s="699" t="s">
        <v>555</v>
      </c>
      <c r="G50" s="698" t="s">
        <v>571</v>
      </c>
      <c r="H50" s="698">
        <v>231703</v>
      </c>
      <c r="I50" s="698">
        <v>231703</v>
      </c>
      <c r="J50" s="698" t="s">
        <v>641</v>
      </c>
      <c r="K50" s="698" t="s">
        <v>642</v>
      </c>
      <c r="L50" s="701">
        <v>89.165451241661302</v>
      </c>
      <c r="M50" s="701">
        <v>33</v>
      </c>
      <c r="N50" s="702">
        <v>2942.4598909748229</v>
      </c>
    </row>
    <row r="51" spans="1:14" ht="14.45" customHeight="1" x14ac:dyDescent="0.2">
      <c r="A51" s="696" t="s">
        <v>537</v>
      </c>
      <c r="B51" s="697" t="s">
        <v>538</v>
      </c>
      <c r="C51" s="698" t="s">
        <v>550</v>
      </c>
      <c r="D51" s="699" t="s">
        <v>551</v>
      </c>
      <c r="E51" s="700">
        <v>50113001</v>
      </c>
      <c r="F51" s="699" t="s">
        <v>555</v>
      </c>
      <c r="G51" s="698" t="s">
        <v>571</v>
      </c>
      <c r="H51" s="698">
        <v>231689</v>
      </c>
      <c r="I51" s="698">
        <v>231689</v>
      </c>
      <c r="J51" s="698" t="s">
        <v>643</v>
      </c>
      <c r="K51" s="698" t="s">
        <v>644</v>
      </c>
      <c r="L51" s="701">
        <v>291.40000000000003</v>
      </c>
      <c r="M51" s="701">
        <v>1</v>
      </c>
      <c r="N51" s="702">
        <v>291.40000000000003</v>
      </c>
    </row>
    <row r="52" spans="1:14" ht="14.45" customHeight="1" x14ac:dyDescent="0.2">
      <c r="A52" s="696" t="s">
        <v>537</v>
      </c>
      <c r="B52" s="697" t="s">
        <v>538</v>
      </c>
      <c r="C52" s="698" t="s">
        <v>550</v>
      </c>
      <c r="D52" s="699" t="s">
        <v>551</v>
      </c>
      <c r="E52" s="700">
        <v>50113001</v>
      </c>
      <c r="F52" s="699" t="s">
        <v>555</v>
      </c>
      <c r="G52" s="698" t="s">
        <v>571</v>
      </c>
      <c r="H52" s="698">
        <v>231702</v>
      </c>
      <c r="I52" s="698">
        <v>231702</v>
      </c>
      <c r="J52" s="698" t="s">
        <v>643</v>
      </c>
      <c r="K52" s="698" t="s">
        <v>645</v>
      </c>
      <c r="L52" s="701">
        <v>249.59</v>
      </c>
      <c r="M52" s="701">
        <v>1</v>
      </c>
      <c r="N52" s="702">
        <v>249.59</v>
      </c>
    </row>
    <row r="53" spans="1:14" ht="14.45" customHeight="1" x14ac:dyDescent="0.2">
      <c r="A53" s="696" t="s">
        <v>537</v>
      </c>
      <c r="B53" s="697" t="s">
        <v>538</v>
      </c>
      <c r="C53" s="698" t="s">
        <v>550</v>
      </c>
      <c r="D53" s="699" t="s">
        <v>551</v>
      </c>
      <c r="E53" s="700">
        <v>50113001</v>
      </c>
      <c r="F53" s="699" t="s">
        <v>555</v>
      </c>
      <c r="G53" s="698" t="s">
        <v>571</v>
      </c>
      <c r="H53" s="698">
        <v>188616</v>
      </c>
      <c r="I53" s="698">
        <v>188616</v>
      </c>
      <c r="J53" s="698" t="s">
        <v>646</v>
      </c>
      <c r="K53" s="698" t="s">
        <v>647</v>
      </c>
      <c r="L53" s="701">
        <v>174.23</v>
      </c>
      <c r="M53" s="701">
        <v>1</v>
      </c>
      <c r="N53" s="702">
        <v>174.23</v>
      </c>
    </row>
    <row r="54" spans="1:14" ht="14.45" customHeight="1" x14ac:dyDescent="0.2">
      <c r="A54" s="696" t="s">
        <v>537</v>
      </c>
      <c r="B54" s="697" t="s">
        <v>538</v>
      </c>
      <c r="C54" s="698" t="s">
        <v>550</v>
      </c>
      <c r="D54" s="699" t="s">
        <v>551</v>
      </c>
      <c r="E54" s="700">
        <v>50113001</v>
      </c>
      <c r="F54" s="699" t="s">
        <v>555</v>
      </c>
      <c r="G54" s="698" t="s">
        <v>556</v>
      </c>
      <c r="H54" s="698">
        <v>197056</v>
      </c>
      <c r="I54" s="698">
        <v>197056</v>
      </c>
      <c r="J54" s="698" t="s">
        <v>648</v>
      </c>
      <c r="K54" s="698" t="s">
        <v>649</v>
      </c>
      <c r="L54" s="701">
        <v>101.15000000000005</v>
      </c>
      <c r="M54" s="701">
        <v>1</v>
      </c>
      <c r="N54" s="702">
        <v>101.15000000000005</v>
      </c>
    </row>
    <row r="55" spans="1:14" ht="14.45" customHeight="1" x14ac:dyDescent="0.2">
      <c r="A55" s="696" t="s">
        <v>537</v>
      </c>
      <c r="B55" s="697" t="s">
        <v>538</v>
      </c>
      <c r="C55" s="698" t="s">
        <v>550</v>
      </c>
      <c r="D55" s="699" t="s">
        <v>551</v>
      </c>
      <c r="E55" s="700">
        <v>50113001</v>
      </c>
      <c r="F55" s="699" t="s">
        <v>555</v>
      </c>
      <c r="G55" s="698" t="s">
        <v>556</v>
      </c>
      <c r="H55" s="698">
        <v>191729</v>
      </c>
      <c r="I55" s="698">
        <v>191729</v>
      </c>
      <c r="J55" s="698" t="s">
        <v>650</v>
      </c>
      <c r="K55" s="698" t="s">
        <v>651</v>
      </c>
      <c r="L55" s="701">
        <v>88.339999999999989</v>
      </c>
      <c r="M55" s="701">
        <v>1</v>
      </c>
      <c r="N55" s="702">
        <v>88.339999999999989</v>
      </c>
    </row>
    <row r="56" spans="1:14" ht="14.45" customHeight="1" x14ac:dyDescent="0.2">
      <c r="A56" s="696" t="s">
        <v>537</v>
      </c>
      <c r="B56" s="697" t="s">
        <v>538</v>
      </c>
      <c r="C56" s="698" t="s">
        <v>550</v>
      </c>
      <c r="D56" s="699" t="s">
        <v>551</v>
      </c>
      <c r="E56" s="700">
        <v>50113001</v>
      </c>
      <c r="F56" s="699" t="s">
        <v>555</v>
      </c>
      <c r="G56" s="698" t="s">
        <v>556</v>
      </c>
      <c r="H56" s="698">
        <v>991568</v>
      </c>
      <c r="I56" s="698">
        <v>0</v>
      </c>
      <c r="J56" s="698" t="s">
        <v>652</v>
      </c>
      <c r="K56" s="698" t="s">
        <v>306</v>
      </c>
      <c r="L56" s="701">
        <v>242.82</v>
      </c>
      <c r="M56" s="701">
        <v>1</v>
      </c>
      <c r="N56" s="702">
        <v>242.82</v>
      </c>
    </row>
    <row r="57" spans="1:14" ht="14.45" customHeight="1" x14ac:dyDescent="0.2">
      <c r="A57" s="696" t="s">
        <v>537</v>
      </c>
      <c r="B57" s="697" t="s">
        <v>538</v>
      </c>
      <c r="C57" s="698" t="s">
        <v>550</v>
      </c>
      <c r="D57" s="699" t="s">
        <v>551</v>
      </c>
      <c r="E57" s="700">
        <v>50113001</v>
      </c>
      <c r="F57" s="699" t="s">
        <v>555</v>
      </c>
      <c r="G57" s="698" t="s">
        <v>556</v>
      </c>
      <c r="H57" s="698">
        <v>993603</v>
      </c>
      <c r="I57" s="698">
        <v>0</v>
      </c>
      <c r="J57" s="698" t="s">
        <v>653</v>
      </c>
      <c r="K57" s="698" t="s">
        <v>306</v>
      </c>
      <c r="L57" s="701">
        <v>238.03000075151266</v>
      </c>
      <c r="M57" s="701">
        <v>14</v>
      </c>
      <c r="N57" s="702">
        <v>3332.4200105211771</v>
      </c>
    </row>
    <row r="58" spans="1:14" ht="14.45" customHeight="1" x14ac:dyDescent="0.2">
      <c r="A58" s="696" t="s">
        <v>537</v>
      </c>
      <c r="B58" s="697" t="s">
        <v>538</v>
      </c>
      <c r="C58" s="698" t="s">
        <v>550</v>
      </c>
      <c r="D58" s="699" t="s">
        <v>551</v>
      </c>
      <c r="E58" s="700">
        <v>50113001</v>
      </c>
      <c r="F58" s="699" t="s">
        <v>555</v>
      </c>
      <c r="G58" s="698" t="s">
        <v>571</v>
      </c>
      <c r="H58" s="698">
        <v>233600</v>
      </c>
      <c r="I58" s="698">
        <v>233600</v>
      </c>
      <c r="J58" s="698" t="s">
        <v>654</v>
      </c>
      <c r="K58" s="698" t="s">
        <v>655</v>
      </c>
      <c r="L58" s="701">
        <v>52.22000000000002</v>
      </c>
      <c r="M58" s="701">
        <v>3</v>
      </c>
      <c r="N58" s="702">
        <v>156.66000000000005</v>
      </c>
    </row>
    <row r="59" spans="1:14" ht="14.45" customHeight="1" x14ac:dyDescent="0.2">
      <c r="A59" s="696" t="s">
        <v>537</v>
      </c>
      <c r="B59" s="697" t="s">
        <v>538</v>
      </c>
      <c r="C59" s="698" t="s">
        <v>550</v>
      </c>
      <c r="D59" s="699" t="s">
        <v>551</v>
      </c>
      <c r="E59" s="700">
        <v>50113001</v>
      </c>
      <c r="F59" s="699" t="s">
        <v>555</v>
      </c>
      <c r="G59" s="698" t="s">
        <v>571</v>
      </c>
      <c r="H59" s="698">
        <v>233579</v>
      </c>
      <c r="I59" s="698">
        <v>233579</v>
      </c>
      <c r="J59" s="698" t="s">
        <v>656</v>
      </c>
      <c r="K59" s="698" t="s">
        <v>657</v>
      </c>
      <c r="L59" s="701">
        <v>26.11</v>
      </c>
      <c r="M59" s="701">
        <v>2</v>
      </c>
      <c r="N59" s="702">
        <v>52.22</v>
      </c>
    </row>
    <row r="60" spans="1:14" ht="14.45" customHeight="1" x14ac:dyDescent="0.2">
      <c r="A60" s="696" t="s">
        <v>537</v>
      </c>
      <c r="B60" s="697" t="s">
        <v>538</v>
      </c>
      <c r="C60" s="698" t="s">
        <v>550</v>
      </c>
      <c r="D60" s="699" t="s">
        <v>551</v>
      </c>
      <c r="E60" s="700">
        <v>50113001</v>
      </c>
      <c r="F60" s="699" t="s">
        <v>555</v>
      </c>
      <c r="G60" s="698" t="s">
        <v>556</v>
      </c>
      <c r="H60" s="698">
        <v>231857</v>
      </c>
      <c r="I60" s="698">
        <v>231857</v>
      </c>
      <c r="J60" s="698" t="s">
        <v>658</v>
      </c>
      <c r="K60" s="698" t="s">
        <v>628</v>
      </c>
      <c r="L60" s="701">
        <v>189.52999999999997</v>
      </c>
      <c r="M60" s="701">
        <v>3</v>
      </c>
      <c r="N60" s="702">
        <v>568.58999999999992</v>
      </c>
    </row>
    <row r="61" spans="1:14" ht="14.45" customHeight="1" x14ac:dyDescent="0.2">
      <c r="A61" s="696" t="s">
        <v>537</v>
      </c>
      <c r="B61" s="697" t="s">
        <v>538</v>
      </c>
      <c r="C61" s="698" t="s">
        <v>550</v>
      </c>
      <c r="D61" s="699" t="s">
        <v>551</v>
      </c>
      <c r="E61" s="700">
        <v>50113001</v>
      </c>
      <c r="F61" s="699" t="s">
        <v>555</v>
      </c>
      <c r="G61" s="698" t="s">
        <v>556</v>
      </c>
      <c r="H61" s="698">
        <v>234203</v>
      </c>
      <c r="I61" s="698">
        <v>234203</v>
      </c>
      <c r="J61" s="698" t="s">
        <v>659</v>
      </c>
      <c r="K61" s="698" t="s">
        <v>660</v>
      </c>
      <c r="L61" s="701">
        <v>81.260000000000005</v>
      </c>
      <c r="M61" s="701">
        <v>2</v>
      </c>
      <c r="N61" s="702">
        <v>162.52000000000001</v>
      </c>
    </row>
    <row r="62" spans="1:14" ht="14.45" customHeight="1" x14ac:dyDescent="0.2">
      <c r="A62" s="696" t="s">
        <v>537</v>
      </c>
      <c r="B62" s="697" t="s">
        <v>538</v>
      </c>
      <c r="C62" s="698" t="s">
        <v>550</v>
      </c>
      <c r="D62" s="699" t="s">
        <v>551</v>
      </c>
      <c r="E62" s="700">
        <v>50113001</v>
      </c>
      <c r="F62" s="699" t="s">
        <v>555</v>
      </c>
      <c r="G62" s="698" t="s">
        <v>556</v>
      </c>
      <c r="H62" s="698">
        <v>232999</v>
      </c>
      <c r="I62" s="698">
        <v>232999</v>
      </c>
      <c r="J62" s="698" t="s">
        <v>661</v>
      </c>
      <c r="K62" s="698" t="s">
        <v>662</v>
      </c>
      <c r="L62" s="701">
        <v>91.47000688056248</v>
      </c>
      <c r="M62" s="701">
        <v>1</v>
      </c>
      <c r="N62" s="702">
        <v>91.47000688056248</v>
      </c>
    </row>
    <row r="63" spans="1:14" ht="14.45" customHeight="1" x14ac:dyDescent="0.2">
      <c r="A63" s="696" t="s">
        <v>537</v>
      </c>
      <c r="B63" s="697" t="s">
        <v>538</v>
      </c>
      <c r="C63" s="698" t="s">
        <v>550</v>
      </c>
      <c r="D63" s="699" t="s">
        <v>551</v>
      </c>
      <c r="E63" s="700">
        <v>50113001</v>
      </c>
      <c r="F63" s="699" t="s">
        <v>555</v>
      </c>
      <c r="G63" s="698" t="s">
        <v>556</v>
      </c>
      <c r="H63" s="698">
        <v>232998</v>
      </c>
      <c r="I63" s="698">
        <v>232998</v>
      </c>
      <c r="J63" s="698" t="s">
        <v>661</v>
      </c>
      <c r="K63" s="698" t="s">
        <v>663</v>
      </c>
      <c r="L63" s="701">
        <v>95.240000000000009</v>
      </c>
      <c r="M63" s="701">
        <v>2</v>
      </c>
      <c r="N63" s="702">
        <v>190.48000000000002</v>
      </c>
    </row>
    <row r="64" spans="1:14" ht="14.45" customHeight="1" x14ac:dyDescent="0.2">
      <c r="A64" s="696" t="s">
        <v>537</v>
      </c>
      <c r="B64" s="697" t="s">
        <v>538</v>
      </c>
      <c r="C64" s="698" t="s">
        <v>550</v>
      </c>
      <c r="D64" s="699" t="s">
        <v>551</v>
      </c>
      <c r="E64" s="700">
        <v>50113001</v>
      </c>
      <c r="F64" s="699" t="s">
        <v>555</v>
      </c>
      <c r="G64" s="698" t="s">
        <v>556</v>
      </c>
      <c r="H64" s="698">
        <v>149402</v>
      </c>
      <c r="I64" s="698">
        <v>185108</v>
      </c>
      <c r="J64" s="698" t="s">
        <v>664</v>
      </c>
      <c r="K64" s="698" t="s">
        <v>665</v>
      </c>
      <c r="L64" s="701">
        <v>308.09000000000003</v>
      </c>
      <c r="M64" s="701">
        <v>1</v>
      </c>
      <c r="N64" s="702">
        <v>308.09000000000003</v>
      </c>
    </row>
    <row r="65" spans="1:14" ht="14.45" customHeight="1" x14ac:dyDescent="0.2">
      <c r="A65" s="696" t="s">
        <v>537</v>
      </c>
      <c r="B65" s="697" t="s">
        <v>538</v>
      </c>
      <c r="C65" s="698" t="s">
        <v>550</v>
      </c>
      <c r="D65" s="699" t="s">
        <v>551</v>
      </c>
      <c r="E65" s="700">
        <v>50113001</v>
      </c>
      <c r="F65" s="699" t="s">
        <v>555</v>
      </c>
      <c r="G65" s="698" t="s">
        <v>556</v>
      </c>
      <c r="H65" s="698">
        <v>139968</v>
      </c>
      <c r="I65" s="698">
        <v>139968</v>
      </c>
      <c r="J65" s="698" t="s">
        <v>666</v>
      </c>
      <c r="K65" s="698" t="s">
        <v>667</v>
      </c>
      <c r="L65" s="701">
        <v>69.844838519212018</v>
      </c>
      <c r="M65" s="701">
        <v>155</v>
      </c>
      <c r="N65" s="702">
        <v>10825.949970477863</v>
      </c>
    </row>
    <row r="66" spans="1:14" ht="14.45" customHeight="1" x14ac:dyDescent="0.2">
      <c r="A66" s="696" t="s">
        <v>537</v>
      </c>
      <c r="B66" s="697" t="s">
        <v>538</v>
      </c>
      <c r="C66" s="698" t="s">
        <v>550</v>
      </c>
      <c r="D66" s="699" t="s">
        <v>551</v>
      </c>
      <c r="E66" s="700">
        <v>50113001</v>
      </c>
      <c r="F66" s="699" t="s">
        <v>555</v>
      </c>
      <c r="G66" s="698" t="s">
        <v>556</v>
      </c>
      <c r="H66" s="698">
        <v>199466</v>
      </c>
      <c r="I66" s="698">
        <v>199466</v>
      </c>
      <c r="J66" s="698" t="s">
        <v>668</v>
      </c>
      <c r="K66" s="698" t="s">
        <v>669</v>
      </c>
      <c r="L66" s="701">
        <v>112.38999999999999</v>
      </c>
      <c r="M66" s="701">
        <v>6</v>
      </c>
      <c r="N66" s="702">
        <v>674.33999999999992</v>
      </c>
    </row>
    <row r="67" spans="1:14" ht="14.45" customHeight="1" x14ac:dyDescent="0.2">
      <c r="A67" s="696" t="s">
        <v>537</v>
      </c>
      <c r="B67" s="697" t="s">
        <v>538</v>
      </c>
      <c r="C67" s="698" t="s">
        <v>550</v>
      </c>
      <c r="D67" s="699" t="s">
        <v>551</v>
      </c>
      <c r="E67" s="700">
        <v>50113001</v>
      </c>
      <c r="F67" s="699" t="s">
        <v>555</v>
      </c>
      <c r="G67" s="698" t="s">
        <v>556</v>
      </c>
      <c r="H67" s="698">
        <v>201952</v>
      </c>
      <c r="I67" s="698">
        <v>201952</v>
      </c>
      <c r="J67" s="698" t="s">
        <v>670</v>
      </c>
      <c r="K67" s="698" t="s">
        <v>671</v>
      </c>
      <c r="L67" s="701">
        <v>144.04249999999999</v>
      </c>
      <c r="M67" s="701">
        <v>8</v>
      </c>
      <c r="N67" s="702">
        <v>1152.3399999999999</v>
      </c>
    </row>
    <row r="68" spans="1:14" ht="14.45" customHeight="1" x14ac:dyDescent="0.2">
      <c r="A68" s="696" t="s">
        <v>537</v>
      </c>
      <c r="B68" s="697" t="s">
        <v>538</v>
      </c>
      <c r="C68" s="698" t="s">
        <v>550</v>
      </c>
      <c r="D68" s="699" t="s">
        <v>551</v>
      </c>
      <c r="E68" s="700">
        <v>50113001</v>
      </c>
      <c r="F68" s="699" t="s">
        <v>555</v>
      </c>
      <c r="G68" s="698" t="s">
        <v>556</v>
      </c>
      <c r="H68" s="698">
        <v>100407</v>
      </c>
      <c r="I68" s="698">
        <v>407</v>
      </c>
      <c r="J68" s="698" t="s">
        <v>672</v>
      </c>
      <c r="K68" s="698" t="s">
        <v>673</v>
      </c>
      <c r="L68" s="701">
        <v>194.38431885692458</v>
      </c>
      <c r="M68" s="701">
        <v>125</v>
      </c>
      <c r="N68" s="702">
        <v>24298.039857115571</v>
      </c>
    </row>
    <row r="69" spans="1:14" ht="14.45" customHeight="1" x14ac:dyDescent="0.2">
      <c r="A69" s="696" t="s">
        <v>537</v>
      </c>
      <c r="B69" s="697" t="s">
        <v>538</v>
      </c>
      <c r="C69" s="698" t="s">
        <v>550</v>
      </c>
      <c r="D69" s="699" t="s">
        <v>551</v>
      </c>
      <c r="E69" s="700">
        <v>50113001</v>
      </c>
      <c r="F69" s="699" t="s">
        <v>555</v>
      </c>
      <c r="G69" s="698" t="s">
        <v>556</v>
      </c>
      <c r="H69" s="698">
        <v>149317</v>
      </c>
      <c r="I69" s="698">
        <v>49317</v>
      </c>
      <c r="J69" s="698" t="s">
        <v>674</v>
      </c>
      <c r="K69" s="698" t="s">
        <v>675</v>
      </c>
      <c r="L69" s="701">
        <v>299.0010666666667</v>
      </c>
      <c r="M69" s="701">
        <v>15</v>
      </c>
      <c r="N69" s="702">
        <v>4485.0160000000005</v>
      </c>
    </row>
    <row r="70" spans="1:14" ht="14.45" customHeight="1" x14ac:dyDescent="0.2">
      <c r="A70" s="696" t="s">
        <v>537</v>
      </c>
      <c r="B70" s="697" t="s">
        <v>538</v>
      </c>
      <c r="C70" s="698" t="s">
        <v>550</v>
      </c>
      <c r="D70" s="699" t="s">
        <v>551</v>
      </c>
      <c r="E70" s="700">
        <v>50113001</v>
      </c>
      <c r="F70" s="699" t="s">
        <v>555</v>
      </c>
      <c r="G70" s="698" t="s">
        <v>556</v>
      </c>
      <c r="H70" s="698">
        <v>100409</v>
      </c>
      <c r="I70" s="698">
        <v>409</v>
      </c>
      <c r="J70" s="698" t="s">
        <v>676</v>
      </c>
      <c r="K70" s="698" t="s">
        <v>677</v>
      </c>
      <c r="L70" s="701">
        <v>80.524999741149912</v>
      </c>
      <c r="M70" s="701">
        <v>140</v>
      </c>
      <c r="N70" s="702">
        <v>11273.499963760987</v>
      </c>
    </row>
    <row r="71" spans="1:14" ht="14.45" customHeight="1" x14ac:dyDescent="0.2">
      <c r="A71" s="696" t="s">
        <v>537</v>
      </c>
      <c r="B71" s="697" t="s">
        <v>538</v>
      </c>
      <c r="C71" s="698" t="s">
        <v>550</v>
      </c>
      <c r="D71" s="699" t="s">
        <v>551</v>
      </c>
      <c r="E71" s="700">
        <v>50113001</v>
      </c>
      <c r="F71" s="699" t="s">
        <v>555</v>
      </c>
      <c r="G71" s="698" t="s">
        <v>556</v>
      </c>
      <c r="H71" s="698">
        <v>137275</v>
      </c>
      <c r="I71" s="698">
        <v>137275</v>
      </c>
      <c r="J71" s="698" t="s">
        <v>678</v>
      </c>
      <c r="K71" s="698" t="s">
        <v>679</v>
      </c>
      <c r="L71" s="701">
        <v>1054.6500223664618</v>
      </c>
      <c r="M71" s="701">
        <v>5</v>
      </c>
      <c r="N71" s="702">
        <v>5273.2501118323089</v>
      </c>
    </row>
    <row r="72" spans="1:14" ht="14.45" customHeight="1" x14ac:dyDescent="0.2">
      <c r="A72" s="696" t="s">
        <v>537</v>
      </c>
      <c r="B72" s="697" t="s">
        <v>538</v>
      </c>
      <c r="C72" s="698" t="s">
        <v>550</v>
      </c>
      <c r="D72" s="699" t="s">
        <v>551</v>
      </c>
      <c r="E72" s="700">
        <v>50113001</v>
      </c>
      <c r="F72" s="699" t="s">
        <v>555</v>
      </c>
      <c r="G72" s="698" t="s">
        <v>556</v>
      </c>
      <c r="H72" s="698">
        <v>223815</v>
      </c>
      <c r="I72" s="698">
        <v>223815</v>
      </c>
      <c r="J72" s="698" t="s">
        <v>680</v>
      </c>
      <c r="K72" s="698" t="s">
        <v>681</v>
      </c>
      <c r="L72" s="701">
        <v>6230.3994117647053</v>
      </c>
      <c r="M72" s="701">
        <v>17</v>
      </c>
      <c r="N72" s="702">
        <v>105916.79</v>
      </c>
    </row>
    <row r="73" spans="1:14" ht="14.45" customHeight="1" x14ac:dyDescent="0.2">
      <c r="A73" s="696" t="s">
        <v>537</v>
      </c>
      <c r="B73" s="697" t="s">
        <v>538</v>
      </c>
      <c r="C73" s="698" t="s">
        <v>550</v>
      </c>
      <c r="D73" s="699" t="s">
        <v>551</v>
      </c>
      <c r="E73" s="700">
        <v>50113001</v>
      </c>
      <c r="F73" s="699" t="s">
        <v>555</v>
      </c>
      <c r="G73" s="698" t="s">
        <v>556</v>
      </c>
      <c r="H73" s="698">
        <v>164888</v>
      </c>
      <c r="I73" s="698">
        <v>164888</v>
      </c>
      <c r="J73" s="698" t="s">
        <v>682</v>
      </c>
      <c r="K73" s="698" t="s">
        <v>683</v>
      </c>
      <c r="L73" s="701">
        <v>239.5</v>
      </c>
      <c r="M73" s="701">
        <v>1</v>
      </c>
      <c r="N73" s="702">
        <v>239.5</v>
      </c>
    </row>
    <row r="74" spans="1:14" ht="14.45" customHeight="1" x14ac:dyDescent="0.2">
      <c r="A74" s="696" t="s">
        <v>537</v>
      </c>
      <c r="B74" s="697" t="s">
        <v>538</v>
      </c>
      <c r="C74" s="698" t="s">
        <v>550</v>
      </c>
      <c r="D74" s="699" t="s">
        <v>551</v>
      </c>
      <c r="E74" s="700">
        <v>50113001</v>
      </c>
      <c r="F74" s="699" t="s">
        <v>555</v>
      </c>
      <c r="G74" s="698" t="s">
        <v>556</v>
      </c>
      <c r="H74" s="698">
        <v>187814</v>
      </c>
      <c r="I74" s="698">
        <v>87814</v>
      </c>
      <c r="J74" s="698" t="s">
        <v>684</v>
      </c>
      <c r="K74" s="698" t="s">
        <v>685</v>
      </c>
      <c r="L74" s="701">
        <v>472.53</v>
      </c>
      <c r="M74" s="701">
        <v>2</v>
      </c>
      <c r="N74" s="702">
        <v>945.06</v>
      </c>
    </row>
    <row r="75" spans="1:14" ht="14.45" customHeight="1" x14ac:dyDescent="0.2">
      <c r="A75" s="696" t="s">
        <v>537</v>
      </c>
      <c r="B75" s="697" t="s">
        <v>538</v>
      </c>
      <c r="C75" s="698" t="s">
        <v>550</v>
      </c>
      <c r="D75" s="699" t="s">
        <v>551</v>
      </c>
      <c r="E75" s="700">
        <v>50113001</v>
      </c>
      <c r="F75" s="699" t="s">
        <v>555</v>
      </c>
      <c r="G75" s="698" t="s">
        <v>556</v>
      </c>
      <c r="H75" s="698">
        <v>195484</v>
      </c>
      <c r="I75" s="698">
        <v>195484</v>
      </c>
      <c r="J75" s="698" t="s">
        <v>686</v>
      </c>
      <c r="K75" s="698" t="s">
        <v>687</v>
      </c>
      <c r="L75" s="701">
        <v>118.59000000000003</v>
      </c>
      <c r="M75" s="701">
        <v>1</v>
      </c>
      <c r="N75" s="702">
        <v>118.59000000000003</v>
      </c>
    </row>
    <row r="76" spans="1:14" ht="14.45" customHeight="1" x14ac:dyDescent="0.2">
      <c r="A76" s="696" t="s">
        <v>537</v>
      </c>
      <c r="B76" s="697" t="s">
        <v>538</v>
      </c>
      <c r="C76" s="698" t="s">
        <v>550</v>
      </c>
      <c r="D76" s="699" t="s">
        <v>551</v>
      </c>
      <c r="E76" s="700">
        <v>50113001</v>
      </c>
      <c r="F76" s="699" t="s">
        <v>555</v>
      </c>
      <c r="G76" s="698" t="s">
        <v>556</v>
      </c>
      <c r="H76" s="698">
        <v>102132</v>
      </c>
      <c r="I76" s="698">
        <v>2132</v>
      </c>
      <c r="J76" s="698" t="s">
        <v>688</v>
      </c>
      <c r="K76" s="698" t="s">
        <v>689</v>
      </c>
      <c r="L76" s="701">
        <v>163.52666666666667</v>
      </c>
      <c r="M76" s="701">
        <v>3</v>
      </c>
      <c r="N76" s="702">
        <v>490.58</v>
      </c>
    </row>
    <row r="77" spans="1:14" ht="14.45" customHeight="1" x14ac:dyDescent="0.2">
      <c r="A77" s="696" t="s">
        <v>537</v>
      </c>
      <c r="B77" s="697" t="s">
        <v>538</v>
      </c>
      <c r="C77" s="698" t="s">
        <v>550</v>
      </c>
      <c r="D77" s="699" t="s">
        <v>551</v>
      </c>
      <c r="E77" s="700">
        <v>50113001</v>
      </c>
      <c r="F77" s="699" t="s">
        <v>555</v>
      </c>
      <c r="G77" s="698" t="s">
        <v>556</v>
      </c>
      <c r="H77" s="698">
        <v>232631</v>
      </c>
      <c r="I77" s="698">
        <v>232631</v>
      </c>
      <c r="J77" s="698" t="s">
        <v>690</v>
      </c>
      <c r="K77" s="698" t="s">
        <v>691</v>
      </c>
      <c r="L77" s="701">
        <v>336.78519999999992</v>
      </c>
      <c r="M77" s="701">
        <v>25</v>
      </c>
      <c r="N77" s="702">
        <v>8419.6299999999974</v>
      </c>
    </row>
    <row r="78" spans="1:14" ht="14.45" customHeight="1" x14ac:dyDescent="0.2">
      <c r="A78" s="696" t="s">
        <v>537</v>
      </c>
      <c r="B78" s="697" t="s">
        <v>538</v>
      </c>
      <c r="C78" s="698" t="s">
        <v>550</v>
      </c>
      <c r="D78" s="699" t="s">
        <v>551</v>
      </c>
      <c r="E78" s="700">
        <v>50113001</v>
      </c>
      <c r="F78" s="699" t="s">
        <v>555</v>
      </c>
      <c r="G78" s="698" t="s">
        <v>556</v>
      </c>
      <c r="H78" s="698">
        <v>843217</v>
      </c>
      <c r="I78" s="698">
        <v>9999999</v>
      </c>
      <c r="J78" s="698" t="s">
        <v>692</v>
      </c>
      <c r="K78" s="698" t="s">
        <v>693</v>
      </c>
      <c r="L78" s="701">
        <v>214.41190476190471</v>
      </c>
      <c r="M78" s="701">
        <v>21</v>
      </c>
      <c r="N78" s="702">
        <v>4502.6499999999987</v>
      </c>
    </row>
    <row r="79" spans="1:14" ht="14.45" customHeight="1" x14ac:dyDescent="0.2">
      <c r="A79" s="696" t="s">
        <v>537</v>
      </c>
      <c r="B79" s="697" t="s">
        <v>538</v>
      </c>
      <c r="C79" s="698" t="s">
        <v>550</v>
      </c>
      <c r="D79" s="699" t="s">
        <v>551</v>
      </c>
      <c r="E79" s="700">
        <v>50113001</v>
      </c>
      <c r="F79" s="699" t="s">
        <v>555</v>
      </c>
      <c r="G79" s="698" t="s">
        <v>556</v>
      </c>
      <c r="H79" s="698">
        <v>229130</v>
      </c>
      <c r="I79" s="698">
        <v>229130</v>
      </c>
      <c r="J79" s="698" t="s">
        <v>694</v>
      </c>
      <c r="K79" s="698" t="s">
        <v>695</v>
      </c>
      <c r="L79" s="701">
        <v>37.099999999999994</v>
      </c>
      <c r="M79" s="701">
        <v>2</v>
      </c>
      <c r="N79" s="702">
        <v>74.199999999999989</v>
      </c>
    </row>
    <row r="80" spans="1:14" ht="14.45" customHeight="1" x14ac:dyDescent="0.2">
      <c r="A80" s="696" t="s">
        <v>537</v>
      </c>
      <c r="B80" s="697" t="s">
        <v>538</v>
      </c>
      <c r="C80" s="698" t="s">
        <v>550</v>
      </c>
      <c r="D80" s="699" t="s">
        <v>551</v>
      </c>
      <c r="E80" s="700">
        <v>50113001</v>
      </c>
      <c r="F80" s="699" t="s">
        <v>555</v>
      </c>
      <c r="G80" s="698" t="s">
        <v>556</v>
      </c>
      <c r="H80" s="698">
        <v>230052</v>
      </c>
      <c r="I80" s="698">
        <v>230052</v>
      </c>
      <c r="J80" s="698" t="s">
        <v>696</v>
      </c>
      <c r="K80" s="698" t="s">
        <v>697</v>
      </c>
      <c r="L80" s="701">
        <v>89.16</v>
      </c>
      <c r="M80" s="701">
        <v>2</v>
      </c>
      <c r="N80" s="702">
        <v>178.32</v>
      </c>
    </row>
    <row r="81" spans="1:14" ht="14.45" customHeight="1" x14ac:dyDescent="0.2">
      <c r="A81" s="696" t="s">
        <v>537</v>
      </c>
      <c r="B81" s="697" t="s">
        <v>538</v>
      </c>
      <c r="C81" s="698" t="s">
        <v>550</v>
      </c>
      <c r="D81" s="699" t="s">
        <v>551</v>
      </c>
      <c r="E81" s="700">
        <v>50113001</v>
      </c>
      <c r="F81" s="699" t="s">
        <v>555</v>
      </c>
      <c r="G81" s="698" t="s">
        <v>556</v>
      </c>
      <c r="H81" s="698">
        <v>150660</v>
      </c>
      <c r="I81" s="698">
        <v>150660</v>
      </c>
      <c r="J81" s="698" t="s">
        <v>698</v>
      </c>
      <c r="K81" s="698" t="s">
        <v>699</v>
      </c>
      <c r="L81" s="701">
        <v>885.81090909090915</v>
      </c>
      <c r="M81" s="701">
        <v>11</v>
      </c>
      <c r="N81" s="702">
        <v>9743.92</v>
      </c>
    </row>
    <row r="82" spans="1:14" ht="14.45" customHeight="1" x14ac:dyDescent="0.2">
      <c r="A82" s="696" t="s">
        <v>537</v>
      </c>
      <c r="B82" s="697" t="s">
        <v>538</v>
      </c>
      <c r="C82" s="698" t="s">
        <v>550</v>
      </c>
      <c r="D82" s="699" t="s">
        <v>551</v>
      </c>
      <c r="E82" s="700">
        <v>50113001</v>
      </c>
      <c r="F82" s="699" t="s">
        <v>555</v>
      </c>
      <c r="G82" s="698" t="s">
        <v>556</v>
      </c>
      <c r="H82" s="698">
        <v>848477</v>
      </c>
      <c r="I82" s="698">
        <v>124346</v>
      </c>
      <c r="J82" s="698" t="s">
        <v>700</v>
      </c>
      <c r="K82" s="698" t="s">
        <v>701</v>
      </c>
      <c r="L82" s="701">
        <v>131.12</v>
      </c>
      <c r="M82" s="701">
        <v>1</v>
      </c>
      <c r="N82" s="702">
        <v>131.12</v>
      </c>
    </row>
    <row r="83" spans="1:14" ht="14.45" customHeight="1" x14ac:dyDescent="0.2">
      <c r="A83" s="696" t="s">
        <v>537</v>
      </c>
      <c r="B83" s="697" t="s">
        <v>538</v>
      </c>
      <c r="C83" s="698" t="s">
        <v>550</v>
      </c>
      <c r="D83" s="699" t="s">
        <v>551</v>
      </c>
      <c r="E83" s="700">
        <v>50113001</v>
      </c>
      <c r="F83" s="699" t="s">
        <v>555</v>
      </c>
      <c r="G83" s="698" t="s">
        <v>571</v>
      </c>
      <c r="H83" s="698">
        <v>230409</v>
      </c>
      <c r="I83" s="698">
        <v>230409</v>
      </c>
      <c r="J83" s="698" t="s">
        <v>702</v>
      </c>
      <c r="K83" s="698" t="s">
        <v>655</v>
      </c>
      <c r="L83" s="701">
        <v>19.73</v>
      </c>
      <c r="M83" s="701">
        <v>1</v>
      </c>
      <c r="N83" s="702">
        <v>19.73</v>
      </c>
    </row>
    <row r="84" spans="1:14" ht="14.45" customHeight="1" x14ac:dyDescent="0.2">
      <c r="A84" s="696" t="s">
        <v>537</v>
      </c>
      <c r="B84" s="697" t="s">
        <v>538</v>
      </c>
      <c r="C84" s="698" t="s">
        <v>550</v>
      </c>
      <c r="D84" s="699" t="s">
        <v>551</v>
      </c>
      <c r="E84" s="700">
        <v>50113001</v>
      </c>
      <c r="F84" s="699" t="s">
        <v>555</v>
      </c>
      <c r="G84" s="698" t="s">
        <v>571</v>
      </c>
      <c r="H84" s="698">
        <v>230415</v>
      </c>
      <c r="I84" s="698">
        <v>230415</v>
      </c>
      <c r="J84" s="698" t="s">
        <v>703</v>
      </c>
      <c r="K84" s="698" t="s">
        <v>704</v>
      </c>
      <c r="L84" s="701">
        <v>27.062000000000001</v>
      </c>
      <c r="M84" s="701">
        <v>5</v>
      </c>
      <c r="N84" s="702">
        <v>135.31</v>
      </c>
    </row>
    <row r="85" spans="1:14" ht="14.45" customHeight="1" x14ac:dyDescent="0.2">
      <c r="A85" s="696" t="s">
        <v>537</v>
      </c>
      <c r="B85" s="697" t="s">
        <v>538</v>
      </c>
      <c r="C85" s="698" t="s">
        <v>550</v>
      </c>
      <c r="D85" s="699" t="s">
        <v>551</v>
      </c>
      <c r="E85" s="700">
        <v>50113001</v>
      </c>
      <c r="F85" s="699" t="s">
        <v>555</v>
      </c>
      <c r="G85" s="698" t="s">
        <v>556</v>
      </c>
      <c r="H85" s="698">
        <v>216104</v>
      </c>
      <c r="I85" s="698">
        <v>216104</v>
      </c>
      <c r="J85" s="698" t="s">
        <v>705</v>
      </c>
      <c r="K85" s="698" t="s">
        <v>706</v>
      </c>
      <c r="L85" s="701">
        <v>211.62500000000003</v>
      </c>
      <c r="M85" s="701">
        <v>2</v>
      </c>
      <c r="N85" s="702">
        <v>423.25000000000006</v>
      </c>
    </row>
    <row r="86" spans="1:14" ht="14.45" customHeight="1" x14ac:dyDescent="0.2">
      <c r="A86" s="696" t="s">
        <v>537</v>
      </c>
      <c r="B86" s="697" t="s">
        <v>538</v>
      </c>
      <c r="C86" s="698" t="s">
        <v>550</v>
      </c>
      <c r="D86" s="699" t="s">
        <v>551</v>
      </c>
      <c r="E86" s="700">
        <v>50113001</v>
      </c>
      <c r="F86" s="699" t="s">
        <v>555</v>
      </c>
      <c r="G86" s="698" t="s">
        <v>306</v>
      </c>
      <c r="H86" s="698">
        <v>216114</v>
      </c>
      <c r="I86" s="698">
        <v>216114</v>
      </c>
      <c r="J86" s="698" t="s">
        <v>707</v>
      </c>
      <c r="K86" s="698" t="s">
        <v>708</v>
      </c>
      <c r="L86" s="701">
        <v>286.32999999999993</v>
      </c>
      <c r="M86" s="701">
        <v>1</v>
      </c>
      <c r="N86" s="702">
        <v>286.32999999999993</v>
      </c>
    </row>
    <row r="87" spans="1:14" ht="14.45" customHeight="1" x14ac:dyDescent="0.2">
      <c r="A87" s="696" t="s">
        <v>537</v>
      </c>
      <c r="B87" s="697" t="s">
        <v>538</v>
      </c>
      <c r="C87" s="698" t="s">
        <v>550</v>
      </c>
      <c r="D87" s="699" t="s">
        <v>551</v>
      </c>
      <c r="E87" s="700">
        <v>50113001</v>
      </c>
      <c r="F87" s="699" t="s">
        <v>555</v>
      </c>
      <c r="G87" s="698" t="s">
        <v>556</v>
      </c>
      <c r="H87" s="698">
        <v>207939</v>
      </c>
      <c r="I87" s="698">
        <v>207939</v>
      </c>
      <c r="J87" s="698" t="s">
        <v>709</v>
      </c>
      <c r="K87" s="698" t="s">
        <v>710</v>
      </c>
      <c r="L87" s="701">
        <v>60.840000000000011</v>
      </c>
      <c r="M87" s="701">
        <v>1</v>
      </c>
      <c r="N87" s="702">
        <v>60.840000000000011</v>
      </c>
    </row>
    <row r="88" spans="1:14" ht="14.45" customHeight="1" x14ac:dyDescent="0.2">
      <c r="A88" s="696" t="s">
        <v>537</v>
      </c>
      <c r="B88" s="697" t="s">
        <v>538</v>
      </c>
      <c r="C88" s="698" t="s">
        <v>550</v>
      </c>
      <c r="D88" s="699" t="s">
        <v>551</v>
      </c>
      <c r="E88" s="700">
        <v>50113001</v>
      </c>
      <c r="F88" s="699" t="s">
        <v>555</v>
      </c>
      <c r="G88" s="698" t="s">
        <v>556</v>
      </c>
      <c r="H88" s="698">
        <v>207940</v>
      </c>
      <c r="I88" s="698">
        <v>207940</v>
      </c>
      <c r="J88" s="698" t="s">
        <v>711</v>
      </c>
      <c r="K88" s="698" t="s">
        <v>712</v>
      </c>
      <c r="L88" s="701">
        <v>72.44</v>
      </c>
      <c r="M88" s="701">
        <v>7</v>
      </c>
      <c r="N88" s="702">
        <v>507.08</v>
      </c>
    </row>
    <row r="89" spans="1:14" ht="14.45" customHeight="1" x14ac:dyDescent="0.2">
      <c r="A89" s="696" t="s">
        <v>537</v>
      </c>
      <c r="B89" s="697" t="s">
        <v>538</v>
      </c>
      <c r="C89" s="698" t="s">
        <v>550</v>
      </c>
      <c r="D89" s="699" t="s">
        <v>551</v>
      </c>
      <c r="E89" s="700">
        <v>50113001</v>
      </c>
      <c r="F89" s="699" t="s">
        <v>555</v>
      </c>
      <c r="G89" s="698" t="s">
        <v>556</v>
      </c>
      <c r="H89" s="698">
        <v>232163</v>
      </c>
      <c r="I89" s="698">
        <v>232163</v>
      </c>
      <c r="J89" s="698" t="s">
        <v>713</v>
      </c>
      <c r="K89" s="698" t="s">
        <v>714</v>
      </c>
      <c r="L89" s="701">
        <v>87.474999999999994</v>
      </c>
      <c r="M89" s="701">
        <v>2</v>
      </c>
      <c r="N89" s="702">
        <v>174.95</v>
      </c>
    </row>
    <row r="90" spans="1:14" ht="14.45" customHeight="1" x14ac:dyDescent="0.2">
      <c r="A90" s="696" t="s">
        <v>537</v>
      </c>
      <c r="B90" s="697" t="s">
        <v>538</v>
      </c>
      <c r="C90" s="698" t="s">
        <v>550</v>
      </c>
      <c r="D90" s="699" t="s">
        <v>551</v>
      </c>
      <c r="E90" s="700">
        <v>50113001</v>
      </c>
      <c r="F90" s="699" t="s">
        <v>555</v>
      </c>
      <c r="G90" s="698" t="s">
        <v>556</v>
      </c>
      <c r="H90" s="698">
        <v>144980</v>
      </c>
      <c r="I90" s="698">
        <v>44980</v>
      </c>
      <c r="J90" s="698" t="s">
        <v>715</v>
      </c>
      <c r="K90" s="698" t="s">
        <v>716</v>
      </c>
      <c r="L90" s="701">
        <v>254.53</v>
      </c>
      <c r="M90" s="701">
        <v>1</v>
      </c>
      <c r="N90" s="702">
        <v>254.53</v>
      </c>
    </row>
    <row r="91" spans="1:14" ht="14.45" customHeight="1" x14ac:dyDescent="0.2">
      <c r="A91" s="696" t="s">
        <v>537</v>
      </c>
      <c r="B91" s="697" t="s">
        <v>538</v>
      </c>
      <c r="C91" s="698" t="s">
        <v>550</v>
      </c>
      <c r="D91" s="699" t="s">
        <v>551</v>
      </c>
      <c r="E91" s="700">
        <v>50113001</v>
      </c>
      <c r="F91" s="699" t="s">
        <v>555</v>
      </c>
      <c r="G91" s="698" t="s">
        <v>571</v>
      </c>
      <c r="H91" s="698">
        <v>214435</v>
      </c>
      <c r="I91" s="698">
        <v>214435</v>
      </c>
      <c r="J91" s="698" t="s">
        <v>717</v>
      </c>
      <c r="K91" s="698" t="s">
        <v>718</v>
      </c>
      <c r="L91" s="701">
        <v>42.88</v>
      </c>
      <c r="M91" s="701">
        <v>1</v>
      </c>
      <c r="N91" s="702">
        <v>42.88</v>
      </c>
    </row>
    <row r="92" spans="1:14" ht="14.45" customHeight="1" x14ac:dyDescent="0.2">
      <c r="A92" s="696" t="s">
        <v>537</v>
      </c>
      <c r="B92" s="697" t="s">
        <v>538</v>
      </c>
      <c r="C92" s="698" t="s">
        <v>550</v>
      </c>
      <c r="D92" s="699" t="s">
        <v>551</v>
      </c>
      <c r="E92" s="700">
        <v>50113001</v>
      </c>
      <c r="F92" s="699" t="s">
        <v>555</v>
      </c>
      <c r="G92" s="698" t="s">
        <v>571</v>
      </c>
      <c r="H92" s="698">
        <v>214433</v>
      </c>
      <c r="I92" s="698">
        <v>214433</v>
      </c>
      <c r="J92" s="698" t="s">
        <v>717</v>
      </c>
      <c r="K92" s="698" t="s">
        <v>719</v>
      </c>
      <c r="L92" s="701">
        <v>12.32</v>
      </c>
      <c r="M92" s="701">
        <v>8</v>
      </c>
      <c r="N92" s="702">
        <v>98.56</v>
      </c>
    </row>
    <row r="93" spans="1:14" ht="14.45" customHeight="1" x14ac:dyDescent="0.2">
      <c r="A93" s="696" t="s">
        <v>537</v>
      </c>
      <c r="B93" s="697" t="s">
        <v>538</v>
      </c>
      <c r="C93" s="698" t="s">
        <v>550</v>
      </c>
      <c r="D93" s="699" t="s">
        <v>551</v>
      </c>
      <c r="E93" s="700">
        <v>50113001</v>
      </c>
      <c r="F93" s="699" t="s">
        <v>555</v>
      </c>
      <c r="G93" s="698" t="s">
        <v>556</v>
      </c>
      <c r="H93" s="698">
        <v>214525</v>
      </c>
      <c r="I93" s="698">
        <v>214525</v>
      </c>
      <c r="J93" s="698" t="s">
        <v>720</v>
      </c>
      <c r="K93" s="698" t="s">
        <v>721</v>
      </c>
      <c r="L93" s="701">
        <v>26.43</v>
      </c>
      <c r="M93" s="701">
        <v>1</v>
      </c>
      <c r="N93" s="702">
        <v>26.43</v>
      </c>
    </row>
    <row r="94" spans="1:14" ht="14.45" customHeight="1" x14ac:dyDescent="0.2">
      <c r="A94" s="696" t="s">
        <v>537</v>
      </c>
      <c r="B94" s="697" t="s">
        <v>538</v>
      </c>
      <c r="C94" s="698" t="s">
        <v>550</v>
      </c>
      <c r="D94" s="699" t="s">
        <v>551</v>
      </c>
      <c r="E94" s="700">
        <v>50113001</v>
      </c>
      <c r="F94" s="699" t="s">
        <v>555</v>
      </c>
      <c r="G94" s="698" t="s">
        <v>571</v>
      </c>
      <c r="H94" s="698">
        <v>214427</v>
      </c>
      <c r="I94" s="698">
        <v>214427</v>
      </c>
      <c r="J94" s="698" t="s">
        <v>722</v>
      </c>
      <c r="K94" s="698" t="s">
        <v>723</v>
      </c>
      <c r="L94" s="701">
        <v>16.572043796808856</v>
      </c>
      <c r="M94" s="701">
        <v>3071</v>
      </c>
      <c r="N94" s="702">
        <v>50892.746500000001</v>
      </c>
    </row>
    <row r="95" spans="1:14" ht="14.45" customHeight="1" x14ac:dyDescent="0.2">
      <c r="A95" s="696" t="s">
        <v>537</v>
      </c>
      <c r="B95" s="697" t="s">
        <v>538</v>
      </c>
      <c r="C95" s="698" t="s">
        <v>550</v>
      </c>
      <c r="D95" s="699" t="s">
        <v>551</v>
      </c>
      <c r="E95" s="700">
        <v>50113001</v>
      </c>
      <c r="F95" s="699" t="s">
        <v>555</v>
      </c>
      <c r="G95" s="698" t="s">
        <v>571</v>
      </c>
      <c r="H95" s="698">
        <v>113768</v>
      </c>
      <c r="I95" s="698">
        <v>13768</v>
      </c>
      <c r="J95" s="698" t="s">
        <v>724</v>
      </c>
      <c r="K95" s="698" t="s">
        <v>725</v>
      </c>
      <c r="L95" s="701">
        <v>89.649999999999991</v>
      </c>
      <c r="M95" s="701">
        <v>3</v>
      </c>
      <c r="N95" s="702">
        <v>268.95</v>
      </c>
    </row>
    <row r="96" spans="1:14" ht="14.45" customHeight="1" x14ac:dyDescent="0.2">
      <c r="A96" s="696" t="s">
        <v>537</v>
      </c>
      <c r="B96" s="697" t="s">
        <v>538</v>
      </c>
      <c r="C96" s="698" t="s">
        <v>550</v>
      </c>
      <c r="D96" s="699" t="s">
        <v>551</v>
      </c>
      <c r="E96" s="700">
        <v>50113001</v>
      </c>
      <c r="F96" s="699" t="s">
        <v>555</v>
      </c>
      <c r="G96" s="698" t="s">
        <v>556</v>
      </c>
      <c r="H96" s="698">
        <v>213261</v>
      </c>
      <c r="I96" s="698">
        <v>213261</v>
      </c>
      <c r="J96" s="698" t="s">
        <v>726</v>
      </c>
      <c r="K96" s="698" t="s">
        <v>727</v>
      </c>
      <c r="L96" s="701">
        <v>151.76999999999998</v>
      </c>
      <c r="M96" s="701">
        <v>1</v>
      </c>
      <c r="N96" s="702">
        <v>151.76999999999998</v>
      </c>
    </row>
    <row r="97" spans="1:14" ht="14.45" customHeight="1" x14ac:dyDescent="0.2">
      <c r="A97" s="696" t="s">
        <v>537</v>
      </c>
      <c r="B97" s="697" t="s">
        <v>538</v>
      </c>
      <c r="C97" s="698" t="s">
        <v>550</v>
      </c>
      <c r="D97" s="699" t="s">
        <v>551</v>
      </c>
      <c r="E97" s="700">
        <v>50113001</v>
      </c>
      <c r="F97" s="699" t="s">
        <v>555</v>
      </c>
      <c r="G97" s="698" t="s">
        <v>556</v>
      </c>
      <c r="H97" s="698">
        <v>213255</v>
      </c>
      <c r="I97" s="698">
        <v>213255</v>
      </c>
      <c r="J97" s="698" t="s">
        <v>728</v>
      </c>
      <c r="K97" s="698" t="s">
        <v>729</v>
      </c>
      <c r="L97" s="701">
        <v>126.84</v>
      </c>
      <c r="M97" s="701">
        <v>1</v>
      </c>
      <c r="N97" s="702">
        <v>126.84</v>
      </c>
    </row>
    <row r="98" spans="1:14" ht="14.45" customHeight="1" x14ac:dyDescent="0.2">
      <c r="A98" s="696" t="s">
        <v>537</v>
      </c>
      <c r="B98" s="697" t="s">
        <v>538</v>
      </c>
      <c r="C98" s="698" t="s">
        <v>550</v>
      </c>
      <c r="D98" s="699" t="s">
        <v>551</v>
      </c>
      <c r="E98" s="700">
        <v>50113001</v>
      </c>
      <c r="F98" s="699" t="s">
        <v>555</v>
      </c>
      <c r="G98" s="698" t="s">
        <v>556</v>
      </c>
      <c r="H98" s="698">
        <v>216471</v>
      </c>
      <c r="I98" s="698">
        <v>216471</v>
      </c>
      <c r="J98" s="698" t="s">
        <v>730</v>
      </c>
      <c r="K98" s="698" t="s">
        <v>731</v>
      </c>
      <c r="L98" s="701">
        <v>130.41</v>
      </c>
      <c r="M98" s="701">
        <v>1</v>
      </c>
      <c r="N98" s="702">
        <v>130.41</v>
      </c>
    </row>
    <row r="99" spans="1:14" ht="14.45" customHeight="1" x14ac:dyDescent="0.2">
      <c r="A99" s="696" t="s">
        <v>537</v>
      </c>
      <c r="B99" s="697" t="s">
        <v>538</v>
      </c>
      <c r="C99" s="698" t="s">
        <v>550</v>
      </c>
      <c r="D99" s="699" t="s">
        <v>551</v>
      </c>
      <c r="E99" s="700">
        <v>50113001</v>
      </c>
      <c r="F99" s="699" t="s">
        <v>555</v>
      </c>
      <c r="G99" s="698" t="s">
        <v>571</v>
      </c>
      <c r="H99" s="698">
        <v>241308</v>
      </c>
      <c r="I99" s="698">
        <v>241308</v>
      </c>
      <c r="J99" s="698" t="s">
        <v>732</v>
      </c>
      <c r="K99" s="698" t="s">
        <v>733</v>
      </c>
      <c r="L99" s="701">
        <v>546.74457142857148</v>
      </c>
      <c r="M99" s="701">
        <v>70</v>
      </c>
      <c r="N99" s="702">
        <v>38272.120000000003</v>
      </c>
    </row>
    <row r="100" spans="1:14" ht="14.45" customHeight="1" x14ac:dyDescent="0.2">
      <c r="A100" s="696" t="s">
        <v>537</v>
      </c>
      <c r="B100" s="697" t="s">
        <v>538</v>
      </c>
      <c r="C100" s="698" t="s">
        <v>550</v>
      </c>
      <c r="D100" s="699" t="s">
        <v>551</v>
      </c>
      <c r="E100" s="700">
        <v>50113001</v>
      </c>
      <c r="F100" s="699" t="s">
        <v>555</v>
      </c>
      <c r="G100" s="698" t="s">
        <v>556</v>
      </c>
      <c r="H100" s="698">
        <v>845813</v>
      </c>
      <c r="I100" s="698">
        <v>9999999</v>
      </c>
      <c r="J100" s="698" t="s">
        <v>734</v>
      </c>
      <c r="K100" s="698" t="s">
        <v>306</v>
      </c>
      <c r="L100" s="701">
        <v>194.29999999999998</v>
      </c>
      <c r="M100" s="701">
        <v>2</v>
      </c>
      <c r="N100" s="702">
        <v>388.59999999999997</v>
      </c>
    </row>
    <row r="101" spans="1:14" ht="14.45" customHeight="1" x14ac:dyDescent="0.2">
      <c r="A101" s="696" t="s">
        <v>537</v>
      </c>
      <c r="B101" s="697" t="s">
        <v>538</v>
      </c>
      <c r="C101" s="698" t="s">
        <v>550</v>
      </c>
      <c r="D101" s="699" t="s">
        <v>551</v>
      </c>
      <c r="E101" s="700">
        <v>50113001</v>
      </c>
      <c r="F101" s="699" t="s">
        <v>555</v>
      </c>
      <c r="G101" s="698" t="s">
        <v>556</v>
      </c>
      <c r="H101" s="698">
        <v>193105</v>
      </c>
      <c r="I101" s="698">
        <v>93105</v>
      </c>
      <c r="J101" s="698" t="s">
        <v>735</v>
      </c>
      <c r="K101" s="698" t="s">
        <v>736</v>
      </c>
      <c r="L101" s="701">
        <v>205.59905027932959</v>
      </c>
      <c r="M101" s="701">
        <v>179</v>
      </c>
      <c r="N101" s="702">
        <v>36802.229999999996</v>
      </c>
    </row>
    <row r="102" spans="1:14" ht="14.45" customHeight="1" x14ac:dyDescent="0.2">
      <c r="A102" s="696" t="s">
        <v>537</v>
      </c>
      <c r="B102" s="697" t="s">
        <v>538</v>
      </c>
      <c r="C102" s="698" t="s">
        <v>550</v>
      </c>
      <c r="D102" s="699" t="s">
        <v>551</v>
      </c>
      <c r="E102" s="700">
        <v>50113001</v>
      </c>
      <c r="F102" s="699" t="s">
        <v>555</v>
      </c>
      <c r="G102" s="698" t="s">
        <v>571</v>
      </c>
      <c r="H102" s="698">
        <v>144997</v>
      </c>
      <c r="I102" s="698">
        <v>44997</v>
      </c>
      <c r="J102" s="698" t="s">
        <v>737</v>
      </c>
      <c r="K102" s="698" t="s">
        <v>738</v>
      </c>
      <c r="L102" s="701">
        <v>238.13999999999993</v>
      </c>
      <c r="M102" s="701">
        <v>1</v>
      </c>
      <c r="N102" s="702">
        <v>238.13999999999993</v>
      </c>
    </row>
    <row r="103" spans="1:14" ht="14.45" customHeight="1" x14ac:dyDescent="0.2">
      <c r="A103" s="696" t="s">
        <v>537</v>
      </c>
      <c r="B103" s="697" t="s">
        <v>538</v>
      </c>
      <c r="C103" s="698" t="s">
        <v>550</v>
      </c>
      <c r="D103" s="699" t="s">
        <v>551</v>
      </c>
      <c r="E103" s="700">
        <v>50113001</v>
      </c>
      <c r="F103" s="699" t="s">
        <v>555</v>
      </c>
      <c r="G103" s="698" t="s">
        <v>571</v>
      </c>
      <c r="H103" s="698">
        <v>237626</v>
      </c>
      <c r="I103" s="698">
        <v>237626</v>
      </c>
      <c r="J103" s="698" t="s">
        <v>739</v>
      </c>
      <c r="K103" s="698" t="s">
        <v>740</v>
      </c>
      <c r="L103" s="701">
        <v>237.7888709677419</v>
      </c>
      <c r="M103" s="701">
        <v>62</v>
      </c>
      <c r="N103" s="702">
        <v>14742.909999999998</v>
      </c>
    </row>
    <row r="104" spans="1:14" ht="14.45" customHeight="1" x14ac:dyDescent="0.2">
      <c r="A104" s="696" t="s">
        <v>537</v>
      </c>
      <c r="B104" s="697" t="s">
        <v>538</v>
      </c>
      <c r="C104" s="698" t="s">
        <v>550</v>
      </c>
      <c r="D104" s="699" t="s">
        <v>551</v>
      </c>
      <c r="E104" s="700">
        <v>50113001</v>
      </c>
      <c r="F104" s="699" t="s">
        <v>555</v>
      </c>
      <c r="G104" s="698" t="s">
        <v>556</v>
      </c>
      <c r="H104" s="698">
        <v>201992</v>
      </c>
      <c r="I104" s="698">
        <v>201992</v>
      </c>
      <c r="J104" s="698" t="s">
        <v>741</v>
      </c>
      <c r="K104" s="698" t="s">
        <v>742</v>
      </c>
      <c r="L104" s="701">
        <v>552.80999999999983</v>
      </c>
      <c r="M104" s="701">
        <v>3</v>
      </c>
      <c r="N104" s="702">
        <v>1658.4299999999996</v>
      </c>
    </row>
    <row r="105" spans="1:14" ht="14.45" customHeight="1" x14ac:dyDescent="0.2">
      <c r="A105" s="696" t="s">
        <v>537</v>
      </c>
      <c r="B105" s="697" t="s">
        <v>538</v>
      </c>
      <c r="C105" s="698" t="s">
        <v>550</v>
      </c>
      <c r="D105" s="699" t="s">
        <v>551</v>
      </c>
      <c r="E105" s="700">
        <v>50113001</v>
      </c>
      <c r="F105" s="699" t="s">
        <v>555</v>
      </c>
      <c r="G105" s="698" t="s">
        <v>556</v>
      </c>
      <c r="H105" s="698">
        <v>114075</v>
      </c>
      <c r="I105" s="698">
        <v>14075</v>
      </c>
      <c r="J105" s="698" t="s">
        <v>741</v>
      </c>
      <c r="K105" s="698" t="s">
        <v>743</v>
      </c>
      <c r="L105" s="701">
        <v>294.64000000000004</v>
      </c>
      <c r="M105" s="701">
        <v>6</v>
      </c>
      <c r="N105" s="702">
        <v>1767.8400000000001</v>
      </c>
    </row>
    <row r="106" spans="1:14" ht="14.45" customHeight="1" x14ac:dyDescent="0.2">
      <c r="A106" s="696" t="s">
        <v>537</v>
      </c>
      <c r="B106" s="697" t="s">
        <v>538</v>
      </c>
      <c r="C106" s="698" t="s">
        <v>550</v>
      </c>
      <c r="D106" s="699" t="s">
        <v>551</v>
      </c>
      <c r="E106" s="700">
        <v>50113001</v>
      </c>
      <c r="F106" s="699" t="s">
        <v>555</v>
      </c>
      <c r="G106" s="698" t="s">
        <v>556</v>
      </c>
      <c r="H106" s="698">
        <v>184090</v>
      </c>
      <c r="I106" s="698">
        <v>84090</v>
      </c>
      <c r="J106" s="698" t="s">
        <v>744</v>
      </c>
      <c r="K106" s="698" t="s">
        <v>745</v>
      </c>
      <c r="L106" s="701">
        <v>59.942619181455015</v>
      </c>
      <c r="M106" s="701">
        <v>84</v>
      </c>
      <c r="N106" s="702">
        <v>5035.1800112422216</v>
      </c>
    </row>
    <row r="107" spans="1:14" ht="14.45" customHeight="1" x14ac:dyDescent="0.2">
      <c r="A107" s="696" t="s">
        <v>537</v>
      </c>
      <c r="B107" s="697" t="s">
        <v>538</v>
      </c>
      <c r="C107" s="698" t="s">
        <v>550</v>
      </c>
      <c r="D107" s="699" t="s">
        <v>551</v>
      </c>
      <c r="E107" s="700">
        <v>50113001</v>
      </c>
      <c r="F107" s="699" t="s">
        <v>555</v>
      </c>
      <c r="G107" s="698" t="s">
        <v>571</v>
      </c>
      <c r="H107" s="698">
        <v>136755</v>
      </c>
      <c r="I107" s="698">
        <v>136755</v>
      </c>
      <c r="J107" s="698" t="s">
        <v>746</v>
      </c>
      <c r="K107" s="698" t="s">
        <v>747</v>
      </c>
      <c r="L107" s="701">
        <v>3885.4108000000001</v>
      </c>
      <c r="M107" s="701">
        <v>25</v>
      </c>
      <c r="N107" s="702">
        <v>97135.27</v>
      </c>
    </row>
    <row r="108" spans="1:14" ht="14.45" customHeight="1" x14ac:dyDescent="0.2">
      <c r="A108" s="696" t="s">
        <v>537</v>
      </c>
      <c r="B108" s="697" t="s">
        <v>538</v>
      </c>
      <c r="C108" s="698" t="s">
        <v>550</v>
      </c>
      <c r="D108" s="699" t="s">
        <v>551</v>
      </c>
      <c r="E108" s="700">
        <v>50113001</v>
      </c>
      <c r="F108" s="699" t="s">
        <v>555</v>
      </c>
      <c r="G108" s="698" t="s">
        <v>571</v>
      </c>
      <c r="H108" s="698">
        <v>136754</v>
      </c>
      <c r="I108" s="698">
        <v>136754</v>
      </c>
      <c r="J108" s="698" t="s">
        <v>746</v>
      </c>
      <c r="K108" s="698" t="s">
        <v>748</v>
      </c>
      <c r="L108" s="701">
        <v>860.69</v>
      </c>
      <c r="M108" s="701">
        <v>4</v>
      </c>
      <c r="N108" s="702">
        <v>3442.76</v>
      </c>
    </row>
    <row r="109" spans="1:14" ht="14.45" customHeight="1" x14ac:dyDescent="0.2">
      <c r="A109" s="696" t="s">
        <v>537</v>
      </c>
      <c r="B109" s="697" t="s">
        <v>538</v>
      </c>
      <c r="C109" s="698" t="s">
        <v>550</v>
      </c>
      <c r="D109" s="699" t="s">
        <v>551</v>
      </c>
      <c r="E109" s="700">
        <v>50113001</v>
      </c>
      <c r="F109" s="699" t="s">
        <v>555</v>
      </c>
      <c r="G109" s="698" t="s">
        <v>556</v>
      </c>
      <c r="H109" s="698">
        <v>230421</v>
      </c>
      <c r="I109" s="698">
        <v>230421</v>
      </c>
      <c r="J109" s="698" t="s">
        <v>749</v>
      </c>
      <c r="K109" s="698" t="s">
        <v>750</v>
      </c>
      <c r="L109" s="701">
        <v>76.97999999999999</v>
      </c>
      <c r="M109" s="701">
        <v>1</v>
      </c>
      <c r="N109" s="702">
        <v>76.97999999999999</v>
      </c>
    </row>
    <row r="110" spans="1:14" ht="14.45" customHeight="1" x14ac:dyDescent="0.2">
      <c r="A110" s="696" t="s">
        <v>537</v>
      </c>
      <c r="B110" s="697" t="s">
        <v>538</v>
      </c>
      <c r="C110" s="698" t="s">
        <v>550</v>
      </c>
      <c r="D110" s="699" t="s">
        <v>551</v>
      </c>
      <c r="E110" s="700">
        <v>50113001</v>
      </c>
      <c r="F110" s="699" t="s">
        <v>555</v>
      </c>
      <c r="G110" s="698" t="s">
        <v>556</v>
      </c>
      <c r="H110" s="698">
        <v>230423</v>
      </c>
      <c r="I110" s="698">
        <v>230423</v>
      </c>
      <c r="J110" s="698" t="s">
        <v>749</v>
      </c>
      <c r="K110" s="698" t="s">
        <v>751</v>
      </c>
      <c r="L110" s="701">
        <v>39.736666666666665</v>
      </c>
      <c r="M110" s="701">
        <v>3</v>
      </c>
      <c r="N110" s="702">
        <v>119.21</v>
      </c>
    </row>
    <row r="111" spans="1:14" ht="14.45" customHeight="1" x14ac:dyDescent="0.2">
      <c r="A111" s="696" t="s">
        <v>537</v>
      </c>
      <c r="B111" s="697" t="s">
        <v>538</v>
      </c>
      <c r="C111" s="698" t="s">
        <v>550</v>
      </c>
      <c r="D111" s="699" t="s">
        <v>551</v>
      </c>
      <c r="E111" s="700">
        <v>50113001</v>
      </c>
      <c r="F111" s="699" t="s">
        <v>555</v>
      </c>
      <c r="G111" s="698" t="s">
        <v>556</v>
      </c>
      <c r="H111" s="698">
        <v>175604</v>
      </c>
      <c r="I111" s="698">
        <v>75604</v>
      </c>
      <c r="J111" s="698" t="s">
        <v>752</v>
      </c>
      <c r="K111" s="698" t="s">
        <v>753</v>
      </c>
      <c r="L111" s="701">
        <v>110.93999999999997</v>
      </c>
      <c r="M111" s="701">
        <v>1</v>
      </c>
      <c r="N111" s="702">
        <v>110.93999999999997</v>
      </c>
    </row>
    <row r="112" spans="1:14" ht="14.45" customHeight="1" x14ac:dyDescent="0.2">
      <c r="A112" s="696" t="s">
        <v>537</v>
      </c>
      <c r="B112" s="697" t="s">
        <v>538</v>
      </c>
      <c r="C112" s="698" t="s">
        <v>550</v>
      </c>
      <c r="D112" s="699" t="s">
        <v>551</v>
      </c>
      <c r="E112" s="700">
        <v>50113001</v>
      </c>
      <c r="F112" s="699" t="s">
        <v>555</v>
      </c>
      <c r="G112" s="698" t="s">
        <v>556</v>
      </c>
      <c r="H112" s="698">
        <v>846346</v>
      </c>
      <c r="I112" s="698">
        <v>119672</v>
      </c>
      <c r="J112" s="698" t="s">
        <v>754</v>
      </c>
      <c r="K112" s="698" t="s">
        <v>755</v>
      </c>
      <c r="L112" s="701">
        <v>120.98999999999997</v>
      </c>
      <c r="M112" s="701">
        <v>1</v>
      </c>
      <c r="N112" s="702">
        <v>120.98999999999997</v>
      </c>
    </row>
    <row r="113" spans="1:14" ht="14.45" customHeight="1" x14ac:dyDescent="0.2">
      <c r="A113" s="696" t="s">
        <v>537</v>
      </c>
      <c r="B113" s="697" t="s">
        <v>538</v>
      </c>
      <c r="C113" s="698" t="s">
        <v>550</v>
      </c>
      <c r="D113" s="699" t="s">
        <v>551</v>
      </c>
      <c r="E113" s="700">
        <v>50113001</v>
      </c>
      <c r="F113" s="699" t="s">
        <v>555</v>
      </c>
      <c r="G113" s="698" t="s">
        <v>556</v>
      </c>
      <c r="H113" s="698">
        <v>117011</v>
      </c>
      <c r="I113" s="698">
        <v>17011</v>
      </c>
      <c r="J113" s="698" t="s">
        <v>756</v>
      </c>
      <c r="K113" s="698" t="s">
        <v>757</v>
      </c>
      <c r="L113" s="701">
        <v>144.11217391304342</v>
      </c>
      <c r="M113" s="701">
        <v>460</v>
      </c>
      <c r="N113" s="702">
        <v>66291.599999999977</v>
      </c>
    </row>
    <row r="114" spans="1:14" ht="14.45" customHeight="1" x14ac:dyDescent="0.2">
      <c r="A114" s="696" t="s">
        <v>537</v>
      </c>
      <c r="B114" s="697" t="s">
        <v>538</v>
      </c>
      <c r="C114" s="698" t="s">
        <v>550</v>
      </c>
      <c r="D114" s="699" t="s">
        <v>551</v>
      </c>
      <c r="E114" s="700">
        <v>50113001</v>
      </c>
      <c r="F114" s="699" t="s">
        <v>555</v>
      </c>
      <c r="G114" s="698" t="s">
        <v>556</v>
      </c>
      <c r="H114" s="698">
        <v>183318</v>
      </c>
      <c r="I114" s="698">
        <v>83318</v>
      </c>
      <c r="J114" s="698" t="s">
        <v>758</v>
      </c>
      <c r="K114" s="698" t="s">
        <v>759</v>
      </c>
      <c r="L114" s="701">
        <v>31.77000000000001</v>
      </c>
      <c r="M114" s="701">
        <v>2</v>
      </c>
      <c r="N114" s="702">
        <v>63.54000000000002</v>
      </c>
    </row>
    <row r="115" spans="1:14" ht="14.45" customHeight="1" x14ac:dyDescent="0.2">
      <c r="A115" s="696" t="s">
        <v>537</v>
      </c>
      <c r="B115" s="697" t="s">
        <v>538</v>
      </c>
      <c r="C115" s="698" t="s">
        <v>550</v>
      </c>
      <c r="D115" s="699" t="s">
        <v>551</v>
      </c>
      <c r="E115" s="700">
        <v>50113001</v>
      </c>
      <c r="F115" s="699" t="s">
        <v>555</v>
      </c>
      <c r="G115" s="698" t="s">
        <v>556</v>
      </c>
      <c r="H115" s="698">
        <v>103542</v>
      </c>
      <c r="I115" s="698">
        <v>3542</v>
      </c>
      <c r="J115" s="698" t="s">
        <v>760</v>
      </c>
      <c r="K115" s="698" t="s">
        <v>761</v>
      </c>
      <c r="L115" s="701">
        <v>35.29000019480177</v>
      </c>
      <c r="M115" s="701">
        <v>2</v>
      </c>
      <c r="N115" s="702">
        <v>70.580000389603541</v>
      </c>
    </row>
    <row r="116" spans="1:14" ht="14.45" customHeight="1" x14ac:dyDescent="0.2">
      <c r="A116" s="696" t="s">
        <v>537</v>
      </c>
      <c r="B116" s="697" t="s">
        <v>538</v>
      </c>
      <c r="C116" s="698" t="s">
        <v>550</v>
      </c>
      <c r="D116" s="699" t="s">
        <v>551</v>
      </c>
      <c r="E116" s="700">
        <v>50113001</v>
      </c>
      <c r="F116" s="699" t="s">
        <v>555</v>
      </c>
      <c r="G116" s="698" t="s">
        <v>556</v>
      </c>
      <c r="H116" s="698">
        <v>232606</v>
      </c>
      <c r="I116" s="698">
        <v>232606</v>
      </c>
      <c r="J116" s="698" t="s">
        <v>762</v>
      </c>
      <c r="K116" s="698" t="s">
        <v>763</v>
      </c>
      <c r="L116" s="701">
        <v>139.43631578947367</v>
      </c>
      <c r="M116" s="701">
        <v>19</v>
      </c>
      <c r="N116" s="702">
        <v>2649.2899999999995</v>
      </c>
    </row>
    <row r="117" spans="1:14" ht="14.45" customHeight="1" x14ac:dyDescent="0.2">
      <c r="A117" s="696" t="s">
        <v>537</v>
      </c>
      <c r="B117" s="697" t="s">
        <v>538</v>
      </c>
      <c r="C117" s="698" t="s">
        <v>550</v>
      </c>
      <c r="D117" s="699" t="s">
        <v>551</v>
      </c>
      <c r="E117" s="700">
        <v>50113001</v>
      </c>
      <c r="F117" s="699" t="s">
        <v>555</v>
      </c>
      <c r="G117" s="698" t="s">
        <v>556</v>
      </c>
      <c r="H117" s="698">
        <v>228730</v>
      </c>
      <c r="I117" s="698">
        <v>228730</v>
      </c>
      <c r="J117" s="698" t="s">
        <v>764</v>
      </c>
      <c r="K117" s="698" t="s">
        <v>765</v>
      </c>
      <c r="L117" s="701">
        <v>1078</v>
      </c>
      <c r="M117" s="701">
        <v>4</v>
      </c>
      <c r="N117" s="702">
        <v>4312</v>
      </c>
    </row>
    <row r="118" spans="1:14" ht="14.45" customHeight="1" x14ac:dyDescent="0.2">
      <c r="A118" s="696" t="s">
        <v>537</v>
      </c>
      <c r="B118" s="697" t="s">
        <v>538</v>
      </c>
      <c r="C118" s="698" t="s">
        <v>550</v>
      </c>
      <c r="D118" s="699" t="s">
        <v>551</v>
      </c>
      <c r="E118" s="700">
        <v>50113001</v>
      </c>
      <c r="F118" s="699" t="s">
        <v>555</v>
      </c>
      <c r="G118" s="698" t="s">
        <v>556</v>
      </c>
      <c r="H118" s="698">
        <v>100113</v>
      </c>
      <c r="I118" s="698">
        <v>113</v>
      </c>
      <c r="J118" s="698" t="s">
        <v>766</v>
      </c>
      <c r="K118" s="698" t="s">
        <v>767</v>
      </c>
      <c r="L118" s="701">
        <v>45.873000000000005</v>
      </c>
      <c r="M118" s="701">
        <v>20</v>
      </c>
      <c r="N118" s="702">
        <v>917.46000000000015</v>
      </c>
    </row>
    <row r="119" spans="1:14" ht="14.45" customHeight="1" x14ac:dyDescent="0.2">
      <c r="A119" s="696" t="s">
        <v>537</v>
      </c>
      <c r="B119" s="697" t="s">
        <v>538</v>
      </c>
      <c r="C119" s="698" t="s">
        <v>550</v>
      </c>
      <c r="D119" s="699" t="s">
        <v>551</v>
      </c>
      <c r="E119" s="700">
        <v>50113001</v>
      </c>
      <c r="F119" s="699" t="s">
        <v>555</v>
      </c>
      <c r="G119" s="698" t="s">
        <v>556</v>
      </c>
      <c r="H119" s="698">
        <v>11399</v>
      </c>
      <c r="I119" s="698">
        <v>11399</v>
      </c>
      <c r="J119" s="698" t="s">
        <v>768</v>
      </c>
      <c r="K119" s="698" t="s">
        <v>769</v>
      </c>
      <c r="L119" s="701">
        <v>10228.446153846153</v>
      </c>
      <c r="M119" s="701">
        <v>13</v>
      </c>
      <c r="N119" s="702">
        <v>132969.79999999999</v>
      </c>
    </row>
    <row r="120" spans="1:14" ht="14.45" customHeight="1" x14ac:dyDescent="0.2">
      <c r="A120" s="696" t="s">
        <v>537</v>
      </c>
      <c r="B120" s="697" t="s">
        <v>538</v>
      </c>
      <c r="C120" s="698" t="s">
        <v>550</v>
      </c>
      <c r="D120" s="699" t="s">
        <v>551</v>
      </c>
      <c r="E120" s="700">
        <v>50113001</v>
      </c>
      <c r="F120" s="699" t="s">
        <v>555</v>
      </c>
      <c r="G120" s="698" t="s">
        <v>556</v>
      </c>
      <c r="H120" s="698">
        <v>241672</v>
      </c>
      <c r="I120" s="698">
        <v>241672</v>
      </c>
      <c r="J120" s="698" t="s">
        <v>770</v>
      </c>
      <c r="K120" s="698" t="s">
        <v>771</v>
      </c>
      <c r="L120" s="701">
        <v>104.38353968253969</v>
      </c>
      <c r="M120" s="701">
        <v>630</v>
      </c>
      <c r="N120" s="702">
        <v>65761.63</v>
      </c>
    </row>
    <row r="121" spans="1:14" ht="14.45" customHeight="1" x14ac:dyDescent="0.2">
      <c r="A121" s="696" t="s">
        <v>537</v>
      </c>
      <c r="B121" s="697" t="s">
        <v>538</v>
      </c>
      <c r="C121" s="698" t="s">
        <v>550</v>
      </c>
      <c r="D121" s="699" t="s">
        <v>551</v>
      </c>
      <c r="E121" s="700">
        <v>50113001</v>
      </c>
      <c r="F121" s="699" t="s">
        <v>555</v>
      </c>
      <c r="G121" s="698" t="s">
        <v>556</v>
      </c>
      <c r="H121" s="698">
        <v>104071</v>
      </c>
      <c r="I121" s="698">
        <v>4071</v>
      </c>
      <c r="J121" s="698" t="s">
        <v>772</v>
      </c>
      <c r="K121" s="698" t="s">
        <v>773</v>
      </c>
      <c r="L121" s="701">
        <v>222.97799830703224</v>
      </c>
      <c r="M121" s="701">
        <v>5</v>
      </c>
      <c r="N121" s="702">
        <v>1114.8899915351612</v>
      </c>
    </row>
    <row r="122" spans="1:14" ht="14.45" customHeight="1" x14ac:dyDescent="0.2">
      <c r="A122" s="696" t="s">
        <v>537</v>
      </c>
      <c r="B122" s="697" t="s">
        <v>538</v>
      </c>
      <c r="C122" s="698" t="s">
        <v>550</v>
      </c>
      <c r="D122" s="699" t="s">
        <v>551</v>
      </c>
      <c r="E122" s="700">
        <v>50113001</v>
      </c>
      <c r="F122" s="699" t="s">
        <v>555</v>
      </c>
      <c r="G122" s="698" t="s">
        <v>556</v>
      </c>
      <c r="H122" s="698">
        <v>102479</v>
      </c>
      <c r="I122" s="698">
        <v>2479</v>
      </c>
      <c r="J122" s="698" t="s">
        <v>772</v>
      </c>
      <c r="K122" s="698" t="s">
        <v>774</v>
      </c>
      <c r="L122" s="701">
        <v>65.489999999999981</v>
      </c>
      <c r="M122" s="701">
        <v>1</v>
      </c>
      <c r="N122" s="702">
        <v>65.489999999999981</v>
      </c>
    </row>
    <row r="123" spans="1:14" ht="14.45" customHeight="1" x14ac:dyDescent="0.2">
      <c r="A123" s="696" t="s">
        <v>537</v>
      </c>
      <c r="B123" s="697" t="s">
        <v>538</v>
      </c>
      <c r="C123" s="698" t="s">
        <v>550</v>
      </c>
      <c r="D123" s="699" t="s">
        <v>551</v>
      </c>
      <c r="E123" s="700">
        <v>50113001</v>
      </c>
      <c r="F123" s="699" t="s">
        <v>555</v>
      </c>
      <c r="G123" s="698" t="s">
        <v>556</v>
      </c>
      <c r="H123" s="698">
        <v>175289</v>
      </c>
      <c r="I123" s="698">
        <v>75289</v>
      </c>
      <c r="J123" s="698" t="s">
        <v>775</v>
      </c>
      <c r="K123" s="698" t="s">
        <v>776</v>
      </c>
      <c r="L123" s="701">
        <v>130.31000000000003</v>
      </c>
      <c r="M123" s="701">
        <v>1</v>
      </c>
      <c r="N123" s="702">
        <v>130.31000000000003</v>
      </c>
    </row>
    <row r="124" spans="1:14" ht="14.45" customHeight="1" x14ac:dyDescent="0.2">
      <c r="A124" s="696" t="s">
        <v>537</v>
      </c>
      <c r="B124" s="697" t="s">
        <v>538</v>
      </c>
      <c r="C124" s="698" t="s">
        <v>550</v>
      </c>
      <c r="D124" s="699" t="s">
        <v>551</v>
      </c>
      <c r="E124" s="700">
        <v>50113001</v>
      </c>
      <c r="F124" s="699" t="s">
        <v>555</v>
      </c>
      <c r="G124" s="698" t="s">
        <v>556</v>
      </c>
      <c r="H124" s="698">
        <v>191587</v>
      </c>
      <c r="I124" s="698">
        <v>91587</v>
      </c>
      <c r="J124" s="698" t="s">
        <v>775</v>
      </c>
      <c r="K124" s="698" t="s">
        <v>777</v>
      </c>
      <c r="L124" s="701">
        <v>78.88</v>
      </c>
      <c r="M124" s="701">
        <v>1</v>
      </c>
      <c r="N124" s="702">
        <v>78.88</v>
      </c>
    </row>
    <row r="125" spans="1:14" ht="14.45" customHeight="1" x14ac:dyDescent="0.2">
      <c r="A125" s="696" t="s">
        <v>537</v>
      </c>
      <c r="B125" s="697" t="s">
        <v>538</v>
      </c>
      <c r="C125" s="698" t="s">
        <v>550</v>
      </c>
      <c r="D125" s="699" t="s">
        <v>551</v>
      </c>
      <c r="E125" s="700">
        <v>50113001</v>
      </c>
      <c r="F125" s="699" t="s">
        <v>555</v>
      </c>
      <c r="G125" s="698" t="s">
        <v>306</v>
      </c>
      <c r="H125" s="698">
        <v>226525</v>
      </c>
      <c r="I125" s="698">
        <v>226525</v>
      </c>
      <c r="J125" s="698" t="s">
        <v>778</v>
      </c>
      <c r="K125" s="698" t="s">
        <v>779</v>
      </c>
      <c r="L125" s="701">
        <v>132.715</v>
      </c>
      <c r="M125" s="701">
        <v>8</v>
      </c>
      <c r="N125" s="702">
        <v>1061.72</v>
      </c>
    </row>
    <row r="126" spans="1:14" ht="14.45" customHeight="1" x14ac:dyDescent="0.2">
      <c r="A126" s="696" t="s">
        <v>537</v>
      </c>
      <c r="B126" s="697" t="s">
        <v>538</v>
      </c>
      <c r="C126" s="698" t="s">
        <v>550</v>
      </c>
      <c r="D126" s="699" t="s">
        <v>551</v>
      </c>
      <c r="E126" s="700">
        <v>50113001</v>
      </c>
      <c r="F126" s="699" t="s">
        <v>555</v>
      </c>
      <c r="G126" s="698" t="s">
        <v>556</v>
      </c>
      <c r="H126" s="698">
        <v>920200</v>
      </c>
      <c r="I126" s="698">
        <v>15877</v>
      </c>
      <c r="J126" s="698" t="s">
        <v>780</v>
      </c>
      <c r="K126" s="698" t="s">
        <v>306</v>
      </c>
      <c r="L126" s="701">
        <v>252.97799999999998</v>
      </c>
      <c r="M126" s="701">
        <v>3</v>
      </c>
      <c r="N126" s="702">
        <v>758.93399999999997</v>
      </c>
    </row>
    <row r="127" spans="1:14" ht="14.45" customHeight="1" x14ac:dyDescent="0.2">
      <c r="A127" s="696" t="s">
        <v>537</v>
      </c>
      <c r="B127" s="697" t="s">
        <v>538</v>
      </c>
      <c r="C127" s="698" t="s">
        <v>550</v>
      </c>
      <c r="D127" s="699" t="s">
        <v>551</v>
      </c>
      <c r="E127" s="700">
        <v>50113001</v>
      </c>
      <c r="F127" s="699" t="s">
        <v>555</v>
      </c>
      <c r="G127" s="698" t="s">
        <v>556</v>
      </c>
      <c r="H127" s="698">
        <v>920235</v>
      </c>
      <c r="I127" s="698">
        <v>15880</v>
      </c>
      <c r="J127" s="698" t="s">
        <v>781</v>
      </c>
      <c r="K127" s="698" t="s">
        <v>306</v>
      </c>
      <c r="L127" s="701">
        <v>163.57000000000002</v>
      </c>
      <c r="M127" s="701">
        <v>2</v>
      </c>
      <c r="N127" s="702">
        <v>327.14000000000004</v>
      </c>
    </row>
    <row r="128" spans="1:14" ht="14.45" customHeight="1" x14ac:dyDescent="0.2">
      <c r="A128" s="696" t="s">
        <v>537</v>
      </c>
      <c r="B128" s="697" t="s">
        <v>538</v>
      </c>
      <c r="C128" s="698" t="s">
        <v>550</v>
      </c>
      <c r="D128" s="699" t="s">
        <v>551</v>
      </c>
      <c r="E128" s="700">
        <v>50113001</v>
      </c>
      <c r="F128" s="699" t="s">
        <v>555</v>
      </c>
      <c r="G128" s="698" t="s">
        <v>556</v>
      </c>
      <c r="H128" s="698">
        <v>23987</v>
      </c>
      <c r="I128" s="698">
        <v>23987</v>
      </c>
      <c r="J128" s="698" t="s">
        <v>782</v>
      </c>
      <c r="K128" s="698" t="s">
        <v>783</v>
      </c>
      <c r="L128" s="701">
        <v>167.42</v>
      </c>
      <c r="M128" s="701">
        <v>5</v>
      </c>
      <c r="N128" s="702">
        <v>837.09999999999991</v>
      </c>
    </row>
    <row r="129" spans="1:14" ht="14.45" customHeight="1" x14ac:dyDescent="0.2">
      <c r="A129" s="696" t="s">
        <v>537</v>
      </c>
      <c r="B129" s="697" t="s">
        <v>538</v>
      </c>
      <c r="C129" s="698" t="s">
        <v>550</v>
      </c>
      <c r="D129" s="699" t="s">
        <v>551</v>
      </c>
      <c r="E129" s="700">
        <v>50113001</v>
      </c>
      <c r="F129" s="699" t="s">
        <v>555</v>
      </c>
      <c r="G129" s="698" t="s">
        <v>556</v>
      </c>
      <c r="H129" s="698">
        <v>215476</v>
      </c>
      <c r="I129" s="698">
        <v>215476</v>
      </c>
      <c r="J129" s="698" t="s">
        <v>784</v>
      </c>
      <c r="K129" s="698" t="s">
        <v>785</v>
      </c>
      <c r="L129" s="701">
        <v>172.93</v>
      </c>
      <c r="M129" s="701">
        <v>1</v>
      </c>
      <c r="N129" s="702">
        <v>172.93</v>
      </c>
    </row>
    <row r="130" spans="1:14" ht="14.45" customHeight="1" x14ac:dyDescent="0.2">
      <c r="A130" s="696" t="s">
        <v>537</v>
      </c>
      <c r="B130" s="697" t="s">
        <v>538</v>
      </c>
      <c r="C130" s="698" t="s">
        <v>550</v>
      </c>
      <c r="D130" s="699" t="s">
        <v>551</v>
      </c>
      <c r="E130" s="700">
        <v>50113001</v>
      </c>
      <c r="F130" s="699" t="s">
        <v>555</v>
      </c>
      <c r="G130" s="698" t="s">
        <v>556</v>
      </c>
      <c r="H130" s="698">
        <v>183272</v>
      </c>
      <c r="I130" s="698">
        <v>215478</v>
      </c>
      <c r="J130" s="698" t="s">
        <v>786</v>
      </c>
      <c r="K130" s="698" t="s">
        <v>787</v>
      </c>
      <c r="L130" s="701">
        <v>161.56</v>
      </c>
      <c r="M130" s="701">
        <v>1</v>
      </c>
      <c r="N130" s="702">
        <v>161.56</v>
      </c>
    </row>
    <row r="131" spans="1:14" ht="14.45" customHeight="1" x14ac:dyDescent="0.2">
      <c r="A131" s="696" t="s">
        <v>537</v>
      </c>
      <c r="B131" s="697" t="s">
        <v>538</v>
      </c>
      <c r="C131" s="698" t="s">
        <v>550</v>
      </c>
      <c r="D131" s="699" t="s">
        <v>551</v>
      </c>
      <c r="E131" s="700">
        <v>50113001</v>
      </c>
      <c r="F131" s="699" t="s">
        <v>555</v>
      </c>
      <c r="G131" s="698" t="s">
        <v>306</v>
      </c>
      <c r="H131" s="698">
        <v>169109</v>
      </c>
      <c r="I131" s="698">
        <v>169109</v>
      </c>
      <c r="J131" s="698" t="s">
        <v>788</v>
      </c>
      <c r="K131" s="698" t="s">
        <v>789</v>
      </c>
      <c r="L131" s="701">
        <v>174.35</v>
      </c>
      <c r="M131" s="701">
        <v>1</v>
      </c>
      <c r="N131" s="702">
        <v>174.35</v>
      </c>
    </row>
    <row r="132" spans="1:14" ht="14.45" customHeight="1" x14ac:dyDescent="0.2">
      <c r="A132" s="696" t="s">
        <v>537</v>
      </c>
      <c r="B132" s="697" t="s">
        <v>538</v>
      </c>
      <c r="C132" s="698" t="s">
        <v>550</v>
      </c>
      <c r="D132" s="699" t="s">
        <v>551</v>
      </c>
      <c r="E132" s="700">
        <v>50113001</v>
      </c>
      <c r="F132" s="699" t="s">
        <v>555</v>
      </c>
      <c r="G132" s="698" t="s">
        <v>556</v>
      </c>
      <c r="H132" s="698">
        <v>54150</v>
      </c>
      <c r="I132" s="698">
        <v>54150</v>
      </c>
      <c r="J132" s="698" t="s">
        <v>790</v>
      </c>
      <c r="K132" s="698" t="s">
        <v>791</v>
      </c>
      <c r="L132" s="701">
        <v>98.809999999999988</v>
      </c>
      <c r="M132" s="701">
        <v>1</v>
      </c>
      <c r="N132" s="702">
        <v>98.809999999999988</v>
      </c>
    </row>
    <row r="133" spans="1:14" ht="14.45" customHeight="1" x14ac:dyDescent="0.2">
      <c r="A133" s="696" t="s">
        <v>537</v>
      </c>
      <c r="B133" s="697" t="s">
        <v>538</v>
      </c>
      <c r="C133" s="698" t="s">
        <v>550</v>
      </c>
      <c r="D133" s="699" t="s">
        <v>551</v>
      </c>
      <c r="E133" s="700">
        <v>50113001</v>
      </c>
      <c r="F133" s="699" t="s">
        <v>555</v>
      </c>
      <c r="G133" s="698" t="s">
        <v>306</v>
      </c>
      <c r="H133" s="698">
        <v>134503</v>
      </c>
      <c r="I133" s="698">
        <v>134503</v>
      </c>
      <c r="J133" s="698" t="s">
        <v>792</v>
      </c>
      <c r="K133" s="698" t="s">
        <v>655</v>
      </c>
      <c r="L133" s="701">
        <v>54.360000000000014</v>
      </c>
      <c r="M133" s="701">
        <v>1</v>
      </c>
      <c r="N133" s="702">
        <v>54.360000000000014</v>
      </c>
    </row>
    <row r="134" spans="1:14" ht="14.45" customHeight="1" x14ac:dyDescent="0.2">
      <c r="A134" s="696" t="s">
        <v>537</v>
      </c>
      <c r="B134" s="697" t="s">
        <v>538</v>
      </c>
      <c r="C134" s="698" t="s">
        <v>550</v>
      </c>
      <c r="D134" s="699" t="s">
        <v>551</v>
      </c>
      <c r="E134" s="700">
        <v>50113001</v>
      </c>
      <c r="F134" s="699" t="s">
        <v>555</v>
      </c>
      <c r="G134" s="698" t="s">
        <v>306</v>
      </c>
      <c r="H134" s="698">
        <v>134514</v>
      </c>
      <c r="I134" s="698">
        <v>134514</v>
      </c>
      <c r="J134" s="698" t="s">
        <v>792</v>
      </c>
      <c r="K134" s="698" t="s">
        <v>704</v>
      </c>
      <c r="L134" s="701">
        <v>108.74</v>
      </c>
      <c r="M134" s="701">
        <v>1</v>
      </c>
      <c r="N134" s="702">
        <v>108.74</v>
      </c>
    </row>
    <row r="135" spans="1:14" ht="14.45" customHeight="1" x14ac:dyDescent="0.2">
      <c r="A135" s="696" t="s">
        <v>537</v>
      </c>
      <c r="B135" s="697" t="s">
        <v>538</v>
      </c>
      <c r="C135" s="698" t="s">
        <v>550</v>
      </c>
      <c r="D135" s="699" t="s">
        <v>551</v>
      </c>
      <c r="E135" s="700">
        <v>50113001</v>
      </c>
      <c r="F135" s="699" t="s">
        <v>555</v>
      </c>
      <c r="G135" s="698" t="s">
        <v>556</v>
      </c>
      <c r="H135" s="698">
        <v>173838</v>
      </c>
      <c r="I135" s="698">
        <v>173838</v>
      </c>
      <c r="J135" s="698" t="s">
        <v>793</v>
      </c>
      <c r="K135" s="698" t="s">
        <v>794</v>
      </c>
      <c r="L135" s="701">
        <v>19524.810000000001</v>
      </c>
      <c r="M135" s="701">
        <v>2</v>
      </c>
      <c r="N135" s="702">
        <v>39049.620000000003</v>
      </c>
    </row>
    <row r="136" spans="1:14" ht="14.45" customHeight="1" x14ac:dyDescent="0.2">
      <c r="A136" s="696" t="s">
        <v>537</v>
      </c>
      <c r="B136" s="697" t="s">
        <v>538</v>
      </c>
      <c r="C136" s="698" t="s">
        <v>550</v>
      </c>
      <c r="D136" s="699" t="s">
        <v>551</v>
      </c>
      <c r="E136" s="700">
        <v>50113001</v>
      </c>
      <c r="F136" s="699" t="s">
        <v>555</v>
      </c>
      <c r="G136" s="698" t="s">
        <v>556</v>
      </c>
      <c r="H136" s="698">
        <v>166015</v>
      </c>
      <c r="I136" s="698">
        <v>66015</v>
      </c>
      <c r="J136" s="698" t="s">
        <v>795</v>
      </c>
      <c r="K136" s="698" t="s">
        <v>796</v>
      </c>
      <c r="L136" s="701">
        <v>234.1</v>
      </c>
      <c r="M136" s="701">
        <v>1</v>
      </c>
      <c r="N136" s="702">
        <v>234.1</v>
      </c>
    </row>
    <row r="137" spans="1:14" ht="14.45" customHeight="1" x14ac:dyDescent="0.2">
      <c r="A137" s="696" t="s">
        <v>537</v>
      </c>
      <c r="B137" s="697" t="s">
        <v>538</v>
      </c>
      <c r="C137" s="698" t="s">
        <v>550</v>
      </c>
      <c r="D137" s="699" t="s">
        <v>551</v>
      </c>
      <c r="E137" s="700">
        <v>50113001</v>
      </c>
      <c r="F137" s="699" t="s">
        <v>555</v>
      </c>
      <c r="G137" s="698" t="s">
        <v>556</v>
      </c>
      <c r="H137" s="698">
        <v>197026</v>
      </c>
      <c r="I137" s="698">
        <v>97026</v>
      </c>
      <c r="J137" s="698" t="s">
        <v>797</v>
      </c>
      <c r="K137" s="698" t="s">
        <v>798</v>
      </c>
      <c r="L137" s="701">
        <v>152.06</v>
      </c>
      <c r="M137" s="701">
        <v>1</v>
      </c>
      <c r="N137" s="702">
        <v>152.06</v>
      </c>
    </row>
    <row r="138" spans="1:14" ht="14.45" customHeight="1" x14ac:dyDescent="0.2">
      <c r="A138" s="696" t="s">
        <v>537</v>
      </c>
      <c r="B138" s="697" t="s">
        <v>538</v>
      </c>
      <c r="C138" s="698" t="s">
        <v>550</v>
      </c>
      <c r="D138" s="699" t="s">
        <v>551</v>
      </c>
      <c r="E138" s="700">
        <v>50113001</v>
      </c>
      <c r="F138" s="699" t="s">
        <v>555</v>
      </c>
      <c r="G138" s="698" t="s">
        <v>556</v>
      </c>
      <c r="H138" s="698">
        <v>217078</v>
      </c>
      <c r="I138" s="698">
        <v>217078</v>
      </c>
      <c r="J138" s="698" t="s">
        <v>799</v>
      </c>
      <c r="K138" s="698" t="s">
        <v>800</v>
      </c>
      <c r="L138" s="701">
        <v>160.94</v>
      </c>
      <c r="M138" s="701">
        <v>4</v>
      </c>
      <c r="N138" s="702">
        <v>643.76</v>
      </c>
    </row>
    <row r="139" spans="1:14" ht="14.45" customHeight="1" x14ac:dyDescent="0.2">
      <c r="A139" s="696" t="s">
        <v>537</v>
      </c>
      <c r="B139" s="697" t="s">
        <v>538</v>
      </c>
      <c r="C139" s="698" t="s">
        <v>550</v>
      </c>
      <c r="D139" s="699" t="s">
        <v>551</v>
      </c>
      <c r="E139" s="700">
        <v>50113001</v>
      </c>
      <c r="F139" s="699" t="s">
        <v>555</v>
      </c>
      <c r="G139" s="698" t="s">
        <v>556</v>
      </c>
      <c r="H139" s="698">
        <v>217079</v>
      </c>
      <c r="I139" s="698">
        <v>217079</v>
      </c>
      <c r="J139" s="698" t="s">
        <v>801</v>
      </c>
      <c r="K139" s="698" t="s">
        <v>800</v>
      </c>
      <c r="L139" s="701">
        <v>161.55000000000001</v>
      </c>
      <c r="M139" s="701">
        <v>8</v>
      </c>
      <c r="N139" s="702">
        <v>1292.4000000000001</v>
      </c>
    </row>
    <row r="140" spans="1:14" ht="14.45" customHeight="1" x14ac:dyDescent="0.2">
      <c r="A140" s="696" t="s">
        <v>537</v>
      </c>
      <c r="B140" s="697" t="s">
        <v>538</v>
      </c>
      <c r="C140" s="698" t="s">
        <v>550</v>
      </c>
      <c r="D140" s="699" t="s">
        <v>551</v>
      </c>
      <c r="E140" s="700">
        <v>50113001</v>
      </c>
      <c r="F140" s="699" t="s">
        <v>555</v>
      </c>
      <c r="G140" s="698" t="s">
        <v>306</v>
      </c>
      <c r="H140" s="698">
        <v>447</v>
      </c>
      <c r="I140" s="698">
        <v>447</v>
      </c>
      <c r="J140" s="698" t="s">
        <v>802</v>
      </c>
      <c r="K140" s="698" t="s">
        <v>803</v>
      </c>
      <c r="L140" s="701">
        <v>181.91</v>
      </c>
      <c r="M140" s="701">
        <v>1</v>
      </c>
      <c r="N140" s="702">
        <v>181.91</v>
      </c>
    </row>
    <row r="141" spans="1:14" ht="14.45" customHeight="1" x14ac:dyDescent="0.2">
      <c r="A141" s="696" t="s">
        <v>537</v>
      </c>
      <c r="B141" s="697" t="s">
        <v>538</v>
      </c>
      <c r="C141" s="698" t="s">
        <v>550</v>
      </c>
      <c r="D141" s="699" t="s">
        <v>551</v>
      </c>
      <c r="E141" s="700">
        <v>50113001</v>
      </c>
      <c r="F141" s="699" t="s">
        <v>555</v>
      </c>
      <c r="G141" s="698" t="s">
        <v>556</v>
      </c>
      <c r="H141" s="698">
        <v>214593</v>
      </c>
      <c r="I141" s="698">
        <v>214593</v>
      </c>
      <c r="J141" s="698" t="s">
        <v>804</v>
      </c>
      <c r="K141" s="698" t="s">
        <v>805</v>
      </c>
      <c r="L141" s="701">
        <v>56.029999999999994</v>
      </c>
      <c r="M141" s="701">
        <v>7</v>
      </c>
      <c r="N141" s="702">
        <v>392.21</v>
      </c>
    </row>
    <row r="142" spans="1:14" ht="14.45" customHeight="1" x14ac:dyDescent="0.2">
      <c r="A142" s="696" t="s">
        <v>537</v>
      </c>
      <c r="B142" s="697" t="s">
        <v>538</v>
      </c>
      <c r="C142" s="698" t="s">
        <v>550</v>
      </c>
      <c r="D142" s="699" t="s">
        <v>551</v>
      </c>
      <c r="E142" s="700">
        <v>50113001</v>
      </c>
      <c r="F142" s="699" t="s">
        <v>555</v>
      </c>
      <c r="G142" s="698" t="s">
        <v>556</v>
      </c>
      <c r="H142" s="698">
        <v>199680</v>
      </c>
      <c r="I142" s="698">
        <v>199680</v>
      </c>
      <c r="J142" s="698" t="s">
        <v>806</v>
      </c>
      <c r="K142" s="698" t="s">
        <v>807</v>
      </c>
      <c r="L142" s="701">
        <v>357.13</v>
      </c>
      <c r="M142" s="701">
        <v>1</v>
      </c>
      <c r="N142" s="702">
        <v>357.13</v>
      </c>
    </row>
    <row r="143" spans="1:14" ht="14.45" customHeight="1" x14ac:dyDescent="0.2">
      <c r="A143" s="696" t="s">
        <v>537</v>
      </c>
      <c r="B143" s="697" t="s">
        <v>538</v>
      </c>
      <c r="C143" s="698" t="s">
        <v>550</v>
      </c>
      <c r="D143" s="699" t="s">
        <v>551</v>
      </c>
      <c r="E143" s="700">
        <v>50113001</v>
      </c>
      <c r="F143" s="699" t="s">
        <v>555</v>
      </c>
      <c r="G143" s="698" t="s">
        <v>556</v>
      </c>
      <c r="H143" s="698">
        <v>192757</v>
      </c>
      <c r="I143" s="698">
        <v>92757</v>
      </c>
      <c r="J143" s="698" t="s">
        <v>808</v>
      </c>
      <c r="K143" s="698" t="s">
        <v>809</v>
      </c>
      <c r="L143" s="701">
        <v>73.160000000000011</v>
      </c>
      <c r="M143" s="701">
        <v>1</v>
      </c>
      <c r="N143" s="702">
        <v>73.160000000000011</v>
      </c>
    </row>
    <row r="144" spans="1:14" ht="14.45" customHeight="1" x14ac:dyDescent="0.2">
      <c r="A144" s="696" t="s">
        <v>537</v>
      </c>
      <c r="B144" s="697" t="s">
        <v>538</v>
      </c>
      <c r="C144" s="698" t="s">
        <v>550</v>
      </c>
      <c r="D144" s="699" t="s">
        <v>551</v>
      </c>
      <c r="E144" s="700">
        <v>50113001</v>
      </c>
      <c r="F144" s="699" t="s">
        <v>555</v>
      </c>
      <c r="G144" s="698" t="s">
        <v>556</v>
      </c>
      <c r="H144" s="698">
        <v>187076</v>
      </c>
      <c r="I144" s="698">
        <v>87076</v>
      </c>
      <c r="J144" s="698" t="s">
        <v>808</v>
      </c>
      <c r="K144" s="698" t="s">
        <v>810</v>
      </c>
      <c r="L144" s="701">
        <v>133.6</v>
      </c>
      <c r="M144" s="701">
        <v>1</v>
      </c>
      <c r="N144" s="702">
        <v>133.6</v>
      </c>
    </row>
    <row r="145" spans="1:14" ht="14.45" customHeight="1" x14ac:dyDescent="0.2">
      <c r="A145" s="696" t="s">
        <v>537</v>
      </c>
      <c r="B145" s="697" t="s">
        <v>538</v>
      </c>
      <c r="C145" s="698" t="s">
        <v>550</v>
      </c>
      <c r="D145" s="699" t="s">
        <v>551</v>
      </c>
      <c r="E145" s="700">
        <v>50113001</v>
      </c>
      <c r="F145" s="699" t="s">
        <v>555</v>
      </c>
      <c r="G145" s="698" t="s">
        <v>556</v>
      </c>
      <c r="H145" s="698">
        <v>186159</v>
      </c>
      <c r="I145" s="698">
        <v>186159</v>
      </c>
      <c r="J145" s="698" t="s">
        <v>811</v>
      </c>
      <c r="K145" s="698" t="s">
        <v>812</v>
      </c>
      <c r="L145" s="701">
        <v>50.789999999999985</v>
      </c>
      <c r="M145" s="701">
        <v>3</v>
      </c>
      <c r="N145" s="702">
        <v>152.36999999999995</v>
      </c>
    </row>
    <row r="146" spans="1:14" ht="14.45" customHeight="1" x14ac:dyDescent="0.2">
      <c r="A146" s="696" t="s">
        <v>537</v>
      </c>
      <c r="B146" s="697" t="s">
        <v>538</v>
      </c>
      <c r="C146" s="698" t="s">
        <v>550</v>
      </c>
      <c r="D146" s="699" t="s">
        <v>551</v>
      </c>
      <c r="E146" s="700">
        <v>50113001</v>
      </c>
      <c r="F146" s="699" t="s">
        <v>555</v>
      </c>
      <c r="G146" s="698" t="s">
        <v>306</v>
      </c>
      <c r="H146" s="698">
        <v>226690</v>
      </c>
      <c r="I146" s="698">
        <v>226690</v>
      </c>
      <c r="J146" s="698" t="s">
        <v>813</v>
      </c>
      <c r="K146" s="698" t="s">
        <v>814</v>
      </c>
      <c r="L146" s="701">
        <v>942.4</v>
      </c>
      <c r="M146" s="701">
        <v>1</v>
      </c>
      <c r="N146" s="702">
        <v>942.4</v>
      </c>
    </row>
    <row r="147" spans="1:14" ht="14.45" customHeight="1" x14ac:dyDescent="0.2">
      <c r="A147" s="696" t="s">
        <v>537</v>
      </c>
      <c r="B147" s="697" t="s">
        <v>538</v>
      </c>
      <c r="C147" s="698" t="s">
        <v>550</v>
      </c>
      <c r="D147" s="699" t="s">
        <v>551</v>
      </c>
      <c r="E147" s="700">
        <v>50113001</v>
      </c>
      <c r="F147" s="699" t="s">
        <v>555</v>
      </c>
      <c r="G147" s="698" t="s">
        <v>272</v>
      </c>
      <c r="H147" s="698">
        <v>149806</v>
      </c>
      <c r="I147" s="698">
        <v>49806</v>
      </c>
      <c r="J147" s="698" t="s">
        <v>815</v>
      </c>
      <c r="K147" s="698" t="s">
        <v>816</v>
      </c>
      <c r="L147" s="701">
        <v>119.78999999999999</v>
      </c>
      <c r="M147" s="701">
        <v>1</v>
      </c>
      <c r="N147" s="702">
        <v>119.78999999999999</v>
      </c>
    </row>
    <row r="148" spans="1:14" ht="14.45" customHeight="1" x14ac:dyDescent="0.2">
      <c r="A148" s="696" t="s">
        <v>537</v>
      </c>
      <c r="B148" s="697" t="s">
        <v>538</v>
      </c>
      <c r="C148" s="698" t="s">
        <v>550</v>
      </c>
      <c r="D148" s="699" t="s">
        <v>551</v>
      </c>
      <c r="E148" s="700">
        <v>50113001</v>
      </c>
      <c r="F148" s="699" t="s">
        <v>555</v>
      </c>
      <c r="G148" s="698" t="s">
        <v>556</v>
      </c>
      <c r="H148" s="698">
        <v>130720</v>
      </c>
      <c r="I148" s="698">
        <v>130720</v>
      </c>
      <c r="J148" s="698" t="s">
        <v>817</v>
      </c>
      <c r="K148" s="698" t="s">
        <v>818</v>
      </c>
      <c r="L148" s="701">
        <v>173.09999999999997</v>
      </c>
      <c r="M148" s="701">
        <v>1</v>
      </c>
      <c r="N148" s="702">
        <v>173.09999999999997</v>
      </c>
    </row>
    <row r="149" spans="1:14" ht="14.45" customHeight="1" x14ac:dyDescent="0.2">
      <c r="A149" s="696" t="s">
        <v>537</v>
      </c>
      <c r="B149" s="697" t="s">
        <v>538</v>
      </c>
      <c r="C149" s="698" t="s">
        <v>550</v>
      </c>
      <c r="D149" s="699" t="s">
        <v>551</v>
      </c>
      <c r="E149" s="700">
        <v>50113001</v>
      </c>
      <c r="F149" s="699" t="s">
        <v>555</v>
      </c>
      <c r="G149" s="698" t="s">
        <v>556</v>
      </c>
      <c r="H149" s="698">
        <v>500618</v>
      </c>
      <c r="I149" s="698">
        <v>125753</v>
      </c>
      <c r="J149" s="698" t="s">
        <v>819</v>
      </c>
      <c r="K149" s="698" t="s">
        <v>820</v>
      </c>
      <c r="L149" s="701">
        <v>303.53500033011949</v>
      </c>
      <c r="M149" s="701">
        <v>4</v>
      </c>
      <c r="N149" s="702">
        <v>1214.1400013204779</v>
      </c>
    </row>
    <row r="150" spans="1:14" ht="14.45" customHeight="1" x14ac:dyDescent="0.2">
      <c r="A150" s="696" t="s">
        <v>537</v>
      </c>
      <c r="B150" s="697" t="s">
        <v>538</v>
      </c>
      <c r="C150" s="698" t="s">
        <v>550</v>
      </c>
      <c r="D150" s="699" t="s">
        <v>551</v>
      </c>
      <c r="E150" s="700">
        <v>50113001</v>
      </c>
      <c r="F150" s="699" t="s">
        <v>555</v>
      </c>
      <c r="G150" s="698" t="s">
        <v>556</v>
      </c>
      <c r="H150" s="698">
        <v>181293</v>
      </c>
      <c r="I150" s="698">
        <v>181293</v>
      </c>
      <c r="J150" s="698" t="s">
        <v>821</v>
      </c>
      <c r="K150" s="698" t="s">
        <v>822</v>
      </c>
      <c r="L150" s="701">
        <v>224.1100000000001</v>
      </c>
      <c r="M150" s="701">
        <v>1</v>
      </c>
      <c r="N150" s="702">
        <v>224.1100000000001</v>
      </c>
    </row>
    <row r="151" spans="1:14" ht="14.45" customHeight="1" x14ac:dyDescent="0.2">
      <c r="A151" s="696" t="s">
        <v>537</v>
      </c>
      <c r="B151" s="697" t="s">
        <v>538</v>
      </c>
      <c r="C151" s="698" t="s">
        <v>550</v>
      </c>
      <c r="D151" s="699" t="s">
        <v>551</v>
      </c>
      <c r="E151" s="700">
        <v>50113001</v>
      </c>
      <c r="F151" s="699" t="s">
        <v>555</v>
      </c>
      <c r="G151" s="698" t="s">
        <v>306</v>
      </c>
      <c r="H151" s="698">
        <v>225510</v>
      </c>
      <c r="I151" s="698">
        <v>225510</v>
      </c>
      <c r="J151" s="698" t="s">
        <v>823</v>
      </c>
      <c r="K151" s="698" t="s">
        <v>824</v>
      </c>
      <c r="L151" s="701">
        <v>64.72</v>
      </c>
      <c r="M151" s="701">
        <v>1</v>
      </c>
      <c r="N151" s="702">
        <v>64.72</v>
      </c>
    </row>
    <row r="152" spans="1:14" ht="14.45" customHeight="1" x14ac:dyDescent="0.2">
      <c r="A152" s="696" t="s">
        <v>537</v>
      </c>
      <c r="B152" s="697" t="s">
        <v>538</v>
      </c>
      <c r="C152" s="698" t="s">
        <v>550</v>
      </c>
      <c r="D152" s="699" t="s">
        <v>551</v>
      </c>
      <c r="E152" s="700">
        <v>50113001</v>
      </c>
      <c r="F152" s="699" t="s">
        <v>555</v>
      </c>
      <c r="G152" s="698" t="s">
        <v>571</v>
      </c>
      <c r="H152" s="698">
        <v>243136</v>
      </c>
      <c r="I152" s="698">
        <v>243136</v>
      </c>
      <c r="J152" s="698" t="s">
        <v>825</v>
      </c>
      <c r="K152" s="698" t="s">
        <v>826</v>
      </c>
      <c r="L152" s="701">
        <v>125.04999999999997</v>
      </c>
      <c r="M152" s="701">
        <v>1</v>
      </c>
      <c r="N152" s="702">
        <v>125.04999999999997</v>
      </c>
    </row>
    <row r="153" spans="1:14" ht="14.45" customHeight="1" x14ac:dyDescent="0.2">
      <c r="A153" s="696" t="s">
        <v>537</v>
      </c>
      <c r="B153" s="697" t="s">
        <v>538</v>
      </c>
      <c r="C153" s="698" t="s">
        <v>550</v>
      </c>
      <c r="D153" s="699" t="s">
        <v>551</v>
      </c>
      <c r="E153" s="700">
        <v>50113001</v>
      </c>
      <c r="F153" s="699" t="s">
        <v>555</v>
      </c>
      <c r="G153" s="698" t="s">
        <v>571</v>
      </c>
      <c r="H153" s="698">
        <v>243140</v>
      </c>
      <c r="I153" s="698">
        <v>243140</v>
      </c>
      <c r="J153" s="698" t="s">
        <v>827</v>
      </c>
      <c r="K153" s="698" t="s">
        <v>828</v>
      </c>
      <c r="L153" s="701">
        <v>104.94</v>
      </c>
      <c r="M153" s="701">
        <v>1</v>
      </c>
      <c r="N153" s="702">
        <v>104.94</v>
      </c>
    </row>
    <row r="154" spans="1:14" ht="14.45" customHeight="1" x14ac:dyDescent="0.2">
      <c r="A154" s="696" t="s">
        <v>537</v>
      </c>
      <c r="B154" s="697" t="s">
        <v>538</v>
      </c>
      <c r="C154" s="698" t="s">
        <v>550</v>
      </c>
      <c r="D154" s="699" t="s">
        <v>551</v>
      </c>
      <c r="E154" s="700">
        <v>50113001</v>
      </c>
      <c r="F154" s="699" t="s">
        <v>555</v>
      </c>
      <c r="G154" s="698" t="s">
        <v>571</v>
      </c>
      <c r="H154" s="698">
        <v>243138</v>
      </c>
      <c r="I154" s="698">
        <v>243138</v>
      </c>
      <c r="J154" s="698" t="s">
        <v>829</v>
      </c>
      <c r="K154" s="698" t="s">
        <v>830</v>
      </c>
      <c r="L154" s="701">
        <v>55.3</v>
      </c>
      <c r="M154" s="701">
        <v>2</v>
      </c>
      <c r="N154" s="702">
        <v>110.6</v>
      </c>
    </row>
    <row r="155" spans="1:14" ht="14.45" customHeight="1" x14ac:dyDescent="0.2">
      <c r="A155" s="696" t="s">
        <v>537</v>
      </c>
      <c r="B155" s="697" t="s">
        <v>538</v>
      </c>
      <c r="C155" s="698" t="s">
        <v>550</v>
      </c>
      <c r="D155" s="699" t="s">
        <v>551</v>
      </c>
      <c r="E155" s="700">
        <v>50113001</v>
      </c>
      <c r="F155" s="699" t="s">
        <v>555</v>
      </c>
      <c r="G155" s="698" t="s">
        <v>571</v>
      </c>
      <c r="H155" s="698">
        <v>243134</v>
      </c>
      <c r="I155" s="698">
        <v>243134</v>
      </c>
      <c r="J155" s="698" t="s">
        <v>831</v>
      </c>
      <c r="K155" s="698" t="s">
        <v>832</v>
      </c>
      <c r="L155" s="701">
        <v>92.974999999999994</v>
      </c>
      <c r="M155" s="701">
        <v>2</v>
      </c>
      <c r="N155" s="702">
        <v>185.95</v>
      </c>
    </row>
    <row r="156" spans="1:14" ht="14.45" customHeight="1" x14ac:dyDescent="0.2">
      <c r="A156" s="696" t="s">
        <v>537</v>
      </c>
      <c r="B156" s="697" t="s">
        <v>538</v>
      </c>
      <c r="C156" s="698" t="s">
        <v>550</v>
      </c>
      <c r="D156" s="699" t="s">
        <v>551</v>
      </c>
      <c r="E156" s="700">
        <v>50113001</v>
      </c>
      <c r="F156" s="699" t="s">
        <v>555</v>
      </c>
      <c r="G156" s="698" t="s">
        <v>556</v>
      </c>
      <c r="H156" s="698">
        <v>142613</v>
      </c>
      <c r="I156" s="698">
        <v>42613</v>
      </c>
      <c r="J156" s="698" t="s">
        <v>833</v>
      </c>
      <c r="K156" s="698" t="s">
        <v>834</v>
      </c>
      <c r="L156" s="701">
        <v>130.27000000000001</v>
      </c>
      <c r="M156" s="701">
        <v>3</v>
      </c>
      <c r="N156" s="702">
        <v>390.81000000000006</v>
      </c>
    </row>
    <row r="157" spans="1:14" ht="14.45" customHeight="1" x14ac:dyDescent="0.2">
      <c r="A157" s="696" t="s">
        <v>537</v>
      </c>
      <c r="B157" s="697" t="s">
        <v>538</v>
      </c>
      <c r="C157" s="698" t="s">
        <v>550</v>
      </c>
      <c r="D157" s="699" t="s">
        <v>551</v>
      </c>
      <c r="E157" s="700">
        <v>50113001</v>
      </c>
      <c r="F157" s="699" t="s">
        <v>555</v>
      </c>
      <c r="G157" s="698" t="s">
        <v>556</v>
      </c>
      <c r="H157" s="698">
        <v>149990</v>
      </c>
      <c r="I157" s="698">
        <v>49990</v>
      </c>
      <c r="J157" s="698" t="s">
        <v>833</v>
      </c>
      <c r="K157" s="698" t="s">
        <v>835</v>
      </c>
      <c r="L157" s="701">
        <v>170.13540540540538</v>
      </c>
      <c r="M157" s="701">
        <v>37</v>
      </c>
      <c r="N157" s="702">
        <v>6295.0099999999993</v>
      </c>
    </row>
    <row r="158" spans="1:14" ht="14.45" customHeight="1" x14ac:dyDescent="0.2">
      <c r="A158" s="696" t="s">
        <v>537</v>
      </c>
      <c r="B158" s="697" t="s">
        <v>538</v>
      </c>
      <c r="C158" s="698" t="s">
        <v>550</v>
      </c>
      <c r="D158" s="699" t="s">
        <v>551</v>
      </c>
      <c r="E158" s="700">
        <v>50113001</v>
      </c>
      <c r="F158" s="699" t="s">
        <v>555</v>
      </c>
      <c r="G158" s="698" t="s">
        <v>556</v>
      </c>
      <c r="H158" s="698">
        <v>49505</v>
      </c>
      <c r="I158" s="698">
        <v>49505</v>
      </c>
      <c r="J158" s="698" t="s">
        <v>836</v>
      </c>
      <c r="K158" s="698" t="s">
        <v>837</v>
      </c>
      <c r="L158" s="701">
        <v>153.84</v>
      </c>
      <c r="M158" s="701">
        <v>1</v>
      </c>
      <c r="N158" s="702">
        <v>153.84</v>
      </c>
    </row>
    <row r="159" spans="1:14" ht="14.45" customHeight="1" x14ac:dyDescent="0.2">
      <c r="A159" s="696" t="s">
        <v>537</v>
      </c>
      <c r="B159" s="697" t="s">
        <v>538</v>
      </c>
      <c r="C159" s="698" t="s">
        <v>550</v>
      </c>
      <c r="D159" s="699" t="s">
        <v>551</v>
      </c>
      <c r="E159" s="700">
        <v>50113001</v>
      </c>
      <c r="F159" s="699" t="s">
        <v>555</v>
      </c>
      <c r="G159" s="698" t="s">
        <v>556</v>
      </c>
      <c r="H159" s="698">
        <v>196193</v>
      </c>
      <c r="I159" s="698">
        <v>96193</v>
      </c>
      <c r="J159" s="698" t="s">
        <v>838</v>
      </c>
      <c r="K159" s="698" t="s">
        <v>839</v>
      </c>
      <c r="L159" s="701">
        <v>39.220000000000006</v>
      </c>
      <c r="M159" s="701">
        <v>1</v>
      </c>
      <c r="N159" s="702">
        <v>39.220000000000006</v>
      </c>
    </row>
    <row r="160" spans="1:14" ht="14.45" customHeight="1" x14ac:dyDescent="0.2">
      <c r="A160" s="696" t="s">
        <v>537</v>
      </c>
      <c r="B160" s="697" t="s">
        <v>538</v>
      </c>
      <c r="C160" s="698" t="s">
        <v>550</v>
      </c>
      <c r="D160" s="699" t="s">
        <v>551</v>
      </c>
      <c r="E160" s="700">
        <v>50113001</v>
      </c>
      <c r="F160" s="699" t="s">
        <v>555</v>
      </c>
      <c r="G160" s="698" t="s">
        <v>556</v>
      </c>
      <c r="H160" s="698">
        <v>173500</v>
      </c>
      <c r="I160" s="698">
        <v>173500</v>
      </c>
      <c r="J160" s="698" t="s">
        <v>840</v>
      </c>
      <c r="K160" s="698" t="s">
        <v>841</v>
      </c>
      <c r="L160" s="701">
        <v>152.33000000000001</v>
      </c>
      <c r="M160" s="701">
        <v>2</v>
      </c>
      <c r="N160" s="702">
        <v>304.66000000000003</v>
      </c>
    </row>
    <row r="161" spans="1:14" ht="14.45" customHeight="1" x14ac:dyDescent="0.2">
      <c r="A161" s="696" t="s">
        <v>537</v>
      </c>
      <c r="B161" s="697" t="s">
        <v>538</v>
      </c>
      <c r="C161" s="698" t="s">
        <v>550</v>
      </c>
      <c r="D161" s="699" t="s">
        <v>551</v>
      </c>
      <c r="E161" s="700">
        <v>50113001</v>
      </c>
      <c r="F161" s="699" t="s">
        <v>555</v>
      </c>
      <c r="G161" s="698" t="s">
        <v>556</v>
      </c>
      <c r="H161" s="698">
        <v>214598</v>
      </c>
      <c r="I161" s="698">
        <v>214598</v>
      </c>
      <c r="J161" s="698" t="s">
        <v>842</v>
      </c>
      <c r="K161" s="698" t="s">
        <v>843</v>
      </c>
      <c r="L161" s="701">
        <v>181.02500000000003</v>
      </c>
      <c r="M161" s="701">
        <v>2</v>
      </c>
      <c r="N161" s="702">
        <v>362.05000000000007</v>
      </c>
    </row>
    <row r="162" spans="1:14" ht="14.45" customHeight="1" x14ac:dyDescent="0.2">
      <c r="A162" s="696" t="s">
        <v>537</v>
      </c>
      <c r="B162" s="697" t="s">
        <v>538</v>
      </c>
      <c r="C162" s="698" t="s">
        <v>550</v>
      </c>
      <c r="D162" s="699" t="s">
        <v>551</v>
      </c>
      <c r="E162" s="700">
        <v>50113001</v>
      </c>
      <c r="F162" s="699" t="s">
        <v>555</v>
      </c>
      <c r="G162" s="698" t="s">
        <v>556</v>
      </c>
      <c r="H162" s="698">
        <v>499365</v>
      </c>
      <c r="I162" s="698">
        <v>9999999</v>
      </c>
      <c r="J162" s="698" t="s">
        <v>844</v>
      </c>
      <c r="K162" s="698" t="s">
        <v>845</v>
      </c>
      <c r="L162" s="701">
        <v>1012</v>
      </c>
      <c r="M162" s="701">
        <v>1</v>
      </c>
      <c r="N162" s="702">
        <v>1012</v>
      </c>
    </row>
    <row r="163" spans="1:14" ht="14.45" customHeight="1" x14ac:dyDescent="0.2">
      <c r="A163" s="696" t="s">
        <v>537</v>
      </c>
      <c r="B163" s="697" t="s">
        <v>538</v>
      </c>
      <c r="C163" s="698" t="s">
        <v>550</v>
      </c>
      <c r="D163" s="699" t="s">
        <v>551</v>
      </c>
      <c r="E163" s="700">
        <v>50113001</v>
      </c>
      <c r="F163" s="699" t="s">
        <v>555</v>
      </c>
      <c r="G163" s="698" t="s">
        <v>571</v>
      </c>
      <c r="H163" s="698">
        <v>149195</v>
      </c>
      <c r="I163" s="698">
        <v>49195</v>
      </c>
      <c r="J163" s="698" t="s">
        <v>846</v>
      </c>
      <c r="K163" s="698" t="s">
        <v>847</v>
      </c>
      <c r="L163" s="701">
        <v>99.23</v>
      </c>
      <c r="M163" s="701">
        <v>1</v>
      </c>
      <c r="N163" s="702">
        <v>99.23</v>
      </c>
    </row>
    <row r="164" spans="1:14" ht="14.45" customHeight="1" x14ac:dyDescent="0.2">
      <c r="A164" s="696" t="s">
        <v>537</v>
      </c>
      <c r="B164" s="697" t="s">
        <v>538</v>
      </c>
      <c r="C164" s="698" t="s">
        <v>550</v>
      </c>
      <c r="D164" s="699" t="s">
        <v>551</v>
      </c>
      <c r="E164" s="700">
        <v>50113001</v>
      </c>
      <c r="F164" s="699" t="s">
        <v>555</v>
      </c>
      <c r="G164" s="698" t="s">
        <v>556</v>
      </c>
      <c r="H164" s="698">
        <v>243143</v>
      </c>
      <c r="I164" s="698">
        <v>243143</v>
      </c>
      <c r="J164" s="698" t="s">
        <v>848</v>
      </c>
      <c r="K164" s="698" t="s">
        <v>849</v>
      </c>
      <c r="L164" s="701">
        <v>293.91000000000008</v>
      </c>
      <c r="M164" s="701">
        <v>1</v>
      </c>
      <c r="N164" s="702">
        <v>293.91000000000008</v>
      </c>
    </row>
    <row r="165" spans="1:14" ht="14.45" customHeight="1" x14ac:dyDescent="0.2">
      <c r="A165" s="696" t="s">
        <v>537</v>
      </c>
      <c r="B165" s="697" t="s">
        <v>538</v>
      </c>
      <c r="C165" s="698" t="s">
        <v>550</v>
      </c>
      <c r="D165" s="699" t="s">
        <v>551</v>
      </c>
      <c r="E165" s="700">
        <v>50113001</v>
      </c>
      <c r="F165" s="699" t="s">
        <v>555</v>
      </c>
      <c r="G165" s="698" t="s">
        <v>571</v>
      </c>
      <c r="H165" s="698">
        <v>213477</v>
      </c>
      <c r="I165" s="698">
        <v>213477</v>
      </c>
      <c r="J165" s="698" t="s">
        <v>850</v>
      </c>
      <c r="K165" s="698" t="s">
        <v>851</v>
      </c>
      <c r="L165" s="701">
        <v>3299.89</v>
      </c>
      <c r="M165" s="701">
        <v>7</v>
      </c>
      <c r="N165" s="702">
        <v>23099.23</v>
      </c>
    </row>
    <row r="166" spans="1:14" ht="14.45" customHeight="1" x14ac:dyDescent="0.2">
      <c r="A166" s="696" t="s">
        <v>537</v>
      </c>
      <c r="B166" s="697" t="s">
        <v>538</v>
      </c>
      <c r="C166" s="698" t="s">
        <v>550</v>
      </c>
      <c r="D166" s="699" t="s">
        <v>551</v>
      </c>
      <c r="E166" s="700">
        <v>50113001</v>
      </c>
      <c r="F166" s="699" t="s">
        <v>555</v>
      </c>
      <c r="G166" s="698" t="s">
        <v>571</v>
      </c>
      <c r="H166" s="698">
        <v>213490</v>
      </c>
      <c r="I166" s="698">
        <v>213490</v>
      </c>
      <c r="J166" s="698" t="s">
        <v>852</v>
      </c>
      <c r="K166" s="698" t="s">
        <v>853</v>
      </c>
      <c r="L166" s="701">
        <v>913.55</v>
      </c>
      <c r="M166" s="701">
        <v>1</v>
      </c>
      <c r="N166" s="702">
        <v>913.55</v>
      </c>
    </row>
    <row r="167" spans="1:14" ht="14.45" customHeight="1" x14ac:dyDescent="0.2">
      <c r="A167" s="696" t="s">
        <v>537</v>
      </c>
      <c r="B167" s="697" t="s">
        <v>538</v>
      </c>
      <c r="C167" s="698" t="s">
        <v>550</v>
      </c>
      <c r="D167" s="699" t="s">
        <v>551</v>
      </c>
      <c r="E167" s="700">
        <v>50113001</v>
      </c>
      <c r="F167" s="699" t="s">
        <v>555</v>
      </c>
      <c r="G167" s="698" t="s">
        <v>571</v>
      </c>
      <c r="H167" s="698">
        <v>213485</v>
      </c>
      <c r="I167" s="698">
        <v>213485</v>
      </c>
      <c r="J167" s="698" t="s">
        <v>852</v>
      </c>
      <c r="K167" s="698" t="s">
        <v>854</v>
      </c>
      <c r="L167" s="701">
        <v>721.16</v>
      </c>
      <c r="M167" s="701">
        <v>27</v>
      </c>
      <c r="N167" s="702">
        <v>19471.32</v>
      </c>
    </row>
    <row r="168" spans="1:14" ht="14.45" customHeight="1" x14ac:dyDescent="0.2">
      <c r="A168" s="696" t="s">
        <v>537</v>
      </c>
      <c r="B168" s="697" t="s">
        <v>538</v>
      </c>
      <c r="C168" s="698" t="s">
        <v>550</v>
      </c>
      <c r="D168" s="699" t="s">
        <v>551</v>
      </c>
      <c r="E168" s="700">
        <v>50113001</v>
      </c>
      <c r="F168" s="699" t="s">
        <v>555</v>
      </c>
      <c r="G168" s="698" t="s">
        <v>571</v>
      </c>
      <c r="H168" s="698">
        <v>213489</v>
      </c>
      <c r="I168" s="698">
        <v>213489</v>
      </c>
      <c r="J168" s="698" t="s">
        <v>852</v>
      </c>
      <c r="K168" s="698" t="s">
        <v>855</v>
      </c>
      <c r="L168" s="701">
        <v>541.02922083857425</v>
      </c>
      <c r="M168" s="701">
        <v>77</v>
      </c>
      <c r="N168" s="702">
        <v>41659.250004570218</v>
      </c>
    </row>
    <row r="169" spans="1:14" ht="14.45" customHeight="1" x14ac:dyDescent="0.2">
      <c r="A169" s="696" t="s">
        <v>537</v>
      </c>
      <c r="B169" s="697" t="s">
        <v>538</v>
      </c>
      <c r="C169" s="698" t="s">
        <v>550</v>
      </c>
      <c r="D169" s="699" t="s">
        <v>551</v>
      </c>
      <c r="E169" s="700">
        <v>50113001</v>
      </c>
      <c r="F169" s="699" t="s">
        <v>555</v>
      </c>
      <c r="G169" s="698" t="s">
        <v>571</v>
      </c>
      <c r="H169" s="698">
        <v>213494</v>
      </c>
      <c r="I169" s="698">
        <v>213494</v>
      </c>
      <c r="J169" s="698" t="s">
        <v>852</v>
      </c>
      <c r="K169" s="698" t="s">
        <v>856</v>
      </c>
      <c r="L169" s="701">
        <v>350.14528481335219</v>
      </c>
      <c r="M169" s="701">
        <v>193</v>
      </c>
      <c r="N169" s="702">
        <v>67578.039968976969</v>
      </c>
    </row>
    <row r="170" spans="1:14" ht="14.45" customHeight="1" x14ac:dyDescent="0.2">
      <c r="A170" s="696" t="s">
        <v>537</v>
      </c>
      <c r="B170" s="697" t="s">
        <v>538</v>
      </c>
      <c r="C170" s="698" t="s">
        <v>550</v>
      </c>
      <c r="D170" s="699" t="s">
        <v>551</v>
      </c>
      <c r="E170" s="700">
        <v>50113001</v>
      </c>
      <c r="F170" s="699" t="s">
        <v>555</v>
      </c>
      <c r="G170" s="698" t="s">
        <v>571</v>
      </c>
      <c r="H170" s="698">
        <v>213487</v>
      </c>
      <c r="I170" s="698">
        <v>213487</v>
      </c>
      <c r="J170" s="698" t="s">
        <v>852</v>
      </c>
      <c r="K170" s="698" t="s">
        <v>857</v>
      </c>
      <c r="L170" s="701">
        <v>262.44810126582274</v>
      </c>
      <c r="M170" s="701">
        <v>79</v>
      </c>
      <c r="N170" s="702">
        <v>20733.399999999998</v>
      </c>
    </row>
    <row r="171" spans="1:14" ht="14.45" customHeight="1" x14ac:dyDescent="0.2">
      <c r="A171" s="696" t="s">
        <v>537</v>
      </c>
      <c r="B171" s="697" t="s">
        <v>538</v>
      </c>
      <c r="C171" s="698" t="s">
        <v>550</v>
      </c>
      <c r="D171" s="699" t="s">
        <v>551</v>
      </c>
      <c r="E171" s="700">
        <v>50113001</v>
      </c>
      <c r="F171" s="699" t="s">
        <v>555</v>
      </c>
      <c r="G171" s="698" t="s">
        <v>571</v>
      </c>
      <c r="H171" s="698">
        <v>213480</v>
      </c>
      <c r="I171" s="698">
        <v>213480</v>
      </c>
      <c r="J171" s="698" t="s">
        <v>858</v>
      </c>
      <c r="K171" s="698" t="s">
        <v>855</v>
      </c>
      <c r="L171" s="701">
        <v>1106.1600000000001</v>
      </c>
      <c r="M171" s="701">
        <v>2</v>
      </c>
      <c r="N171" s="702">
        <v>2212.3200000000002</v>
      </c>
    </row>
    <row r="172" spans="1:14" ht="14.45" customHeight="1" x14ac:dyDescent="0.2">
      <c r="A172" s="696" t="s">
        <v>537</v>
      </c>
      <c r="B172" s="697" t="s">
        <v>538</v>
      </c>
      <c r="C172" s="698" t="s">
        <v>550</v>
      </c>
      <c r="D172" s="699" t="s">
        <v>551</v>
      </c>
      <c r="E172" s="700">
        <v>50113001</v>
      </c>
      <c r="F172" s="699" t="s">
        <v>555</v>
      </c>
      <c r="G172" s="698" t="s">
        <v>571</v>
      </c>
      <c r="H172" s="698">
        <v>156805</v>
      </c>
      <c r="I172" s="698">
        <v>56805</v>
      </c>
      <c r="J172" s="698" t="s">
        <v>859</v>
      </c>
      <c r="K172" s="698" t="s">
        <v>860</v>
      </c>
      <c r="L172" s="701">
        <v>58.390000000000015</v>
      </c>
      <c r="M172" s="701">
        <v>2</v>
      </c>
      <c r="N172" s="702">
        <v>116.78000000000003</v>
      </c>
    </row>
    <row r="173" spans="1:14" ht="14.45" customHeight="1" x14ac:dyDescent="0.2">
      <c r="A173" s="696" t="s">
        <v>537</v>
      </c>
      <c r="B173" s="697" t="s">
        <v>538</v>
      </c>
      <c r="C173" s="698" t="s">
        <v>550</v>
      </c>
      <c r="D173" s="699" t="s">
        <v>551</v>
      </c>
      <c r="E173" s="700">
        <v>50113001</v>
      </c>
      <c r="F173" s="699" t="s">
        <v>555</v>
      </c>
      <c r="G173" s="698" t="s">
        <v>556</v>
      </c>
      <c r="H173" s="698">
        <v>207941</v>
      </c>
      <c r="I173" s="698">
        <v>207941</v>
      </c>
      <c r="J173" s="698" t="s">
        <v>861</v>
      </c>
      <c r="K173" s="698" t="s">
        <v>862</v>
      </c>
      <c r="L173" s="701">
        <v>48.406666666666666</v>
      </c>
      <c r="M173" s="701">
        <v>9</v>
      </c>
      <c r="N173" s="702">
        <v>435.66</v>
      </c>
    </row>
    <row r="174" spans="1:14" ht="14.45" customHeight="1" x14ac:dyDescent="0.2">
      <c r="A174" s="696" t="s">
        <v>537</v>
      </c>
      <c r="B174" s="697" t="s">
        <v>538</v>
      </c>
      <c r="C174" s="698" t="s">
        <v>550</v>
      </c>
      <c r="D174" s="699" t="s">
        <v>551</v>
      </c>
      <c r="E174" s="700">
        <v>50113001</v>
      </c>
      <c r="F174" s="699" t="s">
        <v>555</v>
      </c>
      <c r="G174" s="698" t="s">
        <v>571</v>
      </c>
      <c r="H174" s="698">
        <v>239807</v>
      </c>
      <c r="I174" s="698">
        <v>239807</v>
      </c>
      <c r="J174" s="698" t="s">
        <v>863</v>
      </c>
      <c r="K174" s="698" t="s">
        <v>864</v>
      </c>
      <c r="L174" s="701">
        <v>40.39</v>
      </c>
      <c r="M174" s="701">
        <v>12</v>
      </c>
      <c r="N174" s="702">
        <v>484.68</v>
      </c>
    </row>
    <row r="175" spans="1:14" ht="14.45" customHeight="1" x14ac:dyDescent="0.2">
      <c r="A175" s="696" t="s">
        <v>537</v>
      </c>
      <c r="B175" s="697" t="s">
        <v>538</v>
      </c>
      <c r="C175" s="698" t="s">
        <v>550</v>
      </c>
      <c r="D175" s="699" t="s">
        <v>551</v>
      </c>
      <c r="E175" s="700">
        <v>50113001</v>
      </c>
      <c r="F175" s="699" t="s">
        <v>555</v>
      </c>
      <c r="G175" s="698" t="s">
        <v>556</v>
      </c>
      <c r="H175" s="698">
        <v>243407</v>
      </c>
      <c r="I175" s="698">
        <v>243407</v>
      </c>
      <c r="J175" s="698" t="s">
        <v>865</v>
      </c>
      <c r="K175" s="698" t="s">
        <v>866</v>
      </c>
      <c r="L175" s="701">
        <v>255.22752709946661</v>
      </c>
      <c r="M175" s="701">
        <v>203.8</v>
      </c>
      <c r="N175" s="702">
        <v>52015.370022871299</v>
      </c>
    </row>
    <row r="176" spans="1:14" ht="14.45" customHeight="1" x14ac:dyDescent="0.2">
      <c r="A176" s="696" t="s">
        <v>537</v>
      </c>
      <c r="B176" s="697" t="s">
        <v>538</v>
      </c>
      <c r="C176" s="698" t="s">
        <v>550</v>
      </c>
      <c r="D176" s="699" t="s">
        <v>551</v>
      </c>
      <c r="E176" s="700">
        <v>50113001</v>
      </c>
      <c r="F176" s="699" t="s">
        <v>555</v>
      </c>
      <c r="G176" s="698" t="s">
        <v>556</v>
      </c>
      <c r="H176" s="698">
        <v>221744</v>
      </c>
      <c r="I176" s="698">
        <v>221744</v>
      </c>
      <c r="J176" s="698" t="s">
        <v>867</v>
      </c>
      <c r="K176" s="698" t="s">
        <v>868</v>
      </c>
      <c r="L176" s="701">
        <v>33</v>
      </c>
      <c r="M176" s="701">
        <v>511</v>
      </c>
      <c r="N176" s="702">
        <v>16863</v>
      </c>
    </row>
    <row r="177" spans="1:14" ht="14.45" customHeight="1" x14ac:dyDescent="0.2">
      <c r="A177" s="696" t="s">
        <v>537</v>
      </c>
      <c r="B177" s="697" t="s">
        <v>538</v>
      </c>
      <c r="C177" s="698" t="s">
        <v>550</v>
      </c>
      <c r="D177" s="699" t="s">
        <v>551</v>
      </c>
      <c r="E177" s="700">
        <v>50113001</v>
      </c>
      <c r="F177" s="699" t="s">
        <v>555</v>
      </c>
      <c r="G177" s="698" t="s">
        <v>556</v>
      </c>
      <c r="H177" s="698">
        <v>198864</v>
      </c>
      <c r="I177" s="698">
        <v>98864</v>
      </c>
      <c r="J177" s="698" t="s">
        <v>869</v>
      </c>
      <c r="K177" s="698" t="s">
        <v>870</v>
      </c>
      <c r="L177" s="701">
        <v>537.9</v>
      </c>
      <c r="M177" s="701">
        <v>3</v>
      </c>
      <c r="N177" s="702">
        <v>1613.6999999999998</v>
      </c>
    </row>
    <row r="178" spans="1:14" ht="14.45" customHeight="1" x14ac:dyDescent="0.2">
      <c r="A178" s="696" t="s">
        <v>537</v>
      </c>
      <c r="B178" s="697" t="s">
        <v>538</v>
      </c>
      <c r="C178" s="698" t="s">
        <v>550</v>
      </c>
      <c r="D178" s="699" t="s">
        <v>551</v>
      </c>
      <c r="E178" s="700">
        <v>50113001</v>
      </c>
      <c r="F178" s="699" t="s">
        <v>555</v>
      </c>
      <c r="G178" s="698" t="s">
        <v>556</v>
      </c>
      <c r="H178" s="698">
        <v>499428</v>
      </c>
      <c r="I178" s="698">
        <v>237468</v>
      </c>
      <c r="J178" s="698" t="s">
        <v>869</v>
      </c>
      <c r="K178" s="698" t="s">
        <v>871</v>
      </c>
      <c r="L178" s="701">
        <v>762.3</v>
      </c>
      <c r="M178" s="701">
        <v>2</v>
      </c>
      <c r="N178" s="702">
        <v>1524.6</v>
      </c>
    </row>
    <row r="179" spans="1:14" ht="14.45" customHeight="1" x14ac:dyDescent="0.2">
      <c r="A179" s="696" t="s">
        <v>537</v>
      </c>
      <c r="B179" s="697" t="s">
        <v>538</v>
      </c>
      <c r="C179" s="698" t="s">
        <v>550</v>
      </c>
      <c r="D179" s="699" t="s">
        <v>551</v>
      </c>
      <c r="E179" s="700">
        <v>50113001</v>
      </c>
      <c r="F179" s="699" t="s">
        <v>555</v>
      </c>
      <c r="G179" s="698" t="s">
        <v>556</v>
      </c>
      <c r="H179" s="698">
        <v>165633</v>
      </c>
      <c r="I179" s="698">
        <v>165751</v>
      </c>
      <c r="J179" s="698" t="s">
        <v>872</v>
      </c>
      <c r="K179" s="698" t="s">
        <v>873</v>
      </c>
      <c r="L179" s="701">
        <v>3951.6400000000003</v>
      </c>
      <c r="M179" s="701">
        <v>19</v>
      </c>
      <c r="N179" s="702">
        <v>75081.16</v>
      </c>
    </row>
    <row r="180" spans="1:14" ht="14.45" customHeight="1" x14ac:dyDescent="0.2">
      <c r="A180" s="696" t="s">
        <v>537</v>
      </c>
      <c r="B180" s="697" t="s">
        <v>538</v>
      </c>
      <c r="C180" s="698" t="s">
        <v>550</v>
      </c>
      <c r="D180" s="699" t="s">
        <v>551</v>
      </c>
      <c r="E180" s="700">
        <v>50113001</v>
      </c>
      <c r="F180" s="699" t="s">
        <v>555</v>
      </c>
      <c r="G180" s="698" t="s">
        <v>556</v>
      </c>
      <c r="H180" s="698">
        <v>111337</v>
      </c>
      <c r="I180" s="698">
        <v>52421</v>
      </c>
      <c r="J180" s="698" t="s">
        <v>874</v>
      </c>
      <c r="K180" s="698" t="s">
        <v>875</v>
      </c>
      <c r="L180" s="701">
        <v>75.899999999999991</v>
      </c>
      <c r="M180" s="701">
        <v>98</v>
      </c>
      <c r="N180" s="702">
        <v>7438.2</v>
      </c>
    </row>
    <row r="181" spans="1:14" ht="14.45" customHeight="1" x14ac:dyDescent="0.2">
      <c r="A181" s="696" t="s">
        <v>537</v>
      </c>
      <c r="B181" s="697" t="s">
        <v>538</v>
      </c>
      <c r="C181" s="698" t="s">
        <v>550</v>
      </c>
      <c r="D181" s="699" t="s">
        <v>551</v>
      </c>
      <c r="E181" s="700">
        <v>50113001</v>
      </c>
      <c r="F181" s="699" t="s">
        <v>555</v>
      </c>
      <c r="G181" s="698" t="s">
        <v>556</v>
      </c>
      <c r="H181" s="698">
        <v>31915</v>
      </c>
      <c r="I181" s="698">
        <v>31915</v>
      </c>
      <c r="J181" s="698" t="s">
        <v>876</v>
      </c>
      <c r="K181" s="698" t="s">
        <v>877</v>
      </c>
      <c r="L181" s="701">
        <v>173.68999999999997</v>
      </c>
      <c r="M181" s="701">
        <v>143</v>
      </c>
      <c r="N181" s="702">
        <v>24837.669999999995</v>
      </c>
    </row>
    <row r="182" spans="1:14" ht="14.45" customHeight="1" x14ac:dyDescent="0.2">
      <c r="A182" s="696" t="s">
        <v>537</v>
      </c>
      <c r="B182" s="697" t="s">
        <v>538</v>
      </c>
      <c r="C182" s="698" t="s">
        <v>550</v>
      </c>
      <c r="D182" s="699" t="s">
        <v>551</v>
      </c>
      <c r="E182" s="700">
        <v>50113001</v>
      </c>
      <c r="F182" s="699" t="s">
        <v>555</v>
      </c>
      <c r="G182" s="698" t="s">
        <v>556</v>
      </c>
      <c r="H182" s="698">
        <v>47706</v>
      </c>
      <c r="I182" s="698">
        <v>47706</v>
      </c>
      <c r="J182" s="698" t="s">
        <v>878</v>
      </c>
      <c r="K182" s="698" t="s">
        <v>879</v>
      </c>
      <c r="L182" s="701">
        <v>288.52999999999997</v>
      </c>
      <c r="M182" s="701">
        <v>9</v>
      </c>
      <c r="N182" s="702">
        <v>2596.7699999999995</v>
      </c>
    </row>
    <row r="183" spans="1:14" ht="14.45" customHeight="1" x14ac:dyDescent="0.2">
      <c r="A183" s="696" t="s">
        <v>537</v>
      </c>
      <c r="B183" s="697" t="s">
        <v>538</v>
      </c>
      <c r="C183" s="698" t="s">
        <v>550</v>
      </c>
      <c r="D183" s="699" t="s">
        <v>551</v>
      </c>
      <c r="E183" s="700">
        <v>50113001</v>
      </c>
      <c r="F183" s="699" t="s">
        <v>555</v>
      </c>
      <c r="G183" s="698" t="s">
        <v>556</v>
      </c>
      <c r="H183" s="698">
        <v>207771</v>
      </c>
      <c r="I183" s="698">
        <v>207771</v>
      </c>
      <c r="J183" s="698" t="s">
        <v>880</v>
      </c>
      <c r="K183" s="698" t="s">
        <v>881</v>
      </c>
      <c r="L183" s="701">
        <v>365.97</v>
      </c>
      <c r="M183" s="701">
        <v>4</v>
      </c>
      <c r="N183" s="702">
        <v>1463.88</v>
      </c>
    </row>
    <row r="184" spans="1:14" ht="14.45" customHeight="1" x14ac:dyDescent="0.2">
      <c r="A184" s="696" t="s">
        <v>537</v>
      </c>
      <c r="B184" s="697" t="s">
        <v>538</v>
      </c>
      <c r="C184" s="698" t="s">
        <v>550</v>
      </c>
      <c r="D184" s="699" t="s">
        <v>551</v>
      </c>
      <c r="E184" s="700">
        <v>50113001</v>
      </c>
      <c r="F184" s="699" t="s">
        <v>555</v>
      </c>
      <c r="G184" s="698" t="s">
        <v>556</v>
      </c>
      <c r="H184" s="698">
        <v>47256</v>
      </c>
      <c r="I184" s="698">
        <v>47256</v>
      </c>
      <c r="J184" s="698" t="s">
        <v>882</v>
      </c>
      <c r="K184" s="698" t="s">
        <v>883</v>
      </c>
      <c r="L184" s="701">
        <v>222.20000000000005</v>
      </c>
      <c r="M184" s="701">
        <v>5</v>
      </c>
      <c r="N184" s="702">
        <v>1111.0000000000002</v>
      </c>
    </row>
    <row r="185" spans="1:14" ht="14.45" customHeight="1" x14ac:dyDescent="0.2">
      <c r="A185" s="696" t="s">
        <v>537</v>
      </c>
      <c r="B185" s="697" t="s">
        <v>538</v>
      </c>
      <c r="C185" s="698" t="s">
        <v>550</v>
      </c>
      <c r="D185" s="699" t="s">
        <v>551</v>
      </c>
      <c r="E185" s="700">
        <v>50113001</v>
      </c>
      <c r="F185" s="699" t="s">
        <v>555</v>
      </c>
      <c r="G185" s="698" t="s">
        <v>556</v>
      </c>
      <c r="H185" s="698">
        <v>47244</v>
      </c>
      <c r="I185" s="698">
        <v>47244</v>
      </c>
      <c r="J185" s="698" t="s">
        <v>882</v>
      </c>
      <c r="K185" s="698" t="s">
        <v>877</v>
      </c>
      <c r="L185" s="701">
        <v>143</v>
      </c>
      <c r="M185" s="701">
        <v>32</v>
      </c>
      <c r="N185" s="702">
        <v>4576</v>
      </c>
    </row>
    <row r="186" spans="1:14" ht="14.45" customHeight="1" x14ac:dyDescent="0.2">
      <c r="A186" s="696" t="s">
        <v>537</v>
      </c>
      <c r="B186" s="697" t="s">
        <v>538</v>
      </c>
      <c r="C186" s="698" t="s">
        <v>550</v>
      </c>
      <c r="D186" s="699" t="s">
        <v>551</v>
      </c>
      <c r="E186" s="700">
        <v>50113001</v>
      </c>
      <c r="F186" s="699" t="s">
        <v>555</v>
      </c>
      <c r="G186" s="698" t="s">
        <v>556</v>
      </c>
      <c r="H186" s="698">
        <v>47249</v>
      </c>
      <c r="I186" s="698">
        <v>47249</v>
      </c>
      <c r="J186" s="698" t="s">
        <v>882</v>
      </c>
      <c r="K186" s="698" t="s">
        <v>884</v>
      </c>
      <c r="L186" s="701">
        <v>126.5</v>
      </c>
      <c r="M186" s="701">
        <v>125</v>
      </c>
      <c r="N186" s="702">
        <v>15812.5</v>
      </c>
    </row>
    <row r="187" spans="1:14" ht="14.45" customHeight="1" x14ac:dyDescent="0.2">
      <c r="A187" s="696" t="s">
        <v>537</v>
      </c>
      <c r="B187" s="697" t="s">
        <v>538</v>
      </c>
      <c r="C187" s="698" t="s">
        <v>550</v>
      </c>
      <c r="D187" s="699" t="s">
        <v>551</v>
      </c>
      <c r="E187" s="700">
        <v>50113001</v>
      </c>
      <c r="F187" s="699" t="s">
        <v>555</v>
      </c>
      <c r="G187" s="698" t="s">
        <v>556</v>
      </c>
      <c r="H187" s="698">
        <v>848335</v>
      </c>
      <c r="I187" s="698">
        <v>155782</v>
      </c>
      <c r="J187" s="698" t="s">
        <v>885</v>
      </c>
      <c r="K187" s="698" t="s">
        <v>886</v>
      </c>
      <c r="L187" s="701">
        <v>54.84</v>
      </c>
      <c r="M187" s="701">
        <v>6</v>
      </c>
      <c r="N187" s="702">
        <v>329.04</v>
      </c>
    </row>
    <row r="188" spans="1:14" ht="14.45" customHeight="1" x14ac:dyDescent="0.2">
      <c r="A188" s="696" t="s">
        <v>537</v>
      </c>
      <c r="B188" s="697" t="s">
        <v>538</v>
      </c>
      <c r="C188" s="698" t="s">
        <v>550</v>
      </c>
      <c r="D188" s="699" t="s">
        <v>551</v>
      </c>
      <c r="E188" s="700">
        <v>50113001</v>
      </c>
      <c r="F188" s="699" t="s">
        <v>555</v>
      </c>
      <c r="G188" s="698" t="s">
        <v>556</v>
      </c>
      <c r="H188" s="698">
        <v>848930</v>
      </c>
      <c r="I188" s="698">
        <v>155781</v>
      </c>
      <c r="J188" s="698" t="s">
        <v>885</v>
      </c>
      <c r="K188" s="698" t="s">
        <v>887</v>
      </c>
      <c r="L188" s="701">
        <v>34.33</v>
      </c>
      <c r="M188" s="701">
        <v>1</v>
      </c>
      <c r="N188" s="702">
        <v>34.33</v>
      </c>
    </row>
    <row r="189" spans="1:14" ht="14.45" customHeight="1" x14ac:dyDescent="0.2">
      <c r="A189" s="696" t="s">
        <v>537</v>
      </c>
      <c r="B189" s="697" t="s">
        <v>538</v>
      </c>
      <c r="C189" s="698" t="s">
        <v>550</v>
      </c>
      <c r="D189" s="699" t="s">
        <v>551</v>
      </c>
      <c r="E189" s="700">
        <v>50113001</v>
      </c>
      <c r="F189" s="699" t="s">
        <v>555</v>
      </c>
      <c r="G189" s="698" t="s">
        <v>556</v>
      </c>
      <c r="H189" s="698">
        <v>106093</v>
      </c>
      <c r="I189" s="698">
        <v>6093</v>
      </c>
      <c r="J189" s="698" t="s">
        <v>888</v>
      </c>
      <c r="K189" s="698" t="s">
        <v>889</v>
      </c>
      <c r="L189" s="701">
        <v>174.09750000000003</v>
      </c>
      <c r="M189" s="701">
        <v>4</v>
      </c>
      <c r="N189" s="702">
        <v>696.3900000000001</v>
      </c>
    </row>
    <row r="190" spans="1:14" ht="14.45" customHeight="1" x14ac:dyDescent="0.2">
      <c r="A190" s="696" t="s">
        <v>537</v>
      </c>
      <c r="B190" s="697" t="s">
        <v>538</v>
      </c>
      <c r="C190" s="698" t="s">
        <v>550</v>
      </c>
      <c r="D190" s="699" t="s">
        <v>551</v>
      </c>
      <c r="E190" s="700">
        <v>50113001</v>
      </c>
      <c r="F190" s="699" t="s">
        <v>555</v>
      </c>
      <c r="G190" s="698" t="s">
        <v>556</v>
      </c>
      <c r="H190" s="698">
        <v>106091</v>
      </c>
      <c r="I190" s="698">
        <v>6091</v>
      </c>
      <c r="J190" s="698" t="s">
        <v>888</v>
      </c>
      <c r="K190" s="698" t="s">
        <v>890</v>
      </c>
      <c r="L190" s="701">
        <v>90.303333333333327</v>
      </c>
      <c r="M190" s="701">
        <v>6</v>
      </c>
      <c r="N190" s="702">
        <v>541.81999999999994</v>
      </c>
    </row>
    <row r="191" spans="1:14" ht="14.45" customHeight="1" x14ac:dyDescent="0.2">
      <c r="A191" s="696" t="s">
        <v>537</v>
      </c>
      <c r="B191" s="697" t="s">
        <v>538</v>
      </c>
      <c r="C191" s="698" t="s">
        <v>550</v>
      </c>
      <c r="D191" s="699" t="s">
        <v>551</v>
      </c>
      <c r="E191" s="700">
        <v>50113001</v>
      </c>
      <c r="F191" s="699" t="s">
        <v>555</v>
      </c>
      <c r="G191" s="698" t="s">
        <v>556</v>
      </c>
      <c r="H191" s="698">
        <v>106092</v>
      </c>
      <c r="I191" s="698">
        <v>6092</v>
      </c>
      <c r="J191" s="698" t="s">
        <v>891</v>
      </c>
      <c r="K191" s="698" t="s">
        <v>892</v>
      </c>
      <c r="L191" s="701">
        <v>280.14999999999998</v>
      </c>
      <c r="M191" s="701">
        <v>4</v>
      </c>
      <c r="N191" s="702">
        <v>1120.5999999999999</v>
      </c>
    </row>
    <row r="192" spans="1:14" ht="14.45" customHeight="1" x14ac:dyDescent="0.2">
      <c r="A192" s="696" t="s">
        <v>537</v>
      </c>
      <c r="B192" s="697" t="s">
        <v>538</v>
      </c>
      <c r="C192" s="698" t="s">
        <v>550</v>
      </c>
      <c r="D192" s="699" t="s">
        <v>551</v>
      </c>
      <c r="E192" s="700">
        <v>50113001</v>
      </c>
      <c r="F192" s="699" t="s">
        <v>555</v>
      </c>
      <c r="G192" s="698" t="s">
        <v>556</v>
      </c>
      <c r="H192" s="698">
        <v>102538</v>
      </c>
      <c r="I192" s="698">
        <v>2538</v>
      </c>
      <c r="J192" s="698" t="s">
        <v>893</v>
      </c>
      <c r="K192" s="698" t="s">
        <v>894</v>
      </c>
      <c r="L192" s="701">
        <v>51.570769230769223</v>
      </c>
      <c r="M192" s="701">
        <v>39</v>
      </c>
      <c r="N192" s="702">
        <v>2011.2599999999998</v>
      </c>
    </row>
    <row r="193" spans="1:14" ht="14.45" customHeight="1" x14ac:dyDescent="0.2">
      <c r="A193" s="696" t="s">
        <v>537</v>
      </c>
      <c r="B193" s="697" t="s">
        <v>538</v>
      </c>
      <c r="C193" s="698" t="s">
        <v>550</v>
      </c>
      <c r="D193" s="699" t="s">
        <v>551</v>
      </c>
      <c r="E193" s="700">
        <v>50113001</v>
      </c>
      <c r="F193" s="699" t="s">
        <v>555</v>
      </c>
      <c r="G193" s="698" t="s">
        <v>556</v>
      </c>
      <c r="H193" s="698">
        <v>125366</v>
      </c>
      <c r="I193" s="698">
        <v>25366</v>
      </c>
      <c r="J193" s="698" t="s">
        <v>895</v>
      </c>
      <c r="K193" s="698" t="s">
        <v>896</v>
      </c>
      <c r="L193" s="701">
        <v>65.42000029751992</v>
      </c>
      <c r="M193" s="701">
        <v>7</v>
      </c>
      <c r="N193" s="702">
        <v>457.94000208263941</v>
      </c>
    </row>
    <row r="194" spans="1:14" ht="14.45" customHeight="1" x14ac:dyDescent="0.2">
      <c r="A194" s="696" t="s">
        <v>537</v>
      </c>
      <c r="B194" s="697" t="s">
        <v>538</v>
      </c>
      <c r="C194" s="698" t="s">
        <v>550</v>
      </c>
      <c r="D194" s="699" t="s">
        <v>551</v>
      </c>
      <c r="E194" s="700">
        <v>50113001</v>
      </c>
      <c r="F194" s="699" t="s">
        <v>555</v>
      </c>
      <c r="G194" s="698" t="s">
        <v>556</v>
      </c>
      <c r="H194" s="698">
        <v>215605</v>
      </c>
      <c r="I194" s="698">
        <v>215605</v>
      </c>
      <c r="J194" s="698" t="s">
        <v>895</v>
      </c>
      <c r="K194" s="698" t="s">
        <v>897</v>
      </c>
      <c r="L194" s="701">
        <v>20.355</v>
      </c>
      <c r="M194" s="701">
        <v>2</v>
      </c>
      <c r="N194" s="702">
        <v>40.71</v>
      </c>
    </row>
    <row r="195" spans="1:14" ht="14.45" customHeight="1" x14ac:dyDescent="0.2">
      <c r="A195" s="696" t="s">
        <v>537</v>
      </c>
      <c r="B195" s="697" t="s">
        <v>538</v>
      </c>
      <c r="C195" s="698" t="s">
        <v>550</v>
      </c>
      <c r="D195" s="699" t="s">
        <v>551</v>
      </c>
      <c r="E195" s="700">
        <v>50113001</v>
      </c>
      <c r="F195" s="699" t="s">
        <v>555</v>
      </c>
      <c r="G195" s="698" t="s">
        <v>556</v>
      </c>
      <c r="H195" s="698">
        <v>109139</v>
      </c>
      <c r="I195" s="698">
        <v>176129</v>
      </c>
      <c r="J195" s="698" t="s">
        <v>898</v>
      </c>
      <c r="K195" s="698" t="s">
        <v>899</v>
      </c>
      <c r="L195" s="701">
        <v>639.13999999999987</v>
      </c>
      <c r="M195" s="701">
        <v>1</v>
      </c>
      <c r="N195" s="702">
        <v>639.13999999999987</v>
      </c>
    </row>
    <row r="196" spans="1:14" ht="14.45" customHeight="1" x14ac:dyDescent="0.2">
      <c r="A196" s="696" t="s">
        <v>537</v>
      </c>
      <c r="B196" s="697" t="s">
        <v>538</v>
      </c>
      <c r="C196" s="698" t="s">
        <v>550</v>
      </c>
      <c r="D196" s="699" t="s">
        <v>551</v>
      </c>
      <c r="E196" s="700">
        <v>50113001</v>
      </c>
      <c r="F196" s="699" t="s">
        <v>555</v>
      </c>
      <c r="G196" s="698" t="s">
        <v>556</v>
      </c>
      <c r="H196" s="698">
        <v>193746</v>
      </c>
      <c r="I196" s="698">
        <v>93746</v>
      </c>
      <c r="J196" s="698" t="s">
        <v>900</v>
      </c>
      <c r="K196" s="698" t="s">
        <v>901</v>
      </c>
      <c r="L196" s="701">
        <v>523.95999897632237</v>
      </c>
      <c r="M196" s="701">
        <v>17</v>
      </c>
      <c r="N196" s="702">
        <v>8907.3199825974807</v>
      </c>
    </row>
    <row r="197" spans="1:14" ht="14.45" customHeight="1" x14ac:dyDescent="0.2">
      <c r="A197" s="696" t="s">
        <v>537</v>
      </c>
      <c r="B197" s="697" t="s">
        <v>538</v>
      </c>
      <c r="C197" s="698" t="s">
        <v>550</v>
      </c>
      <c r="D197" s="699" t="s">
        <v>551</v>
      </c>
      <c r="E197" s="700">
        <v>50113001</v>
      </c>
      <c r="F197" s="699" t="s">
        <v>555</v>
      </c>
      <c r="G197" s="698" t="s">
        <v>306</v>
      </c>
      <c r="H197" s="698">
        <v>103575</v>
      </c>
      <c r="I197" s="698">
        <v>3575</v>
      </c>
      <c r="J197" s="698" t="s">
        <v>902</v>
      </c>
      <c r="K197" s="698" t="s">
        <v>903</v>
      </c>
      <c r="L197" s="701">
        <v>79.220869565217399</v>
      </c>
      <c r="M197" s="701">
        <v>23</v>
      </c>
      <c r="N197" s="702">
        <v>1822.0800000000002</v>
      </c>
    </row>
    <row r="198" spans="1:14" ht="14.45" customHeight="1" x14ac:dyDescent="0.2">
      <c r="A198" s="696" t="s">
        <v>537</v>
      </c>
      <c r="B198" s="697" t="s">
        <v>538</v>
      </c>
      <c r="C198" s="698" t="s">
        <v>550</v>
      </c>
      <c r="D198" s="699" t="s">
        <v>551</v>
      </c>
      <c r="E198" s="700">
        <v>50113001</v>
      </c>
      <c r="F198" s="699" t="s">
        <v>555</v>
      </c>
      <c r="G198" s="698" t="s">
        <v>571</v>
      </c>
      <c r="H198" s="698">
        <v>100308</v>
      </c>
      <c r="I198" s="698">
        <v>100308</v>
      </c>
      <c r="J198" s="698" t="s">
        <v>904</v>
      </c>
      <c r="K198" s="698" t="s">
        <v>905</v>
      </c>
      <c r="L198" s="701">
        <v>44.494000000000014</v>
      </c>
      <c r="M198" s="701">
        <v>5</v>
      </c>
      <c r="N198" s="702">
        <v>222.47000000000006</v>
      </c>
    </row>
    <row r="199" spans="1:14" ht="14.45" customHeight="1" x14ac:dyDescent="0.2">
      <c r="A199" s="696" t="s">
        <v>537</v>
      </c>
      <c r="B199" s="697" t="s">
        <v>538</v>
      </c>
      <c r="C199" s="698" t="s">
        <v>550</v>
      </c>
      <c r="D199" s="699" t="s">
        <v>551</v>
      </c>
      <c r="E199" s="700">
        <v>50113001</v>
      </c>
      <c r="F199" s="699" t="s">
        <v>555</v>
      </c>
      <c r="G199" s="698" t="s">
        <v>556</v>
      </c>
      <c r="H199" s="698">
        <v>216572</v>
      </c>
      <c r="I199" s="698">
        <v>216572</v>
      </c>
      <c r="J199" s="698" t="s">
        <v>906</v>
      </c>
      <c r="K199" s="698" t="s">
        <v>907</v>
      </c>
      <c r="L199" s="701">
        <v>43.812815330897656</v>
      </c>
      <c r="M199" s="701">
        <v>810</v>
      </c>
      <c r="N199" s="702">
        <v>35488.380418027104</v>
      </c>
    </row>
    <row r="200" spans="1:14" ht="14.45" customHeight="1" x14ac:dyDescent="0.2">
      <c r="A200" s="696" t="s">
        <v>537</v>
      </c>
      <c r="B200" s="697" t="s">
        <v>538</v>
      </c>
      <c r="C200" s="698" t="s">
        <v>550</v>
      </c>
      <c r="D200" s="699" t="s">
        <v>551</v>
      </c>
      <c r="E200" s="700">
        <v>50113001</v>
      </c>
      <c r="F200" s="699" t="s">
        <v>555</v>
      </c>
      <c r="G200" s="698" t="s">
        <v>556</v>
      </c>
      <c r="H200" s="698">
        <v>223200</v>
      </c>
      <c r="I200" s="698">
        <v>223200</v>
      </c>
      <c r="J200" s="698" t="s">
        <v>908</v>
      </c>
      <c r="K200" s="698" t="s">
        <v>909</v>
      </c>
      <c r="L200" s="701">
        <v>71.53</v>
      </c>
      <c r="M200" s="701">
        <v>12</v>
      </c>
      <c r="N200" s="702">
        <v>858.36</v>
      </c>
    </row>
    <row r="201" spans="1:14" ht="14.45" customHeight="1" x14ac:dyDescent="0.2">
      <c r="A201" s="696" t="s">
        <v>537</v>
      </c>
      <c r="B201" s="697" t="s">
        <v>538</v>
      </c>
      <c r="C201" s="698" t="s">
        <v>550</v>
      </c>
      <c r="D201" s="699" t="s">
        <v>551</v>
      </c>
      <c r="E201" s="700">
        <v>50113001</v>
      </c>
      <c r="F201" s="699" t="s">
        <v>555</v>
      </c>
      <c r="G201" s="698" t="s">
        <v>556</v>
      </c>
      <c r="H201" s="698">
        <v>241678</v>
      </c>
      <c r="I201" s="698">
        <v>241678</v>
      </c>
      <c r="J201" s="698" t="s">
        <v>910</v>
      </c>
      <c r="K201" s="698" t="s">
        <v>911</v>
      </c>
      <c r="L201" s="701">
        <v>94.325999999999993</v>
      </c>
      <c r="M201" s="701">
        <v>5</v>
      </c>
      <c r="N201" s="702">
        <v>471.63</v>
      </c>
    </row>
    <row r="202" spans="1:14" ht="14.45" customHeight="1" x14ac:dyDescent="0.2">
      <c r="A202" s="696" t="s">
        <v>537</v>
      </c>
      <c r="B202" s="697" t="s">
        <v>538</v>
      </c>
      <c r="C202" s="698" t="s">
        <v>550</v>
      </c>
      <c r="D202" s="699" t="s">
        <v>551</v>
      </c>
      <c r="E202" s="700">
        <v>50113001</v>
      </c>
      <c r="F202" s="699" t="s">
        <v>555</v>
      </c>
      <c r="G202" s="698" t="s">
        <v>556</v>
      </c>
      <c r="H202" s="698">
        <v>51366</v>
      </c>
      <c r="I202" s="698">
        <v>51366</v>
      </c>
      <c r="J202" s="698" t="s">
        <v>912</v>
      </c>
      <c r="K202" s="698" t="s">
        <v>913</v>
      </c>
      <c r="L202" s="701">
        <v>171.59999999999997</v>
      </c>
      <c r="M202" s="701">
        <v>130</v>
      </c>
      <c r="N202" s="702">
        <v>22307.999999999996</v>
      </c>
    </row>
    <row r="203" spans="1:14" ht="14.45" customHeight="1" x14ac:dyDescent="0.2">
      <c r="A203" s="696" t="s">
        <v>537</v>
      </c>
      <c r="B203" s="697" t="s">
        <v>538</v>
      </c>
      <c r="C203" s="698" t="s">
        <v>550</v>
      </c>
      <c r="D203" s="699" t="s">
        <v>551</v>
      </c>
      <c r="E203" s="700">
        <v>50113001</v>
      </c>
      <c r="F203" s="699" t="s">
        <v>555</v>
      </c>
      <c r="G203" s="698" t="s">
        <v>556</v>
      </c>
      <c r="H203" s="698">
        <v>51384</v>
      </c>
      <c r="I203" s="698">
        <v>51384</v>
      </c>
      <c r="J203" s="698" t="s">
        <v>912</v>
      </c>
      <c r="K203" s="698" t="s">
        <v>914</v>
      </c>
      <c r="L203" s="701">
        <v>192.49999999999997</v>
      </c>
      <c r="M203" s="701">
        <v>38</v>
      </c>
      <c r="N203" s="702">
        <v>7314.9999999999991</v>
      </c>
    </row>
    <row r="204" spans="1:14" ht="14.45" customHeight="1" x14ac:dyDescent="0.2">
      <c r="A204" s="696" t="s">
        <v>537</v>
      </c>
      <c r="B204" s="697" t="s">
        <v>538</v>
      </c>
      <c r="C204" s="698" t="s">
        <v>550</v>
      </c>
      <c r="D204" s="699" t="s">
        <v>551</v>
      </c>
      <c r="E204" s="700">
        <v>50113001</v>
      </c>
      <c r="F204" s="699" t="s">
        <v>555</v>
      </c>
      <c r="G204" s="698" t="s">
        <v>556</v>
      </c>
      <c r="H204" s="698">
        <v>51383</v>
      </c>
      <c r="I204" s="698">
        <v>51383</v>
      </c>
      <c r="J204" s="698" t="s">
        <v>912</v>
      </c>
      <c r="K204" s="698" t="s">
        <v>915</v>
      </c>
      <c r="L204" s="701">
        <v>93.5</v>
      </c>
      <c r="M204" s="701">
        <v>151</v>
      </c>
      <c r="N204" s="702">
        <v>14118.5</v>
      </c>
    </row>
    <row r="205" spans="1:14" ht="14.45" customHeight="1" x14ac:dyDescent="0.2">
      <c r="A205" s="696" t="s">
        <v>537</v>
      </c>
      <c r="B205" s="697" t="s">
        <v>538</v>
      </c>
      <c r="C205" s="698" t="s">
        <v>550</v>
      </c>
      <c r="D205" s="699" t="s">
        <v>551</v>
      </c>
      <c r="E205" s="700">
        <v>50113001</v>
      </c>
      <c r="F205" s="699" t="s">
        <v>555</v>
      </c>
      <c r="G205" s="698" t="s">
        <v>556</v>
      </c>
      <c r="H205" s="698">
        <v>51367</v>
      </c>
      <c r="I205" s="698">
        <v>51367</v>
      </c>
      <c r="J205" s="698" t="s">
        <v>912</v>
      </c>
      <c r="K205" s="698" t="s">
        <v>916</v>
      </c>
      <c r="L205" s="701">
        <v>92.950000000000017</v>
      </c>
      <c r="M205" s="701">
        <v>375</v>
      </c>
      <c r="N205" s="702">
        <v>34856.250000000007</v>
      </c>
    </row>
    <row r="206" spans="1:14" ht="14.45" customHeight="1" x14ac:dyDescent="0.2">
      <c r="A206" s="696" t="s">
        <v>537</v>
      </c>
      <c r="B206" s="697" t="s">
        <v>538</v>
      </c>
      <c r="C206" s="698" t="s">
        <v>550</v>
      </c>
      <c r="D206" s="699" t="s">
        <v>551</v>
      </c>
      <c r="E206" s="700">
        <v>50113001</v>
      </c>
      <c r="F206" s="699" t="s">
        <v>555</v>
      </c>
      <c r="G206" s="698" t="s">
        <v>556</v>
      </c>
      <c r="H206" s="698">
        <v>241993</v>
      </c>
      <c r="I206" s="698">
        <v>241993</v>
      </c>
      <c r="J206" s="698" t="s">
        <v>917</v>
      </c>
      <c r="K206" s="698" t="s">
        <v>918</v>
      </c>
      <c r="L206" s="701">
        <v>94.29000000000002</v>
      </c>
      <c r="M206" s="701">
        <v>2</v>
      </c>
      <c r="N206" s="702">
        <v>188.58000000000004</v>
      </c>
    </row>
    <row r="207" spans="1:14" ht="14.45" customHeight="1" x14ac:dyDescent="0.2">
      <c r="A207" s="696" t="s">
        <v>537</v>
      </c>
      <c r="B207" s="697" t="s">
        <v>538</v>
      </c>
      <c r="C207" s="698" t="s">
        <v>550</v>
      </c>
      <c r="D207" s="699" t="s">
        <v>551</v>
      </c>
      <c r="E207" s="700">
        <v>50113001</v>
      </c>
      <c r="F207" s="699" t="s">
        <v>555</v>
      </c>
      <c r="G207" s="698" t="s">
        <v>556</v>
      </c>
      <c r="H207" s="698">
        <v>208988</v>
      </c>
      <c r="I207" s="698">
        <v>208988</v>
      </c>
      <c r="J207" s="698" t="s">
        <v>919</v>
      </c>
      <c r="K207" s="698" t="s">
        <v>920</v>
      </c>
      <c r="L207" s="701">
        <v>555.16999999999985</v>
      </c>
      <c r="M207" s="701">
        <v>49</v>
      </c>
      <c r="N207" s="702">
        <v>27203.329999999994</v>
      </c>
    </row>
    <row r="208" spans="1:14" ht="14.45" customHeight="1" x14ac:dyDescent="0.2">
      <c r="A208" s="696" t="s">
        <v>537</v>
      </c>
      <c r="B208" s="697" t="s">
        <v>538</v>
      </c>
      <c r="C208" s="698" t="s">
        <v>550</v>
      </c>
      <c r="D208" s="699" t="s">
        <v>551</v>
      </c>
      <c r="E208" s="700">
        <v>50113001</v>
      </c>
      <c r="F208" s="699" t="s">
        <v>555</v>
      </c>
      <c r="G208" s="698" t="s">
        <v>556</v>
      </c>
      <c r="H208" s="698">
        <v>208990</v>
      </c>
      <c r="I208" s="698">
        <v>208990</v>
      </c>
      <c r="J208" s="698" t="s">
        <v>921</v>
      </c>
      <c r="K208" s="698" t="s">
        <v>920</v>
      </c>
      <c r="L208" s="701">
        <v>668.47000000000014</v>
      </c>
      <c r="M208" s="701">
        <v>55</v>
      </c>
      <c r="N208" s="702">
        <v>36765.850000000006</v>
      </c>
    </row>
    <row r="209" spans="1:14" ht="14.45" customHeight="1" x14ac:dyDescent="0.2">
      <c r="A209" s="696" t="s">
        <v>537</v>
      </c>
      <c r="B209" s="697" t="s">
        <v>538</v>
      </c>
      <c r="C209" s="698" t="s">
        <v>550</v>
      </c>
      <c r="D209" s="699" t="s">
        <v>551</v>
      </c>
      <c r="E209" s="700">
        <v>50113001</v>
      </c>
      <c r="F209" s="699" t="s">
        <v>555</v>
      </c>
      <c r="G209" s="698" t="s">
        <v>556</v>
      </c>
      <c r="H209" s="698">
        <v>850638</v>
      </c>
      <c r="I209" s="698">
        <v>500886</v>
      </c>
      <c r="J209" s="698" t="s">
        <v>922</v>
      </c>
      <c r="K209" s="698" t="s">
        <v>923</v>
      </c>
      <c r="L209" s="701">
        <v>49.319999999999993</v>
      </c>
      <c r="M209" s="701">
        <v>1</v>
      </c>
      <c r="N209" s="702">
        <v>49.319999999999993</v>
      </c>
    </row>
    <row r="210" spans="1:14" ht="14.45" customHeight="1" x14ac:dyDescent="0.2">
      <c r="A210" s="696" t="s">
        <v>537</v>
      </c>
      <c r="B210" s="697" t="s">
        <v>538</v>
      </c>
      <c r="C210" s="698" t="s">
        <v>550</v>
      </c>
      <c r="D210" s="699" t="s">
        <v>551</v>
      </c>
      <c r="E210" s="700">
        <v>50113001</v>
      </c>
      <c r="F210" s="699" t="s">
        <v>555</v>
      </c>
      <c r="G210" s="698" t="s">
        <v>556</v>
      </c>
      <c r="H210" s="698">
        <v>224965</v>
      </c>
      <c r="I210" s="698">
        <v>224965</v>
      </c>
      <c r="J210" s="698" t="s">
        <v>924</v>
      </c>
      <c r="K210" s="698" t="s">
        <v>925</v>
      </c>
      <c r="L210" s="701">
        <v>108.04374999999999</v>
      </c>
      <c r="M210" s="701">
        <v>24</v>
      </c>
      <c r="N210" s="702">
        <v>2593.0499999999997</v>
      </c>
    </row>
    <row r="211" spans="1:14" ht="14.45" customHeight="1" x14ac:dyDescent="0.2">
      <c r="A211" s="696" t="s">
        <v>537</v>
      </c>
      <c r="B211" s="697" t="s">
        <v>538</v>
      </c>
      <c r="C211" s="698" t="s">
        <v>550</v>
      </c>
      <c r="D211" s="699" t="s">
        <v>551</v>
      </c>
      <c r="E211" s="700">
        <v>50113001</v>
      </c>
      <c r="F211" s="699" t="s">
        <v>555</v>
      </c>
      <c r="G211" s="698" t="s">
        <v>306</v>
      </c>
      <c r="H211" s="698">
        <v>227475</v>
      </c>
      <c r="I211" s="698">
        <v>227475</v>
      </c>
      <c r="J211" s="698" t="s">
        <v>926</v>
      </c>
      <c r="K211" s="698" t="s">
        <v>927</v>
      </c>
      <c r="L211" s="701">
        <v>1282.4393684210524</v>
      </c>
      <c r="M211" s="701">
        <v>19</v>
      </c>
      <c r="N211" s="702">
        <v>24366.347999999998</v>
      </c>
    </row>
    <row r="212" spans="1:14" ht="14.45" customHeight="1" x14ac:dyDescent="0.2">
      <c r="A212" s="696" t="s">
        <v>537</v>
      </c>
      <c r="B212" s="697" t="s">
        <v>538</v>
      </c>
      <c r="C212" s="698" t="s">
        <v>550</v>
      </c>
      <c r="D212" s="699" t="s">
        <v>551</v>
      </c>
      <c r="E212" s="700">
        <v>50113001</v>
      </c>
      <c r="F212" s="699" t="s">
        <v>555</v>
      </c>
      <c r="G212" s="698" t="s">
        <v>556</v>
      </c>
      <c r="H212" s="698">
        <v>187299</v>
      </c>
      <c r="I212" s="698">
        <v>87299</v>
      </c>
      <c r="J212" s="698" t="s">
        <v>928</v>
      </c>
      <c r="K212" s="698" t="s">
        <v>929</v>
      </c>
      <c r="L212" s="701">
        <v>1003.6299999999998</v>
      </c>
      <c r="M212" s="701">
        <v>21</v>
      </c>
      <c r="N212" s="702">
        <v>21076.229999999996</v>
      </c>
    </row>
    <row r="213" spans="1:14" ht="14.45" customHeight="1" x14ac:dyDescent="0.2">
      <c r="A213" s="696" t="s">
        <v>537</v>
      </c>
      <c r="B213" s="697" t="s">
        <v>538</v>
      </c>
      <c r="C213" s="698" t="s">
        <v>550</v>
      </c>
      <c r="D213" s="699" t="s">
        <v>551</v>
      </c>
      <c r="E213" s="700">
        <v>50113001</v>
      </c>
      <c r="F213" s="699" t="s">
        <v>555</v>
      </c>
      <c r="G213" s="698" t="s">
        <v>556</v>
      </c>
      <c r="H213" s="698">
        <v>193724</v>
      </c>
      <c r="I213" s="698">
        <v>93724</v>
      </c>
      <c r="J213" s="698" t="s">
        <v>930</v>
      </c>
      <c r="K213" s="698" t="s">
        <v>931</v>
      </c>
      <c r="L213" s="701">
        <v>68.239999999999981</v>
      </c>
      <c r="M213" s="701">
        <v>8</v>
      </c>
      <c r="N213" s="702">
        <v>545.91999999999985</v>
      </c>
    </row>
    <row r="214" spans="1:14" ht="14.45" customHeight="1" x14ac:dyDescent="0.2">
      <c r="A214" s="696" t="s">
        <v>537</v>
      </c>
      <c r="B214" s="697" t="s">
        <v>538</v>
      </c>
      <c r="C214" s="698" t="s">
        <v>550</v>
      </c>
      <c r="D214" s="699" t="s">
        <v>551</v>
      </c>
      <c r="E214" s="700">
        <v>50113001</v>
      </c>
      <c r="F214" s="699" t="s">
        <v>555</v>
      </c>
      <c r="G214" s="698" t="s">
        <v>556</v>
      </c>
      <c r="H214" s="698">
        <v>193723</v>
      </c>
      <c r="I214" s="698">
        <v>93723</v>
      </c>
      <c r="J214" s="698" t="s">
        <v>932</v>
      </c>
      <c r="K214" s="698" t="s">
        <v>933</v>
      </c>
      <c r="L214" s="701">
        <v>40.234166666666674</v>
      </c>
      <c r="M214" s="701">
        <v>12</v>
      </c>
      <c r="N214" s="702">
        <v>482.81000000000006</v>
      </c>
    </row>
    <row r="215" spans="1:14" ht="14.45" customHeight="1" x14ac:dyDescent="0.2">
      <c r="A215" s="696" t="s">
        <v>537</v>
      </c>
      <c r="B215" s="697" t="s">
        <v>538</v>
      </c>
      <c r="C215" s="698" t="s">
        <v>550</v>
      </c>
      <c r="D215" s="699" t="s">
        <v>551</v>
      </c>
      <c r="E215" s="700">
        <v>50113001</v>
      </c>
      <c r="F215" s="699" t="s">
        <v>555</v>
      </c>
      <c r="G215" s="698" t="s">
        <v>571</v>
      </c>
      <c r="H215" s="698">
        <v>219052</v>
      </c>
      <c r="I215" s="698">
        <v>219052</v>
      </c>
      <c r="J215" s="698" t="s">
        <v>934</v>
      </c>
      <c r="K215" s="698" t="s">
        <v>935</v>
      </c>
      <c r="L215" s="701">
        <v>480.7</v>
      </c>
      <c r="M215" s="701">
        <v>1</v>
      </c>
      <c r="N215" s="702">
        <v>480.7</v>
      </c>
    </row>
    <row r="216" spans="1:14" ht="14.45" customHeight="1" x14ac:dyDescent="0.2">
      <c r="A216" s="696" t="s">
        <v>537</v>
      </c>
      <c r="B216" s="697" t="s">
        <v>538</v>
      </c>
      <c r="C216" s="698" t="s">
        <v>550</v>
      </c>
      <c r="D216" s="699" t="s">
        <v>551</v>
      </c>
      <c r="E216" s="700">
        <v>50113001</v>
      </c>
      <c r="F216" s="699" t="s">
        <v>555</v>
      </c>
      <c r="G216" s="698" t="s">
        <v>306</v>
      </c>
      <c r="H216" s="698">
        <v>233123</v>
      </c>
      <c r="I216" s="698">
        <v>233123</v>
      </c>
      <c r="J216" s="698" t="s">
        <v>936</v>
      </c>
      <c r="K216" s="698" t="s">
        <v>937</v>
      </c>
      <c r="L216" s="701">
        <v>3077.0299999999997</v>
      </c>
      <c r="M216" s="701">
        <v>1</v>
      </c>
      <c r="N216" s="702">
        <v>3077.0299999999997</v>
      </c>
    </row>
    <row r="217" spans="1:14" ht="14.45" customHeight="1" x14ac:dyDescent="0.2">
      <c r="A217" s="696" t="s">
        <v>537</v>
      </c>
      <c r="B217" s="697" t="s">
        <v>538</v>
      </c>
      <c r="C217" s="698" t="s">
        <v>550</v>
      </c>
      <c r="D217" s="699" t="s">
        <v>551</v>
      </c>
      <c r="E217" s="700">
        <v>50113001</v>
      </c>
      <c r="F217" s="699" t="s">
        <v>555</v>
      </c>
      <c r="G217" s="698" t="s">
        <v>571</v>
      </c>
      <c r="H217" s="698">
        <v>219054</v>
      </c>
      <c r="I217" s="698">
        <v>219054</v>
      </c>
      <c r="J217" s="698" t="s">
        <v>938</v>
      </c>
      <c r="K217" s="698" t="s">
        <v>939</v>
      </c>
      <c r="L217" s="701">
        <v>618.19999999999993</v>
      </c>
      <c r="M217" s="701">
        <v>6</v>
      </c>
      <c r="N217" s="702">
        <v>3709.2</v>
      </c>
    </row>
    <row r="218" spans="1:14" ht="14.45" customHeight="1" x14ac:dyDescent="0.2">
      <c r="A218" s="696" t="s">
        <v>537</v>
      </c>
      <c r="B218" s="697" t="s">
        <v>538</v>
      </c>
      <c r="C218" s="698" t="s">
        <v>550</v>
      </c>
      <c r="D218" s="699" t="s">
        <v>551</v>
      </c>
      <c r="E218" s="700">
        <v>50113001</v>
      </c>
      <c r="F218" s="699" t="s">
        <v>555</v>
      </c>
      <c r="G218" s="698" t="s">
        <v>556</v>
      </c>
      <c r="H218" s="698">
        <v>502059</v>
      </c>
      <c r="I218" s="698">
        <v>0</v>
      </c>
      <c r="J218" s="698" t="s">
        <v>940</v>
      </c>
      <c r="K218" s="698" t="s">
        <v>941</v>
      </c>
      <c r="L218" s="701">
        <v>254.09999999999997</v>
      </c>
      <c r="M218" s="701">
        <v>144</v>
      </c>
      <c r="N218" s="702">
        <v>36590.399999999994</v>
      </c>
    </row>
    <row r="219" spans="1:14" ht="14.45" customHeight="1" x14ac:dyDescent="0.2">
      <c r="A219" s="696" t="s">
        <v>537</v>
      </c>
      <c r="B219" s="697" t="s">
        <v>538</v>
      </c>
      <c r="C219" s="698" t="s">
        <v>550</v>
      </c>
      <c r="D219" s="699" t="s">
        <v>551</v>
      </c>
      <c r="E219" s="700">
        <v>50113001</v>
      </c>
      <c r="F219" s="699" t="s">
        <v>555</v>
      </c>
      <c r="G219" s="698" t="s">
        <v>556</v>
      </c>
      <c r="H219" s="698">
        <v>394712</v>
      </c>
      <c r="I219" s="698">
        <v>0</v>
      </c>
      <c r="J219" s="698" t="s">
        <v>942</v>
      </c>
      <c r="K219" s="698" t="s">
        <v>943</v>
      </c>
      <c r="L219" s="701">
        <v>28.75</v>
      </c>
      <c r="M219" s="701">
        <v>24</v>
      </c>
      <c r="N219" s="702">
        <v>690</v>
      </c>
    </row>
    <row r="220" spans="1:14" ht="14.45" customHeight="1" x14ac:dyDescent="0.2">
      <c r="A220" s="696" t="s">
        <v>537</v>
      </c>
      <c r="B220" s="697" t="s">
        <v>538</v>
      </c>
      <c r="C220" s="698" t="s">
        <v>550</v>
      </c>
      <c r="D220" s="699" t="s">
        <v>551</v>
      </c>
      <c r="E220" s="700">
        <v>50113001</v>
      </c>
      <c r="F220" s="699" t="s">
        <v>555</v>
      </c>
      <c r="G220" s="698" t="s">
        <v>556</v>
      </c>
      <c r="H220" s="698">
        <v>902048</v>
      </c>
      <c r="I220" s="698">
        <v>0</v>
      </c>
      <c r="J220" s="698" t="s">
        <v>944</v>
      </c>
      <c r="K220" s="698" t="s">
        <v>945</v>
      </c>
      <c r="L220" s="701">
        <v>331.2</v>
      </c>
      <c r="M220" s="701">
        <v>106</v>
      </c>
      <c r="N220" s="702">
        <v>35107.199999999997</v>
      </c>
    </row>
    <row r="221" spans="1:14" ht="14.45" customHeight="1" x14ac:dyDescent="0.2">
      <c r="A221" s="696" t="s">
        <v>537</v>
      </c>
      <c r="B221" s="697" t="s">
        <v>538</v>
      </c>
      <c r="C221" s="698" t="s">
        <v>550</v>
      </c>
      <c r="D221" s="699" t="s">
        <v>551</v>
      </c>
      <c r="E221" s="700">
        <v>50113001</v>
      </c>
      <c r="F221" s="699" t="s">
        <v>555</v>
      </c>
      <c r="G221" s="698" t="s">
        <v>556</v>
      </c>
      <c r="H221" s="698">
        <v>498359</v>
      </c>
      <c r="I221" s="698">
        <v>0</v>
      </c>
      <c r="J221" s="698" t="s">
        <v>946</v>
      </c>
      <c r="K221" s="698" t="s">
        <v>945</v>
      </c>
      <c r="L221" s="701">
        <v>331.2</v>
      </c>
      <c r="M221" s="701">
        <v>826</v>
      </c>
      <c r="N221" s="702">
        <v>273571.20000000001</v>
      </c>
    </row>
    <row r="222" spans="1:14" ht="14.45" customHeight="1" x14ac:dyDescent="0.2">
      <c r="A222" s="696" t="s">
        <v>537</v>
      </c>
      <c r="B222" s="697" t="s">
        <v>538</v>
      </c>
      <c r="C222" s="698" t="s">
        <v>550</v>
      </c>
      <c r="D222" s="699" t="s">
        <v>551</v>
      </c>
      <c r="E222" s="700">
        <v>50113001</v>
      </c>
      <c r="F222" s="699" t="s">
        <v>555</v>
      </c>
      <c r="G222" s="698" t="s">
        <v>556</v>
      </c>
      <c r="H222" s="698">
        <v>500899</v>
      </c>
      <c r="I222" s="698">
        <v>0</v>
      </c>
      <c r="J222" s="698" t="s">
        <v>947</v>
      </c>
      <c r="K222" s="698" t="s">
        <v>948</v>
      </c>
      <c r="L222" s="701">
        <v>331.2</v>
      </c>
      <c r="M222" s="701">
        <v>250</v>
      </c>
      <c r="N222" s="702">
        <v>82800</v>
      </c>
    </row>
    <row r="223" spans="1:14" ht="14.45" customHeight="1" x14ac:dyDescent="0.2">
      <c r="A223" s="696" t="s">
        <v>537</v>
      </c>
      <c r="B223" s="697" t="s">
        <v>538</v>
      </c>
      <c r="C223" s="698" t="s">
        <v>550</v>
      </c>
      <c r="D223" s="699" t="s">
        <v>551</v>
      </c>
      <c r="E223" s="700">
        <v>50113001</v>
      </c>
      <c r="F223" s="699" t="s">
        <v>555</v>
      </c>
      <c r="G223" s="698" t="s">
        <v>556</v>
      </c>
      <c r="H223" s="698">
        <v>499276</v>
      </c>
      <c r="I223" s="698">
        <v>0</v>
      </c>
      <c r="J223" s="698" t="s">
        <v>949</v>
      </c>
      <c r="K223" s="698" t="s">
        <v>941</v>
      </c>
      <c r="L223" s="701">
        <v>272.9593103448276</v>
      </c>
      <c r="M223" s="701">
        <v>232</v>
      </c>
      <c r="N223" s="702">
        <v>63326.559999999998</v>
      </c>
    </row>
    <row r="224" spans="1:14" ht="14.45" customHeight="1" x14ac:dyDescent="0.2">
      <c r="A224" s="696" t="s">
        <v>537</v>
      </c>
      <c r="B224" s="697" t="s">
        <v>538</v>
      </c>
      <c r="C224" s="698" t="s">
        <v>550</v>
      </c>
      <c r="D224" s="699" t="s">
        <v>551</v>
      </c>
      <c r="E224" s="700">
        <v>50113001</v>
      </c>
      <c r="F224" s="699" t="s">
        <v>555</v>
      </c>
      <c r="G224" s="698" t="s">
        <v>556</v>
      </c>
      <c r="H224" s="698">
        <v>398077</v>
      </c>
      <c r="I224" s="698">
        <v>0</v>
      </c>
      <c r="J224" s="698" t="s">
        <v>950</v>
      </c>
      <c r="K224" s="698" t="s">
        <v>951</v>
      </c>
      <c r="L224" s="701">
        <v>42.55</v>
      </c>
      <c r="M224" s="701">
        <v>130</v>
      </c>
      <c r="N224" s="702">
        <v>5531.5</v>
      </c>
    </row>
    <row r="225" spans="1:14" ht="14.45" customHeight="1" x14ac:dyDescent="0.2">
      <c r="A225" s="696" t="s">
        <v>537</v>
      </c>
      <c r="B225" s="697" t="s">
        <v>538</v>
      </c>
      <c r="C225" s="698" t="s">
        <v>550</v>
      </c>
      <c r="D225" s="699" t="s">
        <v>551</v>
      </c>
      <c r="E225" s="700">
        <v>50113001</v>
      </c>
      <c r="F225" s="699" t="s">
        <v>555</v>
      </c>
      <c r="G225" s="698" t="s">
        <v>556</v>
      </c>
      <c r="H225" s="698">
        <v>397413</v>
      </c>
      <c r="I225" s="698">
        <v>0</v>
      </c>
      <c r="J225" s="698" t="s">
        <v>952</v>
      </c>
      <c r="K225" s="698" t="s">
        <v>953</v>
      </c>
      <c r="L225" s="701">
        <v>195.17526807297881</v>
      </c>
      <c r="M225" s="701">
        <v>10</v>
      </c>
      <c r="N225" s="702">
        <v>1951.7526807297882</v>
      </c>
    </row>
    <row r="226" spans="1:14" ht="14.45" customHeight="1" x14ac:dyDescent="0.2">
      <c r="A226" s="696" t="s">
        <v>537</v>
      </c>
      <c r="B226" s="697" t="s">
        <v>538</v>
      </c>
      <c r="C226" s="698" t="s">
        <v>550</v>
      </c>
      <c r="D226" s="699" t="s">
        <v>551</v>
      </c>
      <c r="E226" s="700">
        <v>50113001</v>
      </c>
      <c r="F226" s="699" t="s">
        <v>555</v>
      </c>
      <c r="G226" s="698" t="s">
        <v>556</v>
      </c>
      <c r="H226" s="698">
        <v>218183</v>
      </c>
      <c r="I226" s="698">
        <v>218183</v>
      </c>
      <c r="J226" s="698" t="s">
        <v>954</v>
      </c>
      <c r="K226" s="698" t="s">
        <v>955</v>
      </c>
      <c r="L226" s="701">
        <v>565.88</v>
      </c>
      <c r="M226" s="701">
        <v>16</v>
      </c>
      <c r="N226" s="702">
        <v>9054.08</v>
      </c>
    </row>
    <row r="227" spans="1:14" ht="14.45" customHeight="1" x14ac:dyDescent="0.2">
      <c r="A227" s="696" t="s">
        <v>537</v>
      </c>
      <c r="B227" s="697" t="s">
        <v>538</v>
      </c>
      <c r="C227" s="698" t="s">
        <v>550</v>
      </c>
      <c r="D227" s="699" t="s">
        <v>551</v>
      </c>
      <c r="E227" s="700">
        <v>50113001</v>
      </c>
      <c r="F227" s="699" t="s">
        <v>555</v>
      </c>
      <c r="G227" s="698" t="s">
        <v>556</v>
      </c>
      <c r="H227" s="698">
        <v>250742</v>
      </c>
      <c r="I227" s="698">
        <v>250742</v>
      </c>
      <c r="J227" s="698" t="s">
        <v>956</v>
      </c>
      <c r="K227" s="698" t="s">
        <v>957</v>
      </c>
      <c r="L227" s="701">
        <v>524.42999999999995</v>
      </c>
      <c r="M227" s="701">
        <v>2</v>
      </c>
      <c r="N227" s="702">
        <v>1048.8599999999999</v>
      </c>
    </row>
    <row r="228" spans="1:14" ht="14.45" customHeight="1" x14ac:dyDescent="0.2">
      <c r="A228" s="696" t="s">
        <v>537</v>
      </c>
      <c r="B228" s="697" t="s">
        <v>538</v>
      </c>
      <c r="C228" s="698" t="s">
        <v>550</v>
      </c>
      <c r="D228" s="699" t="s">
        <v>551</v>
      </c>
      <c r="E228" s="700">
        <v>50113001</v>
      </c>
      <c r="F228" s="699" t="s">
        <v>555</v>
      </c>
      <c r="G228" s="698" t="s">
        <v>571</v>
      </c>
      <c r="H228" s="698">
        <v>162748</v>
      </c>
      <c r="I228" s="698">
        <v>162748</v>
      </c>
      <c r="J228" s="698" t="s">
        <v>958</v>
      </c>
      <c r="K228" s="698" t="s">
        <v>959</v>
      </c>
      <c r="L228" s="701">
        <v>753.9</v>
      </c>
      <c r="M228" s="701">
        <v>3</v>
      </c>
      <c r="N228" s="702">
        <v>2261.6999999999998</v>
      </c>
    </row>
    <row r="229" spans="1:14" ht="14.45" customHeight="1" x14ac:dyDescent="0.2">
      <c r="A229" s="696" t="s">
        <v>537</v>
      </c>
      <c r="B229" s="697" t="s">
        <v>538</v>
      </c>
      <c r="C229" s="698" t="s">
        <v>550</v>
      </c>
      <c r="D229" s="699" t="s">
        <v>551</v>
      </c>
      <c r="E229" s="700">
        <v>50113001</v>
      </c>
      <c r="F229" s="699" t="s">
        <v>555</v>
      </c>
      <c r="G229" s="698" t="s">
        <v>571</v>
      </c>
      <c r="H229" s="698">
        <v>844716</v>
      </c>
      <c r="I229" s="698">
        <v>107676</v>
      </c>
      <c r="J229" s="698" t="s">
        <v>958</v>
      </c>
      <c r="K229" s="698" t="s">
        <v>960</v>
      </c>
      <c r="L229" s="701">
        <v>363.73749999999995</v>
      </c>
      <c r="M229" s="701">
        <v>4</v>
      </c>
      <c r="N229" s="702">
        <v>1454.9499999999998</v>
      </c>
    </row>
    <row r="230" spans="1:14" ht="14.45" customHeight="1" x14ac:dyDescent="0.2">
      <c r="A230" s="696" t="s">
        <v>537</v>
      </c>
      <c r="B230" s="697" t="s">
        <v>538</v>
      </c>
      <c r="C230" s="698" t="s">
        <v>550</v>
      </c>
      <c r="D230" s="699" t="s">
        <v>551</v>
      </c>
      <c r="E230" s="700">
        <v>50113001</v>
      </c>
      <c r="F230" s="699" t="s">
        <v>555</v>
      </c>
      <c r="G230" s="698" t="s">
        <v>556</v>
      </c>
      <c r="H230" s="698">
        <v>502387</v>
      </c>
      <c r="I230" s="698">
        <v>999999</v>
      </c>
      <c r="J230" s="698" t="s">
        <v>961</v>
      </c>
      <c r="K230" s="698" t="s">
        <v>960</v>
      </c>
      <c r="L230" s="701">
        <v>352</v>
      </c>
      <c r="M230" s="701">
        <v>1</v>
      </c>
      <c r="N230" s="702">
        <v>352</v>
      </c>
    </row>
    <row r="231" spans="1:14" ht="14.45" customHeight="1" x14ac:dyDescent="0.2">
      <c r="A231" s="696" t="s">
        <v>537</v>
      </c>
      <c r="B231" s="697" t="s">
        <v>538</v>
      </c>
      <c r="C231" s="698" t="s">
        <v>550</v>
      </c>
      <c r="D231" s="699" t="s">
        <v>551</v>
      </c>
      <c r="E231" s="700">
        <v>50113001</v>
      </c>
      <c r="F231" s="699" t="s">
        <v>555</v>
      </c>
      <c r="G231" s="698" t="s">
        <v>556</v>
      </c>
      <c r="H231" s="698">
        <v>233478</v>
      </c>
      <c r="I231" s="698">
        <v>233478</v>
      </c>
      <c r="J231" s="698" t="s">
        <v>962</v>
      </c>
      <c r="K231" s="698" t="s">
        <v>963</v>
      </c>
      <c r="L231" s="701">
        <v>110.60999999999997</v>
      </c>
      <c r="M231" s="701">
        <v>1</v>
      </c>
      <c r="N231" s="702">
        <v>110.60999999999997</v>
      </c>
    </row>
    <row r="232" spans="1:14" ht="14.45" customHeight="1" x14ac:dyDescent="0.2">
      <c r="A232" s="696" t="s">
        <v>537</v>
      </c>
      <c r="B232" s="697" t="s">
        <v>538</v>
      </c>
      <c r="C232" s="698" t="s">
        <v>550</v>
      </c>
      <c r="D232" s="699" t="s">
        <v>551</v>
      </c>
      <c r="E232" s="700">
        <v>50113001</v>
      </c>
      <c r="F232" s="699" t="s">
        <v>555</v>
      </c>
      <c r="G232" s="698" t="s">
        <v>571</v>
      </c>
      <c r="H232" s="698">
        <v>178686</v>
      </c>
      <c r="I232" s="698">
        <v>178686</v>
      </c>
      <c r="J232" s="698" t="s">
        <v>964</v>
      </c>
      <c r="K232" s="698" t="s">
        <v>965</v>
      </c>
      <c r="L232" s="701">
        <v>84.59</v>
      </c>
      <c r="M232" s="701">
        <v>1</v>
      </c>
      <c r="N232" s="702">
        <v>84.59</v>
      </c>
    </row>
    <row r="233" spans="1:14" ht="14.45" customHeight="1" x14ac:dyDescent="0.2">
      <c r="A233" s="696" t="s">
        <v>537</v>
      </c>
      <c r="B233" s="697" t="s">
        <v>538</v>
      </c>
      <c r="C233" s="698" t="s">
        <v>550</v>
      </c>
      <c r="D233" s="699" t="s">
        <v>551</v>
      </c>
      <c r="E233" s="700">
        <v>50113001</v>
      </c>
      <c r="F233" s="699" t="s">
        <v>555</v>
      </c>
      <c r="G233" s="698" t="s">
        <v>571</v>
      </c>
      <c r="H233" s="698">
        <v>178682</v>
      </c>
      <c r="I233" s="698">
        <v>178682</v>
      </c>
      <c r="J233" s="698" t="s">
        <v>966</v>
      </c>
      <c r="K233" s="698" t="s">
        <v>967</v>
      </c>
      <c r="L233" s="701">
        <v>43.70000000000001</v>
      </c>
      <c r="M233" s="701">
        <v>1</v>
      </c>
      <c r="N233" s="702">
        <v>43.70000000000001</v>
      </c>
    </row>
    <row r="234" spans="1:14" ht="14.45" customHeight="1" x14ac:dyDescent="0.2">
      <c r="A234" s="696" t="s">
        <v>537</v>
      </c>
      <c r="B234" s="697" t="s">
        <v>538</v>
      </c>
      <c r="C234" s="698" t="s">
        <v>550</v>
      </c>
      <c r="D234" s="699" t="s">
        <v>551</v>
      </c>
      <c r="E234" s="700">
        <v>50113001</v>
      </c>
      <c r="F234" s="699" t="s">
        <v>555</v>
      </c>
      <c r="G234" s="698" t="s">
        <v>556</v>
      </c>
      <c r="H234" s="698">
        <v>117189</v>
      </c>
      <c r="I234" s="698">
        <v>17189</v>
      </c>
      <c r="J234" s="698" t="s">
        <v>968</v>
      </c>
      <c r="K234" s="698" t="s">
        <v>969</v>
      </c>
      <c r="L234" s="701">
        <v>72.620000000000019</v>
      </c>
      <c r="M234" s="701">
        <v>1</v>
      </c>
      <c r="N234" s="702">
        <v>72.620000000000019</v>
      </c>
    </row>
    <row r="235" spans="1:14" ht="14.45" customHeight="1" x14ac:dyDescent="0.2">
      <c r="A235" s="696" t="s">
        <v>537</v>
      </c>
      <c r="B235" s="697" t="s">
        <v>538</v>
      </c>
      <c r="C235" s="698" t="s">
        <v>550</v>
      </c>
      <c r="D235" s="699" t="s">
        <v>551</v>
      </c>
      <c r="E235" s="700">
        <v>50113001</v>
      </c>
      <c r="F235" s="699" t="s">
        <v>555</v>
      </c>
      <c r="G235" s="698" t="s">
        <v>556</v>
      </c>
      <c r="H235" s="698">
        <v>848725</v>
      </c>
      <c r="I235" s="698">
        <v>107677</v>
      </c>
      <c r="J235" s="698" t="s">
        <v>970</v>
      </c>
      <c r="K235" s="698" t="s">
        <v>971</v>
      </c>
      <c r="L235" s="701">
        <v>462.85782608695672</v>
      </c>
      <c r="M235" s="701">
        <v>115</v>
      </c>
      <c r="N235" s="702">
        <v>53228.650000000023</v>
      </c>
    </row>
    <row r="236" spans="1:14" ht="14.45" customHeight="1" x14ac:dyDescent="0.2">
      <c r="A236" s="696" t="s">
        <v>537</v>
      </c>
      <c r="B236" s="697" t="s">
        <v>538</v>
      </c>
      <c r="C236" s="698" t="s">
        <v>550</v>
      </c>
      <c r="D236" s="699" t="s">
        <v>551</v>
      </c>
      <c r="E236" s="700">
        <v>50113001</v>
      </c>
      <c r="F236" s="699" t="s">
        <v>555</v>
      </c>
      <c r="G236" s="698" t="s">
        <v>556</v>
      </c>
      <c r="H236" s="698">
        <v>100489</v>
      </c>
      <c r="I236" s="698">
        <v>489</v>
      </c>
      <c r="J236" s="698" t="s">
        <v>972</v>
      </c>
      <c r="K236" s="698" t="s">
        <v>973</v>
      </c>
      <c r="L236" s="701">
        <v>47.14</v>
      </c>
      <c r="M236" s="701">
        <v>80</v>
      </c>
      <c r="N236" s="702">
        <v>3771.2</v>
      </c>
    </row>
    <row r="237" spans="1:14" ht="14.45" customHeight="1" x14ac:dyDescent="0.2">
      <c r="A237" s="696" t="s">
        <v>537</v>
      </c>
      <c r="B237" s="697" t="s">
        <v>538</v>
      </c>
      <c r="C237" s="698" t="s">
        <v>550</v>
      </c>
      <c r="D237" s="699" t="s">
        <v>551</v>
      </c>
      <c r="E237" s="700">
        <v>50113001</v>
      </c>
      <c r="F237" s="699" t="s">
        <v>555</v>
      </c>
      <c r="G237" s="698" t="s">
        <v>556</v>
      </c>
      <c r="H237" s="698">
        <v>230426</v>
      </c>
      <c r="I237" s="698">
        <v>230426</v>
      </c>
      <c r="J237" s="698" t="s">
        <v>972</v>
      </c>
      <c r="K237" s="698" t="s">
        <v>974</v>
      </c>
      <c r="L237" s="701">
        <v>77.87</v>
      </c>
      <c r="M237" s="701">
        <v>2</v>
      </c>
      <c r="N237" s="702">
        <v>155.74</v>
      </c>
    </row>
    <row r="238" spans="1:14" ht="14.45" customHeight="1" x14ac:dyDescent="0.2">
      <c r="A238" s="696" t="s">
        <v>537</v>
      </c>
      <c r="B238" s="697" t="s">
        <v>538</v>
      </c>
      <c r="C238" s="698" t="s">
        <v>550</v>
      </c>
      <c r="D238" s="699" t="s">
        <v>551</v>
      </c>
      <c r="E238" s="700">
        <v>50113001</v>
      </c>
      <c r="F238" s="699" t="s">
        <v>555</v>
      </c>
      <c r="G238" s="698" t="s">
        <v>556</v>
      </c>
      <c r="H238" s="698">
        <v>29938</v>
      </c>
      <c r="I238" s="698">
        <v>29938</v>
      </c>
      <c r="J238" s="698" t="s">
        <v>975</v>
      </c>
      <c r="K238" s="698" t="s">
        <v>976</v>
      </c>
      <c r="L238" s="701">
        <v>2057.2799999999997</v>
      </c>
      <c r="M238" s="701">
        <v>1</v>
      </c>
      <c r="N238" s="702">
        <v>2057.2799999999997</v>
      </c>
    </row>
    <row r="239" spans="1:14" ht="14.45" customHeight="1" x14ac:dyDescent="0.2">
      <c r="A239" s="696" t="s">
        <v>537</v>
      </c>
      <c r="B239" s="697" t="s">
        <v>538</v>
      </c>
      <c r="C239" s="698" t="s">
        <v>550</v>
      </c>
      <c r="D239" s="699" t="s">
        <v>551</v>
      </c>
      <c r="E239" s="700">
        <v>50113001</v>
      </c>
      <c r="F239" s="699" t="s">
        <v>555</v>
      </c>
      <c r="G239" s="698" t="s">
        <v>571</v>
      </c>
      <c r="H239" s="698">
        <v>237595</v>
      </c>
      <c r="I239" s="698">
        <v>237595</v>
      </c>
      <c r="J239" s="698" t="s">
        <v>977</v>
      </c>
      <c r="K239" s="698" t="s">
        <v>978</v>
      </c>
      <c r="L239" s="701">
        <v>122.11000000000001</v>
      </c>
      <c r="M239" s="701">
        <v>2</v>
      </c>
      <c r="N239" s="702">
        <v>244.22000000000003</v>
      </c>
    </row>
    <row r="240" spans="1:14" ht="14.45" customHeight="1" x14ac:dyDescent="0.2">
      <c r="A240" s="696" t="s">
        <v>537</v>
      </c>
      <c r="B240" s="697" t="s">
        <v>538</v>
      </c>
      <c r="C240" s="698" t="s">
        <v>550</v>
      </c>
      <c r="D240" s="699" t="s">
        <v>551</v>
      </c>
      <c r="E240" s="700">
        <v>50113001</v>
      </c>
      <c r="F240" s="699" t="s">
        <v>555</v>
      </c>
      <c r="G240" s="698" t="s">
        <v>556</v>
      </c>
      <c r="H240" s="698">
        <v>930224</v>
      </c>
      <c r="I240" s="698">
        <v>0</v>
      </c>
      <c r="J240" s="698" t="s">
        <v>979</v>
      </c>
      <c r="K240" s="698" t="s">
        <v>306</v>
      </c>
      <c r="L240" s="701">
        <v>247.74354664017213</v>
      </c>
      <c r="M240" s="701">
        <v>1</v>
      </c>
      <c r="N240" s="702">
        <v>247.74354664017213</v>
      </c>
    </row>
    <row r="241" spans="1:14" ht="14.45" customHeight="1" x14ac:dyDescent="0.2">
      <c r="A241" s="696" t="s">
        <v>537</v>
      </c>
      <c r="B241" s="697" t="s">
        <v>538</v>
      </c>
      <c r="C241" s="698" t="s">
        <v>550</v>
      </c>
      <c r="D241" s="699" t="s">
        <v>551</v>
      </c>
      <c r="E241" s="700">
        <v>50113001</v>
      </c>
      <c r="F241" s="699" t="s">
        <v>555</v>
      </c>
      <c r="G241" s="698" t="s">
        <v>556</v>
      </c>
      <c r="H241" s="698">
        <v>911927</v>
      </c>
      <c r="I241" s="698">
        <v>0</v>
      </c>
      <c r="J241" s="698" t="s">
        <v>980</v>
      </c>
      <c r="K241" s="698" t="s">
        <v>306</v>
      </c>
      <c r="L241" s="701">
        <v>78.19364650006186</v>
      </c>
      <c r="M241" s="701">
        <v>1</v>
      </c>
      <c r="N241" s="702">
        <v>78.19364650006186</v>
      </c>
    </row>
    <row r="242" spans="1:14" ht="14.45" customHeight="1" x14ac:dyDescent="0.2">
      <c r="A242" s="696" t="s">
        <v>537</v>
      </c>
      <c r="B242" s="697" t="s">
        <v>538</v>
      </c>
      <c r="C242" s="698" t="s">
        <v>550</v>
      </c>
      <c r="D242" s="699" t="s">
        <v>551</v>
      </c>
      <c r="E242" s="700">
        <v>50113001</v>
      </c>
      <c r="F242" s="699" t="s">
        <v>555</v>
      </c>
      <c r="G242" s="698" t="s">
        <v>556</v>
      </c>
      <c r="H242" s="698">
        <v>900513</v>
      </c>
      <c r="I242" s="698">
        <v>0</v>
      </c>
      <c r="J242" s="698" t="s">
        <v>981</v>
      </c>
      <c r="K242" s="698" t="s">
        <v>306</v>
      </c>
      <c r="L242" s="701">
        <v>87.766995527494089</v>
      </c>
      <c r="M242" s="701">
        <v>1</v>
      </c>
      <c r="N242" s="702">
        <v>87.766995527494089</v>
      </c>
    </row>
    <row r="243" spans="1:14" ht="14.45" customHeight="1" x14ac:dyDescent="0.2">
      <c r="A243" s="696" t="s">
        <v>537</v>
      </c>
      <c r="B243" s="697" t="s">
        <v>538</v>
      </c>
      <c r="C243" s="698" t="s">
        <v>550</v>
      </c>
      <c r="D243" s="699" t="s">
        <v>551</v>
      </c>
      <c r="E243" s="700">
        <v>50113001</v>
      </c>
      <c r="F243" s="699" t="s">
        <v>555</v>
      </c>
      <c r="G243" s="698" t="s">
        <v>556</v>
      </c>
      <c r="H243" s="698">
        <v>397238</v>
      </c>
      <c r="I243" s="698">
        <v>0</v>
      </c>
      <c r="J243" s="698" t="s">
        <v>982</v>
      </c>
      <c r="K243" s="698" t="s">
        <v>306</v>
      </c>
      <c r="L243" s="701">
        <v>142.8425103010905</v>
      </c>
      <c r="M243" s="701">
        <v>2</v>
      </c>
      <c r="N243" s="702">
        <v>285.685020602181</v>
      </c>
    </row>
    <row r="244" spans="1:14" ht="14.45" customHeight="1" x14ac:dyDescent="0.2">
      <c r="A244" s="696" t="s">
        <v>537</v>
      </c>
      <c r="B244" s="697" t="s">
        <v>538</v>
      </c>
      <c r="C244" s="698" t="s">
        <v>550</v>
      </c>
      <c r="D244" s="699" t="s">
        <v>551</v>
      </c>
      <c r="E244" s="700">
        <v>50113001</v>
      </c>
      <c r="F244" s="699" t="s">
        <v>555</v>
      </c>
      <c r="G244" s="698" t="s">
        <v>556</v>
      </c>
      <c r="H244" s="698">
        <v>930589</v>
      </c>
      <c r="I244" s="698">
        <v>0</v>
      </c>
      <c r="J244" s="698" t="s">
        <v>983</v>
      </c>
      <c r="K244" s="698" t="s">
        <v>306</v>
      </c>
      <c r="L244" s="701">
        <v>228.8177835149796</v>
      </c>
      <c r="M244" s="701">
        <v>1</v>
      </c>
      <c r="N244" s="702">
        <v>228.8177835149796</v>
      </c>
    </row>
    <row r="245" spans="1:14" ht="14.45" customHeight="1" x14ac:dyDescent="0.2">
      <c r="A245" s="696" t="s">
        <v>537</v>
      </c>
      <c r="B245" s="697" t="s">
        <v>538</v>
      </c>
      <c r="C245" s="698" t="s">
        <v>550</v>
      </c>
      <c r="D245" s="699" t="s">
        <v>551</v>
      </c>
      <c r="E245" s="700">
        <v>50113001</v>
      </c>
      <c r="F245" s="699" t="s">
        <v>555</v>
      </c>
      <c r="G245" s="698" t="s">
        <v>556</v>
      </c>
      <c r="H245" s="698">
        <v>921458</v>
      </c>
      <c r="I245" s="698">
        <v>0</v>
      </c>
      <c r="J245" s="698" t="s">
        <v>984</v>
      </c>
      <c r="K245" s="698" t="s">
        <v>306</v>
      </c>
      <c r="L245" s="701">
        <v>208.30032943252718</v>
      </c>
      <c r="M245" s="701">
        <v>12</v>
      </c>
      <c r="N245" s="702">
        <v>2499.6039531903261</v>
      </c>
    </row>
    <row r="246" spans="1:14" ht="14.45" customHeight="1" x14ac:dyDescent="0.2">
      <c r="A246" s="696" t="s">
        <v>537</v>
      </c>
      <c r="B246" s="697" t="s">
        <v>538</v>
      </c>
      <c r="C246" s="698" t="s">
        <v>550</v>
      </c>
      <c r="D246" s="699" t="s">
        <v>551</v>
      </c>
      <c r="E246" s="700">
        <v>50113001</v>
      </c>
      <c r="F246" s="699" t="s">
        <v>555</v>
      </c>
      <c r="G246" s="698" t="s">
        <v>556</v>
      </c>
      <c r="H246" s="698">
        <v>900441</v>
      </c>
      <c r="I246" s="698">
        <v>0</v>
      </c>
      <c r="J246" s="698" t="s">
        <v>985</v>
      </c>
      <c r="K246" s="698" t="s">
        <v>986</v>
      </c>
      <c r="L246" s="701">
        <v>443.71097792134998</v>
      </c>
      <c r="M246" s="701">
        <v>2</v>
      </c>
      <c r="N246" s="702">
        <v>887.42195584269996</v>
      </c>
    </row>
    <row r="247" spans="1:14" ht="14.45" customHeight="1" x14ac:dyDescent="0.2">
      <c r="A247" s="696" t="s">
        <v>537</v>
      </c>
      <c r="B247" s="697" t="s">
        <v>538</v>
      </c>
      <c r="C247" s="698" t="s">
        <v>550</v>
      </c>
      <c r="D247" s="699" t="s">
        <v>551</v>
      </c>
      <c r="E247" s="700">
        <v>50113001</v>
      </c>
      <c r="F247" s="699" t="s">
        <v>555</v>
      </c>
      <c r="G247" s="698" t="s">
        <v>556</v>
      </c>
      <c r="H247" s="698">
        <v>900539</v>
      </c>
      <c r="I247" s="698">
        <v>0</v>
      </c>
      <c r="J247" s="698" t="s">
        <v>987</v>
      </c>
      <c r="K247" s="698" t="s">
        <v>306</v>
      </c>
      <c r="L247" s="701">
        <v>146.48793907097215</v>
      </c>
      <c r="M247" s="701">
        <v>200</v>
      </c>
      <c r="N247" s="702">
        <v>29297.587814194427</v>
      </c>
    </row>
    <row r="248" spans="1:14" ht="14.45" customHeight="1" x14ac:dyDescent="0.2">
      <c r="A248" s="696" t="s">
        <v>537</v>
      </c>
      <c r="B248" s="697" t="s">
        <v>538</v>
      </c>
      <c r="C248" s="698" t="s">
        <v>550</v>
      </c>
      <c r="D248" s="699" t="s">
        <v>551</v>
      </c>
      <c r="E248" s="700">
        <v>50113001</v>
      </c>
      <c r="F248" s="699" t="s">
        <v>555</v>
      </c>
      <c r="G248" s="698" t="s">
        <v>556</v>
      </c>
      <c r="H248" s="698">
        <v>921231</v>
      </c>
      <c r="I248" s="698">
        <v>0</v>
      </c>
      <c r="J248" s="698" t="s">
        <v>988</v>
      </c>
      <c r="K248" s="698" t="s">
        <v>306</v>
      </c>
      <c r="L248" s="701">
        <v>69.900180620821345</v>
      </c>
      <c r="M248" s="701">
        <v>270</v>
      </c>
      <c r="N248" s="702">
        <v>18873.048767621764</v>
      </c>
    </row>
    <row r="249" spans="1:14" ht="14.45" customHeight="1" x14ac:dyDescent="0.2">
      <c r="A249" s="696" t="s">
        <v>537</v>
      </c>
      <c r="B249" s="697" t="s">
        <v>538</v>
      </c>
      <c r="C249" s="698" t="s">
        <v>550</v>
      </c>
      <c r="D249" s="699" t="s">
        <v>551</v>
      </c>
      <c r="E249" s="700">
        <v>50113001</v>
      </c>
      <c r="F249" s="699" t="s">
        <v>555</v>
      </c>
      <c r="G249" s="698" t="s">
        <v>556</v>
      </c>
      <c r="H249" s="698">
        <v>501736</v>
      </c>
      <c r="I249" s="698">
        <v>0</v>
      </c>
      <c r="J249" s="698" t="s">
        <v>989</v>
      </c>
      <c r="K249" s="698" t="s">
        <v>306</v>
      </c>
      <c r="L249" s="701">
        <v>202.10587110160506</v>
      </c>
      <c r="M249" s="701">
        <v>110</v>
      </c>
      <c r="N249" s="702">
        <v>22231.645821176557</v>
      </c>
    </row>
    <row r="250" spans="1:14" ht="14.45" customHeight="1" x14ac:dyDescent="0.2">
      <c r="A250" s="696" t="s">
        <v>537</v>
      </c>
      <c r="B250" s="697" t="s">
        <v>538</v>
      </c>
      <c r="C250" s="698" t="s">
        <v>550</v>
      </c>
      <c r="D250" s="699" t="s">
        <v>551</v>
      </c>
      <c r="E250" s="700">
        <v>50113001</v>
      </c>
      <c r="F250" s="699" t="s">
        <v>555</v>
      </c>
      <c r="G250" s="698" t="s">
        <v>556</v>
      </c>
      <c r="H250" s="698">
        <v>500979</v>
      </c>
      <c r="I250" s="698">
        <v>0</v>
      </c>
      <c r="J250" s="698" t="s">
        <v>990</v>
      </c>
      <c r="K250" s="698" t="s">
        <v>306</v>
      </c>
      <c r="L250" s="701">
        <v>112.9935120438809</v>
      </c>
      <c r="M250" s="701">
        <v>3</v>
      </c>
      <c r="N250" s="702">
        <v>338.98053613164268</v>
      </c>
    </row>
    <row r="251" spans="1:14" ht="14.45" customHeight="1" x14ac:dyDescent="0.2">
      <c r="A251" s="696" t="s">
        <v>537</v>
      </c>
      <c r="B251" s="697" t="s">
        <v>538</v>
      </c>
      <c r="C251" s="698" t="s">
        <v>550</v>
      </c>
      <c r="D251" s="699" t="s">
        <v>551</v>
      </c>
      <c r="E251" s="700">
        <v>50113001</v>
      </c>
      <c r="F251" s="699" t="s">
        <v>555</v>
      </c>
      <c r="G251" s="698" t="s">
        <v>556</v>
      </c>
      <c r="H251" s="698">
        <v>930078</v>
      </c>
      <c r="I251" s="698">
        <v>0</v>
      </c>
      <c r="J251" s="698" t="s">
        <v>991</v>
      </c>
      <c r="K251" s="698" t="s">
        <v>306</v>
      </c>
      <c r="L251" s="701">
        <v>133.01954174825943</v>
      </c>
      <c r="M251" s="701">
        <v>47</v>
      </c>
      <c r="N251" s="702">
        <v>6251.9184621681925</v>
      </c>
    </row>
    <row r="252" spans="1:14" ht="14.45" customHeight="1" x14ac:dyDescent="0.2">
      <c r="A252" s="696" t="s">
        <v>537</v>
      </c>
      <c r="B252" s="697" t="s">
        <v>538</v>
      </c>
      <c r="C252" s="698" t="s">
        <v>550</v>
      </c>
      <c r="D252" s="699" t="s">
        <v>551</v>
      </c>
      <c r="E252" s="700">
        <v>50113001</v>
      </c>
      <c r="F252" s="699" t="s">
        <v>555</v>
      </c>
      <c r="G252" s="698" t="s">
        <v>556</v>
      </c>
      <c r="H252" s="698">
        <v>921117</v>
      </c>
      <c r="I252" s="698">
        <v>0</v>
      </c>
      <c r="J252" s="698" t="s">
        <v>992</v>
      </c>
      <c r="K252" s="698" t="s">
        <v>306</v>
      </c>
      <c r="L252" s="701">
        <v>76.722252880972633</v>
      </c>
      <c r="M252" s="701">
        <v>76</v>
      </c>
      <c r="N252" s="702">
        <v>5830.8912189539196</v>
      </c>
    </row>
    <row r="253" spans="1:14" ht="14.45" customHeight="1" x14ac:dyDescent="0.2">
      <c r="A253" s="696" t="s">
        <v>537</v>
      </c>
      <c r="B253" s="697" t="s">
        <v>538</v>
      </c>
      <c r="C253" s="698" t="s">
        <v>550</v>
      </c>
      <c r="D253" s="699" t="s">
        <v>551</v>
      </c>
      <c r="E253" s="700">
        <v>50113001</v>
      </c>
      <c r="F253" s="699" t="s">
        <v>555</v>
      </c>
      <c r="G253" s="698" t="s">
        <v>556</v>
      </c>
      <c r="H253" s="698">
        <v>501065</v>
      </c>
      <c r="I253" s="698">
        <v>0</v>
      </c>
      <c r="J253" s="698" t="s">
        <v>993</v>
      </c>
      <c r="K253" s="698" t="s">
        <v>306</v>
      </c>
      <c r="L253" s="701">
        <v>238.32132593810371</v>
      </c>
      <c r="M253" s="701">
        <v>2</v>
      </c>
      <c r="N253" s="702">
        <v>476.64265187620742</v>
      </c>
    </row>
    <row r="254" spans="1:14" ht="14.45" customHeight="1" x14ac:dyDescent="0.2">
      <c r="A254" s="696" t="s">
        <v>537</v>
      </c>
      <c r="B254" s="697" t="s">
        <v>538</v>
      </c>
      <c r="C254" s="698" t="s">
        <v>550</v>
      </c>
      <c r="D254" s="699" t="s">
        <v>551</v>
      </c>
      <c r="E254" s="700">
        <v>50113001</v>
      </c>
      <c r="F254" s="699" t="s">
        <v>555</v>
      </c>
      <c r="G254" s="698" t="s">
        <v>556</v>
      </c>
      <c r="H254" s="698">
        <v>840522</v>
      </c>
      <c r="I254" s="698">
        <v>0</v>
      </c>
      <c r="J254" s="698" t="s">
        <v>994</v>
      </c>
      <c r="K254" s="698" t="s">
        <v>306</v>
      </c>
      <c r="L254" s="701">
        <v>676.56674754498079</v>
      </c>
      <c r="M254" s="701">
        <v>3</v>
      </c>
      <c r="N254" s="702">
        <v>2029.7002426349425</v>
      </c>
    </row>
    <row r="255" spans="1:14" ht="14.45" customHeight="1" x14ac:dyDescent="0.2">
      <c r="A255" s="696" t="s">
        <v>537</v>
      </c>
      <c r="B255" s="697" t="s">
        <v>538</v>
      </c>
      <c r="C255" s="698" t="s">
        <v>550</v>
      </c>
      <c r="D255" s="699" t="s">
        <v>551</v>
      </c>
      <c r="E255" s="700">
        <v>50113001</v>
      </c>
      <c r="F255" s="699" t="s">
        <v>555</v>
      </c>
      <c r="G255" s="698" t="s">
        <v>556</v>
      </c>
      <c r="H255" s="698">
        <v>900007</v>
      </c>
      <c r="I255" s="698">
        <v>0</v>
      </c>
      <c r="J255" s="698" t="s">
        <v>995</v>
      </c>
      <c r="K255" s="698" t="s">
        <v>306</v>
      </c>
      <c r="L255" s="701">
        <v>98.856675001524764</v>
      </c>
      <c r="M255" s="701">
        <v>3</v>
      </c>
      <c r="N255" s="702">
        <v>296.57002500457429</v>
      </c>
    </row>
    <row r="256" spans="1:14" ht="14.45" customHeight="1" x14ac:dyDescent="0.2">
      <c r="A256" s="696" t="s">
        <v>537</v>
      </c>
      <c r="B256" s="697" t="s">
        <v>538</v>
      </c>
      <c r="C256" s="698" t="s">
        <v>550</v>
      </c>
      <c r="D256" s="699" t="s">
        <v>551</v>
      </c>
      <c r="E256" s="700">
        <v>50113001</v>
      </c>
      <c r="F256" s="699" t="s">
        <v>555</v>
      </c>
      <c r="G256" s="698" t="s">
        <v>556</v>
      </c>
      <c r="H256" s="698">
        <v>900012</v>
      </c>
      <c r="I256" s="698">
        <v>0</v>
      </c>
      <c r="J256" s="698" t="s">
        <v>996</v>
      </c>
      <c r="K256" s="698" t="s">
        <v>306</v>
      </c>
      <c r="L256" s="701">
        <v>97.163875232093218</v>
      </c>
      <c r="M256" s="701">
        <v>3</v>
      </c>
      <c r="N256" s="702">
        <v>291.49162569627964</v>
      </c>
    </row>
    <row r="257" spans="1:14" ht="14.45" customHeight="1" x14ac:dyDescent="0.2">
      <c r="A257" s="696" t="s">
        <v>537</v>
      </c>
      <c r="B257" s="697" t="s">
        <v>538</v>
      </c>
      <c r="C257" s="698" t="s">
        <v>550</v>
      </c>
      <c r="D257" s="699" t="s">
        <v>551</v>
      </c>
      <c r="E257" s="700">
        <v>50113001</v>
      </c>
      <c r="F257" s="699" t="s">
        <v>555</v>
      </c>
      <c r="G257" s="698" t="s">
        <v>556</v>
      </c>
      <c r="H257" s="698">
        <v>921048</v>
      </c>
      <c r="I257" s="698">
        <v>0</v>
      </c>
      <c r="J257" s="698" t="s">
        <v>997</v>
      </c>
      <c r="K257" s="698" t="s">
        <v>306</v>
      </c>
      <c r="L257" s="701">
        <v>88.227999916724059</v>
      </c>
      <c r="M257" s="701">
        <v>9</v>
      </c>
      <c r="N257" s="702">
        <v>794.05199925051647</v>
      </c>
    </row>
    <row r="258" spans="1:14" ht="14.45" customHeight="1" x14ac:dyDescent="0.2">
      <c r="A258" s="696" t="s">
        <v>537</v>
      </c>
      <c r="B258" s="697" t="s">
        <v>538</v>
      </c>
      <c r="C258" s="698" t="s">
        <v>550</v>
      </c>
      <c r="D258" s="699" t="s">
        <v>551</v>
      </c>
      <c r="E258" s="700">
        <v>50113001</v>
      </c>
      <c r="F258" s="699" t="s">
        <v>555</v>
      </c>
      <c r="G258" s="698" t="s">
        <v>556</v>
      </c>
      <c r="H258" s="698">
        <v>920377</v>
      </c>
      <c r="I258" s="698">
        <v>0</v>
      </c>
      <c r="J258" s="698" t="s">
        <v>998</v>
      </c>
      <c r="K258" s="698" t="s">
        <v>306</v>
      </c>
      <c r="L258" s="701">
        <v>177.1957442399644</v>
      </c>
      <c r="M258" s="701">
        <v>3</v>
      </c>
      <c r="N258" s="702">
        <v>531.58723271989322</v>
      </c>
    </row>
    <row r="259" spans="1:14" ht="14.45" customHeight="1" x14ac:dyDescent="0.2">
      <c r="A259" s="696" t="s">
        <v>537</v>
      </c>
      <c r="B259" s="697" t="s">
        <v>538</v>
      </c>
      <c r="C259" s="698" t="s">
        <v>550</v>
      </c>
      <c r="D259" s="699" t="s">
        <v>551</v>
      </c>
      <c r="E259" s="700">
        <v>50113001</v>
      </c>
      <c r="F259" s="699" t="s">
        <v>555</v>
      </c>
      <c r="G259" s="698" t="s">
        <v>556</v>
      </c>
      <c r="H259" s="698">
        <v>921134</v>
      </c>
      <c r="I259" s="698">
        <v>0</v>
      </c>
      <c r="J259" s="698" t="s">
        <v>999</v>
      </c>
      <c r="K259" s="698" t="s">
        <v>306</v>
      </c>
      <c r="L259" s="701">
        <v>135.06059784981349</v>
      </c>
      <c r="M259" s="701">
        <v>10</v>
      </c>
      <c r="N259" s="702">
        <v>1350.6059784981348</v>
      </c>
    </row>
    <row r="260" spans="1:14" ht="14.45" customHeight="1" x14ac:dyDescent="0.2">
      <c r="A260" s="696" t="s">
        <v>537</v>
      </c>
      <c r="B260" s="697" t="s">
        <v>538</v>
      </c>
      <c r="C260" s="698" t="s">
        <v>550</v>
      </c>
      <c r="D260" s="699" t="s">
        <v>551</v>
      </c>
      <c r="E260" s="700">
        <v>50113001</v>
      </c>
      <c r="F260" s="699" t="s">
        <v>555</v>
      </c>
      <c r="G260" s="698" t="s">
        <v>556</v>
      </c>
      <c r="H260" s="698">
        <v>500258</v>
      </c>
      <c r="I260" s="698">
        <v>0</v>
      </c>
      <c r="J260" s="698" t="s">
        <v>1000</v>
      </c>
      <c r="K260" s="698" t="s">
        <v>1001</v>
      </c>
      <c r="L260" s="701">
        <v>454.89507055084033</v>
      </c>
      <c r="M260" s="701">
        <v>6</v>
      </c>
      <c r="N260" s="702">
        <v>2729.3704233050421</v>
      </c>
    </row>
    <row r="261" spans="1:14" ht="14.45" customHeight="1" x14ac:dyDescent="0.2">
      <c r="A261" s="696" t="s">
        <v>537</v>
      </c>
      <c r="B261" s="697" t="s">
        <v>538</v>
      </c>
      <c r="C261" s="698" t="s">
        <v>550</v>
      </c>
      <c r="D261" s="699" t="s">
        <v>551</v>
      </c>
      <c r="E261" s="700">
        <v>50113001</v>
      </c>
      <c r="F261" s="699" t="s">
        <v>555</v>
      </c>
      <c r="G261" s="698" t="s">
        <v>556</v>
      </c>
      <c r="H261" s="698">
        <v>921135</v>
      </c>
      <c r="I261" s="698">
        <v>0</v>
      </c>
      <c r="J261" s="698" t="s">
        <v>1002</v>
      </c>
      <c r="K261" s="698" t="s">
        <v>1003</v>
      </c>
      <c r="L261" s="701">
        <v>130.31787925965563</v>
      </c>
      <c r="M261" s="701">
        <v>40</v>
      </c>
      <c r="N261" s="702">
        <v>5212.7151703862255</v>
      </c>
    </row>
    <row r="262" spans="1:14" ht="14.45" customHeight="1" x14ac:dyDescent="0.2">
      <c r="A262" s="696" t="s">
        <v>537</v>
      </c>
      <c r="B262" s="697" t="s">
        <v>538</v>
      </c>
      <c r="C262" s="698" t="s">
        <v>550</v>
      </c>
      <c r="D262" s="699" t="s">
        <v>551</v>
      </c>
      <c r="E262" s="700">
        <v>50113001</v>
      </c>
      <c r="F262" s="699" t="s">
        <v>555</v>
      </c>
      <c r="G262" s="698" t="s">
        <v>556</v>
      </c>
      <c r="H262" s="698">
        <v>921412</v>
      </c>
      <c r="I262" s="698">
        <v>0</v>
      </c>
      <c r="J262" s="698" t="s">
        <v>1004</v>
      </c>
      <c r="K262" s="698" t="s">
        <v>306</v>
      </c>
      <c r="L262" s="701">
        <v>57.578015761685322</v>
      </c>
      <c r="M262" s="701">
        <v>10</v>
      </c>
      <c r="N262" s="702">
        <v>575.78015761685322</v>
      </c>
    </row>
    <row r="263" spans="1:14" ht="14.45" customHeight="1" x14ac:dyDescent="0.2">
      <c r="A263" s="696" t="s">
        <v>537</v>
      </c>
      <c r="B263" s="697" t="s">
        <v>538</v>
      </c>
      <c r="C263" s="698" t="s">
        <v>550</v>
      </c>
      <c r="D263" s="699" t="s">
        <v>551</v>
      </c>
      <c r="E263" s="700">
        <v>50113001</v>
      </c>
      <c r="F263" s="699" t="s">
        <v>555</v>
      </c>
      <c r="G263" s="698" t="s">
        <v>556</v>
      </c>
      <c r="H263" s="698">
        <v>921230</v>
      </c>
      <c r="I263" s="698">
        <v>0</v>
      </c>
      <c r="J263" s="698" t="s">
        <v>1005</v>
      </c>
      <c r="K263" s="698" t="s">
        <v>306</v>
      </c>
      <c r="L263" s="701">
        <v>47.859454224507651</v>
      </c>
      <c r="M263" s="701">
        <v>360</v>
      </c>
      <c r="N263" s="702">
        <v>17229.403520822754</v>
      </c>
    </row>
    <row r="264" spans="1:14" ht="14.45" customHeight="1" x14ac:dyDescent="0.2">
      <c r="A264" s="696" t="s">
        <v>537</v>
      </c>
      <c r="B264" s="697" t="s">
        <v>538</v>
      </c>
      <c r="C264" s="698" t="s">
        <v>550</v>
      </c>
      <c r="D264" s="699" t="s">
        <v>551</v>
      </c>
      <c r="E264" s="700">
        <v>50113001</v>
      </c>
      <c r="F264" s="699" t="s">
        <v>555</v>
      </c>
      <c r="G264" s="698" t="s">
        <v>556</v>
      </c>
      <c r="H264" s="698">
        <v>840220</v>
      </c>
      <c r="I264" s="698">
        <v>0</v>
      </c>
      <c r="J264" s="698" t="s">
        <v>1006</v>
      </c>
      <c r="K264" s="698" t="s">
        <v>306</v>
      </c>
      <c r="L264" s="701">
        <v>214.36399999999998</v>
      </c>
      <c r="M264" s="701">
        <v>25</v>
      </c>
      <c r="N264" s="702">
        <v>5359.0999999999995</v>
      </c>
    </row>
    <row r="265" spans="1:14" ht="14.45" customHeight="1" x14ac:dyDescent="0.2">
      <c r="A265" s="696" t="s">
        <v>537</v>
      </c>
      <c r="B265" s="697" t="s">
        <v>538</v>
      </c>
      <c r="C265" s="698" t="s">
        <v>550</v>
      </c>
      <c r="D265" s="699" t="s">
        <v>551</v>
      </c>
      <c r="E265" s="700">
        <v>50113001</v>
      </c>
      <c r="F265" s="699" t="s">
        <v>555</v>
      </c>
      <c r="G265" s="698" t="s">
        <v>571</v>
      </c>
      <c r="H265" s="698">
        <v>142547</v>
      </c>
      <c r="I265" s="698">
        <v>42547</v>
      </c>
      <c r="J265" s="698" t="s">
        <v>1007</v>
      </c>
      <c r="K265" s="698" t="s">
        <v>1008</v>
      </c>
      <c r="L265" s="701">
        <v>88.13</v>
      </c>
      <c r="M265" s="701">
        <v>2</v>
      </c>
      <c r="N265" s="702">
        <v>176.26</v>
      </c>
    </row>
    <row r="266" spans="1:14" ht="14.45" customHeight="1" x14ac:dyDescent="0.2">
      <c r="A266" s="696" t="s">
        <v>537</v>
      </c>
      <c r="B266" s="697" t="s">
        <v>538</v>
      </c>
      <c r="C266" s="698" t="s">
        <v>550</v>
      </c>
      <c r="D266" s="699" t="s">
        <v>551</v>
      </c>
      <c r="E266" s="700">
        <v>50113001</v>
      </c>
      <c r="F266" s="699" t="s">
        <v>555</v>
      </c>
      <c r="G266" s="698" t="s">
        <v>556</v>
      </c>
      <c r="H266" s="698">
        <v>119571</v>
      </c>
      <c r="I266" s="698">
        <v>19571</v>
      </c>
      <c r="J266" s="698" t="s">
        <v>1009</v>
      </c>
      <c r="K266" s="698" t="s">
        <v>1010</v>
      </c>
      <c r="L266" s="701">
        <v>257.17999999999995</v>
      </c>
      <c r="M266" s="701">
        <v>1</v>
      </c>
      <c r="N266" s="702">
        <v>257.17999999999995</v>
      </c>
    </row>
    <row r="267" spans="1:14" ht="14.45" customHeight="1" x14ac:dyDescent="0.2">
      <c r="A267" s="696" t="s">
        <v>537</v>
      </c>
      <c r="B267" s="697" t="s">
        <v>538</v>
      </c>
      <c r="C267" s="698" t="s">
        <v>550</v>
      </c>
      <c r="D267" s="699" t="s">
        <v>551</v>
      </c>
      <c r="E267" s="700">
        <v>50113001</v>
      </c>
      <c r="F267" s="699" t="s">
        <v>555</v>
      </c>
      <c r="G267" s="698" t="s">
        <v>556</v>
      </c>
      <c r="H267" s="698">
        <v>995129</v>
      </c>
      <c r="I267" s="698">
        <v>0</v>
      </c>
      <c r="J267" s="698" t="s">
        <v>1011</v>
      </c>
      <c r="K267" s="698" t="s">
        <v>306</v>
      </c>
      <c r="L267" s="701">
        <v>52.672879581151832</v>
      </c>
      <c r="M267" s="701">
        <v>191</v>
      </c>
      <c r="N267" s="702">
        <v>10060.52</v>
      </c>
    </row>
    <row r="268" spans="1:14" ht="14.45" customHeight="1" x14ac:dyDescent="0.2">
      <c r="A268" s="696" t="s">
        <v>537</v>
      </c>
      <c r="B268" s="697" t="s">
        <v>538</v>
      </c>
      <c r="C268" s="698" t="s">
        <v>550</v>
      </c>
      <c r="D268" s="699" t="s">
        <v>551</v>
      </c>
      <c r="E268" s="700">
        <v>50113001</v>
      </c>
      <c r="F268" s="699" t="s">
        <v>555</v>
      </c>
      <c r="G268" s="698" t="s">
        <v>571</v>
      </c>
      <c r="H268" s="698">
        <v>187427</v>
      </c>
      <c r="I268" s="698">
        <v>187427</v>
      </c>
      <c r="J268" s="698" t="s">
        <v>1012</v>
      </c>
      <c r="K268" s="698" t="s">
        <v>1013</v>
      </c>
      <c r="L268" s="701">
        <v>60.678000027495685</v>
      </c>
      <c r="M268" s="701">
        <v>10</v>
      </c>
      <c r="N268" s="702">
        <v>606.78000027495682</v>
      </c>
    </row>
    <row r="269" spans="1:14" ht="14.45" customHeight="1" x14ac:dyDescent="0.2">
      <c r="A269" s="696" t="s">
        <v>537</v>
      </c>
      <c r="B269" s="697" t="s">
        <v>538</v>
      </c>
      <c r="C269" s="698" t="s">
        <v>550</v>
      </c>
      <c r="D269" s="699" t="s">
        <v>551</v>
      </c>
      <c r="E269" s="700">
        <v>50113001</v>
      </c>
      <c r="F269" s="699" t="s">
        <v>555</v>
      </c>
      <c r="G269" s="698" t="s">
        <v>571</v>
      </c>
      <c r="H269" s="698">
        <v>147133</v>
      </c>
      <c r="I269" s="698">
        <v>172044</v>
      </c>
      <c r="J269" s="698" t="s">
        <v>1014</v>
      </c>
      <c r="K269" s="698" t="s">
        <v>1015</v>
      </c>
      <c r="L269" s="701">
        <v>110.898</v>
      </c>
      <c r="M269" s="701">
        <v>5</v>
      </c>
      <c r="N269" s="702">
        <v>554.49</v>
      </c>
    </row>
    <row r="270" spans="1:14" ht="14.45" customHeight="1" x14ac:dyDescent="0.2">
      <c r="A270" s="696" t="s">
        <v>537</v>
      </c>
      <c r="B270" s="697" t="s">
        <v>538</v>
      </c>
      <c r="C270" s="698" t="s">
        <v>550</v>
      </c>
      <c r="D270" s="699" t="s">
        <v>551</v>
      </c>
      <c r="E270" s="700">
        <v>50113001</v>
      </c>
      <c r="F270" s="699" t="s">
        <v>555</v>
      </c>
      <c r="G270" s="698" t="s">
        <v>571</v>
      </c>
      <c r="H270" s="698">
        <v>187425</v>
      </c>
      <c r="I270" s="698">
        <v>187425</v>
      </c>
      <c r="J270" s="698" t="s">
        <v>1016</v>
      </c>
      <c r="K270" s="698" t="s">
        <v>1017</v>
      </c>
      <c r="L270" s="701">
        <v>49.305999162938136</v>
      </c>
      <c r="M270" s="701">
        <v>5</v>
      </c>
      <c r="N270" s="702">
        <v>246.52999581469066</v>
      </c>
    </row>
    <row r="271" spans="1:14" ht="14.45" customHeight="1" x14ac:dyDescent="0.2">
      <c r="A271" s="696" t="s">
        <v>537</v>
      </c>
      <c r="B271" s="697" t="s">
        <v>538</v>
      </c>
      <c r="C271" s="698" t="s">
        <v>550</v>
      </c>
      <c r="D271" s="699" t="s">
        <v>551</v>
      </c>
      <c r="E271" s="700">
        <v>50113001</v>
      </c>
      <c r="F271" s="699" t="s">
        <v>555</v>
      </c>
      <c r="G271" s="698" t="s">
        <v>571</v>
      </c>
      <c r="H271" s="698">
        <v>184245</v>
      </c>
      <c r="I271" s="698">
        <v>184245</v>
      </c>
      <c r="J271" s="698" t="s">
        <v>1018</v>
      </c>
      <c r="K271" s="698" t="s">
        <v>1019</v>
      </c>
      <c r="L271" s="701">
        <v>60.460000000000015</v>
      </c>
      <c r="M271" s="701">
        <v>1</v>
      </c>
      <c r="N271" s="702">
        <v>60.460000000000015</v>
      </c>
    </row>
    <row r="272" spans="1:14" ht="14.45" customHeight="1" x14ac:dyDescent="0.2">
      <c r="A272" s="696" t="s">
        <v>537</v>
      </c>
      <c r="B272" s="697" t="s">
        <v>538</v>
      </c>
      <c r="C272" s="698" t="s">
        <v>550</v>
      </c>
      <c r="D272" s="699" t="s">
        <v>551</v>
      </c>
      <c r="E272" s="700">
        <v>50113001</v>
      </c>
      <c r="F272" s="699" t="s">
        <v>555</v>
      </c>
      <c r="G272" s="698" t="s">
        <v>556</v>
      </c>
      <c r="H272" s="698">
        <v>188217</v>
      </c>
      <c r="I272" s="698">
        <v>88217</v>
      </c>
      <c r="J272" s="698" t="s">
        <v>1020</v>
      </c>
      <c r="K272" s="698" t="s">
        <v>1021</v>
      </c>
      <c r="L272" s="701">
        <v>126.54999968052248</v>
      </c>
      <c r="M272" s="701">
        <v>37</v>
      </c>
      <c r="N272" s="702">
        <v>4682.3499881793314</v>
      </c>
    </row>
    <row r="273" spans="1:14" ht="14.45" customHeight="1" x14ac:dyDescent="0.2">
      <c r="A273" s="696" t="s">
        <v>537</v>
      </c>
      <c r="B273" s="697" t="s">
        <v>538</v>
      </c>
      <c r="C273" s="698" t="s">
        <v>550</v>
      </c>
      <c r="D273" s="699" t="s">
        <v>551</v>
      </c>
      <c r="E273" s="700">
        <v>50113001</v>
      </c>
      <c r="F273" s="699" t="s">
        <v>555</v>
      </c>
      <c r="G273" s="698" t="s">
        <v>556</v>
      </c>
      <c r="H273" s="698">
        <v>188219</v>
      </c>
      <c r="I273" s="698">
        <v>88219</v>
      </c>
      <c r="J273" s="698" t="s">
        <v>1022</v>
      </c>
      <c r="K273" s="698" t="s">
        <v>1023</v>
      </c>
      <c r="L273" s="701">
        <v>140.97749999999996</v>
      </c>
      <c r="M273" s="701">
        <v>4</v>
      </c>
      <c r="N273" s="702">
        <v>563.90999999999985</v>
      </c>
    </row>
    <row r="274" spans="1:14" ht="14.45" customHeight="1" x14ac:dyDescent="0.2">
      <c r="A274" s="696" t="s">
        <v>537</v>
      </c>
      <c r="B274" s="697" t="s">
        <v>538</v>
      </c>
      <c r="C274" s="698" t="s">
        <v>550</v>
      </c>
      <c r="D274" s="699" t="s">
        <v>551</v>
      </c>
      <c r="E274" s="700">
        <v>50113001</v>
      </c>
      <c r="F274" s="699" t="s">
        <v>555</v>
      </c>
      <c r="G274" s="698" t="s">
        <v>306</v>
      </c>
      <c r="H274" s="698">
        <v>221742</v>
      </c>
      <c r="I274" s="698">
        <v>221742</v>
      </c>
      <c r="J274" s="698" t="s">
        <v>1024</v>
      </c>
      <c r="K274" s="698" t="s">
        <v>1025</v>
      </c>
      <c r="L274" s="701">
        <v>885.50999999999988</v>
      </c>
      <c r="M274" s="701">
        <v>6</v>
      </c>
      <c r="N274" s="702">
        <v>5313.0599999999995</v>
      </c>
    </row>
    <row r="275" spans="1:14" ht="14.45" customHeight="1" x14ac:dyDescent="0.2">
      <c r="A275" s="696" t="s">
        <v>537</v>
      </c>
      <c r="B275" s="697" t="s">
        <v>538</v>
      </c>
      <c r="C275" s="698" t="s">
        <v>550</v>
      </c>
      <c r="D275" s="699" t="s">
        <v>551</v>
      </c>
      <c r="E275" s="700">
        <v>50113001</v>
      </c>
      <c r="F275" s="699" t="s">
        <v>555</v>
      </c>
      <c r="G275" s="698" t="s">
        <v>556</v>
      </c>
      <c r="H275" s="698">
        <v>192853</v>
      </c>
      <c r="I275" s="698">
        <v>192853</v>
      </c>
      <c r="J275" s="698" t="s">
        <v>1026</v>
      </c>
      <c r="K275" s="698" t="s">
        <v>1027</v>
      </c>
      <c r="L275" s="701">
        <v>107.81999999999998</v>
      </c>
      <c r="M275" s="701">
        <v>15</v>
      </c>
      <c r="N275" s="702">
        <v>1617.2999999999997</v>
      </c>
    </row>
    <row r="276" spans="1:14" ht="14.45" customHeight="1" x14ac:dyDescent="0.2">
      <c r="A276" s="696" t="s">
        <v>537</v>
      </c>
      <c r="B276" s="697" t="s">
        <v>538</v>
      </c>
      <c r="C276" s="698" t="s">
        <v>550</v>
      </c>
      <c r="D276" s="699" t="s">
        <v>551</v>
      </c>
      <c r="E276" s="700">
        <v>50113001</v>
      </c>
      <c r="F276" s="699" t="s">
        <v>555</v>
      </c>
      <c r="G276" s="698" t="s">
        <v>556</v>
      </c>
      <c r="H276" s="698">
        <v>110151</v>
      </c>
      <c r="I276" s="698">
        <v>10151</v>
      </c>
      <c r="J276" s="698" t="s">
        <v>1026</v>
      </c>
      <c r="K276" s="698" t="s">
        <v>1028</v>
      </c>
      <c r="L276" s="701">
        <v>66.144285537470651</v>
      </c>
      <c r="M276" s="701">
        <v>35</v>
      </c>
      <c r="N276" s="702">
        <v>2315.0499938114726</v>
      </c>
    </row>
    <row r="277" spans="1:14" ht="14.45" customHeight="1" x14ac:dyDescent="0.2">
      <c r="A277" s="696" t="s">
        <v>537</v>
      </c>
      <c r="B277" s="697" t="s">
        <v>538</v>
      </c>
      <c r="C277" s="698" t="s">
        <v>550</v>
      </c>
      <c r="D277" s="699" t="s">
        <v>551</v>
      </c>
      <c r="E277" s="700">
        <v>50113001</v>
      </c>
      <c r="F277" s="699" t="s">
        <v>555</v>
      </c>
      <c r="G277" s="698" t="s">
        <v>556</v>
      </c>
      <c r="H277" s="698">
        <v>128222</v>
      </c>
      <c r="I277" s="698">
        <v>28222</v>
      </c>
      <c r="J277" s="698" t="s">
        <v>1029</v>
      </c>
      <c r="K277" s="698" t="s">
        <v>1030</v>
      </c>
      <c r="L277" s="701">
        <v>89.77</v>
      </c>
      <c r="M277" s="701">
        <v>1</v>
      </c>
      <c r="N277" s="702">
        <v>89.77</v>
      </c>
    </row>
    <row r="278" spans="1:14" ht="14.45" customHeight="1" x14ac:dyDescent="0.2">
      <c r="A278" s="696" t="s">
        <v>537</v>
      </c>
      <c r="B278" s="697" t="s">
        <v>538</v>
      </c>
      <c r="C278" s="698" t="s">
        <v>550</v>
      </c>
      <c r="D278" s="699" t="s">
        <v>551</v>
      </c>
      <c r="E278" s="700">
        <v>50113001</v>
      </c>
      <c r="F278" s="699" t="s">
        <v>555</v>
      </c>
      <c r="G278" s="698" t="s">
        <v>556</v>
      </c>
      <c r="H278" s="698">
        <v>28213</v>
      </c>
      <c r="I278" s="698">
        <v>28213</v>
      </c>
      <c r="J278" s="698" t="s">
        <v>1031</v>
      </c>
      <c r="K278" s="698" t="s">
        <v>1032</v>
      </c>
      <c r="L278" s="701">
        <v>97.57</v>
      </c>
      <c r="M278" s="701">
        <v>1</v>
      </c>
      <c r="N278" s="702">
        <v>97.57</v>
      </c>
    </row>
    <row r="279" spans="1:14" ht="14.45" customHeight="1" x14ac:dyDescent="0.2">
      <c r="A279" s="696" t="s">
        <v>537</v>
      </c>
      <c r="B279" s="697" t="s">
        <v>538</v>
      </c>
      <c r="C279" s="698" t="s">
        <v>550</v>
      </c>
      <c r="D279" s="699" t="s">
        <v>551</v>
      </c>
      <c r="E279" s="700">
        <v>50113001</v>
      </c>
      <c r="F279" s="699" t="s">
        <v>555</v>
      </c>
      <c r="G279" s="698" t="s">
        <v>556</v>
      </c>
      <c r="H279" s="698">
        <v>128216</v>
      </c>
      <c r="I279" s="698">
        <v>28216</v>
      </c>
      <c r="J279" s="698" t="s">
        <v>1033</v>
      </c>
      <c r="K279" s="698" t="s">
        <v>1034</v>
      </c>
      <c r="L279" s="701">
        <v>42.655000000000001</v>
      </c>
      <c r="M279" s="701">
        <v>2</v>
      </c>
      <c r="N279" s="702">
        <v>85.31</v>
      </c>
    </row>
    <row r="280" spans="1:14" ht="14.45" customHeight="1" x14ac:dyDescent="0.2">
      <c r="A280" s="696" t="s">
        <v>537</v>
      </c>
      <c r="B280" s="697" t="s">
        <v>538</v>
      </c>
      <c r="C280" s="698" t="s">
        <v>550</v>
      </c>
      <c r="D280" s="699" t="s">
        <v>551</v>
      </c>
      <c r="E280" s="700">
        <v>50113001</v>
      </c>
      <c r="F280" s="699" t="s">
        <v>555</v>
      </c>
      <c r="G280" s="698" t="s">
        <v>556</v>
      </c>
      <c r="H280" s="698">
        <v>196635</v>
      </c>
      <c r="I280" s="698">
        <v>96635</v>
      </c>
      <c r="J280" s="698" t="s">
        <v>1035</v>
      </c>
      <c r="K280" s="698" t="s">
        <v>1036</v>
      </c>
      <c r="L280" s="701">
        <v>111.45999999999998</v>
      </c>
      <c r="M280" s="701">
        <v>1</v>
      </c>
      <c r="N280" s="702">
        <v>111.45999999999998</v>
      </c>
    </row>
    <row r="281" spans="1:14" ht="14.45" customHeight="1" x14ac:dyDescent="0.2">
      <c r="A281" s="696" t="s">
        <v>537</v>
      </c>
      <c r="B281" s="697" t="s">
        <v>538</v>
      </c>
      <c r="C281" s="698" t="s">
        <v>550</v>
      </c>
      <c r="D281" s="699" t="s">
        <v>551</v>
      </c>
      <c r="E281" s="700">
        <v>50113001</v>
      </c>
      <c r="F281" s="699" t="s">
        <v>555</v>
      </c>
      <c r="G281" s="698" t="s">
        <v>556</v>
      </c>
      <c r="H281" s="698">
        <v>231544</v>
      </c>
      <c r="I281" s="698">
        <v>231544</v>
      </c>
      <c r="J281" s="698" t="s">
        <v>1037</v>
      </c>
      <c r="K281" s="698" t="s">
        <v>1038</v>
      </c>
      <c r="L281" s="701">
        <v>80.712988350868585</v>
      </c>
      <c r="M281" s="701">
        <v>87</v>
      </c>
      <c r="N281" s="702">
        <v>7022.0299865255674</v>
      </c>
    </row>
    <row r="282" spans="1:14" ht="14.45" customHeight="1" x14ac:dyDescent="0.2">
      <c r="A282" s="696" t="s">
        <v>537</v>
      </c>
      <c r="B282" s="697" t="s">
        <v>538</v>
      </c>
      <c r="C282" s="698" t="s">
        <v>550</v>
      </c>
      <c r="D282" s="699" t="s">
        <v>551</v>
      </c>
      <c r="E282" s="700">
        <v>50113001</v>
      </c>
      <c r="F282" s="699" t="s">
        <v>555</v>
      </c>
      <c r="G282" s="698" t="s">
        <v>556</v>
      </c>
      <c r="H282" s="698">
        <v>231541</v>
      </c>
      <c r="I282" s="698">
        <v>231541</v>
      </c>
      <c r="J282" s="698" t="s">
        <v>1037</v>
      </c>
      <c r="K282" s="698" t="s">
        <v>1039</v>
      </c>
      <c r="L282" s="701">
        <v>80.690930071866006</v>
      </c>
      <c r="M282" s="701">
        <v>516</v>
      </c>
      <c r="N282" s="702">
        <v>41636.519917082856</v>
      </c>
    </row>
    <row r="283" spans="1:14" ht="14.45" customHeight="1" x14ac:dyDescent="0.2">
      <c r="A283" s="696" t="s">
        <v>537</v>
      </c>
      <c r="B283" s="697" t="s">
        <v>538</v>
      </c>
      <c r="C283" s="698" t="s">
        <v>550</v>
      </c>
      <c r="D283" s="699" t="s">
        <v>551</v>
      </c>
      <c r="E283" s="700">
        <v>50113001</v>
      </c>
      <c r="F283" s="699" t="s">
        <v>555</v>
      </c>
      <c r="G283" s="698" t="s">
        <v>556</v>
      </c>
      <c r="H283" s="698">
        <v>234736</v>
      </c>
      <c r="I283" s="698">
        <v>234736</v>
      </c>
      <c r="J283" s="698" t="s">
        <v>1040</v>
      </c>
      <c r="K283" s="698" t="s">
        <v>1041</v>
      </c>
      <c r="L283" s="701">
        <v>120.54000158026543</v>
      </c>
      <c r="M283" s="701">
        <v>5</v>
      </c>
      <c r="N283" s="702">
        <v>602.70000790132713</v>
      </c>
    </row>
    <row r="284" spans="1:14" ht="14.45" customHeight="1" x14ac:dyDescent="0.2">
      <c r="A284" s="696" t="s">
        <v>537</v>
      </c>
      <c r="B284" s="697" t="s">
        <v>538</v>
      </c>
      <c r="C284" s="698" t="s">
        <v>550</v>
      </c>
      <c r="D284" s="699" t="s">
        <v>551</v>
      </c>
      <c r="E284" s="700">
        <v>50113001</v>
      </c>
      <c r="F284" s="699" t="s">
        <v>555</v>
      </c>
      <c r="G284" s="698" t="s">
        <v>556</v>
      </c>
      <c r="H284" s="698">
        <v>116593</v>
      </c>
      <c r="I284" s="698">
        <v>16593</v>
      </c>
      <c r="J284" s="698" t="s">
        <v>1042</v>
      </c>
      <c r="K284" s="698" t="s">
        <v>1043</v>
      </c>
      <c r="L284" s="701">
        <v>140.07001851865198</v>
      </c>
      <c r="M284" s="701">
        <v>2</v>
      </c>
      <c r="N284" s="702">
        <v>280.14003703730396</v>
      </c>
    </row>
    <row r="285" spans="1:14" ht="14.45" customHeight="1" x14ac:dyDescent="0.2">
      <c r="A285" s="696" t="s">
        <v>537</v>
      </c>
      <c r="B285" s="697" t="s">
        <v>538</v>
      </c>
      <c r="C285" s="698" t="s">
        <v>550</v>
      </c>
      <c r="D285" s="699" t="s">
        <v>551</v>
      </c>
      <c r="E285" s="700">
        <v>50113001</v>
      </c>
      <c r="F285" s="699" t="s">
        <v>555</v>
      </c>
      <c r="G285" s="698" t="s">
        <v>556</v>
      </c>
      <c r="H285" s="698">
        <v>225891</v>
      </c>
      <c r="I285" s="698">
        <v>225891</v>
      </c>
      <c r="J285" s="698" t="s">
        <v>1044</v>
      </c>
      <c r="K285" s="698" t="s">
        <v>1045</v>
      </c>
      <c r="L285" s="701">
        <v>886.29079999999988</v>
      </c>
      <c r="M285" s="701">
        <v>50</v>
      </c>
      <c r="N285" s="702">
        <v>44314.539999999994</v>
      </c>
    </row>
    <row r="286" spans="1:14" ht="14.45" customHeight="1" x14ac:dyDescent="0.2">
      <c r="A286" s="696" t="s">
        <v>537</v>
      </c>
      <c r="B286" s="697" t="s">
        <v>538</v>
      </c>
      <c r="C286" s="698" t="s">
        <v>550</v>
      </c>
      <c r="D286" s="699" t="s">
        <v>551</v>
      </c>
      <c r="E286" s="700">
        <v>50113001</v>
      </c>
      <c r="F286" s="699" t="s">
        <v>555</v>
      </c>
      <c r="G286" s="698" t="s">
        <v>306</v>
      </c>
      <c r="H286" s="698">
        <v>194043</v>
      </c>
      <c r="I286" s="698">
        <v>194043</v>
      </c>
      <c r="J286" s="698" t="s">
        <v>1046</v>
      </c>
      <c r="K286" s="698" t="s">
        <v>1047</v>
      </c>
      <c r="L286" s="701">
        <v>534.17999999999995</v>
      </c>
      <c r="M286" s="701">
        <v>1</v>
      </c>
      <c r="N286" s="702">
        <v>534.17999999999995</v>
      </c>
    </row>
    <row r="287" spans="1:14" ht="14.45" customHeight="1" x14ac:dyDescent="0.2">
      <c r="A287" s="696" t="s">
        <v>537</v>
      </c>
      <c r="B287" s="697" t="s">
        <v>538</v>
      </c>
      <c r="C287" s="698" t="s">
        <v>550</v>
      </c>
      <c r="D287" s="699" t="s">
        <v>551</v>
      </c>
      <c r="E287" s="700">
        <v>50113001</v>
      </c>
      <c r="F287" s="699" t="s">
        <v>555</v>
      </c>
      <c r="G287" s="698" t="s">
        <v>556</v>
      </c>
      <c r="H287" s="698">
        <v>102684</v>
      </c>
      <c r="I287" s="698">
        <v>2684</v>
      </c>
      <c r="J287" s="698" t="s">
        <v>1048</v>
      </c>
      <c r="K287" s="698" t="s">
        <v>716</v>
      </c>
      <c r="L287" s="701">
        <v>132.09257621759502</v>
      </c>
      <c r="M287" s="701">
        <v>66</v>
      </c>
      <c r="N287" s="702">
        <v>8718.1100303612711</v>
      </c>
    </row>
    <row r="288" spans="1:14" ht="14.45" customHeight="1" x14ac:dyDescent="0.2">
      <c r="A288" s="696" t="s">
        <v>537</v>
      </c>
      <c r="B288" s="697" t="s">
        <v>538</v>
      </c>
      <c r="C288" s="698" t="s">
        <v>550</v>
      </c>
      <c r="D288" s="699" t="s">
        <v>551</v>
      </c>
      <c r="E288" s="700">
        <v>50113001</v>
      </c>
      <c r="F288" s="699" t="s">
        <v>555</v>
      </c>
      <c r="G288" s="698" t="s">
        <v>556</v>
      </c>
      <c r="H288" s="698">
        <v>100502</v>
      </c>
      <c r="I288" s="698">
        <v>502</v>
      </c>
      <c r="J288" s="698" t="s">
        <v>1048</v>
      </c>
      <c r="K288" s="698" t="s">
        <v>1049</v>
      </c>
      <c r="L288" s="701">
        <v>268.58105263157887</v>
      </c>
      <c r="M288" s="701">
        <v>19</v>
      </c>
      <c r="N288" s="702">
        <v>5103.0399999999991</v>
      </c>
    </row>
    <row r="289" spans="1:14" ht="14.45" customHeight="1" x14ac:dyDescent="0.2">
      <c r="A289" s="696" t="s">
        <v>537</v>
      </c>
      <c r="B289" s="697" t="s">
        <v>538</v>
      </c>
      <c r="C289" s="698" t="s">
        <v>550</v>
      </c>
      <c r="D289" s="699" t="s">
        <v>551</v>
      </c>
      <c r="E289" s="700">
        <v>50113001</v>
      </c>
      <c r="F289" s="699" t="s">
        <v>555</v>
      </c>
      <c r="G289" s="698" t="s">
        <v>556</v>
      </c>
      <c r="H289" s="698">
        <v>230933</v>
      </c>
      <c r="I289" s="698">
        <v>230933</v>
      </c>
      <c r="J289" s="698" t="s">
        <v>1050</v>
      </c>
      <c r="K289" s="698" t="s">
        <v>1051</v>
      </c>
      <c r="L289" s="701">
        <v>567.63</v>
      </c>
      <c r="M289" s="701">
        <v>1</v>
      </c>
      <c r="N289" s="702">
        <v>567.63</v>
      </c>
    </row>
    <row r="290" spans="1:14" ht="14.45" customHeight="1" x14ac:dyDescent="0.2">
      <c r="A290" s="696" t="s">
        <v>537</v>
      </c>
      <c r="B290" s="697" t="s">
        <v>538</v>
      </c>
      <c r="C290" s="698" t="s">
        <v>550</v>
      </c>
      <c r="D290" s="699" t="s">
        <v>551</v>
      </c>
      <c r="E290" s="700">
        <v>50113001</v>
      </c>
      <c r="F290" s="699" t="s">
        <v>555</v>
      </c>
      <c r="G290" s="698" t="s">
        <v>556</v>
      </c>
      <c r="H290" s="698">
        <v>136712</v>
      </c>
      <c r="I290" s="698">
        <v>136712</v>
      </c>
      <c r="J290" s="698" t="s">
        <v>1052</v>
      </c>
      <c r="K290" s="698" t="s">
        <v>1053</v>
      </c>
      <c r="L290" s="701">
        <v>42.855999999999995</v>
      </c>
      <c r="M290" s="701">
        <v>30</v>
      </c>
      <c r="N290" s="702">
        <v>1285.6799999999998</v>
      </c>
    </row>
    <row r="291" spans="1:14" ht="14.45" customHeight="1" x14ac:dyDescent="0.2">
      <c r="A291" s="696" t="s">
        <v>537</v>
      </c>
      <c r="B291" s="697" t="s">
        <v>538</v>
      </c>
      <c r="C291" s="698" t="s">
        <v>550</v>
      </c>
      <c r="D291" s="699" t="s">
        <v>551</v>
      </c>
      <c r="E291" s="700">
        <v>50113001</v>
      </c>
      <c r="F291" s="699" t="s">
        <v>555</v>
      </c>
      <c r="G291" s="698" t="s">
        <v>571</v>
      </c>
      <c r="H291" s="698">
        <v>239967</v>
      </c>
      <c r="I291" s="698">
        <v>239967</v>
      </c>
      <c r="J291" s="698" t="s">
        <v>1054</v>
      </c>
      <c r="K291" s="698" t="s">
        <v>1055</v>
      </c>
      <c r="L291" s="701">
        <v>280.57813084112149</v>
      </c>
      <c r="M291" s="701">
        <v>107</v>
      </c>
      <c r="N291" s="702">
        <v>30021.859999999997</v>
      </c>
    </row>
    <row r="292" spans="1:14" ht="14.45" customHeight="1" x14ac:dyDescent="0.2">
      <c r="A292" s="696" t="s">
        <v>537</v>
      </c>
      <c r="B292" s="697" t="s">
        <v>538</v>
      </c>
      <c r="C292" s="698" t="s">
        <v>550</v>
      </c>
      <c r="D292" s="699" t="s">
        <v>551</v>
      </c>
      <c r="E292" s="700">
        <v>50113001</v>
      </c>
      <c r="F292" s="699" t="s">
        <v>555</v>
      </c>
      <c r="G292" s="698" t="s">
        <v>571</v>
      </c>
      <c r="H292" s="698">
        <v>239964</v>
      </c>
      <c r="I292" s="698">
        <v>239964</v>
      </c>
      <c r="J292" s="698" t="s">
        <v>1054</v>
      </c>
      <c r="K292" s="698" t="s">
        <v>1056</v>
      </c>
      <c r="L292" s="701">
        <v>134.51</v>
      </c>
      <c r="M292" s="701">
        <v>50</v>
      </c>
      <c r="N292" s="702">
        <v>6725.5</v>
      </c>
    </row>
    <row r="293" spans="1:14" ht="14.45" customHeight="1" x14ac:dyDescent="0.2">
      <c r="A293" s="696" t="s">
        <v>537</v>
      </c>
      <c r="B293" s="697" t="s">
        <v>538</v>
      </c>
      <c r="C293" s="698" t="s">
        <v>550</v>
      </c>
      <c r="D293" s="699" t="s">
        <v>551</v>
      </c>
      <c r="E293" s="700">
        <v>50113001</v>
      </c>
      <c r="F293" s="699" t="s">
        <v>555</v>
      </c>
      <c r="G293" s="698" t="s">
        <v>556</v>
      </c>
      <c r="H293" s="698">
        <v>42477</v>
      </c>
      <c r="I293" s="698">
        <v>42477</v>
      </c>
      <c r="J293" s="698" t="s">
        <v>1057</v>
      </c>
      <c r="K293" s="698" t="s">
        <v>1058</v>
      </c>
      <c r="L293" s="701">
        <v>494.36</v>
      </c>
      <c r="M293" s="701">
        <v>1</v>
      </c>
      <c r="N293" s="702">
        <v>494.36</v>
      </c>
    </row>
    <row r="294" spans="1:14" ht="14.45" customHeight="1" x14ac:dyDescent="0.2">
      <c r="A294" s="696" t="s">
        <v>537</v>
      </c>
      <c r="B294" s="697" t="s">
        <v>538</v>
      </c>
      <c r="C294" s="698" t="s">
        <v>550</v>
      </c>
      <c r="D294" s="699" t="s">
        <v>551</v>
      </c>
      <c r="E294" s="700">
        <v>50113001</v>
      </c>
      <c r="F294" s="699" t="s">
        <v>555</v>
      </c>
      <c r="G294" s="698" t="s">
        <v>556</v>
      </c>
      <c r="H294" s="698">
        <v>142476</v>
      </c>
      <c r="I294" s="698">
        <v>42476</v>
      </c>
      <c r="J294" s="698" t="s">
        <v>1057</v>
      </c>
      <c r="K294" s="698" t="s">
        <v>1059</v>
      </c>
      <c r="L294" s="701">
        <v>268.77500000000003</v>
      </c>
      <c r="M294" s="701">
        <v>2</v>
      </c>
      <c r="N294" s="702">
        <v>537.55000000000007</v>
      </c>
    </row>
    <row r="295" spans="1:14" ht="14.45" customHeight="1" x14ac:dyDescent="0.2">
      <c r="A295" s="696" t="s">
        <v>537</v>
      </c>
      <c r="B295" s="697" t="s">
        <v>538</v>
      </c>
      <c r="C295" s="698" t="s">
        <v>550</v>
      </c>
      <c r="D295" s="699" t="s">
        <v>551</v>
      </c>
      <c r="E295" s="700">
        <v>50113001</v>
      </c>
      <c r="F295" s="699" t="s">
        <v>555</v>
      </c>
      <c r="G295" s="698" t="s">
        <v>556</v>
      </c>
      <c r="H295" s="698">
        <v>101125</v>
      </c>
      <c r="I295" s="698">
        <v>1125</v>
      </c>
      <c r="J295" s="698" t="s">
        <v>1060</v>
      </c>
      <c r="K295" s="698" t="s">
        <v>1061</v>
      </c>
      <c r="L295" s="701">
        <v>85.801999999999992</v>
      </c>
      <c r="M295" s="701">
        <v>10</v>
      </c>
      <c r="N295" s="702">
        <v>858.02</v>
      </c>
    </row>
    <row r="296" spans="1:14" ht="14.45" customHeight="1" x14ac:dyDescent="0.2">
      <c r="A296" s="696" t="s">
        <v>537</v>
      </c>
      <c r="B296" s="697" t="s">
        <v>538</v>
      </c>
      <c r="C296" s="698" t="s">
        <v>550</v>
      </c>
      <c r="D296" s="699" t="s">
        <v>551</v>
      </c>
      <c r="E296" s="700">
        <v>50113001</v>
      </c>
      <c r="F296" s="699" t="s">
        <v>555</v>
      </c>
      <c r="G296" s="698" t="s">
        <v>556</v>
      </c>
      <c r="H296" s="698">
        <v>101127</v>
      </c>
      <c r="I296" s="698">
        <v>1127</v>
      </c>
      <c r="J296" s="698" t="s">
        <v>1060</v>
      </c>
      <c r="K296" s="698" t="s">
        <v>1062</v>
      </c>
      <c r="L296" s="701">
        <v>89.463846153846163</v>
      </c>
      <c r="M296" s="701">
        <v>195</v>
      </c>
      <c r="N296" s="702">
        <v>17445.45</v>
      </c>
    </row>
    <row r="297" spans="1:14" ht="14.45" customHeight="1" x14ac:dyDescent="0.2">
      <c r="A297" s="696" t="s">
        <v>537</v>
      </c>
      <c r="B297" s="697" t="s">
        <v>538</v>
      </c>
      <c r="C297" s="698" t="s">
        <v>550</v>
      </c>
      <c r="D297" s="699" t="s">
        <v>551</v>
      </c>
      <c r="E297" s="700">
        <v>50113001</v>
      </c>
      <c r="F297" s="699" t="s">
        <v>555</v>
      </c>
      <c r="G297" s="698" t="s">
        <v>556</v>
      </c>
      <c r="H297" s="698">
        <v>226941</v>
      </c>
      <c r="I297" s="698">
        <v>226941</v>
      </c>
      <c r="J297" s="698" t="s">
        <v>1063</v>
      </c>
      <c r="K297" s="698" t="s">
        <v>1064</v>
      </c>
      <c r="L297" s="701">
        <v>77.990000000000009</v>
      </c>
      <c r="M297" s="701">
        <v>6</v>
      </c>
      <c r="N297" s="702">
        <v>467.94000000000005</v>
      </c>
    </row>
    <row r="298" spans="1:14" ht="14.45" customHeight="1" x14ac:dyDescent="0.2">
      <c r="A298" s="696" t="s">
        <v>537</v>
      </c>
      <c r="B298" s="697" t="s">
        <v>538</v>
      </c>
      <c r="C298" s="698" t="s">
        <v>550</v>
      </c>
      <c r="D298" s="699" t="s">
        <v>551</v>
      </c>
      <c r="E298" s="700">
        <v>50113001</v>
      </c>
      <c r="F298" s="699" t="s">
        <v>555</v>
      </c>
      <c r="G298" s="698" t="s">
        <v>556</v>
      </c>
      <c r="H298" s="698">
        <v>223014</v>
      </c>
      <c r="I298" s="698">
        <v>223014</v>
      </c>
      <c r="J298" s="698" t="s">
        <v>1065</v>
      </c>
      <c r="K298" s="698" t="s">
        <v>1066</v>
      </c>
      <c r="L298" s="701">
        <v>1647.2399999999996</v>
      </c>
      <c r="M298" s="701">
        <v>1</v>
      </c>
      <c r="N298" s="702">
        <v>1647.2399999999996</v>
      </c>
    </row>
    <row r="299" spans="1:14" ht="14.45" customHeight="1" x14ac:dyDescent="0.2">
      <c r="A299" s="696" t="s">
        <v>537</v>
      </c>
      <c r="B299" s="697" t="s">
        <v>538</v>
      </c>
      <c r="C299" s="698" t="s">
        <v>550</v>
      </c>
      <c r="D299" s="699" t="s">
        <v>551</v>
      </c>
      <c r="E299" s="700">
        <v>50113001</v>
      </c>
      <c r="F299" s="699" t="s">
        <v>555</v>
      </c>
      <c r="G299" s="698" t="s">
        <v>571</v>
      </c>
      <c r="H299" s="698">
        <v>116923</v>
      </c>
      <c r="I299" s="698">
        <v>16923</v>
      </c>
      <c r="J299" s="698" t="s">
        <v>1067</v>
      </c>
      <c r="K299" s="698" t="s">
        <v>1068</v>
      </c>
      <c r="L299" s="701">
        <v>77.740000000000009</v>
      </c>
      <c r="M299" s="701">
        <v>1</v>
      </c>
      <c r="N299" s="702">
        <v>77.740000000000009</v>
      </c>
    </row>
    <row r="300" spans="1:14" ht="14.45" customHeight="1" x14ac:dyDescent="0.2">
      <c r="A300" s="696" t="s">
        <v>537</v>
      </c>
      <c r="B300" s="697" t="s">
        <v>538</v>
      </c>
      <c r="C300" s="698" t="s">
        <v>550</v>
      </c>
      <c r="D300" s="699" t="s">
        <v>551</v>
      </c>
      <c r="E300" s="700">
        <v>50113001</v>
      </c>
      <c r="F300" s="699" t="s">
        <v>555</v>
      </c>
      <c r="G300" s="698" t="s">
        <v>556</v>
      </c>
      <c r="H300" s="698">
        <v>223159</v>
      </c>
      <c r="I300" s="698">
        <v>223159</v>
      </c>
      <c r="J300" s="698" t="s">
        <v>1069</v>
      </c>
      <c r="K300" s="698" t="s">
        <v>1070</v>
      </c>
      <c r="L300" s="701">
        <v>74.926722987377275</v>
      </c>
      <c r="M300" s="701">
        <v>177</v>
      </c>
      <c r="N300" s="702">
        <v>13262.029968765779</v>
      </c>
    </row>
    <row r="301" spans="1:14" ht="14.45" customHeight="1" x14ac:dyDescent="0.2">
      <c r="A301" s="696" t="s">
        <v>537</v>
      </c>
      <c r="B301" s="697" t="s">
        <v>538</v>
      </c>
      <c r="C301" s="698" t="s">
        <v>550</v>
      </c>
      <c r="D301" s="699" t="s">
        <v>551</v>
      </c>
      <c r="E301" s="700">
        <v>50113001</v>
      </c>
      <c r="F301" s="699" t="s">
        <v>555</v>
      </c>
      <c r="G301" s="698" t="s">
        <v>556</v>
      </c>
      <c r="H301" s="698">
        <v>162033</v>
      </c>
      <c r="I301" s="698">
        <v>162033</v>
      </c>
      <c r="J301" s="698" t="s">
        <v>1071</v>
      </c>
      <c r="K301" s="698" t="s">
        <v>1072</v>
      </c>
      <c r="L301" s="701">
        <v>805.97</v>
      </c>
      <c r="M301" s="701">
        <v>16</v>
      </c>
      <c r="N301" s="702">
        <v>12895.52</v>
      </c>
    </row>
    <row r="302" spans="1:14" ht="14.45" customHeight="1" x14ac:dyDescent="0.2">
      <c r="A302" s="696" t="s">
        <v>537</v>
      </c>
      <c r="B302" s="697" t="s">
        <v>538</v>
      </c>
      <c r="C302" s="698" t="s">
        <v>550</v>
      </c>
      <c r="D302" s="699" t="s">
        <v>551</v>
      </c>
      <c r="E302" s="700">
        <v>50113001</v>
      </c>
      <c r="F302" s="699" t="s">
        <v>555</v>
      </c>
      <c r="G302" s="698" t="s">
        <v>571</v>
      </c>
      <c r="H302" s="698">
        <v>850405</v>
      </c>
      <c r="I302" s="698">
        <v>100973</v>
      </c>
      <c r="J302" s="698" t="s">
        <v>1073</v>
      </c>
      <c r="K302" s="698" t="s">
        <v>1074</v>
      </c>
      <c r="L302" s="701">
        <v>1058.78</v>
      </c>
      <c r="M302" s="701">
        <v>1</v>
      </c>
      <c r="N302" s="702">
        <v>1058.78</v>
      </c>
    </row>
    <row r="303" spans="1:14" ht="14.45" customHeight="1" x14ac:dyDescent="0.2">
      <c r="A303" s="696" t="s">
        <v>537</v>
      </c>
      <c r="B303" s="697" t="s">
        <v>538</v>
      </c>
      <c r="C303" s="698" t="s">
        <v>550</v>
      </c>
      <c r="D303" s="699" t="s">
        <v>551</v>
      </c>
      <c r="E303" s="700">
        <v>50113001</v>
      </c>
      <c r="F303" s="699" t="s">
        <v>555</v>
      </c>
      <c r="G303" s="698" t="s">
        <v>556</v>
      </c>
      <c r="H303" s="698">
        <v>157525</v>
      </c>
      <c r="I303" s="698">
        <v>57525</v>
      </c>
      <c r="J303" s="698" t="s">
        <v>1075</v>
      </c>
      <c r="K303" s="698" t="s">
        <v>1076</v>
      </c>
      <c r="L303" s="701">
        <v>97.42</v>
      </c>
      <c r="M303" s="701">
        <v>1</v>
      </c>
      <c r="N303" s="702">
        <v>97.42</v>
      </c>
    </row>
    <row r="304" spans="1:14" ht="14.45" customHeight="1" x14ac:dyDescent="0.2">
      <c r="A304" s="696" t="s">
        <v>537</v>
      </c>
      <c r="B304" s="697" t="s">
        <v>538</v>
      </c>
      <c r="C304" s="698" t="s">
        <v>550</v>
      </c>
      <c r="D304" s="699" t="s">
        <v>551</v>
      </c>
      <c r="E304" s="700">
        <v>50113001</v>
      </c>
      <c r="F304" s="699" t="s">
        <v>555</v>
      </c>
      <c r="G304" s="698" t="s">
        <v>571</v>
      </c>
      <c r="H304" s="698">
        <v>103591</v>
      </c>
      <c r="I304" s="698">
        <v>3591</v>
      </c>
      <c r="J304" s="698" t="s">
        <v>1077</v>
      </c>
      <c r="K304" s="698" t="s">
        <v>1078</v>
      </c>
      <c r="L304" s="701">
        <v>431.64000000000004</v>
      </c>
      <c r="M304" s="701">
        <v>1</v>
      </c>
      <c r="N304" s="702">
        <v>431.64000000000004</v>
      </c>
    </row>
    <row r="305" spans="1:14" ht="14.45" customHeight="1" x14ac:dyDescent="0.2">
      <c r="A305" s="696" t="s">
        <v>537</v>
      </c>
      <c r="B305" s="697" t="s">
        <v>538</v>
      </c>
      <c r="C305" s="698" t="s">
        <v>550</v>
      </c>
      <c r="D305" s="699" t="s">
        <v>551</v>
      </c>
      <c r="E305" s="700">
        <v>50113001</v>
      </c>
      <c r="F305" s="699" t="s">
        <v>555</v>
      </c>
      <c r="G305" s="698" t="s">
        <v>556</v>
      </c>
      <c r="H305" s="698">
        <v>239549</v>
      </c>
      <c r="I305" s="698">
        <v>239549</v>
      </c>
      <c r="J305" s="698" t="s">
        <v>1079</v>
      </c>
      <c r="K305" s="698" t="s">
        <v>1080</v>
      </c>
      <c r="L305" s="701">
        <v>58.807500000000012</v>
      </c>
      <c r="M305" s="701">
        <v>56</v>
      </c>
      <c r="N305" s="702">
        <v>3293.2200000000007</v>
      </c>
    </row>
    <row r="306" spans="1:14" ht="14.45" customHeight="1" x14ac:dyDescent="0.2">
      <c r="A306" s="696" t="s">
        <v>537</v>
      </c>
      <c r="B306" s="697" t="s">
        <v>538</v>
      </c>
      <c r="C306" s="698" t="s">
        <v>550</v>
      </c>
      <c r="D306" s="699" t="s">
        <v>551</v>
      </c>
      <c r="E306" s="700">
        <v>50113001</v>
      </c>
      <c r="F306" s="699" t="s">
        <v>555</v>
      </c>
      <c r="G306" s="698" t="s">
        <v>306</v>
      </c>
      <c r="H306" s="698">
        <v>53761</v>
      </c>
      <c r="I306" s="698">
        <v>53761</v>
      </c>
      <c r="J306" s="698" t="s">
        <v>1081</v>
      </c>
      <c r="K306" s="698" t="s">
        <v>1082</v>
      </c>
      <c r="L306" s="701">
        <v>93.52000000000001</v>
      </c>
      <c r="M306" s="701">
        <v>1</v>
      </c>
      <c r="N306" s="702">
        <v>93.52000000000001</v>
      </c>
    </row>
    <row r="307" spans="1:14" ht="14.45" customHeight="1" x14ac:dyDescent="0.2">
      <c r="A307" s="696" t="s">
        <v>537</v>
      </c>
      <c r="B307" s="697" t="s">
        <v>538</v>
      </c>
      <c r="C307" s="698" t="s">
        <v>550</v>
      </c>
      <c r="D307" s="699" t="s">
        <v>551</v>
      </c>
      <c r="E307" s="700">
        <v>50113001</v>
      </c>
      <c r="F307" s="699" t="s">
        <v>555</v>
      </c>
      <c r="G307" s="698" t="s">
        <v>556</v>
      </c>
      <c r="H307" s="698">
        <v>230353</v>
      </c>
      <c r="I307" s="698">
        <v>230353</v>
      </c>
      <c r="J307" s="698" t="s">
        <v>1083</v>
      </c>
      <c r="K307" s="698" t="s">
        <v>1084</v>
      </c>
      <c r="L307" s="701">
        <v>1758.3299525909142</v>
      </c>
      <c r="M307" s="701">
        <v>209.90000000000003</v>
      </c>
      <c r="N307" s="702">
        <v>369073.45704883296</v>
      </c>
    </row>
    <row r="308" spans="1:14" ht="14.45" customHeight="1" x14ac:dyDescent="0.2">
      <c r="A308" s="696" t="s">
        <v>537</v>
      </c>
      <c r="B308" s="697" t="s">
        <v>538</v>
      </c>
      <c r="C308" s="698" t="s">
        <v>550</v>
      </c>
      <c r="D308" s="699" t="s">
        <v>551</v>
      </c>
      <c r="E308" s="700">
        <v>50113001</v>
      </c>
      <c r="F308" s="699" t="s">
        <v>555</v>
      </c>
      <c r="G308" s="698" t="s">
        <v>556</v>
      </c>
      <c r="H308" s="698">
        <v>190484</v>
      </c>
      <c r="I308" s="698">
        <v>9999999</v>
      </c>
      <c r="J308" s="698" t="s">
        <v>1085</v>
      </c>
      <c r="K308" s="698" t="s">
        <v>1086</v>
      </c>
      <c r="L308" s="701">
        <v>2310.9499999999998</v>
      </c>
      <c r="M308" s="701">
        <v>2</v>
      </c>
      <c r="N308" s="702">
        <v>4621.8999999999996</v>
      </c>
    </row>
    <row r="309" spans="1:14" ht="14.45" customHeight="1" x14ac:dyDescent="0.2">
      <c r="A309" s="696" t="s">
        <v>537</v>
      </c>
      <c r="B309" s="697" t="s">
        <v>538</v>
      </c>
      <c r="C309" s="698" t="s">
        <v>550</v>
      </c>
      <c r="D309" s="699" t="s">
        <v>551</v>
      </c>
      <c r="E309" s="700">
        <v>50113001</v>
      </c>
      <c r="F309" s="699" t="s">
        <v>555</v>
      </c>
      <c r="G309" s="698" t="s">
        <v>571</v>
      </c>
      <c r="H309" s="698">
        <v>191788</v>
      </c>
      <c r="I309" s="698">
        <v>91788</v>
      </c>
      <c r="J309" s="698" t="s">
        <v>1087</v>
      </c>
      <c r="K309" s="698" t="s">
        <v>761</v>
      </c>
      <c r="L309" s="701">
        <v>9.1499999999999986</v>
      </c>
      <c r="M309" s="701">
        <v>3</v>
      </c>
      <c r="N309" s="702">
        <v>27.449999999999996</v>
      </c>
    </row>
    <row r="310" spans="1:14" ht="14.45" customHeight="1" x14ac:dyDescent="0.2">
      <c r="A310" s="696" t="s">
        <v>537</v>
      </c>
      <c r="B310" s="697" t="s">
        <v>538</v>
      </c>
      <c r="C310" s="698" t="s">
        <v>550</v>
      </c>
      <c r="D310" s="699" t="s">
        <v>551</v>
      </c>
      <c r="E310" s="700">
        <v>50113001</v>
      </c>
      <c r="F310" s="699" t="s">
        <v>555</v>
      </c>
      <c r="G310" s="698" t="s">
        <v>571</v>
      </c>
      <c r="H310" s="698">
        <v>106618</v>
      </c>
      <c r="I310" s="698">
        <v>6618</v>
      </c>
      <c r="J310" s="698" t="s">
        <v>1088</v>
      </c>
      <c r="K310" s="698" t="s">
        <v>1089</v>
      </c>
      <c r="L310" s="701">
        <v>19.613333333333333</v>
      </c>
      <c r="M310" s="701">
        <v>3</v>
      </c>
      <c r="N310" s="702">
        <v>58.84</v>
      </c>
    </row>
    <row r="311" spans="1:14" ht="14.45" customHeight="1" x14ac:dyDescent="0.2">
      <c r="A311" s="696" t="s">
        <v>537</v>
      </c>
      <c r="B311" s="697" t="s">
        <v>538</v>
      </c>
      <c r="C311" s="698" t="s">
        <v>550</v>
      </c>
      <c r="D311" s="699" t="s">
        <v>551</v>
      </c>
      <c r="E311" s="700">
        <v>50113001</v>
      </c>
      <c r="F311" s="699" t="s">
        <v>555</v>
      </c>
      <c r="G311" s="698" t="s">
        <v>571</v>
      </c>
      <c r="H311" s="698">
        <v>184400</v>
      </c>
      <c r="I311" s="698">
        <v>84400</v>
      </c>
      <c r="J311" s="698" t="s">
        <v>1090</v>
      </c>
      <c r="K311" s="698" t="s">
        <v>1091</v>
      </c>
      <c r="L311" s="701">
        <v>254.94999999999993</v>
      </c>
      <c r="M311" s="701">
        <v>1</v>
      </c>
      <c r="N311" s="702">
        <v>254.94999999999993</v>
      </c>
    </row>
    <row r="312" spans="1:14" ht="14.45" customHeight="1" x14ac:dyDescent="0.2">
      <c r="A312" s="696" t="s">
        <v>537</v>
      </c>
      <c r="B312" s="697" t="s">
        <v>538</v>
      </c>
      <c r="C312" s="698" t="s">
        <v>550</v>
      </c>
      <c r="D312" s="699" t="s">
        <v>551</v>
      </c>
      <c r="E312" s="700">
        <v>50113001</v>
      </c>
      <c r="F312" s="699" t="s">
        <v>555</v>
      </c>
      <c r="G312" s="698" t="s">
        <v>571</v>
      </c>
      <c r="H312" s="698">
        <v>184399</v>
      </c>
      <c r="I312" s="698">
        <v>84399</v>
      </c>
      <c r="J312" s="698" t="s">
        <v>1092</v>
      </c>
      <c r="K312" s="698" t="s">
        <v>1093</v>
      </c>
      <c r="L312" s="701">
        <v>126.23999999999998</v>
      </c>
      <c r="M312" s="701">
        <v>2</v>
      </c>
      <c r="N312" s="702">
        <v>252.47999999999996</v>
      </c>
    </row>
    <row r="313" spans="1:14" ht="14.45" customHeight="1" x14ac:dyDescent="0.2">
      <c r="A313" s="696" t="s">
        <v>537</v>
      </c>
      <c r="B313" s="697" t="s">
        <v>538</v>
      </c>
      <c r="C313" s="698" t="s">
        <v>550</v>
      </c>
      <c r="D313" s="699" t="s">
        <v>551</v>
      </c>
      <c r="E313" s="700">
        <v>50113001</v>
      </c>
      <c r="F313" s="699" t="s">
        <v>555</v>
      </c>
      <c r="G313" s="698" t="s">
        <v>556</v>
      </c>
      <c r="H313" s="698">
        <v>136129</v>
      </c>
      <c r="I313" s="698">
        <v>136129</v>
      </c>
      <c r="J313" s="698" t="s">
        <v>1094</v>
      </c>
      <c r="K313" s="698" t="s">
        <v>1095</v>
      </c>
      <c r="L313" s="701">
        <v>423.57838709677441</v>
      </c>
      <c r="M313" s="701">
        <v>31</v>
      </c>
      <c r="N313" s="702">
        <v>13130.930000000006</v>
      </c>
    </row>
    <row r="314" spans="1:14" ht="14.45" customHeight="1" x14ac:dyDescent="0.2">
      <c r="A314" s="696" t="s">
        <v>537</v>
      </c>
      <c r="B314" s="697" t="s">
        <v>538</v>
      </c>
      <c r="C314" s="698" t="s">
        <v>550</v>
      </c>
      <c r="D314" s="699" t="s">
        <v>551</v>
      </c>
      <c r="E314" s="700">
        <v>50113001</v>
      </c>
      <c r="F314" s="699" t="s">
        <v>555</v>
      </c>
      <c r="G314" s="698" t="s">
        <v>556</v>
      </c>
      <c r="H314" s="698">
        <v>136126</v>
      </c>
      <c r="I314" s="698">
        <v>136126</v>
      </c>
      <c r="J314" s="698" t="s">
        <v>1096</v>
      </c>
      <c r="K314" s="698" t="s">
        <v>1097</v>
      </c>
      <c r="L314" s="701">
        <v>437.58943045554753</v>
      </c>
      <c r="M314" s="701">
        <v>35</v>
      </c>
      <c r="N314" s="702">
        <v>15315.630065944164</v>
      </c>
    </row>
    <row r="315" spans="1:14" ht="14.45" customHeight="1" x14ac:dyDescent="0.2">
      <c r="A315" s="696" t="s">
        <v>537</v>
      </c>
      <c r="B315" s="697" t="s">
        <v>538</v>
      </c>
      <c r="C315" s="698" t="s">
        <v>550</v>
      </c>
      <c r="D315" s="699" t="s">
        <v>551</v>
      </c>
      <c r="E315" s="700">
        <v>50113001</v>
      </c>
      <c r="F315" s="699" t="s">
        <v>555</v>
      </c>
      <c r="G315" s="698" t="s">
        <v>556</v>
      </c>
      <c r="H315" s="698">
        <v>117187</v>
      </c>
      <c r="I315" s="698">
        <v>17187</v>
      </c>
      <c r="J315" s="698" t="s">
        <v>1098</v>
      </c>
      <c r="K315" s="698" t="s">
        <v>1099</v>
      </c>
      <c r="L315" s="701">
        <v>88.97</v>
      </c>
      <c r="M315" s="701">
        <v>8</v>
      </c>
      <c r="N315" s="702">
        <v>711.76</v>
      </c>
    </row>
    <row r="316" spans="1:14" ht="14.45" customHeight="1" x14ac:dyDescent="0.2">
      <c r="A316" s="696" t="s">
        <v>537</v>
      </c>
      <c r="B316" s="697" t="s">
        <v>538</v>
      </c>
      <c r="C316" s="698" t="s">
        <v>550</v>
      </c>
      <c r="D316" s="699" t="s">
        <v>551</v>
      </c>
      <c r="E316" s="700">
        <v>50113001</v>
      </c>
      <c r="F316" s="699" t="s">
        <v>555</v>
      </c>
      <c r="G316" s="698" t="s">
        <v>556</v>
      </c>
      <c r="H316" s="698">
        <v>131089</v>
      </c>
      <c r="I316" s="698">
        <v>31089</v>
      </c>
      <c r="J316" s="698" t="s">
        <v>1100</v>
      </c>
      <c r="K316" s="698" t="s">
        <v>1101</v>
      </c>
      <c r="L316" s="701">
        <v>56.769999999999989</v>
      </c>
      <c r="M316" s="701">
        <v>2</v>
      </c>
      <c r="N316" s="702">
        <v>113.53999999999998</v>
      </c>
    </row>
    <row r="317" spans="1:14" ht="14.45" customHeight="1" x14ac:dyDescent="0.2">
      <c r="A317" s="696" t="s">
        <v>537</v>
      </c>
      <c r="B317" s="697" t="s">
        <v>538</v>
      </c>
      <c r="C317" s="698" t="s">
        <v>550</v>
      </c>
      <c r="D317" s="699" t="s">
        <v>551</v>
      </c>
      <c r="E317" s="700">
        <v>50113001</v>
      </c>
      <c r="F317" s="699" t="s">
        <v>555</v>
      </c>
      <c r="G317" s="698" t="s">
        <v>571</v>
      </c>
      <c r="H317" s="698">
        <v>216900</v>
      </c>
      <c r="I317" s="698">
        <v>216900</v>
      </c>
      <c r="J317" s="698" t="s">
        <v>1102</v>
      </c>
      <c r="K317" s="698" t="s">
        <v>1103</v>
      </c>
      <c r="L317" s="701">
        <v>670.62568836712876</v>
      </c>
      <c r="M317" s="701">
        <v>937</v>
      </c>
      <c r="N317" s="702">
        <v>628376.26999999967</v>
      </c>
    </row>
    <row r="318" spans="1:14" ht="14.45" customHeight="1" x14ac:dyDescent="0.2">
      <c r="A318" s="696" t="s">
        <v>537</v>
      </c>
      <c r="B318" s="697" t="s">
        <v>538</v>
      </c>
      <c r="C318" s="698" t="s">
        <v>550</v>
      </c>
      <c r="D318" s="699" t="s">
        <v>551</v>
      </c>
      <c r="E318" s="700">
        <v>50113001</v>
      </c>
      <c r="F318" s="699" t="s">
        <v>555</v>
      </c>
      <c r="G318" s="698" t="s">
        <v>556</v>
      </c>
      <c r="H318" s="698">
        <v>216963</v>
      </c>
      <c r="I318" s="698">
        <v>216963</v>
      </c>
      <c r="J318" s="698" t="s">
        <v>1104</v>
      </c>
      <c r="K318" s="698" t="s">
        <v>1105</v>
      </c>
      <c r="L318" s="701">
        <v>148.93</v>
      </c>
      <c r="M318" s="701">
        <v>1</v>
      </c>
      <c r="N318" s="702">
        <v>148.93</v>
      </c>
    </row>
    <row r="319" spans="1:14" ht="14.45" customHeight="1" x14ac:dyDescent="0.2">
      <c r="A319" s="696" t="s">
        <v>537</v>
      </c>
      <c r="B319" s="697" t="s">
        <v>538</v>
      </c>
      <c r="C319" s="698" t="s">
        <v>550</v>
      </c>
      <c r="D319" s="699" t="s">
        <v>551</v>
      </c>
      <c r="E319" s="700">
        <v>50113001</v>
      </c>
      <c r="F319" s="699" t="s">
        <v>555</v>
      </c>
      <c r="G319" s="698" t="s">
        <v>571</v>
      </c>
      <c r="H319" s="698">
        <v>107981</v>
      </c>
      <c r="I319" s="698">
        <v>7981</v>
      </c>
      <c r="J319" s="698" t="s">
        <v>1106</v>
      </c>
      <c r="K319" s="698" t="s">
        <v>1107</v>
      </c>
      <c r="L319" s="701">
        <v>41.290744878957156</v>
      </c>
      <c r="M319" s="701">
        <v>537</v>
      </c>
      <c r="N319" s="702">
        <v>22173.129999999994</v>
      </c>
    </row>
    <row r="320" spans="1:14" ht="14.45" customHeight="1" x14ac:dyDescent="0.2">
      <c r="A320" s="696" t="s">
        <v>537</v>
      </c>
      <c r="B320" s="697" t="s">
        <v>538</v>
      </c>
      <c r="C320" s="698" t="s">
        <v>550</v>
      </c>
      <c r="D320" s="699" t="s">
        <v>551</v>
      </c>
      <c r="E320" s="700">
        <v>50113001</v>
      </c>
      <c r="F320" s="699" t="s">
        <v>555</v>
      </c>
      <c r="G320" s="698" t="s">
        <v>571</v>
      </c>
      <c r="H320" s="698">
        <v>126786</v>
      </c>
      <c r="I320" s="698">
        <v>26786</v>
      </c>
      <c r="J320" s="698" t="s">
        <v>1108</v>
      </c>
      <c r="K320" s="698" t="s">
        <v>1109</v>
      </c>
      <c r="L320" s="701">
        <v>402.89851851851842</v>
      </c>
      <c r="M320" s="701">
        <v>108</v>
      </c>
      <c r="N320" s="702">
        <v>43513.039999999986</v>
      </c>
    </row>
    <row r="321" spans="1:14" ht="14.45" customHeight="1" x14ac:dyDescent="0.2">
      <c r="A321" s="696" t="s">
        <v>537</v>
      </c>
      <c r="B321" s="697" t="s">
        <v>538</v>
      </c>
      <c r="C321" s="698" t="s">
        <v>550</v>
      </c>
      <c r="D321" s="699" t="s">
        <v>551</v>
      </c>
      <c r="E321" s="700">
        <v>50113001</v>
      </c>
      <c r="F321" s="699" t="s">
        <v>555</v>
      </c>
      <c r="G321" s="698" t="s">
        <v>556</v>
      </c>
      <c r="H321" s="698">
        <v>125907</v>
      </c>
      <c r="I321" s="698">
        <v>125907</v>
      </c>
      <c r="J321" s="698" t="s">
        <v>1110</v>
      </c>
      <c r="K321" s="698" t="s">
        <v>1111</v>
      </c>
      <c r="L321" s="701">
        <v>681.9999998708588</v>
      </c>
      <c r="M321" s="701">
        <v>263</v>
      </c>
      <c r="N321" s="702">
        <v>179365.99996603586</v>
      </c>
    </row>
    <row r="322" spans="1:14" ht="14.45" customHeight="1" x14ac:dyDescent="0.2">
      <c r="A322" s="696" t="s">
        <v>537</v>
      </c>
      <c r="B322" s="697" t="s">
        <v>538</v>
      </c>
      <c r="C322" s="698" t="s">
        <v>550</v>
      </c>
      <c r="D322" s="699" t="s">
        <v>551</v>
      </c>
      <c r="E322" s="700">
        <v>50113001</v>
      </c>
      <c r="F322" s="699" t="s">
        <v>555</v>
      </c>
      <c r="G322" s="698" t="s">
        <v>556</v>
      </c>
      <c r="H322" s="698">
        <v>140187</v>
      </c>
      <c r="I322" s="698">
        <v>140187</v>
      </c>
      <c r="J322" s="698" t="s">
        <v>1112</v>
      </c>
      <c r="K322" s="698" t="s">
        <v>1113</v>
      </c>
      <c r="L322" s="701">
        <v>38.730005120492542</v>
      </c>
      <c r="M322" s="701">
        <v>1</v>
      </c>
      <c r="N322" s="702">
        <v>38.730005120492542</v>
      </c>
    </row>
    <row r="323" spans="1:14" ht="14.45" customHeight="1" x14ac:dyDescent="0.2">
      <c r="A323" s="696" t="s">
        <v>537</v>
      </c>
      <c r="B323" s="697" t="s">
        <v>538</v>
      </c>
      <c r="C323" s="698" t="s">
        <v>550</v>
      </c>
      <c r="D323" s="699" t="s">
        <v>551</v>
      </c>
      <c r="E323" s="700">
        <v>50113001</v>
      </c>
      <c r="F323" s="699" t="s">
        <v>555</v>
      </c>
      <c r="G323" s="698" t="s">
        <v>571</v>
      </c>
      <c r="H323" s="698">
        <v>187607</v>
      </c>
      <c r="I323" s="698">
        <v>187607</v>
      </c>
      <c r="J323" s="698" t="s">
        <v>1114</v>
      </c>
      <c r="K323" s="698" t="s">
        <v>1115</v>
      </c>
      <c r="L323" s="701">
        <v>273.89999999999998</v>
      </c>
      <c r="M323" s="701">
        <v>19</v>
      </c>
      <c r="N323" s="702">
        <v>5204.0999999999995</v>
      </c>
    </row>
    <row r="324" spans="1:14" ht="14.45" customHeight="1" x14ac:dyDescent="0.2">
      <c r="A324" s="696" t="s">
        <v>537</v>
      </c>
      <c r="B324" s="697" t="s">
        <v>538</v>
      </c>
      <c r="C324" s="698" t="s">
        <v>550</v>
      </c>
      <c r="D324" s="699" t="s">
        <v>551</v>
      </c>
      <c r="E324" s="700">
        <v>50113001</v>
      </c>
      <c r="F324" s="699" t="s">
        <v>555</v>
      </c>
      <c r="G324" s="698" t="s">
        <v>556</v>
      </c>
      <c r="H324" s="698">
        <v>100874</v>
      </c>
      <c r="I324" s="698">
        <v>874</v>
      </c>
      <c r="J324" s="698" t="s">
        <v>1116</v>
      </c>
      <c r="K324" s="698" t="s">
        <v>1117</v>
      </c>
      <c r="L324" s="701">
        <v>94.584545454545477</v>
      </c>
      <c r="M324" s="701">
        <v>198</v>
      </c>
      <c r="N324" s="702">
        <v>18727.740000000005</v>
      </c>
    </row>
    <row r="325" spans="1:14" ht="14.45" customHeight="1" x14ac:dyDescent="0.2">
      <c r="A325" s="696" t="s">
        <v>537</v>
      </c>
      <c r="B325" s="697" t="s">
        <v>538</v>
      </c>
      <c r="C325" s="698" t="s">
        <v>550</v>
      </c>
      <c r="D325" s="699" t="s">
        <v>551</v>
      </c>
      <c r="E325" s="700">
        <v>50113001</v>
      </c>
      <c r="F325" s="699" t="s">
        <v>555</v>
      </c>
      <c r="G325" s="698" t="s">
        <v>556</v>
      </c>
      <c r="H325" s="698">
        <v>200863</v>
      </c>
      <c r="I325" s="698">
        <v>200863</v>
      </c>
      <c r="J325" s="698" t="s">
        <v>1118</v>
      </c>
      <c r="K325" s="698" t="s">
        <v>1119</v>
      </c>
      <c r="L325" s="701">
        <v>86.267462775748854</v>
      </c>
      <c r="M325" s="701">
        <v>67</v>
      </c>
      <c r="N325" s="702">
        <v>5779.9200059751729</v>
      </c>
    </row>
    <row r="326" spans="1:14" ht="14.45" customHeight="1" x14ac:dyDescent="0.2">
      <c r="A326" s="696" t="s">
        <v>537</v>
      </c>
      <c r="B326" s="697" t="s">
        <v>538</v>
      </c>
      <c r="C326" s="698" t="s">
        <v>550</v>
      </c>
      <c r="D326" s="699" t="s">
        <v>551</v>
      </c>
      <c r="E326" s="700">
        <v>50113001</v>
      </c>
      <c r="F326" s="699" t="s">
        <v>555</v>
      </c>
      <c r="G326" s="698" t="s">
        <v>556</v>
      </c>
      <c r="H326" s="698">
        <v>246111</v>
      </c>
      <c r="I326" s="698">
        <v>246111</v>
      </c>
      <c r="J326" s="698" t="s">
        <v>1118</v>
      </c>
      <c r="K326" s="698" t="s">
        <v>1120</v>
      </c>
      <c r="L326" s="701">
        <v>89.491250000000008</v>
      </c>
      <c r="M326" s="701">
        <v>16</v>
      </c>
      <c r="N326" s="702">
        <v>1431.8600000000001</v>
      </c>
    </row>
    <row r="327" spans="1:14" ht="14.45" customHeight="1" x14ac:dyDescent="0.2">
      <c r="A327" s="696" t="s">
        <v>537</v>
      </c>
      <c r="B327" s="697" t="s">
        <v>538</v>
      </c>
      <c r="C327" s="698" t="s">
        <v>550</v>
      </c>
      <c r="D327" s="699" t="s">
        <v>551</v>
      </c>
      <c r="E327" s="700">
        <v>50113001</v>
      </c>
      <c r="F327" s="699" t="s">
        <v>555</v>
      </c>
      <c r="G327" s="698" t="s">
        <v>556</v>
      </c>
      <c r="H327" s="698">
        <v>100876</v>
      </c>
      <c r="I327" s="698">
        <v>876</v>
      </c>
      <c r="J327" s="698" t="s">
        <v>1118</v>
      </c>
      <c r="K327" s="698" t="s">
        <v>1117</v>
      </c>
      <c r="L327" s="701">
        <v>85.484878836001371</v>
      </c>
      <c r="M327" s="701">
        <v>82</v>
      </c>
      <c r="N327" s="702">
        <v>7009.7600645521125</v>
      </c>
    </row>
    <row r="328" spans="1:14" ht="14.45" customHeight="1" x14ac:dyDescent="0.2">
      <c r="A328" s="696" t="s">
        <v>537</v>
      </c>
      <c r="B328" s="697" t="s">
        <v>538</v>
      </c>
      <c r="C328" s="698" t="s">
        <v>550</v>
      </c>
      <c r="D328" s="699" t="s">
        <v>551</v>
      </c>
      <c r="E328" s="700">
        <v>50113001</v>
      </c>
      <c r="F328" s="699" t="s">
        <v>555</v>
      </c>
      <c r="G328" s="698" t="s">
        <v>556</v>
      </c>
      <c r="H328" s="698">
        <v>232954</v>
      </c>
      <c r="I328" s="698">
        <v>232954</v>
      </c>
      <c r="J328" s="698" t="s">
        <v>1121</v>
      </c>
      <c r="K328" s="698" t="s">
        <v>1122</v>
      </c>
      <c r="L328" s="701">
        <v>107.69</v>
      </c>
      <c r="M328" s="701">
        <v>1</v>
      </c>
      <c r="N328" s="702">
        <v>107.69</v>
      </c>
    </row>
    <row r="329" spans="1:14" ht="14.45" customHeight="1" x14ac:dyDescent="0.2">
      <c r="A329" s="696" t="s">
        <v>537</v>
      </c>
      <c r="B329" s="697" t="s">
        <v>538</v>
      </c>
      <c r="C329" s="698" t="s">
        <v>550</v>
      </c>
      <c r="D329" s="699" t="s">
        <v>551</v>
      </c>
      <c r="E329" s="700">
        <v>50113001</v>
      </c>
      <c r="F329" s="699" t="s">
        <v>555</v>
      </c>
      <c r="G329" s="698" t="s">
        <v>556</v>
      </c>
      <c r="H329" s="698">
        <v>157351</v>
      </c>
      <c r="I329" s="698">
        <v>57351</v>
      </c>
      <c r="J329" s="698" t="s">
        <v>1123</v>
      </c>
      <c r="K329" s="698" t="s">
        <v>1124</v>
      </c>
      <c r="L329" s="701">
        <v>47.390000000000008</v>
      </c>
      <c r="M329" s="701">
        <v>16</v>
      </c>
      <c r="N329" s="702">
        <v>758.24000000000012</v>
      </c>
    </row>
    <row r="330" spans="1:14" ht="14.45" customHeight="1" x14ac:dyDescent="0.2">
      <c r="A330" s="696" t="s">
        <v>537</v>
      </c>
      <c r="B330" s="697" t="s">
        <v>538</v>
      </c>
      <c r="C330" s="698" t="s">
        <v>550</v>
      </c>
      <c r="D330" s="699" t="s">
        <v>551</v>
      </c>
      <c r="E330" s="700">
        <v>50113001</v>
      </c>
      <c r="F330" s="699" t="s">
        <v>555</v>
      </c>
      <c r="G330" s="698" t="s">
        <v>556</v>
      </c>
      <c r="H330" s="698">
        <v>101940</v>
      </c>
      <c r="I330" s="698">
        <v>1940</v>
      </c>
      <c r="J330" s="698" t="s">
        <v>1125</v>
      </c>
      <c r="K330" s="698" t="s">
        <v>1126</v>
      </c>
      <c r="L330" s="701">
        <v>34.819999999999993</v>
      </c>
      <c r="M330" s="701">
        <v>2</v>
      </c>
      <c r="N330" s="702">
        <v>69.639999999999986</v>
      </c>
    </row>
    <row r="331" spans="1:14" ht="14.45" customHeight="1" x14ac:dyDescent="0.2">
      <c r="A331" s="696" t="s">
        <v>537</v>
      </c>
      <c r="B331" s="697" t="s">
        <v>538</v>
      </c>
      <c r="C331" s="698" t="s">
        <v>550</v>
      </c>
      <c r="D331" s="699" t="s">
        <v>551</v>
      </c>
      <c r="E331" s="700">
        <v>50113001</v>
      </c>
      <c r="F331" s="699" t="s">
        <v>555</v>
      </c>
      <c r="G331" s="698" t="s">
        <v>556</v>
      </c>
      <c r="H331" s="698">
        <v>230359</v>
      </c>
      <c r="I331" s="698">
        <v>230359</v>
      </c>
      <c r="J331" s="698" t="s">
        <v>1127</v>
      </c>
      <c r="K331" s="698" t="s">
        <v>1128</v>
      </c>
      <c r="L331" s="701">
        <v>184.06666666666663</v>
      </c>
      <c r="M331" s="701">
        <v>3</v>
      </c>
      <c r="N331" s="702">
        <v>552.19999999999993</v>
      </c>
    </row>
    <row r="332" spans="1:14" ht="14.45" customHeight="1" x14ac:dyDescent="0.2">
      <c r="A332" s="696" t="s">
        <v>537</v>
      </c>
      <c r="B332" s="697" t="s">
        <v>538</v>
      </c>
      <c r="C332" s="698" t="s">
        <v>550</v>
      </c>
      <c r="D332" s="699" t="s">
        <v>551</v>
      </c>
      <c r="E332" s="700">
        <v>50113001</v>
      </c>
      <c r="F332" s="699" t="s">
        <v>555</v>
      </c>
      <c r="G332" s="698" t="s">
        <v>306</v>
      </c>
      <c r="H332" s="698">
        <v>136834</v>
      </c>
      <c r="I332" s="698">
        <v>136834</v>
      </c>
      <c r="J332" s="698" t="s">
        <v>1129</v>
      </c>
      <c r="K332" s="698" t="s">
        <v>1130</v>
      </c>
      <c r="L332" s="701">
        <v>258.04000000000002</v>
      </c>
      <c r="M332" s="701">
        <v>12</v>
      </c>
      <c r="N332" s="702">
        <v>3096.4800000000005</v>
      </c>
    </row>
    <row r="333" spans="1:14" ht="14.45" customHeight="1" x14ac:dyDescent="0.2">
      <c r="A333" s="696" t="s">
        <v>537</v>
      </c>
      <c r="B333" s="697" t="s">
        <v>538</v>
      </c>
      <c r="C333" s="698" t="s">
        <v>550</v>
      </c>
      <c r="D333" s="699" t="s">
        <v>551</v>
      </c>
      <c r="E333" s="700">
        <v>50113001</v>
      </c>
      <c r="F333" s="699" t="s">
        <v>555</v>
      </c>
      <c r="G333" s="698" t="s">
        <v>556</v>
      </c>
      <c r="H333" s="698">
        <v>224053</v>
      </c>
      <c r="I333" s="698">
        <v>224053</v>
      </c>
      <c r="J333" s="698" t="s">
        <v>1131</v>
      </c>
      <c r="K333" s="698" t="s">
        <v>1132</v>
      </c>
      <c r="L333" s="701">
        <v>240.8306250000002</v>
      </c>
      <c r="M333" s="701">
        <v>112</v>
      </c>
      <c r="N333" s="702">
        <v>26973.030000000021</v>
      </c>
    </row>
    <row r="334" spans="1:14" ht="14.45" customHeight="1" x14ac:dyDescent="0.2">
      <c r="A334" s="696" t="s">
        <v>537</v>
      </c>
      <c r="B334" s="697" t="s">
        <v>538</v>
      </c>
      <c r="C334" s="698" t="s">
        <v>550</v>
      </c>
      <c r="D334" s="699" t="s">
        <v>551</v>
      </c>
      <c r="E334" s="700">
        <v>50113001</v>
      </c>
      <c r="F334" s="699" t="s">
        <v>555</v>
      </c>
      <c r="G334" s="698" t="s">
        <v>556</v>
      </c>
      <c r="H334" s="698">
        <v>226693</v>
      </c>
      <c r="I334" s="698">
        <v>226693</v>
      </c>
      <c r="J334" s="698" t="s">
        <v>1133</v>
      </c>
      <c r="K334" s="698" t="s">
        <v>1134</v>
      </c>
      <c r="L334" s="701">
        <v>22.07</v>
      </c>
      <c r="M334" s="701">
        <v>2</v>
      </c>
      <c r="N334" s="702">
        <v>44.14</v>
      </c>
    </row>
    <row r="335" spans="1:14" ht="14.45" customHeight="1" x14ac:dyDescent="0.2">
      <c r="A335" s="696" t="s">
        <v>537</v>
      </c>
      <c r="B335" s="697" t="s">
        <v>538</v>
      </c>
      <c r="C335" s="698" t="s">
        <v>550</v>
      </c>
      <c r="D335" s="699" t="s">
        <v>551</v>
      </c>
      <c r="E335" s="700">
        <v>50113001</v>
      </c>
      <c r="F335" s="699" t="s">
        <v>555</v>
      </c>
      <c r="G335" s="698" t="s">
        <v>556</v>
      </c>
      <c r="H335" s="698">
        <v>226434</v>
      </c>
      <c r="I335" s="698">
        <v>226434</v>
      </c>
      <c r="J335" s="698" t="s">
        <v>1135</v>
      </c>
      <c r="K335" s="698" t="s">
        <v>1136</v>
      </c>
      <c r="L335" s="701">
        <v>38.25</v>
      </c>
      <c r="M335" s="701">
        <v>1</v>
      </c>
      <c r="N335" s="702">
        <v>38.25</v>
      </c>
    </row>
    <row r="336" spans="1:14" ht="14.45" customHeight="1" x14ac:dyDescent="0.2">
      <c r="A336" s="696" t="s">
        <v>537</v>
      </c>
      <c r="B336" s="697" t="s">
        <v>538</v>
      </c>
      <c r="C336" s="698" t="s">
        <v>550</v>
      </c>
      <c r="D336" s="699" t="s">
        <v>551</v>
      </c>
      <c r="E336" s="700">
        <v>50113001</v>
      </c>
      <c r="F336" s="699" t="s">
        <v>555</v>
      </c>
      <c r="G336" s="698" t="s">
        <v>556</v>
      </c>
      <c r="H336" s="698">
        <v>121393</v>
      </c>
      <c r="I336" s="698">
        <v>9999999</v>
      </c>
      <c r="J336" s="698" t="s">
        <v>1137</v>
      </c>
      <c r="K336" s="698" t="s">
        <v>1138</v>
      </c>
      <c r="L336" s="701">
        <v>6050</v>
      </c>
      <c r="M336" s="701">
        <v>3</v>
      </c>
      <c r="N336" s="702">
        <v>18150</v>
      </c>
    </row>
    <row r="337" spans="1:14" ht="14.45" customHeight="1" x14ac:dyDescent="0.2">
      <c r="A337" s="696" t="s">
        <v>537</v>
      </c>
      <c r="B337" s="697" t="s">
        <v>538</v>
      </c>
      <c r="C337" s="698" t="s">
        <v>550</v>
      </c>
      <c r="D337" s="699" t="s">
        <v>551</v>
      </c>
      <c r="E337" s="700">
        <v>50113001</v>
      </c>
      <c r="F337" s="699" t="s">
        <v>555</v>
      </c>
      <c r="G337" s="698" t="s">
        <v>556</v>
      </c>
      <c r="H337" s="698">
        <v>232603</v>
      </c>
      <c r="I337" s="698">
        <v>232603</v>
      </c>
      <c r="J337" s="698" t="s">
        <v>1139</v>
      </c>
      <c r="K337" s="698" t="s">
        <v>1140</v>
      </c>
      <c r="L337" s="701">
        <v>116.53</v>
      </c>
      <c r="M337" s="701">
        <v>17</v>
      </c>
      <c r="N337" s="702">
        <v>1981.01</v>
      </c>
    </row>
    <row r="338" spans="1:14" ht="14.45" customHeight="1" x14ac:dyDescent="0.2">
      <c r="A338" s="696" t="s">
        <v>537</v>
      </c>
      <c r="B338" s="697" t="s">
        <v>538</v>
      </c>
      <c r="C338" s="698" t="s">
        <v>550</v>
      </c>
      <c r="D338" s="699" t="s">
        <v>551</v>
      </c>
      <c r="E338" s="700">
        <v>50113001</v>
      </c>
      <c r="F338" s="699" t="s">
        <v>555</v>
      </c>
      <c r="G338" s="698" t="s">
        <v>556</v>
      </c>
      <c r="H338" s="698">
        <v>502456</v>
      </c>
      <c r="I338" s="698">
        <v>9999999</v>
      </c>
      <c r="J338" s="698" t="s">
        <v>1141</v>
      </c>
      <c r="K338" s="698" t="s">
        <v>1140</v>
      </c>
      <c r="L338" s="701">
        <v>114.40000000000002</v>
      </c>
      <c r="M338" s="701">
        <v>38</v>
      </c>
      <c r="N338" s="702">
        <v>4347.2000000000007</v>
      </c>
    </row>
    <row r="339" spans="1:14" ht="14.45" customHeight="1" x14ac:dyDescent="0.2">
      <c r="A339" s="696" t="s">
        <v>537</v>
      </c>
      <c r="B339" s="697" t="s">
        <v>538</v>
      </c>
      <c r="C339" s="698" t="s">
        <v>550</v>
      </c>
      <c r="D339" s="699" t="s">
        <v>551</v>
      </c>
      <c r="E339" s="700">
        <v>50113001</v>
      </c>
      <c r="F339" s="699" t="s">
        <v>555</v>
      </c>
      <c r="G339" s="698" t="s">
        <v>556</v>
      </c>
      <c r="H339" s="698">
        <v>395188</v>
      </c>
      <c r="I339" s="698">
        <v>0</v>
      </c>
      <c r="J339" s="698" t="s">
        <v>1142</v>
      </c>
      <c r="K339" s="698" t="s">
        <v>1143</v>
      </c>
      <c r="L339" s="701">
        <v>39.249574468085115</v>
      </c>
      <c r="M339" s="701">
        <v>47</v>
      </c>
      <c r="N339" s="702">
        <v>1844.7300000000002</v>
      </c>
    </row>
    <row r="340" spans="1:14" ht="14.45" customHeight="1" x14ac:dyDescent="0.2">
      <c r="A340" s="696" t="s">
        <v>537</v>
      </c>
      <c r="B340" s="697" t="s">
        <v>538</v>
      </c>
      <c r="C340" s="698" t="s">
        <v>550</v>
      </c>
      <c r="D340" s="699" t="s">
        <v>551</v>
      </c>
      <c r="E340" s="700">
        <v>50113001</v>
      </c>
      <c r="F340" s="699" t="s">
        <v>555</v>
      </c>
      <c r="G340" s="698" t="s">
        <v>556</v>
      </c>
      <c r="H340" s="698">
        <v>155911</v>
      </c>
      <c r="I340" s="698">
        <v>55911</v>
      </c>
      <c r="J340" s="698" t="s">
        <v>1144</v>
      </c>
      <c r="K340" s="698" t="s">
        <v>1145</v>
      </c>
      <c r="L340" s="701">
        <v>40.9</v>
      </c>
      <c r="M340" s="701">
        <v>9</v>
      </c>
      <c r="N340" s="702">
        <v>368.09999999999997</v>
      </c>
    </row>
    <row r="341" spans="1:14" ht="14.45" customHeight="1" x14ac:dyDescent="0.2">
      <c r="A341" s="696" t="s">
        <v>537</v>
      </c>
      <c r="B341" s="697" t="s">
        <v>538</v>
      </c>
      <c r="C341" s="698" t="s">
        <v>550</v>
      </c>
      <c r="D341" s="699" t="s">
        <v>551</v>
      </c>
      <c r="E341" s="700">
        <v>50113001</v>
      </c>
      <c r="F341" s="699" t="s">
        <v>555</v>
      </c>
      <c r="G341" s="698" t="s">
        <v>556</v>
      </c>
      <c r="H341" s="698">
        <v>111671</v>
      </c>
      <c r="I341" s="698">
        <v>11671</v>
      </c>
      <c r="J341" s="698" t="s">
        <v>1146</v>
      </c>
      <c r="K341" s="698" t="s">
        <v>1147</v>
      </c>
      <c r="L341" s="701">
        <v>206.50447761194027</v>
      </c>
      <c r="M341" s="701">
        <v>268</v>
      </c>
      <c r="N341" s="702">
        <v>55343.199999999997</v>
      </c>
    </row>
    <row r="342" spans="1:14" ht="14.45" customHeight="1" x14ac:dyDescent="0.2">
      <c r="A342" s="696" t="s">
        <v>537</v>
      </c>
      <c r="B342" s="697" t="s">
        <v>538</v>
      </c>
      <c r="C342" s="698" t="s">
        <v>550</v>
      </c>
      <c r="D342" s="699" t="s">
        <v>551</v>
      </c>
      <c r="E342" s="700">
        <v>50113001</v>
      </c>
      <c r="F342" s="699" t="s">
        <v>555</v>
      </c>
      <c r="G342" s="698" t="s">
        <v>556</v>
      </c>
      <c r="H342" s="698">
        <v>11670</v>
      </c>
      <c r="I342" s="698">
        <v>11670</v>
      </c>
      <c r="J342" s="698" t="s">
        <v>1146</v>
      </c>
      <c r="K342" s="698" t="s">
        <v>1148</v>
      </c>
      <c r="L342" s="701">
        <v>352</v>
      </c>
      <c r="M342" s="701">
        <v>4.75</v>
      </c>
      <c r="N342" s="702">
        <v>1672</v>
      </c>
    </row>
    <row r="343" spans="1:14" ht="14.45" customHeight="1" x14ac:dyDescent="0.2">
      <c r="A343" s="696" t="s">
        <v>537</v>
      </c>
      <c r="B343" s="697" t="s">
        <v>538</v>
      </c>
      <c r="C343" s="698" t="s">
        <v>550</v>
      </c>
      <c r="D343" s="699" t="s">
        <v>551</v>
      </c>
      <c r="E343" s="700">
        <v>50113001</v>
      </c>
      <c r="F343" s="699" t="s">
        <v>555</v>
      </c>
      <c r="G343" s="698" t="s">
        <v>556</v>
      </c>
      <c r="H343" s="698">
        <v>111696</v>
      </c>
      <c r="I343" s="698">
        <v>11696</v>
      </c>
      <c r="J343" s="698" t="s">
        <v>1149</v>
      </c>
      <c r="K343" s="698" t="s">
        <v>1147</v>
      </c>
      <c r="L343" s="701">
        <v>321.3918090452263</v>
      </c>
      <c r="M343" s="701">
        <v>199</v>
      </c>
      <c r="N343" s="702">
        <v>63956.970000000038</v>
      </c>
    </row>
    <row r="344" spans="1:14" ht="14.45" customHeight="1" x14ac:dyDescent="0.2">
      <c r="A344" s="696" t="s">
        <v>537</v>
      </c>
      <c r="B344" s="697" t="s">
        <v>538</v>
      </c>
      <c r="C344" s="698" t="s">
        <v>550</v>
      </c>
      <c r="D344" s="699" t="s">
        <v>551</v>
      </c>
      <c r="E344" s="700">
        <v>50113001</v>
      </c>
      <c r="F344" s="699" t="s">
        <v>555</v>
      </c>
      <c r="G344" s="698" t="s">
        <v>556</v>
      </c>
      <c r="H344" s="698">
        <v>209048</v>
      </c>
      <c r="I344" s="698">
        <v>209048</v>
      </c>
      <c r="J344" s="698" t="s">
        <v>1150</v>
      </c>
      <c r="K344" s="698" t="s">
        <v>1151</v>
      </c>
      <c r="L344" s="701">
        <v>45379.79</v>
      </c>
      <c r="M344" s="701">
        <v>2</v>
      </c>
      <c r="N344" s="702">
        <v>90759.58</v>
      </c>
    </row>
    <row r="345" spans="1:14" ht="14.45" customHeight="1" x14ac:dyDescent="0.2">
      <c r="A345" s="696" t="s">
        <v>537</v>
      </c>
      <c r="B345" s="697" t="s">
        <v>538</v>
      </c>
      <c r="C345" s="698" t="s">
        <v>550</v>
      </c>
      <c r="D345" s="699" t="s">
        <v>551</v>
      </c>
      <c r="E345" s="700">
        <v>50113001</v>
      </c>
      <c r="F345" s="699" t="s">
        <v>555</v>
      </c>
      <c r="G345" s="698" t="s">
        <v>556</v>
      </c>
      <c r="H345" s="698">
        <v>132917</v>
      </c>
      <c r="I345" s="698">
        <v>32917</v>
      </c>
      <c r="J345" s="698" t="s">
        <v>1152</v>
      </c>
      <c r="K345" s="698" t="s">
        <v>1153</v>
      </c>
      <c r="L345" s="701">
        <v>160.48000000000002</v>
      </c>
      <c r="M345" s="701">
        <v>1</v>
      </c>
      <c r="N345" s="702">
        <v>160.48000000000002</v>
      </c>
    </row>
    <row r="346" spans="1:14" ht="14.45" customHeight="1" x14ac:dyDescent="0.2">
      <c r="A346" s="696" t="s">
        <v>537</v>
      </c>
      <c r="B346" s="697" t="s">
        <v>538</v>
      </c>
      <c r="C346" s="698" t="s">
        <v>550</v>
      </c>
      <c r="D346" s="699" t="s">
        <v>551</v>
      </c>
      <c r="E346" s="700">
        <v>50113001</v>
      </c>
      <c r="F346" s="699" t="s">
        <v>555</v>
      </c>
      <c r="G346" s="698" t="s">
        <v>556</v>
      </c>
      <c r="H346" s="698">
        <v>229903</v>
      </c>
      <c r="I346" s="698">
        <v>229903</v>
      </c>
      <c r="J346" s="698" t="s">
        <v>1154</v>
      </c>
      <c r="K346" s="698" t="s">
        <v>849</v>
      </c>
      <c r="L346" s="701">
        <v>25.41</v>
      </c>
      <c r="M346" s="701">
        <v>1</v>
      </c>
      <c r="N346" s="702">
        <v>25.41</v>
      </c>
    </row>
    <row r="347" spans="1:14" ht="14.45" customHeight="1" x14ac:dyDescent="0.2">
      <c r="A347" s="696" t="s">
        <v>537</v>
      </c>
      <c r="B347" s="697" t="s">
        <v>538</v>
      </c>
      <c r="C347" s="698" t="s">
        <v>550</v>
      </c>
      <c r="D347" s="699" t="s">
        <v>551</v>
      </c>
      <c r="E347" s="700">
        <v>50113001</v>
      </c>
      <c r="F347" s="699" t="s">
        <v>555</v>
      </c>
      <c r="G347" s="698" t="s">
        <v>571</v>
      </c>
      <c r="H347" s="698">
        <v>846824</v>
      </c>
      <c r="I347" s="698">
        <v>124087</v>
      </c>
      <c r="J347" s="698" t="s">
        <v>1155</v>
      </c>
      <c r="K347" s="698" t="s">
        <v>1156</v>
      </c>
      <c r="L347" s="701">
        <v>158.97999999999999</v>
      </c>
      <c r="M347" s="701">
        <v>1</v>
      </c>
      <c r="N347" s="702">
        <v>158.97999999999999</v>
      </c>
    </row>
    <row r="348" spans="1:14" ht="14.45" customHeight="1" x14ac:dyDescent="0.2">
      <c r="A348" s="696" t="s">
        <v>537</v>
      </c>
      <c r="B348" s="697" t="s">
        <v>538</v>
      </c>
      <c r="C348" s="698" t="s">
        <v>550</v>
      </c>
      <c r="D348" s="699" t="s">
        <v>551</v>
      </c>
      <c r="E348" s="700">
        <v>50113001</v>
      </c>
      <c r="F348" s="699" t="s">
        <v>555</v>
      </c>
      <c r="G348" s="698" t="s">
        <v>571</v>
      </c>
      <c r="H348" s="698">
        <v>844651</v>
      </c>
      <c r="I348" s="698">
        <v>101205</v>
      </c>
      <c r="J348" s="698" t="s">
        <v>1157</v>
      </c>
      <c r="K348" s="698" t="s">
        <v>1158</v>
      </c>
      <c r="L348" s="701">
        <v>76.450000000000017</v>
      </c>
      <c r="M348" s="701">
        <v>2</v>
      </c>
      <c r="N348" s="702">
        <v>152.90000000000003</v>
      </c>
    </row>
    <row r="349" spans="1:14" ht="14.45" customHeight="1" x14ac:dyDescent="0.2">
      <c r="A349" s="696" t="s">
        <v>537</v>
      </c>
      <c r="B349" s="697" t="s">
        <v>538</v>
      </c>
      <c r="C349" s="698" t="s">
        <v>550</v>
      </c>
      <c r="D349" s="699" t="s">
        <v>551</v>
      </c>
      <c r="E349" s="700">
        <v>50113001</v>
      </c>
      <c r="F349" s="699" t="s">
        <v>555</v>
      </c>
      <c r="G349" s="698" t="s">
        <v>571</v>
      </c>
      <c r="H349" s="698">
        <v>845220</v>
      </c>
      <c r="I349" s="698">
        <v>101211</v>
      </c>
      <c r="J349" s="698" t="s">
        <v>1157</v>
      </c>
      <c r="K349" s="698" t="s">
        <v>701</v>
      </c>
      <c r="L349" s="701">
        <v>188.82</v>
      </c>
      <c r="M349" s="701">
        <v>2</v>
      </c>
      <c r="N349" s="702">
        <v>377.64</v>
      </c>
    </row>
    <row r="350" spans="1:14" ht="14.45" customHeight="1" x14ac:dyDescent="0.2">
      <c r="A350" s="696" t="s">
        <v>537</v>
      </c>
      <c r="B350" s="697" t="s">
        <v>538</v>
      </c>
      <c r="C350" s="698" t="s">
        <v>550</v>
      </c>
      <c r="D350" s="699" t="s">
        <v>551</v>
      </c>
      <c r="E350" s="700">
        <v>50113001</v>
      </c>
      <c r="F350" s="699" t="s">
        <v>555</v>
      </c>
      <c r="G350" s="698" t="s">
        <v>556</v>
      </c>
      <c r="H350" s="698">
        <v>846338</v>
      </c>
      <c r="I350" s="698">
        <v>122685</v>
      </c>
      <c r="J350" s="698" t="s">
        <v>1159</v>
      </c>
      <c r="K350" s="698" t="s">
        <v>1160</v>
      </c>
      <c r="L350" s="701">
        <v>115.92500000000001</v>
      </c>
      <c r="M350" s="701">
        <v>2</v>
      </c>
      <c r="N350" s="702">
        <v>231.85000000000002</v>
      </c>
    </row>
    <row r="351" spans="1:14" ht="14.45" customHeight="1" x14ac:dyDescent="0.2">
      <c r="A351" s="696" t="s">
        <v>537</v>
      </c>
      <c r="B351" s="697" t="s">
        <v>538</v>
      </c>
      <c r="C351" s="698" t="s">
        <v>550</v>
      </c>
      <c r="D351" s="699" t="s">
        <v>551</v>
      </c>
      <c r="E351" s="700">
        <v>50113001</v>
      </c>
      <c r="F351" s="699" t="s">
        <v>555</v>
      </c>
      <c r="G351" s="698" t="s">
        <v>571</v>
      </c>
      <c r="H351" s="698">
        <v>118175</v>
      </c>
      <c r="I351" s="698">
        <v>18175</v>
      </c>
      <c r="J351" s="698" t="s">
        <v>1161</v>
      </c>
      <c r="K351" s="698" t="s">
        <v>1162</v>
      </c>
      <c r="L351" s="701">
        <v>627</v>
      </c>
      <c r="M351" s="701">
        <v>68</v>
      </c>
      <c r="N351" s="702">
        <v>42636</v>
      </c>
    </row>
    <row r="352" spans="1:14" ht="14.45" customHeight="1" x14ac:dyDescent="0.2">
      <c r="A352" s="696" t="s">
        <v>537</v>
      </c>
      <c r="B352" s="697" t="s">
        <v>538</v>
      </c>
      <c r="C352" s="698" t="s">
        <v>550</v>
      </c>
      <c r="D352" s="699" t="s">
        <v>551</v>
      </c>
      <c r="E352" s="700">
        <v>50113001</v>
      </c>
      <c r="F352" s="699" t="s">
        <v>555</v>
      </c>
      <c r="G352" s="698" t="s">
        <v>571</v>
      </c>
      <c r="H352" s="698">
        <v>118167</v>
      </c>
      <c r="I352" s="698">
        <v>18167</v>
      </c>
      <c r="J352" s="698" t="s">
        <v>1161</v>
      </c>
      <c r="K352" s="698" t="s">
        <v>1163</v>
      </c>
      <c r="L352" s="701">
        <v>65.78</v>
      </c>
      <c r="M352" s="701">
        <v>420</v>
      </c>
      <c r="N352" s="702">
        <v>27627.599999999999</v>
      </c>
    </row>
    <row r="353" spans="1:14" ht="14.45" customHeight="1" x14ac:dyDescent="0.2">
      <c r="A353" s="696" t="s">
        <v>537</v>
      </c>
      <c r="B353" s="697" t="s">
        <v>538</v>
      </c>
      <c r="C353" s="698" t="s">
        <v>550</v>
      </c>
      <c r="D353" s="699" t="s">
        <v>551</v>
      </c>
      <c r="E353" s="700">
        <v>50113001</v>
      </c>
      <c r="F353" s="699" t="s">
        <v>555</v>
      </c>
      <c r="G353" s="698" t="s">
        <v>571</v>
      </c>
      <c r="H353" s="698">
        <v>118172</v>
      </c>
      <c r="I353" s="698">
        <v>18172</v>
      </c>
      <c r="J353" s="698" t="s">
        <v>1161</v>
      </c>
      <c r="K353" s="698" t="s">
        <v>1164</v>
      </c>
      <c r="L353" s="701">
        <v>390.5</v>
      </c>
      <c r="M353" s="701">
        <v>138</v>
      </c>
      <c r="N353" s="702">
        <v>53889</v>
      </c>
    </row>
    <row r="354" spans="1:14" ht="14.45" customHeight="1" x14ac:dyDescent="0.2">
      <c r="A354" s="696" t="s">
        <v>537</v>
      </c>
      <c r="B354" s="697" t="s">
        <v>538</v>
      </c>
      <c r="C354" s="698" t="s">
        <v>550</v>
      </c>
      <c r="D354" s="699" t="s">
        <v>551</v>
      </c>
      <c r="E354" s="700">
        <v>50113001</v>
      </c>
      <c r="F354" s="699" t="s">
        <v>555</v>
      </c>
      <c r="G354" s="698" t="s">
        <v>556</v>
      </c>
      <c r="H354" s="698">
        <v>249403</v>
      </c>
      <c r="I354" s="698">
        <v>249403</v>
      </c>
      <c r="J354" s="698" t="s">
        <v>1165</v>
      </c>
      <c r="K354" s="698" t="s">
        <v>1166</v>
      </c>
      <c r="L354" s="701">
        <v>968</v>
      </c>
      <c r="M354" s="701">
        <v>16</v>
      </c>
      <c r="N354" s="702">
        <v>15488</v>
      </c>
    </row>
    <row r="355" spans="1:14" ht="14.45" customHeight="1" x14ac:dyDescent="0.2">
      <c r="A355" s="696" t="s">
        <v>537</v>
      </c>
      <c r="B355" s="697" t="s">
        <v>538</v>
      </c>
      <c r="C355" s="698" t="s">
        <v>550</v>
      </c>
      <c r="D355" s="699" t="s">
        <v>551</v>
      </c>
      <c r="E355" s="700">
        <v>50113001</v>
      </c>
      <c r="F355" s="699" t="s">
        <v>555</v>
      </c>
      <c r="G355" s="698" t="s">
        <v>556</v>
      </c>
      <c r="H355" s="698">
        <v>110548</v>
      </c>
      <c r="I355" s="698">
        <v>110548</v>
      </c>
      <c r="J355" s="698" t="s">
        <v>1167</v>
      </c>
      <c r="K355" s="698" t="s">
        <v>1168</v>
      </c>
      <c r="L355" s="701">
        <v>997.33</v>
      </c>
      <c r="M355" s="701">
        <v>8</v>
      </c>
      <c r="N355" s="702">
        <v>7978.64</v>
      </c>
    </row>
    <row r="356" spans="1:14" ht="14.45" customHeight="1" x14ac:dyDescent="0.2">
      <c r="A356" s="696" t="s">
        <v>537</v>
      </c>
      <c r="B356" s="697" t="s">
        <v>538</v>
      </c>
      <c r="C356" s="698" t="s">
        <v>550</v>
      </c>
      <c r="D356" s="699" t="s">
        <v>551</v>
      </c>
      <c r="E356" s="700">
        <v>50113001</v>
      </c>
      <c r="F356" s="699" t="s">
        <v>555</v>
      </c>
      <c r="G356" s="698" t="s">
        <v>556</v>
      </c>
      <c r="H356" s="698">
        <v>233016</v>
      </c>
      <c r="I356" s="698">
        <v>233016</v>
      </c>
      <c r="J356" s="698" t="s">
        <v>1169</v>
      </c>
      <c r="K356" s="698" t="s">
        <v>1170</v>
      </c>
      <c r="L356" s="701">
        <v>107.34</v>
      </c>
      <c r="M356" s="701">
        <v>40</v>
      </c>
      <c r="N356" s="702">
        <v>4293.6000000000004</v>
      </c>
    </row>
    <row r="357" spans="1:14" ht="14.45" customHeight="1" x14ac:dyDescent="0.2">
      <c r="A357" s="696" t="s">
        <v>537</v>
      </c>
      <c r="B357" s="697" t="s">
        <v>538</v>
      </c>
      <c r="C357" s="698" t="s">
        <v>550</v>
      </c>
      <c r="D357" s="699" t="s">
        <v>551</v>
      </c>
      <c r="E357" s="700">
        <v>50113001</v>
      </c>
      <c r="F357" s="699" t="s">
        <v>555</v>
      </c>
      <c r="G357" s="698" t="s">
        <v>556</v>
      </c>
      <c r="H357" s="698">
        <v>191731</v>
      </c>
      <c r="I357" s="698">
        <v>91731</v>
      </c>
      <c r="J357" s="698" t="s">
        <v>1171</v>
      </c>
      <c r="K357" s="698" t="s">
        <v>1172</v>
      </c>
      <c r="L357" s="701">
        <v>3943.7600000000016</v>
      </c>
      <c r="M357" s="701">
        <v>1</v>
      </c>
      <c r="N357" s="702">
        <v>3943.7600000000016</v>
      </c>
    </row>
    <row r="358" spans="1:14" ht="14.45" customHeight="1" x14ac:dyDescent="0.2">
      <c r="A358" s="696" t="s">
        <v>537</v>
      </c>
      <c r="B358" s="697" t="s">
        <v>538</v>
      </c>
      <c r="C358" s="698" t="s">
        <v>550</v>
      </c>
      <c r="D358" s="699" t="s">
        <v>551</v>
      </c>
      <c r="E358" s="700">
        <v>50113001</v>
      </c>
      <c r="F358" s="699" t="s">
        <v>555</v>
      </c>
      <c r="G358" s="698" t="s">
        <v>556</v>
      </c>
      <c r="H358" s="698">
        <v>992598</v>
      </c>
      <c r="I358" s="698">
        <v>0</v>
      </c>
      <c r="J358" s="698" t="s">
        <v>1173</v>
      </c>
      <c r="K358" s="698" t="s">
        <v>306</v>
      </c>
      <c r="L358" s="701">
        <v>55</v>
      </c>
      <c r="M358" s="701">
        <v>65</v>
      </c>
      <c r="N358" s="702">
        <v>3575</v>
      </c>
    </row>
    <row r="359" spans="1:14" ht="14.45" customHeight="1" x14ac:dyDescent="0.2">
      <c r="A359" s="696" t="s">
        <v>537</v>
      </c>
      <c r="B359" s="697" t="s">
        <v>538</v>
      </c>
      <c r="C359" s="698" t="s">
        <v>550</v>
      </c>
      <c r="D359" s="699" t="s">
        <v>551</v>
      </c>
      <c r="E359" s="700">
        <v>50113001</v>
      </c>
      <c r="F359" s="699" t="s">
        <v>555</v>
      </c>
      <c r="G359" s="698" t="s">
        <v>556</v>
      </c>
      <c r="H359" s="698">
        <v>235776</v>
      </c>
      <c r="I359" s="698">
        <v>235776</v>
      </c>
      <c r="J359" s="698" t="s">
        <v>1174</v>
      </c>
      <c r="K359" s="698" t="s">
        <v>1175</v>
      </c>
      <c r="L359" s="701">
        <v>429.77000000000004</v>
      </c>
      <c r="M359" s="701">
        <v>1</v>
      </c>
      <c r="N359" s="702">
        <v>429.77000000000004</v>
      </c>
    </row>
    <row r="360" spans="1:14" ht="14.45" customHeight="1" x14ac:dyDescent="0.2">
      <c r="A360" s="696" t="s">
        <v>537</v>
      </c>
      <c r="B360" s="697" t="s">
        <v>538</v>
      </c>
      <c r="C360" s="698" t="s">
        <v>550</v>
      </c>
      <c r="D360" s="699" t="s">
        <v>551</v>
      </c>
      <c r="E360" s="700">
        <v>50113001</v>
      </c>
      <c r="F360" s="699" t="s">
        <v>555</v>
      </c>
      <c r="G360" s="698" t="s">
        <v>556</v>
      </c>
      <c r="H360" s="698">
        <v>144357</v>
      </c>
      <c r="I360" s="698">
        <v>44357</v>
      </c>
      <c r="J360" s="698" t="s">
        <v>1176</v>
      </c>
      <c r="K360" s="698" t="s">
        <v>1177</v>
      </c>
      <c r="L360" s="701">
        <v>3228.1899999999991</v>
      </c>
      <c r="M360" s="701">
        <v>10</v>
      </c>
      <c r="N360" s="702">
        <v>32281.899999999991</v>
      </c>
    </row>
    <row r="361" spans="1:14" ht="14.45" customHeight="1" x14ac:dyDescent="0.2">
      <c r="A361" s="696" t="s">
        <v>537</v>
      </c>
      <c r="B361" s="697" t="s">
        <v>538</v>
      </c>
      <c r="C361" s="698" t="s">
        <v>550</v>
      </c>
      <c r="D361" s="699" t="s">
        <v>551</v>
      </c>
      <c r="E361" s="700">
        <v>50113001</v>
      </c>
      <c r="F361" s="699" t="s">
        <v>555</v>
      </c>
      <c r="G361" s="698" t="s">
        <v>556</v>
      </c>
      <c r="H361" s="698">
        <v>118304</v>
      </c>
      <c r="I361" s="698">
        <v>18304</v>
      </c>
      <c r="J361" s="698" t="s">
        <v>1178</v>
      </c>
      <c r="K361" s="698" t="s">
        <v>1179</v>
      </c>
      <c r="L361" s="701">
        <v>185.60999999999999</v>
      </c>
      <c r="M361" s="701">
        <v>152</v>
      </c>
      <c r="N361" s="702">
        <v>28212.719999999998</v>
      </c>
    </row>
    <row r="362" spans="1:14" ht="14.45" customHeight="1" x14ac:dyDescent="0.2">
      <c r="A362" s="696" t="s">
        <v>537</v>
      </c>
      <c r="B362" s="697" t="s">
        <v>538</v>
      </c>
      <c r="C362" s="698" t="s">
        <v>550</v>
      </c>
      <c r="D362" s="699" t="s">
        <v>551</v>
      </c>
      <c r="E362" s="700">
        <v>50113001</v>
      </c>
      <c r="F362" s="699" t="s">
        <v>555</v>
      </c>
      <c r="G362" s="698" t="s">
        <v>556</v>
      </c>
      <c r="H362" s="698">
        <v>118305</v>
      </c>
      <c r="I362" s="698">
        <v>18305</v>
      </c>
      <c r="J362" s="698" t="s">
        <v>1178</v>
      </c>
      <c r="K362" s="698" t="s">
        <v>1180</v>
      </c>
      <c r="L362" s="701">
        <v>242</v>
      </c>
      <c r="M362" s="701">
        <v>106</v>
      </c>
      <c r="N362" s="702">
        <v>25652</v>
      </c>
    </row>
    <row r="363" spans="1:14" ht="14.45" customHeight="1" x14ac:dyDescent="0.2">
      <c r="A363" s="696" t="s">
        <v>537</v>
      </c>
      <c r="B363" s="697" t="s">
        <v>538</v>
      </c>
      <c r="C363" s="698" t="s">
        <v>550</v>
      </c>
      <c r="D363" s="699" t="s">
        <v>551</v>
      </c>
      <c r="E363" s="700">
        <v>50113001</v>
      </c>
      <c r="F363" s="699" t="s">
        <v>555</v>
      </c>
      <c r="G363" s="698" t="s">
        <v>556</v>
      </c>
      <c r="H363" s="698">
        <v>114957</v>
      </c>
      <c r="I363" s="698">
        <v>14957</v>
      </c>
      <c r="J363" s="698" t="s">
        <v>1181</v>
      </c>
      <c r="K363" s="698" t="s">
        <v>1182</v>
      </c>
      <c r="L363" s="701">
        <v>40.030000000000008</v>
      </c>
      <c r="M363" s="701">
        <v>1</v>
      </c>
      <c r="N363" s="702">
        <v>40.030000000000008</v>
      </c>
    </row>
    <row r="364" spans="1:14" ht="14.45" customHeight="1" x14ac:dyDescent="0.2">
      <c r="A364" s="696" t="s">
        <v>537</v>
      </c>
      <c r="B364" s="697" t="s">
        <v>538</v>
      </c>
      <c r="C364" s="698" t="s">
        <v>550</v>
      </c>
      <c r="D364" s="699" t="s">
        <v>551</v>
      </c>
      <c r="E364" s="700">
        <v>50113001</v>
      </c>
      <c r="F364" s="699" t="s">
        <v>555</v>
      </c>
      <c r="G364" s="698" t="s">
        <v>571</v>
      </c>
      <c r="H364" s="698">
        <v>226455</v>
      </c>
      <c r="I364" s="698">
        <v>226455</v>
      </c>
      <c r="J364" s="698" t="s">
        <v>1183</v>
      </c>
      <c r="K364" s="698" t="s">
        <v>814</v>
      </c>
      <c r="L364" s="701">
        <v>495</v>
      </c>
      <c r="M364" s="701">
        <v>2</v>
      </c>
      <c r="N364" s="702">
        <v>990</v>
      </c>
    </row>
    <row r="365" spans="1:14" ht="14.45" customHeight="1" x14ac:dyDescent="0.2">
      <c r="A365" s="696" t="s">
        <v>537</v>
      </c>
      <c r="B365" s="697" t="s">
        <v>538</v>
      </c>
      <c r="C365" s="698" t="s">
        <v>550</v>
      </c>
      <c r="D365" s="699" t="s">
        <v>551</v>
      </c>
      <c r="E365" s="700">
        <v>50113001</v>
      </c>
      <c r="F365" s="699" t="s">
        <v>555</v>
      </c>
      <c r="G365" s="698" t="s">
        <v>556</v>
      </c>
      <c r="H365" s="698">
        <v>845135</v>
      </c>
      <c r="I365" s="698">
        <v>100232</v>
      </c>
      <c r="J365" s="698" t="s">
        <v>1184</v>
      </c>
      <c r="K365" s="698" t="s">
        <v>1185</v>
      </c>
      <c r="L365" s="701">
        <v>133.01</v>
      </c>
      <c r="M365" s="701">
        <v>1</v>
      </c>
      <c r="N365" s="702">
        <v>133.01</v>
      </c>
    </row>
    <row r="366" spans="1:14" ht="14.45" customHeight="1" x14ac:dyDescent="0.2">
      <c r="A366" s="696" t="s">
        <v>537</v>
      </c>
      <c r="B366" s="697" t="s">
        <v>538</v>
      </c>
      <c r="C366" s="698" t="s">
        <v>550</v>
      </c>
      <c r="D366" s="699" t="s">
        <v>551</v>
      </c>
      <c r="E366" s="700">
        <v>50113001</v>
      </c>
      <c r="F366" s="699" t="s">
        <v>555</v>
      </c>
      <c r="G366" s="698" t="s">
        <v>556</v>
      </c>
      <c r="H366" s="698">
        <v>132725</v>
      </c>
      <c r="I366" s="698">
        <v>132725</v>
      </c>
      <c r="J366" s="698" t="s">
        <v>1184</v>
      </c>
      <c r="K366" s="698" t="s">
        <v>1186</v>
      </c>
      <c r="L366" s="701">
        <v>208.66999999999993</v>
      </c>
      <c r="M366" s="701">
        <v>1</v>
      </c>
      <c r="N366" s="702">
        <v>208.66999999999993</v>
      </c>
    </row>
    <row r="367" spans="1:14" ht="14.45" customHeight="1" x14ac:dyDescent="0.2">
      <c r="A367" s="696" t="s">
        <v>537</v>
      </c>
      <c r="B367" s="697" t="s">
        <v>538</v>
      </c>
      <c r="C367" s="698" t="s">
        <v>550</v>
      </c>
      <c r="D367" s="699" t="s">
        <v>551</v>
      </c>
      <c r="E367" s="700">
        <v>50113001</v>
      </c>
      <c r="F367" s="699" t="s">
        <v>555</v>
      </c>
      <c r="G367" s="698" t="s">
        <v>556</v>
      </c>
      <c r="H367" s="698">
        <v>987460</v>
      </c>
      <c r="I367" s="698">
        <v>0</v>
      </c>
      <c r="J367" s="698" t="s">
        <v>1187</v>
      </c>
      <c r="K367" s="698" t="s">
        <v>306</v>
      </c>
      <c r="L367" s="701">
        <v>114.22</v>
      </c>
      <c r="M367" s="701">
        <v>1</v>
      </c>
      <c r="N367" s="702">
        <v>114.22</v>
      </c>
    </row>
    <row r="368" spans="1:14" ht="14.45" customHeight="1" x14ac:dyDescent="0.2">
      <c r="A368" s="696" t="s">
        <v>537</v>
      </c>
      <c r="B368" s="697" t="s">
        <v>538</v>
      </c>
      <c r="C368" s="698" t="s">
        <v>550</v>
      </c>
      <c r="D368" s="699" t="s">
        <v>551</v>
      </c>
      <c r="E368" s="700">
        <v>50113001</v>
      </c>
      <c r="F368" s="699" t="s">
        <v>555</v>
      </c>
      <c r="G368" s="698" t="s">
        <v>571</v>
      </c>
      <c r="H368" s="698">
        <v>115643</v>
      </c>
      <c r="I368" s="698">
        <v>15643</v>
      </c>
      <c r="J368" s="698" t="s">
        <v>1188</v>
      </c>
      <c r="K368" s="698" t="s">
        <v>1189</v>
      </c>
      <c r="L368" s="701">
        <v>770.43</v>
      </c>
      <c r="M368" s="701">
        <v>1</v>
      </c>
      <c r="N368" s="702">
        <v>770.43</v>
      </c>
    </row>
    <row r="369" spans="1:14" ht="14.45" customHeight="1" x14ac:dyDescent="0.2">
      <c r="A369" s="696" t="s">
        <v>537</v>
      </c>
      <c r="B369" s="697" t="s">
        <v>538</v>
      </c>
      <c r="C369" s="698" t="s">
        <v>550</v>
      </c>
      <c r="D369" s="699" t="s">
        <v>551</v>
      </c>
      <c r="E369" s="700">
        <v>50113001</v>
      </c>
      <c r="F369" s="699" t="s">
        <v>555</v>
      </c>
      <c r="G369" s="698" t="s">
        <v>571</v>
      </c>
      <c r="H369" s="698">
        <v>115245</v>
      </c>
      <c r="I369" s="698">
        <v>15245</v>
      </c>
      <c r="J369" s="698" t="s">
        <v>1190</v>
      </c>
      <c r="K369" s="698" t="s">
        <v>1191</v>
      </c>
      <c r="L369" s="701">
        <v>1375</v>
      </c>
      <c r="M369" s="701">
        <v>268</v>
      </c>
      <c r="N369" s="702">
        <v>368500</v>
      </c>
    </row>
    <row r="370" spans="1:14" ht="14.45" customHeight="1" x14ac:dyDescent="0.2">
      <c r="A370" s="696" t="s">
        <v>537</v>
      </c>
      <c r="B370" s="697" t="s">
        <v>538</v>
      </c>
      <c r="C370" s="698" t="s">
        <v>550</v>
      </c>
      <c r="D370" s="699" t="s">
        <v>551</v>
      </c>
      <c r="E370" s="700">
        <v>50113001</v>
      </c>
      <c r="F370" s="699" t="s">
        <v>555</v>
      </c>
      <c r="G370" s="698" t="s">
        <v>556</v>
      </c>
      <c r="H370" s="698">
        <v>180058</v>
      </c>
      <c r="I370" s="698">
        <v>80058</v>
      </c>
      <c r="J370" s="698" t="s">
        <v>1192</v>
      </c>
      <c r="K370" s="698" t="s">
        <v>1193</v>
      </c>
      <c r="L370" s="701">
        <v>132.90000000000006</v>
      </c>
      <c r="M370" s="701">
        <v>1</v>
      </c>
      <c r="N370" s="702">
        <v>132.90000000000006</v>
      </c>
    </row>
    <row r="371" spans="1:14" ht="14.45" customHeight="1" x14ac:dyDescent="0.2">
      <c r="A371" s="696" t="s">
        <v>537</v>
      </c>
      <c r="B371" s="697" t="s">
        <v>538</v>
      </c>
      <c r="C371" s="698" t="s">
        <v>550</v>
      </c>
      <c r="D371" s="699" t="s">
        <v>551</v>
      </c>
      <c r="E371" s="700">
        <v>50113001</v>
      </c>
      <c r="F371" s="699" t="s">
        <v>555</v>
      </c>
      <c r="G371" s="698" t="s">
        <v>306</v>
      </c>
      <c r="H371" s="698">
        <v>172564</v>
      </c>
      <c r="I371" s="698">
        <v>72564</v>
      </c>
      <c r="J371" s="698" t="s">
        <v>1194</v>
      </c>
      <c r="K371" s="698" t="s">
        <v>1195</v>
      </c>
      <c r="L371" s="701">
        <v>473.9248235294117</v>
      </c>
      <c r="M371" s="701">
        <v>85</v>
      </c>
      <c r="N371" s="702">
        <v>40283.609999999993</v>
      </c>
    </row>
    <row r="372" spans="1:14" ht="14.45" customHeight="1" x14ac:dyDescent="0.2">
      <c r="A372" s="696" t="s">
        <v>537</v>
      </c>
      <c r="B372" s="697" t="s">
        <v>538</v>
      </c>
      <c r="C372" s="698" t="s">
        <v>550</v>
      </c>
      <c r="D372" s="699" t="s">
        <v>551</v>
      </c>
      <c r="E372" s="700">
        <v>50113001</v>
      </c>
      <c r="F372" s="699" t="s">
        <v>555</v>
      </c>
      <c r="G372" s="698" t="s">
        <v>306</v>
      </c>
      <c r="H372" s="698">
        <v>230071</v>
      </c>
      <c r="I372" s="698">
        <v>230071</v>
      </c>
      <c r="J372" s="698" t="s">
        <v>1196</v>
      </c>
      <c r="K372" s="698" t="s">
        <v>1197</v>
      </c>
      <c r="L372" s="701">
        <v>99.14</v>
      </c>
      <c r="M372" s="701">
        <v>1</v>
      </c>
      <c r="N372" s="702">
        <v>99.14</v>
      </c>
    </row>
    <row r="373" spans="1:14" ht="14.45" customHeight="1" x14ac:dyDescent="0.2">
      <c r="A373" s="696" t="s">
        <v>537</v>
      </c>
      <c r="B373" s="697" t="s">
        <v>538</v>
      </c>
      <c r="C373" s="698" t="s">
        <v>550</v>
      </c>
      <c r="D373" s="699" t="s">
        <v>551</v>
      </c>
      <c r="E373" s="700">
        <v>50113001</v>
      </c>
      <c r="F373" s="699" t="s">
        <v>555</v>
      </c>
      <c r="G373" s="698" t="s">
        <v>556</v>
      </c>
      <c r="H373" s="698">
        <v>207264</v>
      </c>
      <c r="I373" s="698">
        <v>207264</v>
      </c>
      <c r="J373" s="698" t="s">
        <v>1198</v>
      </c>
      <c r="K373" s="698" t="s">
        <v>1199</v>
      </c>
      <c r="L373" s="701">
        <v>149.04000000000002</v>
      </c>
      <c r="M373" s="701">
        <v>1</v>
      </c>
      <c r="N373" s="702">
        <v>149.04000000000002</v>
      </c>
    </row>
    <row r="374" spans="1:14" ht="14.45" customHeight="1" x14ac:dyDescent="0.2">
      <c r="A374" s="696" t="s">
        <v>537</v>
      </c>
      <c r="B374" s="697" t="s">
        <v>538</v>
      </c>
      <c r="C374" s="698" t="s">
        <v>550</v>
      </c>
      <c r="D374" s="699" t="s">
        <v>551</v>
      </c>
      <c r="E374" s="700">
        <v>50113001</v>
      </c>
      <c r="F374" s="699" t="s">
        <v>555</v>
      </c>
      <c r="G374" s="698" t="s">
        <v>556</v>
      </c>
      <c r="H374" s="698">
        <v>175868</v>
      </c>
      <c r="I374" s="698">
        <v>75868</v>
      </c>
      <c r="J374" s="698" t="s">
        <v>1198</v>
      </c>
      <c r="K374" s="698" t="s">
        <v>1200</v>
      </c>
      <c r="L374" s="701">
        <v>1.133</v>
      </c>
      <c r="M374" s="701">
        <v>15</v>
      </c>
      <c r="N374" s="702">
        <v>16.995000000000001</v>
      </c>
    </row>
    <row r="375" spans="1:14" ht="14.45" customHeight="1" x14ac:dyDescent="0.2">
      <c r="A375" s="696" t="s">
        <v>537</v>
      </c>
      <c r="B375" s="697" t="s">
        <v>538</v>
      </c>
      <c r="C375" s="698" t="s">
        <v>550</v>
      </c>
      <c r="D375" s="699" t="s">
        <v>551</v>
      </c>
      <c r="E375" s="700">
        <v>50113001</v>
      </c>
      <c r="F375" s="699" t="s">
        <v>555</v>
      </c>
      <c r="G375" s="698" t="s">
        <v>571</v>
      </c>
      <c r="H375" s="698">
        <v>158172</v>
      </c>
      <c r="I375" s="698">
        <v>58172</v>
      </c>
      <c r="J375" s="698" t="s">
        <v>1201</v>
      </c>
      <c r="K375" s="698" t="s">
        <v>1202</v>
      </c>
      <c r="L375" s="701">
        <v>251.53000000000006</v>
      </c>
      <c r="M375" s="701">
        <v>1</v>
      </c>
      <c r="N375" s="702">
        <v>251.53000000000006</v>
      </c>
    </row>
    <row r="376" spans="1:14" ht="14.45" customHeight="1" x14ac:dyDescent="0.2">
      <c r="A376" s="696" t="s">
        <v>537</v>
      </c>
      <c r="B376" s="697" t="s">
        <v>538</v>
      </c>
      <c r="C376" s="698" t="s">
        <v>550</v>
      </c>
      <c r="D376" s="699" t="s">
        <v>551</v>
      </c>
      <c r="E376" s="700">
        <v>50113001</v>
      </c>
      <c r="F376" s="699" t="s">
        <v>555</v>
      </c>
      <c r="G376" s="698" t="s">
        <v>571</v>
      </c>
      <c r="H376" s="698">
        <v>109709</v>
      </c>
      <c r="I376" s="698">
        <v>9709</v>
      </c>
      <c r="J376" s="698" t="s">
        <v>1203</v>
      </c>
      <c r="K376" s="698" t="s">
        <v>1204</v>
      </c>
      <c r="L376" s="701">
        <v>64.899999999999991</v>
      </c>
      <c r="M376" s="701">
        <v>90</v>
      </c>
      <c r="N376" s="702">
        <v>5840.9999999999991</v>
      </c>
    </row>
    <row r="377" spans="1:14" ht="14.45" customHeight="1" x14ac:dyDescent="0.2">
      <c r="A377" s="696" t="s">
        <v>537</v>
      </c>
      <c r="B377" s="697" t="s">
        <v>538</v>
      </c>
      <c r="C377" s="698" t="s">
        <v>550</v>
      </c>
      <c r="D377" s="699" t="s">
        <v>551</v>
      </c>
      <c r="E377" s="700">
        <v>50113001</v>
      </c>
      <c r="F377" s="699" t="s">
        <v>555</v>
      </c>
      <c r="G377" s="698" t="s">
        <v>571</v>
      </c>
      <c r="H377" s="698">
        <v>109711</v>
      </c>
      <c r="I377" s="698">
        <v>9711</v>
      </c>
      <c r="J377" s="698" t="s">
        <v>1203</v>
      </c>
      <c r="K377" s="698" t="s">
        <v>1205</v>
      </c>
      <c r="L377" s="701">
        <v>170.27999999999997</v>
      </c>
      <c r="M377" s="701">
        <v>20</v>
      </c>
      <c r="N377" s="702">
        <v>3405.5999999999995</v>
      </c>
    </row>
    <row r="378" spans="1:14" ht="14.45" customHeight="1" x14ac:dyDescent="0.2">
      <c r="A378" s="696" t="s">
        <v>537</v>
      </c>
      <c r="B378" s="697" t="s">
        <v>538</v>
      </c>
      <c r="C378" s="698" t="s">
        <v>550</v>
      </c>
      <c r="D378" s="699" t="s">
        <v>551</v>
      </c>
      <c r="E378" s="700">
        <v>50113001</v>
      </c>
      <c r="F378" s="699" t="s">
        <v>555</v>
      </c>
      <c r="G378" s="698" t="s">
        <v>306</v>
      </c>
      <c r="H378" s="698">
        <v>227014</v>
      </c>
      <c r="I378" s="698">
        <v>227014</v>
      </c>
      <c r="J378" s="698" t="s">
        <v>1206</v>
      </c>
      <c r="K378" s="698" t="s">
        <v>1207</v>
      </c>
      <c r="L378" s="701">
        <v>106.61499999999998</v>
      </c>
      <c r="M378" s="701">
        <v>80</v>
      </c>
      <c r="N378" s="702">
        <v>8529.1999999999989</v>
      </c>
    </row>
    <row r="379" spans="1:14" ht="14.45" customHeight="1" x14ac:dyDescent="0.2">
      <c r="A379" s="696" t="s">
        <v>537</v>
      </c>
      <c r="B379" s="697" t="s">
        <v>538</v>
      </c>
      <c r="C379" s="698" t="s">
        <v>550</v>
      </c>
      <c r="D379" s="699" t="s">
        <v>551</v>
      </c>
      <c r="E379" s="700">
        <v>50113001</v>
      </c>
      <c r="F379" s="699" t="s">
        <v>555</v>
      </c>
      <c r="G379" s="698" t="s">
        <v>556</v>
      </c>
      <c r="H379" s="698">
        <v>119653</v>
      </c>
      <c r="I379" s="698">
        <v>119653</v>
      </c>
      <c r="J379" s="698" t="s">
        <v>1208</v>
      </c>
      <c r="K379" s="698" t="s">
        <v>1209</v>
      </c>
      <c r="L379" s="701">
        <v>157.19000000000003</v>
      </c>
      <c r="M379" s="701">
        <v>1</v>
      </c>
      <c r="N379" s="702">
        <v>157.19000000000003</v>
      </c>
    </row>
    <row r="380" spans="1:14" ht="14.45" customHeight="1" x14ac:dyDescent="0.2">
      <c r="A380" s="696" t="s">
        <v>537</v>
      </c>
      <c r="B380" s="697" t="s">
        <v>538</v>
      </c>
      <c r="C380" s="698" t="s">
        <v>550</v>
      </c>
      <c r="D380" s="699" t="s">
        <v>551</v>
      </c>
      <c r="E380" s="700">
        <v>50113001</v>
      </c>
      <c r="F380" s="699" t="s">
        <v>555</v>
      </c>
      <c r="G380" s="698" t="s">
        <v>306</v>
      </c>
      <c r="H380" s="698">
        <v>241682</v>
      </c>
      <c r="I380" s="698">
        <v>241682</v>
      </c>
      <c r="J380" s="698" t="s">
        <v>1210</v>
      </c>
      <c r="K380" s="698" t="s">
        <v>1211</v>
      </c>
      <c r="L380" s="701">
        <v>684.73</v>
      </c>
      <c r="M380" s="701">
        <v>20</v>
      </c>
      <c r="N380" s="702">
        <v>13694.6</v>
      </c>
    </row>
    <row r="381" spans="1:14" ht="14.45" customHeight="1" x14ac:dyDescent="0.2">
      <c r="A381" s="696" t="s">
        <v>537</v>
      </c>
      <c r="B381" s="697" t="s">
        <v>538</v>
      </c>
      <c r="C381" s="698" t="s">
        <v>550</v>
      </c>
      <c r="D381" s="699" t="s">
        <v>551</v>
      </c>
      <c r="E381" s="700">
        <v>50113001</v>
      </c>
      <c r="F381" s="699" t="s">
        <v>555</v>
      </c>
      <c r="G381" s="698" t="s">
        <v>556</v>
      </c>
      <c r="H381" s="698">
        <v>230920</v>
      </c>
      <c r="I381" s="698">
        <v>230920</v>
      </c>
      <c r="J381" s="698" t="s">
        <v>1212</v>
      </c>
      <c r="K381" s="698" t="s">
        <v>1213</v>
      </c>
      <c r="L381" s="701">
        <v>685.06833333333338</v>
      </c>
      <c r="M381" s="701">
        <v>180</v>
      </c>
      <c r="N381" s="702">
        <v>123312.3</v>
      </c>
    </row>
    <row r="382" spans="1:14" ht="14.45" customHeight="1" x14ac:dyDescent="0.2">
      <c r="A382" s="696" t="s">
        <v>537</v>
      </c>
      <c r="B382" s="697" t="s">
        <v>538</v>
      </c>
      <c r="C382" s="698" t="s">
        <v>550</v>
      </c>
      <c r="D382" s="699" t="s">
        <v>551</v>
      </c>
      <c r="E382" s="700">
        <v>50113001</v>
      </c>
      <c r="F382" s="699" t="s">
        <v>555</v>
      </c>
      <c r="G382" s="698" t="s">
        <v>556</v>
      </c>
      <c r="H382" s="698">
        <v>230918</v>
      </c>
      <c r="I382" s="698">
        <v>230918</v>
      </c>
      <c r="J382" s="698" t="s">
        <v>1214</v>
      </c>
      <c r="K382" s="698" t="s">
        <v>1215</v>
      </c>
      <c r="L382" s="701">
        <v>148.28615384615387</v>
      </c>
      <c r="M382" s="701">
        <v>130</v>
      </c>
      <c r="N382" s="702">
        <v>19277.2</v>
      </c>
    </row>
    <row r="383" spans="1:14" ht="14.45" customHeight="1" x14ac:dyDescent="0.2">
      <c r="A383" s="696" t="s">
        <v>537</v>
      </c>
      <c r="B383" s="697" t="s">
        <v>538</v>
      </c>
      <c r="C383" s="698" t="s">
        <v>550</v>
      </c>
      <c r="D383" s="699" t="s">
        <v>551</v>
      </c>
      <c r="E383" s="700">
        <v>50113001</v>
      </c>
      <c r="F383" s="699" t="s">
        <v>555</v>
      </c>
      <c r="G383" s="698" t="s">
        <v>556</v>
      </c>
      <c r="H383" s="698">
        <v>845050</v>
      </c>
      <c r="I383" s="698">
        <v>119115</v>
      </c>
      <c r="J383" s="698" t="s">
        <v>1216</v>
      </c>
      <c r="K383" s="698" t="s">
        <v>1217</v>
      </c>
      <c r="L383" s="701">
        <v>44.899999999999984</v>
      </c>
      <c r="M383" s="701">
        <v>2</v>
      </c>
      <c r="N383" s="702">
        <v>89.799999999999969</v>
      </c>
    </row>
    <row r="384" spans="1:14" ht="14.45" customHeight="1" x14ac:dyDescent="0.2">
      <c r="A384" s="696" t="s">
        <v>537</v>
      </c>
      <c r="B384" s="697" t="s">
        <v>538</v>
      </c>
      <c r="C384" s="698" t="s">
        <v>550</v>
      </c>
      <c r="D384" s="699" t="s">
        <v>551</v>
      </c>
      <c r="E384" s="700">
        <v>50113001</v>
      </c>
      <c r="F384" s="699" t="s">
        <v>555</v>
      </c>
      <c r="G384" s="698" t="s">
        <v>556</v>
      </c>
      <c r="H384" s="698">
        <v>988179</v>
      </c>
      <c r="I384" s="698">
        <v>0</v>
      </c>
      <c r="J384" s="698" t="s">
        <v>1218</v>
      </c>
      <c r="K384" s="698" t="s">
        <v>306</v>
      </c>
      <c r="L384" s="701">
        <v>94.546666666666667</v>
      </c>
      <c r="M384" s="701">
        <v>3</v>
      </c>
      <c r="N384" s="702">
        <v>283.64</v>
      </c>
    </row>
    <row r="385" spans="1:14" ht="14.45" customHeight="1" x14ac:dyDescent="0.2">
      <c r="A385" s="696" t="s">
        <v>537</v>
      </c>
      <c r="B385" s="697" t="s">
        <v>538</v>
      </c>
      <c r="C385" s="698" t="s">
        <v>550</v>
      </c>
      <c r="D385" s="699" t="s">
        <v>551</v>
      </c>
      <c r="E385" s="700">
        <v>50113001</v>
      </c>
      <c r="F385" s="699" t="s">
        <v>555</v>
      </c>
      <c r="G385" s="698" t="s">
        <v>556</v>
      </c>
      <c r="H385" s="698">
        <v>397057</v>
      </c>
      <c r="I385" s="698">
        <v>0</v>
      </c>
      <c r="J385" s="698" t="s">
        <v>1219</v>
      </c>
      <c r="K385" s="698" t="s">
        <v>306</v>
      </c>
      <c r="L385" s="701">
        <v>59.83</v>
      </c>
      <c r="M385" s="701">
        <v>4</v>
      </c>
      <c r="N385" s="702">
        <v>239.32</v>
      </c>
    </row>
    <row r="386" spans="1:14" ht="14.45" customHeight="1" x14ac:dyDescent="0.2">
      <c r="A386" s="696" t="s">
        <v>537</v>
      </c>
      <c r="B386" s="697" t="s">
        <v>538</v>
      </c>
      <c r="C386" s="698" t="s">
        <v>550</v>
      </c>
      <c r="D386" s="699" t="s">
        <v>551</v>
      </c>
      <c r="E386" s="700">
        <v>50113001</v>
      </c>
      <c r="F386" s="699" t="s">
        <v>555</v>
      </c>
      <c r="G386" s="698" t="s">
        <v>556</v>
      </c>
      <c r="H386" s="698">
        <v>244980</v>
      </c>
      <c r="I386" s="698">
        <v>244980</v>
      </c>
      <c r="J386" s="698" t="s">
        <v>1220</v>
      </c>
      <c r="K386" s="698" t="s">
        <v>1221</v>
      </c>
      <c r="L386" s="701">
        <v>58.138891438338028</v>
      </c>
      <c r="M386" s="701">
        <v>9</v>
      </c>
      <c r="N386" s="702">
        <v>523.25002294504225</v>
      </c>
    </row>
    <row r="387" spans="1:14" ht="14.45" customHeight="1" x14ac:dyDescent="0.2">
      <c r="A387" s="696" t="s">
        <v>537</v>
      </c>
      <c r="B387" s="697" t="s">
        <v>538</v>
      </c>
      <c r="C387" s="698" t="s">
        <v>550</v>
      </c>
      <c r="D387" s="699" t="s">
        <v>551</v>
      </c>
      <c r="E387" s="700">
        <v>50113001</v>
      </c>
      <c r="F387" s="699" t="s">
        <v>555</v>
      </c>
      <c r="G387" s="698" t="s">
        <v>556</v>
      </c>
      <c r="H387" s="698">
        <v>226695</v>
      </c>
      <c r="I387" s="698">
        <v>226695</v>
      </c>
      <c r="J387" s="698" t="s">
        <v>1222</v>
      </c>
      <c r="K387" s="698" t="s">
        <v>1223</v>
      </c>
      <c r="L387" s="701">
        <v>172.14000000000001</v>
      </c>
      <c r="M387" s="701">
        <v>3</v>
      </c>
      <c r="N387" s="702">
        <v>516.42000000000007</v>
      </c>
    </row>
    <row r="388" spans="1:14" ht="14.45" customHeight="1" x14ac:dyDescent="0.2">
      <c r="A388" s="696" t="s">
        <v>537</v>
      </c>
      <c r="B388" s="697" t="s">
        <v>538</v>
      </c>
      <c r="C388" s="698" t="s">
        <v>550</v>
      </c>
      <c r="D388" s="699" t="s">
        <v>551</v>
      </c>
      <c r="E388" s="700">
        <v>50113001</v>
      </c>
      <c r="F388" s="699" t="s">
        <v>555</v>
      </c>
      <c r="G388" s="698" t="s">
        <v>556</v>
      </c>
      <c r="H388" s="698">
        <v>216573</v>
      </c>
      <c r="I388" s="698">
        <v>216573</v>
      </c>
      <c r="J388" s="698" t="s">
        <v>1224</v>
      </c>
      <c r="K388" s="698" t="s">
        <v>1225</v>
      </c>
      <c r="L388" s="701">
        <v>79.78</v>
      </c>
      <c r="M388" s="701">
        <v>5</v>
      </c>
      <c r="N388" s="702">
        <v>398.9</v>
      </c>
    </row>
    <row r="389" spans="1:14" ht="14.45" customHeight="1" x14ac:dyDescent="0.2">
      <c r="A389" s="696" t="s">
        <v>537</v>
      </c>
      <c r="B389" s="697" t="s">
        <v>538</v>
      </c>
      <c r="C389" s="698" t="s">
        <v>550</v>
      </c>
      <c r="D389" s="699" t="s">
        <v>551</v>
      </c>
      <c r="E389" s="700">
        <v>50113001</v>
      </c>
      <c r="F389" s="699" t="s">
        <v>555</v>
      </c>
      <c r="G389" s="698" t="s">
        <v>556</v>
      </c>
      <c r="H389" s="698">
        <v>100610</v>
      </c>
      <c r="I389" s="698">
        <v>610</v>
      </c>
      <c r="J389" s="698" t="s">
        <v>1226</v>
      </c>
      <c r="K389" s="698" t="s">
        <v>1227</v>
      </c>
      <c r="L389" s="701">
        <v>74.641733668341715</v>
      </c>
      <c r="M389" s="701">
        <v>398</v>
      </c>
      <c r="N389" s="702">
        <v>29707.41</v>
      </c>
    </row>
    <row r="390" spans="1:14" ht="14.45" customHeight="1" x14ac:dyDescent="0.2">
      <c r="A390" s="696" t="s">
        <v>537</v>
      </c>
      <c r="B390" s="697" t="s">
        <v>538</v>
      </c>
      <c r="C390" s="698" t="s">
        <v>550</v>
      </c>
      <c r="D390" s="699" t="s">
        <v>551</v>
      </c>
      <c r="E390" s="700">
        <v>50113001</v>
      </c>
      <c r="F390" s="699" t="s">
        <v>555</v>
      </c>
      <c r="G390" s="698" t="s">
        <v>556</v>
      </c>
      <c r="H390" s="698">
        <v>100612</v>
      </c>
      <c r="I390" s="698">
        <v>612</v>
      </c>
      <c r="J390" s="698" t="s">
        <v>1228</v>
      </c>
      <c r="K390" s="698" t="s">
        <v>1229</v>
      </c>
      <c r="L390" s="701">
        <v>69.490841584158389</v>
      </c>
      <c r="M390" s="701">
        <v>202</v>
      </c>
      <c r="N390" s="702">
        <v>14037.149999999994</v>
      </c>
    </row>
    <row r="391" spans="1:14" ht="14.45" customHeight="1" x14ac:dyDescent="0.2">
      <c r="A391" s="696" t="s">
        <v>537</v>
      </c>
      <c r="B391" s="697" t="s">
        <v>538</v>
      </c>
      <c r="C391" s="698" t="s">
        <v>550</v>
      </c>
      <c r="D391" s="699" t="s">
        <v>551</v>
      </c>
      <c r="E391" s="700">
        <v>50113001</v>
      </c>
      <c r="F391" s="699" t="s">
        <v>555</v>
      </c>
      <c r="G391" s="698" t="s">
        <v>556</v>
      </c>
      <c r="H391" s="698">
        <v>171615</v>
      </c>
      <c r="I391" s="698">
        <v>171615</v>
      </c>
      <c r="J391" s="698" t="s">
        <v>1230</v>
      </c>
      <c r="K391" s="698" t="s">
        <v>1231</v>
      </c>
      <c r="L391" s="701">
        <v>166.93068965517242</v>
      </c>
      <c r="M391" s="701">
        <v>29</v>
      </c>
      <c r="N391" s="702">
        <v>4840.99</v>
      </c>
    </row>
    <row r="392" spans="1:14" ht="14.45" customHeight="1" x14ac:dyDescent="0.2">
      <c r="A392" s="696" t="s">
        <v>537</v>
      </c>
      <c r="B392" s="697" t="s">
        <v>538</v>
      </c>
      <c r="C392" s="698" t="s">
        <v>550</v>
      </c>
      <c r="D392" s="699" t="s">
        <v>551</v>
      </c>
      <c r="E392" s="700">
        <v>50113001</v>
      </c>
      <c r="F392" s="699" t="s">
        <v>555</v>
      </c>
      <c r="G392" s="698" t="s">
        <v>556</v>
      </c>
      <c r="H392" s="698">
        <v>171616</v>
      </c>
      <c r="I392" s="698">
        <v>171616</v>
      </c>
      <c r="J392" s="698" t="s">
        <v>1232</v>
      </c>
      <c r="K392" s="698" t="s">
        <v>1233</v>
      </c>
      <c r="L392" s="701">
        <v>223.43842105263158</v>
      </c>
      <c r="M392" s="701">
        <v>38</v>
      </c>
      <c r="N392" s="702">
        <v>8490.66</v>
      </c>
    </row>
    <row r="393" spans="1:14" ht="14.45" customHeight="1" x14ac:dyDescent="0.2">
      <c r="A393" s="696" t="s">
        <v>537</v>
      </c>
      <c r="B393" s="697" t="s">
        <v>538</v>
      </c>
      <c r="C393" s="698" t="s">
        <v>550</v>
      </c>
      <c r="D393" s="699" t="s">
        <v>551</v>
      </c>
      <c r="E393" s="700">
        <v>50113001</v>
      </c>
      <c r="F393" s="699" t="s">
        <v>555</v>
      </c>
      <c r="G393" s="698" t="s">
        <v>556</v>
      </c>
      <c r="H393" s="698">
        <v>114711</v>
      </c>
      <c r="I393" s="698">
        <v>14711</v>
      </c>
      <c r="J393" s="698" t="s">
        <v>1234</v>
      </c>
      <c r="K393" s="698" t="s">
        <v>1235</v>
      </c>
      <c r="L393" s="701">
        <v>49.926666666666669</v>
      </c>
      <c r="M393" s="701">
        <v>3</v>
      </c>
      <c r="N393" s="702">
        <v>149.78</v>
      </c>
    </row>
    <row r="394" spans="1:14" ht="14.45" customHeight="1" x14ac:dyDescent="0.2">
      <c r="A394" s="696" t="s">
        <v>537</v>
      </c>
      <c r="B394" s="697" t="s">
        <v>538</v>
      </c>
      <c r="C394" s="698" t="s">
        <v>550</v>
      </c>
      <c r="D394" s="699" t="s">
        <v>551</v>
      </c>
      <c r="E394" s="700">
        <v>50113001</v>
      </c>
      <c r="F394" s="699" t="s">
        <v>555</v>
      </c>
      <c r="G394" s="698" t="s">
        <v>556</v>
      </c>
      <c r="H394" s="698">
        <v>192160</v>
      </c>
      <c r="I394" s="698">
        <v>92160</v>
      </c>
      <c r="J394" s="698" t="s">
        <v>1236</v>
      </c>
      <c r="K394" s="698" t="s">
        <v>1237</v>
      </c>
      <c r="L394" s="701">
        <v>66.080000778158293</v>
      </c>
      <c r="M394" s="701">
        <v>5</v>
      </c>
      <c r="N394" s="702">
        <v>330.40000389079148</v>
      </c>
    </row>
    <row r="395" spans="1:14" ht="14.45" customHeight="1" x14ac:dyDescent="0.2">
      <c r="A395" s="696" t="s">
        <v>537</v>
      </c>
      <c r="B395" s="697" t="s">
        <v>538</v>
      </c>
      <c r="C395" s="698" t="s">
        <v>550</v>
      </c>
      <c r="D395" s="699" t="s">
        <v>551</v>
      </c>
      <c r="E395" s="700">
        <v>50113001</v>
      </c>
      <c r="F395" s="699" t="s">
        <v>555</v>
      </c>
      <c r="G395" s="698" t="s">
        <v>556</v>
      </c>
      <c r="H395" s="698">
        <v>116444</v>
      </c>
      <c r="I395" s="698">
        <v>16444</v>
      </c>
      <c r="J395" s="698" t="s">
        <v>1238</v>
      </c>
      <c r="K395" s="698" t="s">
        <v>1239</v>
      </c>
      <c r="L395" s="701">
        <v>121.97</v>
      </c>
      <c r="M395" s="701">
        <v>1</v>
      </c>
      <c r="N395" s="702">
        <v>121.97</v>
      </c>
    </row>
    <row r="396" spans="1:14" ht="14.45" customHeight="1" x14ac:dyDescent="0.2">
      <c r="A396" s="696" t="s">
        <v>537</v>
      </c>
      <c r="B396" s="697" t="s">
        <v>538</v>
      </c>
      <c r="C396" s="698" t="s">
        <v>550</v>
      </c>
      <c r="D396" s="699" t="s">
        <v>551</v>
      </c>
      <c r="E396" s="700">
        <v>50113001</v>
      </c>
      <c r="F396" s="699" t="s">
        <v>555</v>
      </c>
      <c r="G396" s="698" t="s">
        <v>556</v>
      </c>
      <c r="H396" s="698">
        <v>158198</v>
      </c>
      <c r="I396" s="698">
        <v>158198</v>
      </c>
      <c r="J396" s="698" t="s">
        <v>1240</v>
      </c>
      <c r="K396" s="698" t="s">
        <v>1241</v>
      </c>
      <c r="L396" s="701">
        <v>196.07000000000002</v>
      </c>
      <c r="M396" s="701">
        <v>2</v>
      </c>
      <c r="N396" s="702">
        <v>392.14000000000004</v>
      </c>
    </row>
    <row r="397" spans="1:14" ht="14.45" customHeight="1" x14ac:dyDescent="0.2">
      <c r="A397" s="696" t="s">
        <v>537</v>
      </c>
      <c r="B397" s="697" t="s">
        <v>538</v>
      </c>
      <c r="C397" s="698" t="s">
        <v>550</v>
      </c>
      <c r="D397" s="699" t="s">
        <v>551</v>
      </c>
      <c r="E397" s="700">
        <v>50113001</v>
      </c>
      <c r="F397" s="699" t="s">
        <v>555</v>
      </c>
      <c r="G397" s="698" t="s">
        <v>571</v>
      </c>
      <c r="H397" s="698">
        <v>189657</v>
      </c>
      <c r="I397" s="698">
        <v>189657</v>
      </c>
      <c r="J397" s="698" t="s">
        <v>1242</v>
      </c>
      <c r="K397" s="698" t="s">
        <v>1160</v>
      </c>
      <c r="L397" s="701">
        <v>77.13</v>
      </c>
      <c r="M397" s="701">
        <v>1</v>
      </c>
      <c r="N397" s="702">
        <v>77.13</v>
      </c>
    </row>
    <row r="398" spans="1:14" ht="14.45" customHeight="1" x14ac:dyDescent="0.2">
      <c r="A398" s="696" t="s">
        <v>537</v>
      </c>
      <c r="B398" s="697" t="s">
        <v>538</v>
      </c>
      <c r="C398" s="698" t="s">
        <v>550</v>
      </c>
      <c r="D398" s="699" t="s">
        <v>551</v>
      </c>
      <c r="E398" s="700">
        <v>50113001</v>
      </c>
      <c r="F398" s="699" t="s">
        <v>555</v>
      </c>
      <c r="G398" s="698" t="s">
        <v>556</v>
      </c>
      <c r="H398" s="698">
        <v>845075</v>
      </c>
      <c r="I398" s="698">
        <v>125641</v>
      </c>
      <c r="J398" s="698" t="s">
        <v>1243</v>
      </c>
      <c r="K398" s="698" t="s">
        <v>1244</v>
      </c>
      <c r="L398" s="701">
        <v>353.53000000000003</v>
      </c>
      <c r="M398" s="701">
        <v>1</v>
      </c>
      <c r="N398" s="702">
        <v>353.53000000000003</v>
      </c>
    </row>
    <row r="399" spans="1:14" ht="14.45" customHeight="1" x14ac:dyDescent="0.2">
      <c r="A399" s="696" t="s">
        <v>537</v>
      </c>
      <c r="B399" s="697" t="s">
        <v>538</v>
      </c>
      <c r="C399" s="698" t="s">
        <v>550</v>
      </c>
      <c r="D399" s="699" t="s">
        <v>551</v>
      </c>
      <c r="E399" s="700">
        <v>50113001</v>
      </c>
      <c r="F399" s="699" t="s">
        <v>555</v>
      </c>
      <c r="G399" s="698" t="s">
        <v>556</v>
      </c>
      <c r="H399" s="698">
        <v>990345</v>
      </c>
      <c r="I399" s="698">
        <v>0</v>
      </c>
      <c r="J399" s="698" t="s">
        <v>1245</v>
      </c>
      <c r="K399" s="698" t="s">
        <v>306</v>
      </c>
      <c r="L399" s="701">
        <v>79.02</v>
      </c>
      <c r="M399" s="701">
        <v>1</v>
      </c>
      <c r="N399" s="702">
        <v>79.02</v>
      </c>
    </row>
    <row r="400" spans="1:14" ht="14.45" customHeight="1" x14ac:dyDescent="0.2">
      <c r="A400" s="696" t="s">
        <v>537</v>
      </c>
      <c r="B400" s="697" t="s">
        <v>538</v>
      </c>
      <c r="C400" s="698" t="s">
        <v>550</v>
      </c>
      <c r="D400" s="699" t="s">
        <v>551</v>
      </c>
      <c r="E400" s="700">
        <v>50113001</v>
      </c>
      <c r="F400" s="699" t="s">
        <v>555</v>
      </c>
      <c r="G400" s="698" t="s">
        <v>556</v>
      </c>
      <c r="H400" s="698">
        <v>100616</v>
      </c>
      <c r="I400" s="698">
        <v>616</v>
      </c>
      <c r="J400" s="698" t="s">
        <v>1246</v>
      </c>
      <c r="K400" s="698" t="s">
        <v>1247</v>
      </c>
      <c r="L400" s="701">
        <v>122.02999999999999</v>
      </c>
      <c r="M400" s="701">
        <v>16</v>
      </c>
      <c r="N400" s="702">
        <v>1952.4799999999998</v>
      </c>
    </row>
    <row r="401" spans="1:14" ht="14.45" customHeight="1" x14ac:dyDescent="0.2">
      <c r="A401" s="696" t="s">
        <v>537</v>
      </c>
      <c r="B401" s="697" t="s">
        <v>538</v>
      </c>
      <c r="C401" s="698" t="s">
        <v>550</v>
      </c>
      <c r="D401" s="699" t="s">
        <v>551</v>
      </c>
      <c r="E401" s="700">
        <v>50113001</v>
      </c>
      <c r="F401" s="699" t="s">
        <v>555</v>
      </c>
      <c r="G401" s="698" t="s">
        <v>556</v>
      </c>
      <c r="H401" s="698">
        <v>848632</v>
      </c>
      <c r="I401" s="698">
        <v>125315</v>
      </c>
      <c r="J401" s="698" t="s">
        <v>1248</v>
      </c>
      <c r="K401" s="698" t="s">
        <v>1249</v>
      </c>
      <c r="L401" s="701">
        <v>58.15</v>
      </c>
      <c r="M401" s="701">
        <v>39</v>
      </c>
      <c r="N401" s="702">
        <v>2267.85</v>
      </c>
    </row>
    <row r="402" spans="1:14" ht="14.45" customHeight="1" x14ac:dyDescent="0.2">
      <c r="A402" s="696" t="s">
        <v>537</v>
      </c>
      <c r="B402" s="697" t="s">
        <v>538</v>
      </c>
      <c r="C402" s="698" t="s">
        <v>550</v>
      </c>
      <c r="D402" s="699" t="s">
        <v>551</v>
      </c>
      <c r="E402" s="700">
        <v>50113001</v>
      </c>
      <c r="F402" s="699" t="s">
        <v>555</v>
      </c>
      <c r="G402" s="698" t="s">
        <v>556</v>
      </c>
      <c r="H402" s="698">
        <v>225172</v>
      </c>
      <c r="I402" s="698">
        <v>225172</v>
      </c>
      <c r="J402" s="698" t="s">
        <v>1250</v>
      </c>
      <c r="K402" s="698" t="s">
        <v>1251</v>
      </c>
      <c r="L402" s="701">
        <v>57.31</v>
      </c>
      <c r="M402" s="701">
        <v>4</v>
      </c>
      <c r="N402" s="702">
        <v>229.24</v>
      </c>
    </row>
    <row r="403" spans="1:14" ht="14.45" customHeight="1" x14ac:dyDescent="0.2">
      <c r="A403" s="696" t="s">
        <v>537</v>
      </c>
      <c r="B403" s="697" t="s">
        <v>538</v>
      </c>
      <c r="C403" s="698" t="s">
        <v>550</v>
      </c>
      <c r="D403" s="699" t="s">
        <v>551</v>
      </c>
      <c r="E403" s="700">
        <v>50113001</v>
      </c>
      <c r="F403" s="699" t="s">
        <v>555</v>
      </c>
      <c r="G403" s="698" t="s">
        <v>306</v>
      </c>
      <c r="H403" s="698">
        <v>206512</v>
      </c>
      <c r="I403" s="698">
        <v>206512</v>
      </c>
      <c r="J403" s="698" t="s">
        <v>1252</v>
      </c>
      <c r="K403" s="698" t="s">
        <v>1156</v>
      </c>
      <c r="L403" s="701">
        <v>157.22</v>
      </c>
      <c r="M403" s="701">
        <v>1</v>
      </c>
      <c r="N403" s="702">
        <v>157.22</v>
      </c>
    </row>
    <row r="404" spans="1:14" ht="14.45" customHeight="1" x14ac:dyDescent="0.2">
      <c r="A404" s="696" t="s">
        <v>537</v>
      </c>
      <c r="B404" s="697" t="s">
        <v>538</v>
      </c>
      <c r="C404" s="698" t="s">
        <v>550</v>
      </c>
      <c r="D404" s="699" t="s">
        <v>551</v>
      </c>
      <c r="E404" s="700">
        <v>50113001</v>
      </c>
      <c r="F404" s="699" t="s">
        <v>555</v>
      </c>
      <c r="G404" s="698" t="s">
        <v>556</v>
      </c>
      <c r="H404" s="698">
        <v>191836</v>
      </c>
      <c r="I404" s="698">
        <v>91836</v>
      </c>
      <c r="J404" s="698" t="s">
        <v>1253</v>
      </c>
      <c r="K404" s="698" t="s">
        <v>1254</v>
      </c>
      <c r="L404" s="701">
        <v>50.84571428571428</v>
      </c>
      <c r="M404" s="701">
        <v>14</v>
      </c>
      <c r="N404" s="702">
        <v>711.83999999999992</v>
      </c>
    </row>
    <row r="405" spans="1:14" ht="14.45" customHeight="1" x14ac:dyDescent="0.2">
      <c r="A405" s="696" t="s">
        <v>537</v>
      </c>
      <c r="B405" s="697" t="s">
        <v>538</v>
      </c>
      <c r="C405" s="698" t="s">
        <v>550</v>
      </c>
      <c r="D405" s="699" t="s">
        <v>551</v>
      </c>
      <c r="E405" s="700">
        <v>50113001</v>
      </c>
      <c r="F405" s="699" t="s">
        <v>555</v>
      </c>
      <c r="G405" s="698" t="s">
        <v>556</v>
      </c>
      <c r="H405" s="698">
        <v>201133</v>
      </c>
      <c r="I405" s="698">
        <v>201133</v>
      </c>
      <c r="J405" s="698" t="s">
        <v>1255</v>
      </c>
      <c r="K405" s="698" t="s">
        <v>1256</v>
      </c>
      <c r="L405" s="701">
        <v>248.19999999999996</v>
      </c>
      <c r="M405" s="701">
        <v>3</v>
      </c>
      <c r="N405" s="702">
        <v>744.59999999999991</v>
      </c>
    </row>
    <row r="406" spans="1:14" ht="14.45" customHeight="1" x14ac:dyDescent="0.2">
      <c r="A406" s="696" t="s">
        <v>537</v>
      </c>
      <c r="B406" s="697" t="s">
        <v>538</v>
      </c>
      <c r="C406" s="698" t="s">
        <v>550</v>
      </c>
      <c r="D406" s="699" t="s">
        <v>551</v>
      </c>
      <c r="E406" s="700">
        <v>50113001</v>
      </c>
      <c r="F406" s="699" t="s">
        <v>555</v>
      </c>
      <c r="G406" s="698" t="s">
        <v>556</v>
      </c>
      <c r="H406" s="698">
        <v>242203</v>
      </c>
      <c r="I406" s="698">
        <v>242203</v>
      </c>
      <c r="J406" s="698" t="s">
        <v>1257</v>
      </c>
      <c r="K406" s="698" t="s">
        <v>1258</v>
      </c>
      <c r="L406" s="701">
        <v>104.28596899224807</v>
      </c>
      <c r="M406" s="701">
        <v>129</v>
      </c>
      <c r="N406" s="702">
        <v>13452.890000000001</v>
      </c>
    </row>
    <row r="407" spans="1:14" ht="14.45" customHeight="1" x14ac:dyDescent="0.2">
      <c r="A407" s="696" t="s">
        <v>537</v>
      </c>
      <c r="B407" s="697" t="s">
        <v>538</v>
      </c>
      <c r="C407" s="698" t="s">
        <v>550</v>
      </c>
      <c r="D407" s="699" t="s">
        <v>551</v>
      </c>
      <c r="E407" s="700">
        <v>50113001</v>
      </c>
      <c r="F407" s="699" t="s">
        <v>555</v>
      </c>
      <c r="G407" s="698" t="s">
        <v>556</v>
      </c>
      <c r="H407" s="698">
        <v>234225</v>
      </c>
      <c r="I407" s="698">
        <v>234225</v>
      </c>
      <c r="J407" s="698" t="s">
        <v>1259</v>
      </c>
      <c r="K407" s="698" t="s">
        <v>1260</v>
      </c>
      <c r="L407" s="701">
        <v>290.06</v>
      </c>
      <c r="M407" s="701">
        <v>9</v>
      </c>
      <c r="N407" s="702">
        <v>2610.54</v>
      </c>
    </row>
    <row r="408" spans="1:14" ht="14.45" customHeight="1" x14ac:dyDescent="0.2">
      <c r="A408" s="696" t="s">
        <v>537</v>
      </c>
      <c r="B408" s="697" t="s">
        <v>538</v>
      </c>
      <c r="C408" s="698" t="s">
        <v>550</v>
      </c>
      <c r="D408" s="699" t="s">
        <v>551</v>
      </c>
      <c r="E408" s="700">
        <v>50113001</v>
      </c>
      <c r="F408" s="699" t="s">
        <v>555</v>
      </c>
      <c r="G408" s="698" t="s">
        <v>556</v>
      </c>
      <c r="H408" s="698">
        <v>126803</v>
      </c>
      <c r="I408" s="698">
        <v>26803</v>
      </c>
      <c r="J408" s="698" t="s">
        <v>1261</v>
      </c>
      <c r="K408" s="698" t="s">
        <v>1262</v>
      </c>
      <c r="L408" s="701">
        <v>280.59999650145892</v>
      </c>
      <c r="M408" s="701">
        <v>3</v>
      </c>
      <c r="N408" s="702">
        <v>841.79998950437675</v>
      </c>
    </row>
    <row r="409" spans="1:14" ht="14.45" customHeight="1" x14ac:dyDescent="0.2">
      <c r="A409" s="696" t="s">
        <v>537</v>
      </c>
      <c r="B409" s="697" t="s">
        <v>538</v>
      </c>
      <c r="C409" s="698" t="s">
        <v>550</v>
      </c>
      <c r="D409" s="699" t="s">
        <v>551</v>
      </c>
      <c r="E409" s="700">
        <v>50113001</v>
      </c>
      <c r="F409" s="699" t="s">
        <v>555</v>
      </c>
      <c r="G409" s="698" t="s">
        <v>556</v>
      </c>
      <c r="H409" s="698">
        <v>190975</v>
      </c>
      <c r="I409" s="698">
        <v>190975</v>
      </c>
      <c r="J409" s="698" t="s">
        <v>1263</v>
      </c>
      <c r="K409" s="698" t="s">
        <v>1264</v>
      </c>
      <c r="L409" s="701">
        <v>640.02</v>
      </c>
      <c r="M409" s="701">
        <v>1</v>
      </c>
      <c r="N409" s="702">
        <v>640.02</v>
      </c>
    </row>
    <row r="410" spans="1:14" ht="14.45" customHeight="1" x14ac:dyDescent="0.2">
      <c r="A410" s="696" t="s">
        <v>537</v>
      </c>
      <c r="B410" s="697" t="s">
        <v>538</v>
      </c>
      <c r="C410" s="698" t="s">
        <v>550</v>
      </c>
      <c r="D410" s="699" t="s">
        <v>551</v>
      </c>
      <c r="E410" s="700">
        <v>50113001</v>
      </c>
      <c r="F410" s="699" t="s">
        <v>555</v>
      </c>
      <c r="G410" s="698" t="s">
        <v>556</v>
      </c>
      <c r="H410" s="698">
        <v>190968</v>
      </c>
      <c r="I410" s="698">
        <v>190968</v>
      </c>
      <c r="J410" s="698" t="s">
        <v>1265</v>
      </c>
      <c r="K410" s="698" t="s">
        <v>1160</v>
      </c>
      <c r="L410" s="701">
        <v>195.81</v>
      </c>
      <c r="M410" s="701">
        <v>1</v>
      </c>
      <c r="N410" s="702">
        <v>195.81</v>
      </c>
    </row>
    <row r="411" spans="1:14" ht="14.45" customHeight="1" x14ac:dyDescent="0.2">
      <c r="A411" s="696" t="s">
        <v>537</v>
      </c>
      <c r="B411" s="697" t="s">
        <v>538</v>
      </c>
      <c r="C411" s="698" t="s">
        <v>550</v>
      </c>
      <c r="D411" s="699" t="s">
        <v>551</v>
      </c>
      <c r="E411" s="700">
        <v>50113001</v>
      </c>
      <c r="F411" s="699" t="s">
        <v>555</v>
      </c>
      <c r="G411" s="698" t="s">
        <v>556</v>
      </c>
      <c r="H411" s="698">
        <v>190958</v>
      </c>
      <c r="I411" s="698">
        <v>190958</v>
      </c>
      <c r="J411" s="698" t="s">
        <v>1266</v>
      </c>
      <c r="K411" s="698" t="s">
        <v>1160</v>
      </c>
      <c r="L411" s="701">
        <v>140.72</v>
      </c>
      <c r="M411" s="701">
        <v>1</v>
      </c>
      <c r="N411" s="702">
        <v>140.72</v>
      </c>
    </row>
    <row r="412" spans="1:14" ht="14.45" customHeight="1" x14ac:dyDescent="0.2">
      <c r="A412" s="696" t="s">
        <v>537</v>
      </c>
      <c r="B412" s="697" t="s">
        <v>538</v>
      </c>
      <c r="C412" s="698" t="s">
        <v>550</v>
      </c>
      <c r="D412" s="699" t="s">
        <v>551</v>
      </c>
      <c r="E412" s="700">
        <v>50113001</v>
      </c>
      <c r="F412" s="699" t="s">
        <v>555</v>
      </c>
      <c r="G412" s="698" t="s">
        <v>571</v>
      </c>
      <c r="H412" s="698">
        <v>56972</v>
      </c>
      <c r="I412" s="698">
        <v>56972</v>
      </c>
      <c r="J412" s="698" t="s">
        <v>1267</v>
      </c>
      <c r="K412" s="698" t="s">
        <v>1268</v>
      </c>
      <c r="L412" s="701">
        <v>15.500000000000007</v>
      </c>
      <c r="M412" s="701">
        <v>1</v>
      </c>
      <c r="N412" s="702">
        <v>15.500000000000007</v>
      </c>
    </row>
    <row r="413" spans="1:14" ht="14.45" customHeight="1" x14ac:dyDescent="0.2">
      <c r="A413" s="696" t="s">
        <v>537</v>
      </c>
      <c r="B413" s="697" t="s">
        <v>538</v>
      </c>
      <c r="C413" s="698" t="s">
        <v>550</v>
      </c>
      <c r="D413" s="699" t="s">
        <v>551</v>
      </c>
      <c r="E413" s="700">
        <v>50113001</v>
      </c>
      <c r="F413" s="699" t="s">
        <v>555</v>
      </c>
      <c r="G413" s="698" t="s">
        <v>571</v>
      </c>
      <c r="H413" s="698">
        <v>115864</v>
      </c>
      <c r="I413" s="698">
        <v>15864</v>
      </c>
      <c r="J413" s="698" t="s">
        <v>1269</v>
      </c>
      <c r="K413" s="698" t="s">
        <v>1270</v>
      </c>
      <c r="L413" s="701">
        <v>63.310000000000016</v>
      </c>
      <c r="M413" s="701">
        <v>1</v>
      </c>
      <c r="N413" s="702">
        <v>63.310000000000016</v>
      </c>
    </row>
    <row r="414" spans="1:14" ht="14.45" customHeight="1" x14ac:dyDescent="0.2">
      <c r="A414" s="696" t="s">
        <v>537</v>
      </c>
      <c r="B414" s="697" t="s">
        <v>538</v>
      </c>
      <c r="C414" s="698" t="s">
        <v>550</v>
      </c>
      <c r="D414" s="699" t="s">
        <v>551</v>
      </c>
      <c r="E414" s="700">
        <v>50113001</v>
      </c>
      <c r="F414" s="699" t="s">
        <v>555</v>
      </c>
      <c r="G414" s="698" t="s">
        <v>571</v>
      </c>
      <c r="H414" s="698">
        <v>56976</v>
      </c>
      <c r="I414" s="698">
        <v>56976</v>
      </c>
      <c r="J414" s="698" t="s">
        <v>1271</v>
      </c>
      <c r="K414" s="698" t="s">
        <v>1272</v>
      </c>
      <c r="L414" s="701">
        <v>12.420000000000003</v>
      </c>
      <c r="M414" s="701">
        <v>1</v>
      </c>
      <c r="N414" s="702">
        <v>12.420000000000003</v>
      </c>
    </row>
    <row r="415" spans="1:14" ht="14.45" customHeight="1" x14ac:dyDescent="0.2">
      <c r="A415" s="696" t="s">
        <v>537</v>
      </c>
      <c r="B415" s="697" t="s">
        <v>538</v>
      </c>
      <c r="C415" s="698" t="s">
        <v>550</v>
      </c>
      <c r="D415" s="699" t="s">
        <v>551</v>
      </c>
      <c r="E415" s="700">
        <v>50113001</v>
      </c>
      <c r="F415" s="699" t="s">
        <v>555</v>
      </c>
      <c r="G415" s="698" t="s">
        <v>571</v>
      </c>
      <c r="H415" s="698">
        <v>156981</v>
      </c>
      <c r="I415" s="698">
        <v>56981</v>
      </c>
      <c r="J415" s="698" t="s">
        <v>1273</v>
      </c>
      <c r="K415" s="698" t="s">
        <v>1274</v>
      </c>
      <c r="L415" s="701">
        <v>31.660000000000011</v>
      </c>
      <c r="M415" s="701">
        <v>1</v>
      </c>
      <c r="N415" s="702">
        <v>31.660000000000011</v>
      </c>
    </row>
    <row r="416" spans="1:14" ht="14.45" customHeight="1" x14ac:dyDescent="0.2">
      <c r="A416" s="696" t="s">
        <v>537</v>
      </c>
      <c r="B416" s="697" t="s">
        <v>538</v>
      </c>
      <c r="C416" s="698" t="s">
        <v>550</v>
      </c>
      <c r="D416" s="699" t="s">
        <v>551</v>
      </c>
      <c r="E416" s="700">
        <v>50113001</v>
      </c>
      <c r="F416" s="699" t="s">
        <v>555</v>
      </c>
      <c r="G416" s="698" t="s">
        <v>556</v>
      </c>
      <c r="H416" s="698">
        <v>169251</v>
      </c>
      <c r="I416" s="698">
        <v>169251</v>
      </c>
      <c r="J416" s="698" t="s">
        <v>1275</v>
      </c>
      <c r="K416" s="698" t="s">
        <v>1276</v>
      </c>
      <c r="L416" s="701">
        <v>61.020000000000017</v>
      </c>
      <c r="M416" s="701">
        <v>3</v>
      </c>
      <c r="N416" s="702">
        <v>183.06000000000006</v>
      </c>
    </row>
    <row r="417" spans="1:14" ht="14.45" customHeight="1" x14ac:dyDescent="0.2">
      <c r="A417" s="696" t="s">
        <v>537</v>
      </c>
      <c r="B417" s="697" t="s">
        <v>538</v>
      </c>
      <c r="C417" s="698" t="s">
        <v>550</v>
      </c>
      <c r="D417" s="699" t="s">
        <v>551</v>
      </c>
      <c r="E417" s="700">
        <v>50113001</v>
      </c>
      <c r="F417" s="699" t="s">
        <v>555</v>
      </c>
      <c r="G417" s="698" t="s">
        <v>571</v>
      </c>
      <c r="H417" s="698">
        <v>150318</v>
      </c>
      <c r="I417" s="698">
        <v>50318</v>
      </c>
      <c r="J417" s="698" t="s">
        <v>1277</v>
      </c>
      <c r="K417" s="698" t="s">
        <v>1278</v>
      </c>
      <c r="L417" s="701">
        <v>121.95</v>
      </c>
      <c r="M417" s="701">
        <v>1</v>
      </c>
      <c r="N417" s="702">
        <v>121.95</v>
      </c>
    </row>
    <row r="418" spans="1:14" ht="14.45" customHeight="1" x14ac:dyDescent="0.2">
      <c r="A418" s="696" t="s">
        <v>537</v>
      </c>
      <c r="B418" s="697" t="s">
        <v>538</v>
      </c>
      <c r="C418" s="698" t="s">
        <v>550</v>
      </c>
      <c r="D418" s="699" t="s">
        <v>551</v>
      </c>
      <c r="E418" s="700">
        <v>50113001</v>
      </c>
      <c r="F418" s="699" t="s">
        <v>555</v>
      </c>
      <c r="G418" s="698" t="s">
        <v>556</v>
      </c>
      <c r="H418" s="698">
        <v>102130</v>
      </c>
      <c r="I418" s="698">
        <v>2130</v>
      </c>
      <c r="J418" s="698" t="s">
        <v>1279</v>
      </c>
      <c r="K418" s="698" t="s">
        <v>892</v>
      </c>
      <c r="L418" s="701">
        <v>155.76</v>
      </c>
      <c r="M418" s="701">
        <v>4</v>
      </c>
      <c r="N418" s="702">
        <v>623.04</v>
      </c>
    </row>
    <row r="419" spans="1:14" ht="14.45" customHeight="1" x14ac:dyDescent="0.2">
      <c r="A419" s="696" t="s">
        <v>537</v>
      </c>
      <c r="B419" s="697" t="s">
        <v>538</v>
      </c>
      <c r="C419" s="698" t="s">
        <v>550</v>
      </c>
      <c r="D419" s="699" t="s">
        <v>551</v>
      </c>
      <c r="E419" s="700">
        <v>50113001</v>
      </c>
      <c r="F419" s="699" t="s">
        <v>555</v>
      </c>
      <c r="G419" s="698" t="s">
        <v>571</v>
      </c>
      <c r="H419" s="698">
        <v>234661</v>
      </c>
      <c r="I419" s="698">
        <v>234661</v>
      </c>
      <c r="J419" s="698" t="s">
        <v>1280</v>
      </c>
      <c r="K419" s="698" t="s">
        <v>1281</v>
      </c>
      <c r="L419" s="701">
        <v>224.18</v>
      </c>
      <c r="M419" s="701">
        <v>1</v>
      </c>
      <c r="N419" s="702">
        <v>224.18</v>
      </c>
    </row>
    <row r="420" spans="1:14" ht="14.45" customHeight="1" x14ac:dyDescent="0.2">
      <c r="A420" s="696" t="s">
        <v>537</v>
      </c>
      <c r="B420" s="697" t="s">
        <v>538</v>
      </c>
      <c r="C420" s="698" t="s">
        <v>550</v>
      </c>
      <c r="D420" s="699" t="s">
        <v>551</v>
      </c>
      <c r="E420" s="700">
        <v>50113001</v>
      </c>
      <c r="F420" s="699" t="s">
        <v>555</v>
      </c>
      <c r="G420" s="698" t="s">
        <v>556</v>
      </c>
      <c r="H420" s="698">
        <v>155093</v>
      </c>
      <c r="I420" s="698">
        <v>155093</v>
      </c>
      <c r="J420" s="698" t="s">
        <v>1282</v>
      </c>
      <c r="K420" s="698" t="s">
        <v>1283</v>
      </c>
      <c r="L420" s="701">
        <v>350.45999999999992</v>
      </c>
      <c r="M420" s="701">
        <v>1</v>
      </c>
      <c r="N420" s="702">
        <v>350.45999999999992</v>
      </c>
    </row>
    <row r="421" spans="1:14" ht="14.45" customHeight="1" x14ac:dyDescent="0.2">
      <c r="A421" s="696" t="s">
        <v>537</v>
      </c>
      <c r="B421" s="697" t="s">
        <v>538</v>
      </c>
      <c r="C421" s="698" t="s">
        <v>550</v>
      </c>
      <c r="D421" s="699" t="s">
        <v>551</v>
      </c>
      <c r="E421" s="700">
        <v>50113001</v>
      </c>
      <c r="F421" s="699" t="s">
        <v>555</v>
      </c>
      <c r="G421" s="698" t="s">
        <v>556</v>
      </c>
      <c r="H421" s="698">
        <v>236893</v>
      </c>
      <c r="I421" s="698">
        <v>236893</v>
      </c>
      <c r="J421" s="698" t="s">
        <v>1284</v>
      </c>
      <c r="K421" s="698" t="s">
        <v>1285</v>
      </c>
      <c r="L421" s="701">
        <v>8403.4542632603207</v>
      </c>
      <c r="M421" s="701">
        <v>7</v>
      </c>
      <c r="N421" s="702">
        <v>58824.179842822239</v>
      </c>
    </row>
    <row r="422" spans="1:14" ht="14.45" customHeight="1" x14ac:dyDescent="0.2">
      <c r="A422" s="696" t="s">
        <v>537</v>
      </c>
      <c r="B422" s="697" t="s">
        <v>538</v>
      </c>
      <c r="C422" s="698" t="s">
        <v>550</v>
      </c>
      <c r="D422" s="699" t="s">
        <v>551</v>
      </c>
      <c r="E422" s="700">
        <v>50113001</v>
      </c>
      <c r="F422" s="699" t="s">
        <v>555</v>
      </c>
      <c r="G422" s="698" t="s">
        <v>571</v>
      </c>
      <c r="H422" s="698">
        <v>237705</v>
      </c>
      <c r="I422" s="698">
        <v>237705</v>
      </c>
      <c r="J422" s="698" t="s">
        <v>1286</v>
      </c>
      <c r="K422" s="698" t="s">
        <v>1287</v>
      </c>
      <c r="L422" s="701">
        <v>81.109818181818184</v>
      </c>
      <c r="M422" s="701">
        <v>110</v>
      </c>
      <c r="N422" s="702">
        <v>8922.08</v>
      </c>
    </row>
    <row r="423" spans="1:14" ht="14.45" customHeight="1" x14ac:dyDescent="0.2">
      <c r="A423" s="696" t="s">
        <v>537</v>
      </c>
      <c r="B423" s="697" t="s">
        <v>538</v>
      </c>
      <c r="C423" s="698" t="s">
        <v>550</v>
      </c>
      <c r="D423" s="699" t="s">
        <v>551</v>
      </c>
      <c r="E423" s="700">
        <v>50113001</v>
      </c>
      <c r="F423" s="699" t="s">
        <v>555</v>
      </c>
      <c r="G423" s="698" t="s">
        <v>571</v>
      </c>
      <c r="H423" s="698">
        <v>231956</v>
      </c>
      <c r="I423" s="698">
        <v>231956</v>
      </c>
      <c r="J423" s="698" t="s">
        <v>1288</v>
      </c>
      <c r="K423" s="698" t="s">
        <v>1289</v>
      </c>
      <c r="L423" s="701">
        <v>45.471666666666671</v>
      </c>
      <c r="M423" s="701">
        <v>6</v>
      </c>
      <c r="N423" s="702">
        <v>272.83000000000004</v>
      </c>
    </row>
    <row r="424" spans="1:14" ht="14.45" customHeight="1" x14ac:dyDescent="0.2">
      <c r="A424" s="696" t="s">
        <v>537</v>
      </c>
      <c r="B424" s="697" t="s">
        <v>538</v>
      </c>
      <c r="C424" s="698" t="s">
        <v>550</v>
      </c>
      <c r="D424" s="699" t="s">
        <v>551</v>
      </c>
      <c r="E424" s="700">
        <v>50113001</v>
      </c>
      <c r="F424" s="699" t="s">
        <v>555</v>
      </c>
      <c r="G424" s="698" t="s">
        <v>556</v>
      </c>
      <c r="H424" s="698">
        <v>202789</v>
      </c>
      <c r="I424" s="698">
        <v>202789</v>
      </c>
      <c r="J424" s="698" t="s">
        <v>1290</v>
      </c>
      <c r="K424" s="698" t="s">
        <v>1291</v>
      </c>
      <c r="L424" s="701">
        <v>74.689998603139514</v>
      </c>
      <c r="M424" s="701">
        <v>1</v>
      </c>
      <c r="N424" s="702">
        <v>74.689998603139514</v>
      </c>
    </row>
    <row r="425" spans="1:14" ht="14.45" customHeight="1" x14ac:dyDescent="0.2">
      <c r="A425" s="696" t="s">
        <v>537</v>
      </c>
      <c r="B425" s="697" t="s">
        <v>538</v>
      </c>
      <c r="C425" s="698" t="s">
        <v>550</v>
      </c>
      <c r="D425" s="699" t="s">
        <v>551</v>
      </c>
      <c r="E425" s="700">
        <v>50113001</v>
      </c>
      <c r="F425" s="699" t="s">
        <v>555</v>
      </c>
      <c r="G425" s="698" t="s">
        <v>556</v>
      </c>
      <c r="H425" s="698">
        <v>202790</v>
      </c>
      <c r="I425" s="698">
        <v>202790</v>
      </c>
      <c r="J425" s="698" t="s">
        <v>1290</v>
      </c>
      <c r="K425" s="698" t="s">
        <v>1292</v>
      </c>
      <c r="L425" s="701">
        <v>120.18666666666665</v>
      </c>
      <c r="M425" s="701">
        <v>3</v>
      </c>
      <c r="N425" s="702">
        <v>360.55999999999995</v>
      </c>
    </row>
    <row r="426" spans="1:14" ht="14.45" customHeight="1" x14ac:dyDescent="0.2">
      <c r="A426" s="696" t="s">
        <v>537</v>
      </c>
      <c r="B426" s="697" t="s">
        <v>538</v>
      </c>
      <c r="C426" s="698" t="s">
        <v>550</v>
      </c>
      <c r="D426" s="699" t="s">
        <v>551</v>
      </c>
      <c r="E426" s="700">
        <v>50113001</v>
      </c>
      <c r="F426" s="699" t="s">
        <v>555</v>
      </c>
      <c r="G426" s="698" t="s">
        <v>556</v>
      </c>
      <c r="H426" s="698">
        <v>130434</v>
      </c>
      <c r="I426" s="698">
        <v>30434</v>
      </c>
      <c r="J426" s="698" t="s">
        <v>1293</v>
      </c>
      <c r="K426" s="698" t="s">
        <v>1294</v>
      </c>
      <c r="L426" s="701">
        <v>199.45999999999989</v>
      </c>
      <c r="M426" s="701">
        <v>1</v>
      </c>
      <c r="N426" s="702">
        <v>199.45999999999989</v>
      </c>
    </row>
    <row r="427" spans="1:14" ht="14.45" customHeight="1" x14ac:dyDescent="0.2">
      <c r="A427" s="696" t="s">
        <v>537</v>
      </c>
      <c r="B427" s="697" t="s">
        <v>538</v>
      </c>
      <c r="C427" s="698" t="s">
        <v>550</v>
      </c>
      <c r="D427" s="699" t="s">
        <v>551</v>
      </c>
      <c r="E427" s="700">
        <v>50113001</v>
      </c>
      <c r="F427" s="699" t="s">
        <v>555</v>
      </c>
      <c r="G427" s="698" t="s">
        <v>556</v>
      </c>
      <c r="H427" s="698">
        <v>225453</v>
      </c>
      <c r="I427" s="698">
        <v>225453</v>
      </c>
      <c r="J427" s="698" t="s">
        <v>1295</v>
      </c>
      <c r="K427" s="698" t="s">
        <v>1296</v>
      </c>
      <c r="L427" s="701">
        <v>387.81000000000012</v>
      </c>
      <c r="M427" s="701">
        <v>3</v>
      </c>
      <c r="N427" s="702">
        <v>1163.4300000000003</v>
      </c>
    </row>
    <row r="428" spans="1:14" ht="14.45" customHeight="1" x14ac:dyDescent="0.2">
      <c r="A428" s="696" t="s">
        <v>537</v>
      </c>
      <c r="B428" s="697" t="s">
        <v>538</v>
      </c>
      <c r="C428" s="698" t="s">
        <v>550</v>
      </c>
      <c r="D428" s="699" t="s">
        <v>551</v>
      </c>
      <c r="E428" s="700">
        <v>50113001</v>
      </c>
      <c r="F428" s="699" t="s">
        <v>555</v>
      </c>
      <c r="G428" s="698" t="s">
        <v>556</v>
      </c>
      <c r="H428" s="698">
        <v>225452</v>
      </c>
      <c r="I428" s="698">
        <v>225452</v>
      </c>
      <c r="J428" s="698" t="s">
        <v>1295</v>
      </c>
      <c r="K428" s="698" t="s">
        <v>1297</v>
      </c>
      <c r="L428" s="701">
        <v>473.27999999999986</v>
      </c>
      <c r="M428" s="701">
        <v>1</v>
      </c>
      <c r="N428" s="702">
        <v>473.27999999999986</v>
      </c>
    </row>
    <row r="429" spans="1:14" ht="14.45" customHeight="1" x14ac:dyDescent="0.2">
      <c r="A429" s="696" t="s">
        <v>537</v>
      </c>
      <c r="B429" s="697" t="s">
        <v>538</v>
      </c>
      <c r="C429" s="698" t="s">
        <v>550</v>
      </c>
      <c r="D429" s="699" t="s">
        <v>551</v>
      </c>
      <c r="E429" s="700">
        <v>50113001</v>
      </c>
      <c r="F429" s="699" t="s">
        <v>555</v>
      </c>
      <c r="G429" s="698" t="s">
        <v>556</v>
      </c>
      <c r="H429" s="698">
        <v>221884</v>
      </c>
      <c r="I429" s="698">
        <v>221884</v>
      </c>
      <c r="J429" s="698" t="s">
        <v>1298</v>
      </c>
      <c r="K429" s="698" t="s">
        <v>1299</v>
      </c>
      <c r="L429" s="701">
        <v>1980</v>
      </c>
      <c r="M429" s="701">
        <v>270</v>
      </c>
      <c r="N429" s="702">
        <v>534600</v>
      </c>
    </row>
    <row r="430" spans="1:14" ht="14.45" customHeight="1" x14ac:dyDescent="0.2">
      <c r="A430" s="696" t="s">
        <v>537</v>
      </c>
      <c r="B430" s="697" t="s">
        <v>538</v>
      </c>
      <c r="C430" s="698" t="s">
        <v>550</v>
      </c>
      <c r="D430" s="699" t="s">
        <v>551</v>
      </c>
      <c r="E430" s="700">
        <v>50113001</v>
      </c>
      <c r="F430" s="699" t="s">
        <v>555</v>
      </c>
      <c r="G430" s="698" t="s">
        <v>556</v>
      </c>
      <c r="H430" s="698">
        <v>243240</v>
      </c>
      <c r="I430" s="698">
        <v>243240</v>
      </c>
      <c r="J430" s="698" t="s">
        <v>1300</v>
      </c>
      <c r="K430" s="698" t="s">
        <v>1301</v>
      </c>
      <c r="L430" s="701">
        <v>79.95</v>
      </c>
      <c r="M430" s="701">
        <v>2</v>
      </c>
      <c r="N430" s="702">
        <v>159.9</v>
      </c>
    </row>
    <row r="431" spans="1:14" ht="14.45" customHeight="1" x14ac:dyDescent="0.2">
      <c r="A431" s="696" t="s">
        <v>537</v>
      </c>
      <c r="B431" s="697" t="s">
        <v>538</v>
      </c>
      <c r="C431" s="698" t="s">
        <v>550</v>
      </c>
      <c r="D431" s="699" t="s">
        <v>551</v>
      </c>
      <c r="E431" s="700">
        <v>50113001</v>
      </c>
      <c r="F431" s="699" t="s">
        <v>555</v>
      </c>
      <c r="G431" s="698" t="s">
        <v>556</v>
      </c>
      <c r="H431" s="698">
        <v>396268</v>
      </c>
      <c r="I431" s="698">
        <v>9999999</v>
      </c>
      <c r="J431" s="698" t="s">
        <v>1302</v>
      </c>
      <c r="K431" s="698" t="s">
        <v>1303</v>
      </c>
      <c r="L431" s="701">
        <v>66.079279279279277</v>
      </c>
      <c r="M431" s="701">
        <v>111</v>
      </c>
      <c r="N431" s="702">
        <v>7334.7999999999993</v>
      </c>
    </row>
    <row r="432" spans="1:14" ht="14.45" customHeight="1" x14ac:dyDescent="0.2">
      <c r="A432" s="696" t="s">
        <v>537</v>
      </c>
      <c r="B432" s="697" t="s">
        <v>538</v>
      </c>
      <c r="C432" s="698" t="s">
        <v>550</v>
      </c>
      <c r="D432" s="699" t="s">
        <v>551</v>
      </c>
      <c r="E432" s="700">
        <v>50113001</v>
      </c>
      <c r="F432" s="699" t="s">
        <v>555</v>
      </c>
      <c r="G432" s="698" t="s">
        <v>556</v>
      </c>
      <c r="H432" s="698">
        <v>100641</v>
      </c>
      <c r="I432" s="698">
        <v>641</v>
      </c>
      <c r="J432" s="698" t="s">
        <v>1304</v>
      </c>
      <c r="K432" s="698" t="s">
        <v>1305</v>
      </c>
      <c r="L432" s="701">
        <v>31.216666666666658</v>
      </c>
      <c r="M432" s="701">
        <v>6</v>
      </c>
      <c r="N432" s="702">
        <v>187.29999999999995</v>
      </c>
    </row>
    <row r="433" spans="1:14" ht="14.45" customHeight="1" x14ac:dyDescent="0.2">
      <c r="A433" s="696" t="s">
        <v>537</v>
      </c>
      <c r="B433" s="697" t="s">
        <v>538</v>
      </c>
      <c r="C433" s="698" t="s">
        <v>550</v>
      </c>
      <c r="D433" s="699" t="s">
        <v>551</v>
      </c>
      <c r="E433" s="700">
        <v>50113001</v>
      </c>
      <c r="F433" s="699" t="s">
        <v>555</v>
      </c>
      <c r="G433" s="698" t="s">
        <v>556</v>
      </c>
      <c r="H433" s="698">
        <v>840464</v>
      </c>
      <c r="I433" s="698">
        <v>0</v>
      </c>
      <c r="J433" s="698" t="s">
        <v>1306</v>
      </c>
      <c r="K433" s="698" t="s">
        <v>1307</v>
      </c>
      <c r="L433" s="701">
        <v>45.490000000000009</v>
      </c>
      <c r="M433" s="701">
        <v>2</v>
      </c>
      <c r="N433" s="702">
        <v>90.980000000000018</v>
      </c>
    </row>
    <row r="434" spans="1:14" ht="14.45" customHeight="1" x14ac:dyDescent="0.2">
      <c r="A434" s="696" t="s">
        <v>537</v>
      </c>
      <c r="B434" s="697" t="s">
        <v>538</v>
      </c>
      <c r="C434" s="698" t="s">
        <v>550</v>
      </c>
      <c r="D434" s="699" t="s">
        <v>551</v>
      </c>
      <c r="E434" s="700">
        <v>50113001</v>
      </c>
      <c r="F434" s="699" t="s">
        <v>555</v>
      </c>
      <c r="G434" s="698" t="s">
        <v>556</v>
      </c>
      <c r="H434" s="698">
        <v>199826</v>
      </c>
      <c r="I434" s="698">
        <v>99826</v>
      </c>
      <c r="J434" s="698" t="s">
        <v>1308</v>
      </c>
      <c r="K434" s="698" t="s">
        <v>1309</v>
      </c>
      <c r="L434" s="701">
        <v>236.72</v>
      </c>
      <c r="M434" s="701">
        <v>3</v>
      </c>
      <c r="N434" s="702">
        <v>710.16</v>
      </c>
    </row>
    <row r="435" spans="1:14" ht="14.45" customHeight="1" x14ac:dyDescent="0.2">
      <c r="A435" s="696" t="s">
        <v>537</v>
      </c>
      <c r="B435" s="697" t="s">
        <v>538</v>
      </c>
      <c r="C435" s="698" t="s">
        <v>550</v>
      </c>
      <c r="D435" s="699" t="s">
        <v>551</v>
      </c>
      <c r="E435" s="700">
        <v>50113001</v>
      </c>
      <c r="F435" s="699" t="s">
        <v>555</v>
      </c>
      <c r="G435" s="698" t="s">
        <v>556</v>
      </c>
      <c r="H435" s="698">
        <v>902074</v>
      </c>
      <c r="I435" s="698">
        <v>85278</v>
      </c>
      <c r="J435" s="698" t="s">
        <v>1310</v>
      </c>
      <c r="K435" s="698" t="s">
        <v>1148</v>
      </c>
      <c r="L435" s="701">
        <v>2909.0599999999995</v>
      </c>
      <c r="M435" s="701">
        <v>1</v>
      </c>
      <c r="N435" s="702">
        <v>2909.0599999999995</v>
      </c>
    </row>
    <row r="436" spans="1:14" ht="14.45" customHeight="1" x14ac:dyDescent="0.2">
      <c r="A436" s="696" t="s">
        <v>537</v>
      </c>
      <c r="B436" s="697" t="s">
        <v>538</v>
      </c>
      <c r="C436" s="698" t="s">
        <v>550</v>
      </c>
      <c r="D436" s="699" t="s">
        <v>551</v>
      </c>
      <c r="E436" s="700">
        <v>50113001</v>
      </c>
      <c r="F436" s="699" t="s">
        <v>555</v>
      </c>
      <c r="G436" s="698" t="s">
        <v>556</v>
      </c>
      <c r="H436" s="698">
        <v>843996</v>
      </c>
      <c r="I436" s="698">
        <v>100191</v>
      </c>
      <c r="J436" s="698" t="s">
        <v>1311</v>
      </c>
      <c r="K436" s="698" t="s">
        <v>1312</v>
      </c>
      <c r="L436" s="701">
        <v>3743.2999861727862</v>
      </c>
      <c r="M436" s="701">
        <v>23</v>
      </c>
      <c r="N436" s="702">
        <v>86095.899681974086</v>
      </c>
    </row>
    <row r="437" spans="1:14" ht="14.45" customHeight="1" x14ac:dyDescent="0.2">
      <c r="A437" s="696" t="s">
        <v>537</v>
      </c>
      <c r="B437" s="697" t="s">
        <v>538</v>
      </c>
      <c r="C437" s="698" t="s">
        <v>550</v>
      </c>
      <c r="D437" s="699" t="s">
        <v>551</v>
      </c>
      <c r="E437" s="700">
        <v>50113001</v>
      </c>
      <c r="F437" s="699" t="s">
        <v>555</v>
      </c>
      <c r="G437" s="698" t="s">
        <v>556</v>
      </c>
      <c r="H437" s="698">
        <v>840813</v>
      </c>
      <c r="I437" s="698">
        <v>135844</v>
      </c>
      <c r="J437" s="698" t="s">
        <v>1313</v>
      </c>
      <c r="K437" s="698" t="s">
        <v>1314</v>
      </c>
      <c r="L437" s="701">
        <v>2198.6799999999998</v>
      </c>
      <c r="M437" s="701">
        <v>12</v>
      </c>
      <c r="N437" s="702">
        <v>26384.16</v>
      </c>
    </row>
    <row r="438" spans="1:14" ht="14.45" customHeight="1" x14ac:dyDescent="0.2">
      <c r="A438" s="696" t="s">
        <v>537</v>
      </c>
      <c r="B438" s="697" t="s">
        <v>538</v>
      </c>
      <c r="C438" s="698" t="s">
        <v>550</v>
      </c>
      <c r="D438" s="699" t="s">
        <v>551</v>
      </c>
      <c r="E438" s="700">
        <v>50113001</v>
      </c>
      <c r="F438" s="699" t="s">
        <v>555</v>
      </c>
      <c r="G438" s="698" t="s">
        <v>571</v>
      </c>
      <c r="H438" s="698">
        <v>192342</v>
      </c>
      <c r="I438" s="698">
        <v>192342</v>
      </c>
      <c r="J438" s="698" t="s">
        <v>1315</v>
      </c>
      <c r="K438" s="698" t="s">
        <v>1316</v>
      </c>
      <c r="L438" s="701">
        <v>137.36999999999998</v>
      </c>
      <c r="M438" s="701">
        <v>2</v>
      </c>
      <c r="N438" s="702">
        <v>274.73999999999995</v>
      </c>
    </row>
    <row r="439" spans="1:14" ht="14.45" customHeight="1" x14ac:dyDescent="0.2">
      <c r="A439" s="696" t="s">
        <v>537</v>
      </c>
      <c r="B439" s="697" t="s">
        <v>538</v>
      </c>
      <c r="C439" s="698" t="s">
        <v>550</v>
      </c>
      <c r="D439" s="699" t="s">
        <v>551</v>
      </c>
      <c r="E439" s="700">
        <v>50113001</v>
      </c>
      <c r="F439" s="699" t="s">
        <v>555</v>
      </c>
      <c r="G439" s="698" t="s">
        <v>556</v>
      </c>
      <c r="H439" s="698">
        <v>148675</v>
      </c>
      <c r="I439" s="698">
        <v>148675</v>
      </c>
      <c r="J439" s="698" t="s">
        <v>1317</v>
      </c>
      <c r="K439" s="698" t="s">
        <v>1318</v>
      </c>
      <c r="L439" s="701">
        <v>243.73</v>
      </c>
      <c r="M439" s="701">
        <v>1</v>
      </c>
      <c r="N439" s="702">
        <v>243.73</v>
      </c>
    </row>
    <row r="440" spans="1:14" ht="14.45" customHeight="1" x14ac:dyDescent="0.2">
      <c r="A440" s="696" t="s">
        <v>537</v>
      </c>
      <c r="B440" s="697" t="s">
        <v>538</v>
      </c>
      <c r="C440" s="698" t="s">
        <v>550</v>
      </c>
      <c r="D440" s="699" t="s">
        <v>551</v>
      </c>
      <c r="E440" s="700">
        <v>50113001</v>
      </c>
      <c r="F440" s="699" t="s">
        <v>555</v>
      </c>
      <c r="G440" s="698" t="s">
        <v>556</v>
      </c>
      <c r="H440" s="698">
        <v>158893</v>
      </c>
      <c r="I440" s="698">
        <v>58893</v>
      </c>
      <c r="J440" s="698" t="s">
        <v>1319</v>
      </c>
      <c r="K440" s="698" t="s">
        <v>1320</v>
      </c>
      <c r="L440" s="701">
        <v>112.66000000000001</v>
      </c>
      <c r="M440" s="701">
        <v>1</v>
      </c>
      <c r="N440" s="702">
        <v>112.66000000000001</v>
      </c>
    </row>
    <row r="441" spans="1:14" ht="14.45" customHeight="1" x14ac:dyDescent="0.2">
      <c r="A441" s="696" t="s">
        <v>537</v>
      </c>
      <c r="B441" s="697" t="s">
        <v>538</v>
      </c>
      <c r="C441" s="698" t="s">
        <v>550</v>
      </c>
      <c r="D441" s="699" t="s">
        <v>551</v>
      </c>
      <c r="E441" s="700">
        <v>50113001</v>
      </c>
      <c r="F441" s="699" t="s">
        <v>555</v>
      </c>
      <c r="G441" s="698" t="s">
        <v>556</v>
      </c>
      <c r="H441" s="698">
        <v>132720</v>
      </c>
      <c r="I441" s="698">
        <v>32720</v>
      </c>
      <c r="J441" s="698" t="s">
        <v>1321</v>
      </c>
      <c r="K441" s="698" t="s">
        <v>1322</v>
      </c>
      <c r="L441" s="701">
        <v>140.86000000000004</v>
      </c>
      <c r="M441" s="701">
        <v>1</v>
      </c>
      <c r="N441" s="702">
        <v>140.86000000000004</v>
      </c>
    </row>
    <row r="442" spans="1:14" ht="14.45" customHeight="1" x14ac:dyDescent="0.2">
      <c r="A442" s="696" t="s">
        <v>537</v>
      </c>
      <c r="B442" s="697" t="s">
        <v>538</v>
      </c>
      <c r="C442" s="698" t="s">
        <v>550</v>
      </c>
      <c r="D442" s="699" t="s">
        <v>551</v>
      </c>
      <c r="E442" s="700">
        <v>50113001</v>
      </c>
      <c r="F442" s="699" t="s">
        <v>555</v>
      </c>
      <c r="G442" s="698" t="s">
        <v>556</v>
      </c>
      <c r="H442" s="698">
        <v>112770</v>
      </c>
      <c r="I442" s="698">
        <v>12770</v>
      </c>
      <c r="J442" s="698" t="s">
        <v>1323</v>
      </c>
      <c r="K442" s="698" t="s">
        <v>1324</v>
      </c>
      <c r="L442" s="701">
        <v>143.39999999999998</v>
      </c>
      <c r="M442" s="701">
        <v>2</v>
      </c>
      <c r="N442" s="702">
        <v>286.79999999999995</v>
      </c>
    </row>
    <row r="443" spans="1:14" ht="14.45" customHeight="1" x14ac:dyDescent="0.2">
      <c r="A443" s="696" t="s">
        <v>537</v>
      </c>
      <c r="B443" s="697" t="s">
        <v>538</v>
      </c>
      <c r="C443" s="698" t="s">
        <v>550</v>
      </c>
      <c r="D443" s="699" t="s">
        <v>551</v>
      </c>
      <c r="E443" s="700">
        <v>50113001</v>
      </c>
      <c r="F443" s="699" t="s">
        <v>555</v>
      </c>
      <c r="G443" s="698" t="s">
        <v>571</v>
      </c>
      <c r="H443" s="698">
        <v>500570</v>
      </c>
      <c r="I443" s="698">
        <v>500570</v>
      </c>
      <c r="J443" s="698" t="s">
        <v>1325</v>
      </c>
      <c r="K443" s="698" t="s">
        <v>1326</v>
      </c>
      <c r="L443" s="701">
        <v>533.57695833333332</v>
      </c>
      <c r="M443" s="701">
        <v>3</v>
      </c>
      <c r="N443" s="702">
        <v>1600.730875</v>
      </c>
    </row>
    <row r="444" spans="1:14" ht="14.45" customHeight="1" x14ac:dyDescent="0.2">
      <c r="A444" s="696" t="s">
        <v>537</v>
      </c>
      <c r="B444" s="697" t="s">
        <v>538</v>
      </c>
      <c r="C444" s="698" t="s">
        <v>550</v>
      </c>
      <c r="D444" s="699" t="s">
        <v>551</v>
      </c>
      <c r="E444" s="700">
        <v>50113001</v>
      </c>
      <c r="F444" s="699" t="s">
        <v>555</v>
      </c>
      <c r="G444" s="698" t="s">
        <v>556</v>
      </c>
      <c r="H444" s="698">
        <v>172754</v>
      </c>
      <c r="I444" s="698">
        <v>172754</v>
      </c>
      <c r="J444" s="698" t="s">
        <v>1327</v>
      </c>
      <c r="K444" s="698" t="s">
        <v>1328</v>
      </c>
      <c r="L444" s="701">
        <v>182.99</v>
      </c>
      <c r="M444" s="701">
        <v>1</v>
      </c>
      <c r="N444" s="702">
        <v>182.99</v>
      </c>
    </row>
    <row r="445" spans="1:14" ht="14.45" customHeight="1" x14ac:dyDescent="0.2">
      <c r="A445" s="696" t="s">
        <v>537</v>
      </c>
      <c r="B445" s="697" t="s">
        <v>538</v>
      </c>
      <c r="C445" s="698" t="s">
        <v>550</v>
      </c>
      <c r="D445" s="699" t="s">
        <v>551</v>
      </c>
      <c r="E445" s="700">
        <v>50113001</v>
      </c>
      <c r="F445" s="699" t="s">
        <v>555</v>
      </c>
      <c r="G445" s="698" t="s">
        <v>571</v>
      </c>
      <c r="H445" s="698">
        <v>153951</v>
      </c>
      <c r="I445" s="698">
        <v>53951</v>
      </c>
      <c r="J445" s="698" t="s">
        <v>1329</v>
      </c>
      <c r="K445" s="698" t="s">
        <v>1330</v>
      </c>
      <c r="L445" s="701">
        <v>183.28999999999996</v>
      </c>
      <c r="M445" s="701">
        <v>1</v>
      </c>
      <c r="N445" s="702">
        <v>183.28999999999996</v>
      </c>
    </row>
    <row r="446" spans="1:14" ht="14.45" customHeight="1" x14ac:dyDescent="0.2">
      <c r="A446" s="696" t="s">
        <v>537</v>
      </c>
      <c r="B446" s="697" t="s">
        <v>538</v>
      </c>
      <c r="C446" s="698" t="s">
        <v>550</v>
      </c>
      <c r="D446" s="699" t="s">
        <v>551</v>
      </c>
      <c r="E446" s="700">
        <v>50113001</v>
      </c>
      <c r="F446" s="699" t="s">
        <v>555</v>
      </c>
      <c r="G446" s="698" t="s">
        <v>571</v>
      </c>
      <c r="H446" s="698">
        <v>153950</v>
      </c>
      <c r="I446" s="698">
        <v>53950</v>
      </c>
      <c r="J446" s="698" t="s">
        <v>1331</v>
      </c>
      <c r="K446" s="698" t="s">
        <v>1332</v>
      </c>
      <c r="L446" s="701">
        <v>91.432857142857117</v>
      </c>
      <c r="M446" s="701">
        <v>7</v>
      </c>
      <c r="N446" s="702">
        <v>640.02999999999986</v>
      </c>
    </row>
    <row r="447" spans="1:14" ht="14.45" customHeight="1" x14ac:dyDescent="0.2">
      <c r="A447" s="696" t="s">
        <v>537</v>
      </c>
      <c r="B447" s="697" t="s">
        <v>538</v>
      </c>
      <c r="C447" s="698" t="s">
        <v>550</v>
      </c>
      <c r="D447" s="699" t="s">
        <v>551</v>
      </c>
      <c r="E447" s="700">
        <v>50113001</v>
      </c>
      <c r="F447" s="699" t="s">
        <v>555</v>
      </c>
      <c r="G447" s="698" t="s">
        <v>571</v>
      </c>
      <c r="H447" s="698">
        <v>233360</v>
      </c>
      <c r="I447" s="698">
        <v>233360</v>
      </c>
      <c r="J447" s="698" t="s">
        <v>1333</v>
      </c>
      <c r="K447" s="698" t="s">
        <v>1334</v>
      </c>
      <c r="L447" s="701">
        <v>21.959999999999997</v>
      </c>
      <c r="M447" s="701">
        <v>1</v>
      </c>
      <c r="N447" s="702">
        <v>21.959999999999997</v>
      </c>
    </row>
    <row r="448" spans="1:14" ht="14.45" customHeight="1" x14ac:dyDescent="0.2">
      <c r="A448" s="696" t="s">
        <v>537</v>
      </c>
      <c r="B448" s="697" t="s">
        <v>538</v>
      </c>
      <c r="C448" s="698" t="s">
        <v>550</v>
      </c>
      <c r="D448" s="699" t="s">
        <v>551</v>
      </c>
      <c r="E448" s="700">
        <v>50113001</v>
      </c>
      <c r="F448" s="699" t="s">
        <v>555</v>
      </c>
      <c r="G448" s="698" t="s">
        <v>571</v>
      </c>
      <c r="H448" s="698">
        <v>233366</v>
      </c>
      <c r="I448" s="698">
        <v>233366</v>
      </c>
      <c r="J448" s="698" t="s">
        <v>1333</v>
      </c>
      <c r="K448" s="698" t="s">
        <v>1335</v>
      </c>
      <c r="L448" s="701">
        <v>46.702000000000012</v>
      </c>
      <c r="M448" s="701">
        <v>5</v>
      </c>
      <c r="N448" s="702">
        <v>233.51000000000005</v>
      </c>
    </row>
    <row r="449" spans="1:14" ht="14.45" customHeight="1" x14ac:dyDescent="0.2">
      <c r="A449" s="696" t="s">
        <v>537</v>
      </c>
      <c r="B449" s="697" t="s">
        <v>538</v>
      </c>
      <c r="C449" s="698" t="s">
        <v>550</v>
      </c>
      <c r="D449" s="699" t="s">
        <v>551</v>
      </c>
      <c r="E449" s="700">
        <v>50113001</v>
      </c>
      <c r="F449" s="699" t="s">
        <v>555</v>
      </c>
      <c r="G449" s="698" t="s">
        <v>556</v>
      </c>
      <c r="H449" s="698">
        <v>125937</v>
      </c>
      <c r="I449" s="698">
        <v>25937</v>
      </c>
      <c r="J449" s="698" t="s">
        <v>1336</v>
      </c>
      <c r="K449" s="698" t="s">
        <v>1337</v>
      </c>
      <c r="L449" s="701">
        <v>462.23</v>
      </c>
      <c r="M449" s="701">
        <v>1</v>
      </c>
      <c r="N449" s="702">
        <v>462.23</v>
      </c>
    </row>
    <row r="450" spans="1:14" ht="14.45" customHeight="1" x14ac:dyDescent="0.2">
      <c r="A450" s="696" t="s">
        <v>537</v>
      </c>
      <c r="B450" s="697" t="s">
        <v>538</v>
      </c>
      <c r="C450" s="698" t="s">
        <v>550</v>
      </c>
      <c r="D450" s="699" t="s">
        <v>551</v>
      </c>
      <c r="E450" s="700">
        <v>50113001</v>
      </c>
      <c r="F450" s="699" t="s">
        <v>555</v>
      </c>
      <c r="G450" s="698" t="s">
        <v>556</v>
      </c>
      <c r="H450" s="698">
        <v>125918</v>
      </c>
      <c r="I450" s="698">
        <v>25918</v>
      </c>
      <c r="J450" s="698" t="s">
        <v>1338</v>
      </c>
      <c r="K450" s="698" t="s">
        <v>1339</v>
      </c>
      <c r="L450" s="701">
        <v>194.21000000000006</v>
      </c>
      <c r="M450" s="701">
        <v>1</v>
      </c>
      <c r="N450" s="702">
        <v>194.21000000000006</v>
      </c>
    </row>
    <row r="451" spans="1:14" ht="14.45" customHeight="1" x14ac:dyDescent="0.2">
      <c r="A451" s="696" t="s">
        <v>537</v>
      </c>
      <c r="B451" s="697" t="s">
        <v>538</v>
      </c>
      <c r="C451" s="698" t="s">
        <v>550</v>
      </c>
      <c r="D451" s="699" t="s">
        <v>551</v>
      </c>
      <c r="E451" s="700">
        <v>50113002</v>
      </c>
      <c r="F451" s="699" t="s">
        <v>1340</v>
      </c>
      <c r="G451" s="698" t="s">
        <v>556</v>
      </c>
      <c r="H451" s="698">
        <v>195947</v>
      </c>
      <c r="I451" s="698">
        <v>95947</v>
      </c>
      <c r="J451" s="698" t="s">
        <v>1341</v>
      </c>
      <c r="K451" s="698" t="s">
        <v>1342</v>
      </c>
      <c r="L451" s="701">
        <v>2496.8200000000006</v>
      </c>
      <c r="M451" s="701">
        <v>40</v>
      </c>
      <c r="N451" s="702">
        <v>99872.800000000017</v>
      </c>
    </row>
    <row r="452" spans="1:14" ht="14.45" customHeight="1" x14ac:dyDescent="0.2">
      <c r="A452" s="696" t="s">
        <v>537</v>
      </c>
      <c r="B452" s="697" t="s">
        <v>538</v>
      </c>
      <c r="C452" s="698" t="s">
        <v>550</v>
      </c>
      <c r="D452" s="699" t="s">
        <v>551</v>
      </c>
      <c r="E452" s="700">
        <v>50113002</v>
      </c>
      <c r="F452" s="699" t="s">
        <v>1340</v>
      </c>
      <c r="G452" s="698" t="s">
        <v>556</v>
      </c>
      <c r="H452" s="698">
        <v>245875</v>
      </c>
      <c r="I452" s="698">
        <v>245875</v>
      </c>
      <c r="J452" s="698" t="s">
        <v>1343</v>
      </c>
      <c r="K452" s="698" t="s">
        <v>1344</v>
      </c>
      <c r="L452" s="701">
        <v>1982.2</v>
      </c>
      <c r="M452" s="701">
        <v>1</v>
      </c>
      <c r="N452" s="702">
        <v>1982.2</v>
      </c>
    </row>
    <row r="453" spans="1:14" ht="14.45" customHeight="1" x14ac:dyDescent="0.2">
      <c r="A453" s="696" t="s">
        <v>537</v>
      </c>
      <c r="B453" s="697" t="s">
        <v>538</v>
      </c>
      <c r="C453" s="698" t="s">
        <v>550</v>
      </c>
      <c r="D453" s="699" t="s">
        <v>551</v>
      </c>
      <c r="E453" s="700">
        <v>50113002</v>
      </c>
      <c r="F453" s="699" t="s">
        <v>1340</v>
      </c>
      <c r="G453" s="698" t="s">
        <v>556</v>
      </c>
      <c r="H453" s="698">
        <v>396920</v>
      </c>
      <c r="I453" s="698">
        <v>100152</v>
      </c>
      <c r="J453" s="698" t="s">
        <v>1345</v>
      </c>
      <c r="K453" s="698" t="s">
        <v>1346</v>
      </c>
      <c r="L453" s="701">
        <v>2857.64</v>
      </c>
      <c r="M453" s="701">
        <v>3</v>
      </c>
      <c r="N453" s="702">
        <v>8572.92</v>
      </c>
    </row>
    <row r="454" spans="1:14" ht="14.45" customHeight="1" x14ac:dyDescent="0.2">
      <c r="A454" s="696" t="s">
        <v>537</v>
      </c>
      <c r="B454" s="697" t="s">
        <v>538</v>
      </c>
      <c r="C454" s="698" t="s">
        <v>550</v>
      </c>
      <c r="D454" s="699" t="s">
        <v>551</v>
      </c>
      <c r="E454" s="700">
        <v>50113002</v>
      </c>
      <c r="F454" s="699" t="s">
        <v>1340</v>
      </c>
      <c r="G454" s="698" t="s">
        <v>556</v>
      </c>
      <c r="H454" s="698">
        <v>149415</v>
      </c>
      <c r="I454" s="698">
        <v>49415</v>
      </c>
      <c r="J454" s="698" t="s">
        <v>1347</v>
      </c>
      <c r="K454" s="698" t="s">
        <v>1348</v>
      </c>
      <c r="L454" s="701">
        <v>1728.25</v>
      </c>
      <c r="M454" s="701">
        <v>7</v>
      </c>
      <c r="N454" s="702">
        <v>12097.75</v>
      </c>
    </row>
    <row r="455" spans="1:14" ht="14.45" customHeight="1" x14ac:dyDescent="0.2">
      <c r="A455" s="696" t="s">
        <v>537</v>
      </c>
      <c r="B455" s="697" t="s">
        <v>538</v>
      </c>
      <c r="C455" s="698" t="s">
        <v>550</v>
      </c>
      <c r="D455" s="699" t="s">
        <v>551</v>
      </c>
      <c r="E455" s="700">
        <v>50113002</v>
      </c>
      <c r="F455" s="699" t="s">
        <v>1340</v>
      </c>
      <c r="G455" s="698" t="s">
        <v>556</v>
      </c>
      <c r="H455" s="698">
        <v>149409</v>
      </c>
      <c r="I455" s="698">
        <v>49409</v>
      </c>
      <c r="J455" s="698" t="s">
        <v>1349</v>
      </c>
      <c r="K455" s="698" t="s">
        <v>1348</v>
      </c>
      <c r="L455" s="701">
        <v>1366.6099999999997</v>
      </c>
      <c r="M455" s="701">
        <v>4</v>
      </c>
      <c r="N455" s="702">
        <v>5466.4399999999987</v>
      </c>
    </row>
    <row r="456" spans="1:14" ht="14.45" customHeight="1" x14ac:dyDescent="0.2">
      <c r="A456" s="696" t="s">
        <v>537</v>
      </c>
      <c r="B456" s="697" t="s">
        <v>538</v>
      </c>
      <c r="C456" s="698" t="s">
        <v>550</v>
      </c>
      <c r="D456" s="699" t="s">
        <v>551</v>
      </c>
      <c r="E456" s="700">
        <v>50113002</v>
      </c>
      <c r="F456" s="699" t="s">
        <v>1340</v>
      </c>
      <c r="G456" s="698" t="s">
        <v>556</v>
      </c>
      <c r="H456" s="698">
        <v>396914</v>
      </c>
      <c r="I456" s="698">
        <v>52301</v>
      </c>
      <c r="J456" s="698" t="s">
        <v>1350</v>
      </c>
      <c r="K456" s="698" t="s">
        <v>1346</v>
      </c>
      <c r="L456" s="701">
        <v>2221.34</v>
      </c>
      <c r="M456" s="701">
        <v>9</v>
      </c>
      <c r="N456" s="702">
        <v>19992.060000000001</v>
      </c>
    </row>
    <row r="457" spans="1:14" ht="14.45" customHeight="1" x14ac:dyDescent="0.2">
      <c r="A457" s="696" t="s">
        <v>537</v>
      </c>
      <c r="B457" s="697" t="s">
        <v>538</v>
      </c>
      <c r="C457" s="698" t="s">
        <v>550</v>
      </c>
      <c r="D457" s="699" t="s">
        <v>551</v>
      </c>
      <c r="E457" s="700">
        <v>50113002</v>
      </c>
      <c r="F457" s="699" t="s">
        <v>1340</v>
      </c>
      <c r="G457" s="698" t="s">
        <v>556</v>
      </c>
      <c r="H457" s="698">
        <v>165317</v>
      </c>
      <c r="I457" s="698">
        <v>65317</v>
      </c>
      <c r="J457" s="698" t="s">
        <v>1351</v>
      </c>
      <c r="K457" s="698" t="s">
        <v>1352</v>
      </c>
      <c r="L457" s="701">
        <v>2104.75</v>
      </c>
      <c r="M457" s="701">
        <v>5</v>
      </c>
      <c r="N457" s="702">
        <v>10523.75</v>
      </c>
    </row>
    <row r="458" spans="1:14" ht="14.45" customHeight="1" x14ac:dyDescent="0.2">
      <c r="A458" s="696" t="s">
        <v>537</v>
      </c>
      <c r="B458" s="697" t="s">
        <v>538</v>
      </c>
      <c r="C458" s="698" t="s">
        <v>550</v>
      </c>
      <c r="D458" s="699" t="s">
        <v>551</v>
      </c>
      <c r="E458" s="700">
        <v>50113002</v>
      </c>
      <c r="F458" s="699" t="s">
        <v>1340</v>
      </c>
      <c r="G458" s="698" t="s">
        <v>556</v>
      </c>
      <c r="H458" s="698">
        <v>224604</v>
      </c>
      <c r="I458" s="698">
        <v>224604</v>
      </c>
      <c r="J458" s="698" t="s">
        <v>1353</v>
      </c>
      <c r="K458" s="698" t="s">
        <v>1354</v>
      </c>
      <c r="L458" s="701">
        <v>2193.9285714285716</v>
      </c>
      <c r="M458" s="701">
        <v>7</v>
      </c>
      <c r="N458" s="702">
        <v>15357.5</v>
      </c>
    </row>
    <row r="459" spans="1:14" ht="14.45" customHeight="1" x14ac:dyDescent="0.2">
      <c r="A459" s="696" t="s">
        <v>537</v>
      </c>
      <c r="B459" s="697" t="s">
        <v>538</v>
      </c>
      <c r="C459" s="698" t="s">
        <v>550</v>
      </c>
      <c r="D459" s="699" t="s">
        <v>551</v>
      </c>
      <c r="E459" s="700">
        <v>50113002</v>
      </c>
      <c r="F459" s="699" t="s">
        <v>1340</v>
      </c>
      <c r="G459" s="698" t="s">
        <v>556</v>
      </c>
      <c r="H459" s="698">
        <v>116337</v>
      </c>
      <c r="I459" s="698">
        <v>16337</v>
      </c>
      <c r="J459" s="698" t="s">
        <v>1355</v>
      </c>
      <c r="K459" s="698" t="s">
        <v>1356</v>
      </c>
      <c r="L459" s="701">
        <v>2121.6400000000012</v>
      </c>
      <c r="M459" s="701">
        <v>94</v>
      </c>
      <c r="N459" s="702">
        <v>199434.16000000012</v>
      </c>
    </row>
    <row r="460" spans="1:14" ht="14.45" customHeight="1" x14ac:dyDescent="0.2">
      <c r="A460" s="696" t="s">
        <v>537</v>
      </c>
      <c r="B460" s="697" t="s">
        <v>538</v>
      </c>
      <c r="C460" s="698" t="s">
        <v>550</v>
      </c>
      <c r="D460" s="699" t="s">
        <v>551</v>
      </c>
      <c r="E460" s="700">
        <v>50113002</v>
      </c>
      <c r="F460" s="699" t="s">
        <v>1340</v>
      </c>
      <c r="G460" s="698" t="s">
        <v>556</v>
      </c>
      <c r="H460" s="698">
        <v>116338</v>
      </c>
      <c r="I460" s="698">
        <v>16338</v>
      </c>
      <c r="J460" s="698" t="s">
        <v>1355</v>
      </c>
      <c r="K460" s="698" t="s">
        <v>1357</v>
      </c>
      <c r="L460" s="701">
        <v>3263.7</v>
      </c>
      <c r="M460" s="701">
        <v>10</v>
      </c>
      <c r="N460" s="702">
        <v>32637</v>
      </c>
    </row>
    <row r="461" spans="1:14" ht="14.45" customHeight="1" x14ac:dyDescent="0.2">
      <c r="A461" s="696" t="s">
        <v>537</v>
      </c>
      <c r="B461" s="697" t="s">
        <v>538</v>
      </c>
      <c r="C461" s="698" t="s">
        <v>550</v>
      </c>
      <c r="D461" s="699" t="s">
        <v>551</v>
      </c>
      <c r="E461" s="700">
        <v>50113002</v>
      </c>
      <c r="F461" s="699" t="s">
        <v>1340</v>
      </c>
      <c r="G461" s="698" t="s">
        <v>556</v>
      </c>
      <c r="H461" s="698">
        <v>142003</v>
      </c>
      <c r="I461" s="698">
        <v>142003</v>
      </c>
      <c r="J461" s="698" t="s">
        <v>1358</v>
      </c>
      <c r="K461" s="698" t="s">
        <v>1348</v>
      </c>
      <c r="L461" s="701">
        <v>3751</v>
      </c>
      <c r="M461" s="701">
        <v>13</v>
      </c>
      <c r="N461" s="702">
        <v>48763</v>
      </c>
    </row>
    <row r="462" spans="1:14" ht="14.45" customHeight="1" x14ac:dyDescent="0.2">
      <c r="A462" s="696" t="s">
        <v>537</v>
      </c>
      <c r="B462" s="697" t="s">
        <v>538</v>
      </c>
      <c r="C462" s="698" t="s">
        <v>550</v>
      </c>
      <c r="D462" s="699" t="s">
        <v>551</v>
      </c>
      <c r="E462" s="700">
        <v>50113002</v>
      </c>
      <c r="F462" s="699" t="s">
        <v>1340</v>
      </c>
      <c r="G462" s="698" t="s">
        <v>556</v>
      </c>
      <c r="H462" s="698">
        <v>58629</v>
      </c>
      <c r="I462" s="698">
        <v>58629</v>
      </c>
      <c r="J462" s="698" t="s">
        <v>1359</v>
      </c>
      <c r="K462" s="698" t="s">
        <v>1348</v>
      </c>
      <c r="L462" s="701">
        <v>3267</v>
      </c>
      <c r="M462" s="701">
        <v>11</v>
      </c>
      <c r="N462" s="702">
        <v>35937</v>
      </c>
    </row>
    <row r="463" spans="1:14" ht="14.45" customHeight="1" x14ac:dyDescent="0.2">
      <c r="A463" s="696" t="s">
        <v>537</v>
      </c>
      <c r="B463" s="697" t="s">
        <v>538</v>
      </c>
      <c r="C463" s="698" t="s">
        <v>550</v>
      </c>
      <c r="D463" s="699" t="s">
        <v>551</v>
      </c>
      <c r="E463" s="700">
        <v>50113002</v>
      </c>
      <c r="F463" s="699" t="s">
        <v>1340</v>
      </c>
      <c r="G463" s="698" t="s">
        <v>556</v>
      </c>
      <c r="H463" s="698">
        <v>211912</v>
      </c>
      <c r="I463" s="698">
        <v>211912</v>
      </c>
      <c r="J463" s="698" t="s">
        <v>1360</v>
      </c>
      <c r="K463" s="698" t="s">
        <v>1361</v>
      </c>
      <c r="L463" s="701">
        <v>2801.7</v>
      </c>
      <c r="M463" s="701">
        <v>8</v>
      </c>
      <c r="N463" s="702">
        <v>22413.599999999999</v>
      </c>
    </row>
    <row r="464" spans="1:14" ht="14.45" customHeight="1" x14ac:dyDescent="0.2">
      <c r="A464" s="696" t="s">
        <v>537</v>
      </c>
      <c r="B464" s="697" t="s">
        <v>538</v>
      </c>
      <c r="C464" s="698" t="s">
        <v>550</v>
      </c>
      <c r="D464" s="699" t="s">
        <v>551</v>
      </c>
      <c r="E464" s="700">
        <v>50113002</v>
      </c>
      <c r="F464" s="699" t="s">
        <v>1340</v>
      </c>
      <c r="G464" s="698" t="s">
        <v>556</v>
      </c>
      <c r="H464" s="698">
        <v>213103</v>
      </c>
      <c r="I464" s="698">
        <v>213103</v>
      </c>
      <c r="J464" s="698" t="s">
        <v>1362</v>
      </c>
      <c r="K464" s="698" t="s">
        <v>1361</v>
      </c>
      <c r="L464" s="701">
        <v>3625.3700000000008</v>
      </c>
      <c r="M464" s="701">
        <v>2</v>
      </c>
      <c r="N464" s="702">
        <v>7250.7400000000016</v>
      </c>
    </row>
    <row r="465" spans="1:14" ht="14.45" customHeight="1" x14ac:dyDescent="0.2">
      <c r="A465" s="696" t="s">
        <v>537</v>
      </c>
      <c r="B465" s="697" t="s">
        <v>538</v>
      </c>
      <c r="C465" s="698" t="s">
        <v>550</v>
      </c>
      <c r="D465" s="699" t="s">
        <v>551</v>
      </c>
      <c r="E465" s="700">
        <v>50113002</v>
      </c>
      <c r="F465" s="699" t="s">
        <v>1340</v>
      </c>
      <c r="G465" s="698" t="s">
        <v>556</v>
      </c>
      <c r="H465" s="698">
        <v>213102</v>
      </c>
      <c r="I465" s="698">
        <v>213102</v>
      </c>
      <c r="J465" s="698" t="s">
        <v>1362</v>
      </c>
      <c r="K465" s="698" t="s">
        <v>1363</v>
      </c>
      <c r="L465" s="701">
        <v>2565.77</v>
      </c>
      <c r="M465" s="701">
        <v>17</v>
      </c>
      <c r="N465" s="702">
        <v>43618.09</v>
      </c>
    </row>
    <row r="466" spans="1:14" ht="14.45" customHeight="1" x14ac:dyDescent="0.2">
      <c r="A466" s="696" t="s">
        <v>537</v>
      </c>
      <c r="B466" s="697" t="s">
        <v>538</v>
      </c>
      <c r="C466" s="698" t="s">
        <v>550</v>
      </c>
      <c r="D466" s="699" t="s">
        <v>551</v>
      </c>
      <c r="E466" s="700">
        <v>50113002</v>
      </c>
      <c r="F466" s="699" t="s">
        <v>1340</v>
      </c>
      <c r="G466" s="698" t="s">
        <v>556</v>
      </c>
      <c r="H466" s="698">
        <v>211910</v>
      </c>
      <c r="I466" s="698">
        <v>211910</v>
      </c>
      <c r="J466" s="698" t="s">
        <v>1364</v>
      </c>
      <c r="K466" s="698" t="s">
        <v>1361</v>
      </c>
      <c r="L466" s="701">
        <v>3771.2400000000002</v>
      </c>
      <c r="M466" s="701">
        <v>10</v>
      </c>
      <c r="N466" s="702">
        <v>37712.400000000001</v>
      </c>
    </row>
    <row r="467" spans="1:14" ht="14.45" customHeight="1" x14ac:dyDescent="0.2">
      <c r="A467" s="696" t="s">
        <v>537</v>
      </c>
      <c r="B467" s="697" t="s">
        <v>538</v>
      </c>
      <c r="C467" s="698" t="s">
        <v>550</v>
      </c>
      <c r="D467" s="699" t="s">
        <v>551</v>
      </c>
      <c r="E467" s="700">
        <v>50113002</v>
      </c>
      <c r="F467" s="699" t="s">
        <v>1340</v>
      </c>
      <c r="G467" s="698" t="s">
        <v>556</v>
      </c>
      <c r="H467" s="698">
        <v>103414</v>
      </c>
      <c r="I467" s="698">
        <v>3414</v>
      </c>
      <c r="J467" s="698" t="s">
        <v>1365</v>
      </c>
      <c r="K467" s="698" t="s">
        <v>1366</v>
      </c>
      <c r="L467" s="701">
        <v>2513.7399999999989</v>
      </c>
      <c r="M467" s="701">
        <v>268</v>
      </c>
      <c r="N467" s="702">
        <v>673682.31999999972</v>
      </c>
    </row>
    <row r="468" spans="1:14" ht="14.45" customHeight="1" x14ac:dyDescent="0.2">
      <c r="A468" s="696" t="s">
        <v>537</v>
      </c>
      <c r="B468" s="697" t="s">
        <v>538</v>
      </c>
      <c r="C468" s="698" t="s">
        <v>550</v>
      </c>
      <c r="D468" s="699" t="s">
        <v>551</v>
      </c>
      <c r="E468" s="700">
        <v>50113002</v>
      </c>
      <c r="F468" s="699" t="s">
        <v>1340</v>
      </c>
      <c r="G468" s="698" t="s">
        <v>556</v>
      </c>
      <c r="H468" s="698">
        <v>227400</v>
      </c>
      <c r="I468" s="698">
        <v>227400</v>
      </c>
      <c r="J468" s="698" t="s">
        <v>1367</v>
      </c>
      <c r="K468" s="698" t="s">
        <v>1368</v>
      </c>
      <c r="L468" s="701">
        <v>4708</v>
      </c>
      <c r="M468" s="701">
        <v>9</v>
      </c>
      <c r="N468" s="702">
        <v>42372</v>
      </c>
    </row>
    <row r="469" spans="1:14" ht="14.45" customHeight="1" x14ac:dyDescent="0.2">
      <c r="A469" s="696" t="s">
        <v>537</v>
      </c>
      <c r="B469" s="697" t="s">
        <v>538</v>
      </c>
      <c r="C469" s="698" t="s">
        <v>550</v>
      </c>
      <c r="D469" s="699" t="s">
        <v>551</v>
      </c>
      <c r="E469" s="700">
        <v>50113002</v>
      </c>
      <c r="F469" s="699" t="s">
        <v>1340</v>
      </c>
      <c r="G469" s="698" t="s">
        <v>556</v>
      </c>
      <c r="H469" s="698">
        <v>227392</v>
      </c>
      <c r="I469" s="698">
        <v>227392</v>
      </c>
      <c r="J469" s="698" t="s">
        <v>1369</v>
      </c>
      <c r="K469" s="698" t="s">
        <v>1368</v>
      </c>
      <c r="L469" s="701">
        <v>4707.9999774577054</v>
      </c>
      <c r="M469" s="701">
        <v>12</v>
      </c>
      <c r="N469" s="702">
        <v>56495.999729492469</v>
      </c>
    </row>
    <row r="470" spans="1:14" ht="14.45" customHeight="1" x14ac:dyDescent="0.2">
      <c r="A470" s="696" t="s">
        <v>537</v>
      </c>
      <c r="B470" s="697" t="s">
        <v>538</v>
      </c>
      <c r="C470" s="698" t="s">
        <v>550</v>
      </c>
      <c r="D470" s="699" t="s">
        <v>551</v>
      </c>
      <c r="E470" s="700">
        <v>50113002</v>
      </c>
      <c r="F470" s="699" t="s">
        <v>1340</v>
      </c>
      <c r="G470" s="698" t="s">
        <v>556</v>
      </c>
      <c r="H470" s="698">
        <v>394774</v>
      </c>
      <c r="I470" s="698">
        <v>157118</v>
      </c>
      <c r="J470" s="698" t="s">
        <v>1370</v>
      </c>
      <c r="K470" s="698" t="s">
        <v>1371</v>
      </c>
      <c r="L470" s="701">
        <v>3116.6666666666665</v>
      </c>
      <c r="M470" s="701">
        <v>54</v>
      </c>
      <c r="N470" s="702">
        <v>168300</v>
      </c>
    </row>
    <row r="471" spans="1:14" ht="14.45" customHeight="1" x14ac:dyDescent="0.2">
      <c r="A471" s="696" t="s">
        <v>537</v>
      </c>
      <c r="B471" s="697" t="s">
        <v>538</v>
      </c>
      <c r="C471" s="698" t="s">
        <v>550</v>
      </c>
      <c r="D471" s="699" t="s">
        <v>551</v>
      </c>
      <c r="E471" s="700">
        <v>50113002</v>
      </c>
      <c r="F471" s="699" t="s">
        <v>1340</v>
      </c>
      <c r="G471" s="698" t="s">
        <v>556</v>
      </c>
      <c r="H471" s="698">
        <v>500716</v>
      </c>
      <c r="I471" s="698">
        <v>157112</v>
      </c>
      <c r="J471" s="698" t="s">
        <v>1372</v>
      </c>
      <c r="K471" s="698" t="s">
        <v>1371</v>
      </c>
      <c r="L471" s="701">
        <v>3190.5244960282989</v>
      </c>
      <c r="M471" s="701">
        <v>151</v>
      </c>
      <c r="N471" s="702">
        <v>481769.19890027313</v>
      </c>
    </row>
    <row r="472" spans="1:14" ht="14.45" customHeight="1" x14ac:dyDescent="0.2">
      <c r="A472" s="696" t="s">
        <v>537</v>
      </c>
      <c r="B472" s="697" t="s">
        <v>538</v>
      </c>
      <c r="C472" s="698" t="s">
        <v>550</v>
      </c>
      <c r="D472" s="699" t="s">
        <v>551</v>
      </c>
      <c r="E472" s="700">
        <v>50113006</v>
      </c>
      <c r="F472" s="699" t="s">
        <v>1373</v>
      </c>
      <c r="G472" s="698" t="s">
        <v>571</v>
      </c>
      <c r="H472" s="698">
        <v>217110</v>
      </c>
      <c r="I472" s="698">
        <v>217110</v>
      </c>
      <c r="J472" s="698" t="s">
        <v>1374</v>
      </c>
      <c r="K472" s="698" t="s">
        <v>1375</v>
      </c>
      <c r="L472" s="701">
        <v>128.47999999999996</v>
      </c>
      <c r="M472" s="701">
        <v>4</v>
      </c>
      <c r="N472" s="702">
        <v>513.91999999999985</v>
      </c>
    </row>
    <row r="473" spans="1:14" ht="14.45" customHeight="1" x14ac:dyDescent="0.2">
      <c r="A473" s="696" t="s">
        <v>537</v>
      </c>
      <c r="B473" s="697" t="s">
        <v>538</v>
      </c>
      <c r="C473" s="698" t="s">
        <v>550</v>
      </c>
      <c r="D473" s="699" t="s">
        <v>551</v>
      </c>
      <c r="E473" s="700">
        <v>50113006</v>
      </c>
      <c r="F473" s="699" t="s">
        <v>1373</v>
      </c>
      <c r="G473" s="698" t="s">
        <v>571</v>
      </c>
      <c r="H473" s="698">
        <v>33833</v>
      </c>
      <c r="I473" s="698">
        <v>33833</v>
      </c>
      <c r="J473" s="698" t="s">
        <v>1376</v>
      </c>
      <c r="K473" s="698" t="s">
        <v>1375</v>
      </c>
      <c r="L473" s="701">
        <v>163.81</v>
      </c>
      <c r="M473" s="701">
        <v>8</v>
      </c>
      <c r="N473" s="702">
        <v>1310.48</v>
      </c>
    </row>
    <row r="474" spans="1:14" ht="14.45" customHeight="1" x14ac:dyDescent="0.2">
      <c r="A474" s="696" t="s">
        <v>537</v>
      </c>
      <c r="B474" s="697" t="s">
        <v>538</v>
      </c>
      <c r="C474" s="698" t="s">
        <v>550</v>
      </c>
      <c r="D474" s="699" t="s">
        <v>551</v>
      </c>
      <c r="E474" s="700">
        <v>50113006</v>
      </c>
      <c r="F474" s="699" t="s">
        <v>1373</v>
      </c>
      <c r="G474" s="698" t="s">
        <v>556</v>
      </c>
      <c r="H474" s="698">
        <v>217087</v>
      </c>
      <c r="I474" s="698">
        <v>217087</v>
      </c>
      <c r="J474" s="698" t="s">
        <v>1377</v>
      </c>
      <c r="K474" s="698" t="s">
        <v>1375</v>
      </c>
      <c r="L474" s="701">
        <v>163.80999999999997</v>
      </c>
      <c r="M474" s="701">
        <v>12</v>
      </c>
      <c r="N474" s="702">
        <v>1965.7199999999998</v>
      </c>
    </row>
    <row r="475" spans="1:14" ht="14.45" customHeight="1" x14ac:dyDescent="0.2">
      <c r="A475" s="696" t="s">
        <v>537</v>
      </c>
      <c r="B475" s="697" t="s">
        <v>538</v>
      </c>
      <c r="C475" s="698" t="s">
        <v>550</v>
      </c>
      <c r="D475" s="699" t="s">
        <v>551</v>
      </c>
      <c r="E475" s="700">
        <v>50113006</v>
      </c>
      <c r="F475" s="699" t="s">
        <v>1373</v>
      </c>
      <c r="G475" s="698" t="s">
        <v>556</v>
      </c>
      <c r="H475" s="698">
        <v>217088</v>
      </c>
      <c r="I475" s="698">
        <v>217088</v>
      </c>
      <c r="J475" s="698" t="s">
        <v>1378</v>
      </c>
      <c r="K475" s="698" t="s">
        <v>1375</v>
      </c>
      <c r="L475" s="701">
        <v>163.80999999999997</v>
      </c>
      <c r="M475" s="701">
        <v>25</v>
      </c>
      <c r="N475" s="702">
        <v>4095.2499999999991</v>
      </c>
    </row>
    <row r="476" spans="1:14" ht="14.45" customHeight="1" x14ac:dyDescent="0.2">
      <c r="A476" s="696" t="s">
        <v>537</v>
      </c>
      <c r="B476" s="697" t="s">
        <v>538</v>
      </c>
      <c r="C476" s="698" t="s">
        <v>550</v>
      </c>
      <c r="D476" s="699" t="s">
        <v>551</v>
      </c>
      <c r="E476" s="700">
        <v>50113006</v>
      </c>
      <c r="F476" s="699" t="s">
        <v>1373</v>
      </c>
      <c r="G476" s="698" t="s">
        <v>556</v>
      </c>
      <c r="H476" s="698">
        <v>217190</v>
      </c>
      <c r="I476" s="698">
        <v>217190</v>
      </c>
      <c r="J476" s="698" t="s">
        <v>1379</v>
      </c>
      <c r="K476" s="698" t="s">
        <v>1380</v>
      </c>
      <c r="L476" s="701">
        <v>92.204347826086973</v>
      </c>
      <c r="M476" s="701">
        <v>46</v>
      </c>
      <c r="N476" s="702">
        <v>4241.4000000000005</v>
      </c>
    </row>
    <row r="477" spans="1:14" ht="14.45" customHeight="1" x14ac:dyDescent="0.2">
      <c r="A477" s="696" t="s">
        <v>537</v>
      </c>
      <c r="B477" s="697" t="s">
        <v>538</v>
      </c>
      <c r="C477" s="698" t="s">
        <v>550</v>
      </c>
      <c r="D477" s="699" t="s">
        <v>551</v>
      </c>
      <c r="E477" s="700">
        <v>50113006</v>
      </c>
      <c r="F477" s="699" t="s">
        <v>1373</v>
      </c>
      <c r="G477" s="698" t="s">
        <v>556</v>
      </c>
      <c r="H477" s="698">
        <v>217077</v>
      </c>
      <c r="I477" s="698">
        <v>217077</v>
      </c>
      <c r="J477" s="698" t="s">
        <v>1381</v>
      </c>
      <c r="K477" s="698" t="s">
        <v>800</v>
      </c>
      <c r="L477" s="701">
        <v>161.54999999999998</v>
      </c>
      <c r="M477" s="701">
        <v>8</v>
      </c>
      <c r="N477" s="702">
        <v>1292.3999999999999</v>
      </c>
    </row>
    <row r="478" spans="1:14" ht="14.45" customHeight="1" x14ac:dyDescent="0.2">
      <c r="A478" s="696" t="s">
        <v>537</v>
      </c>
      <c r="B478" s="697" t="s">
        <v>538</v>
      </c>
      <c r="C478" s="698" t="s">
        <v>550</v>
      </c>
      <c r="D478" s="699" t="s">
        <v>551</v>
      </c>
      <c r="E478" s="700">
        <v>50113006</v>
      </c>
      <c r="F478" s="699" t="s">
        <v>1373</v>
      </c>
      <c r="G478" s="698" t="s">
        <v>556</v>
      </c>
      <c r="H478" s="698">
        <v>33889</v>
      </c>
      <c r="I478" s="698">
        <v>33889</v>
      </c>
      <c r="J478" s="698" t="s">
        <v>1382</v>
      </c>
      <c r="K478" s="698" t="s">
        <v>1383</v>
      </c>
      <c r="L478" s="701">
        <v>115</v>
      </c>
      <c r="M478" s="701">
        <v>25</v>
      </c>
      <c r="N478" s="702">
        <v>2875</v>
      </c>
    </row>
    <row r="479" spans="1:14" ht="14.45" customHeight="1" x14ac:dyDescent="0.2">
      <c r="A479" s="696" t="s">
        <v>537</v>
      </c>
      <c r="B479" s="697" t="s">
        <v>538</v>
      </c>
      <c r="C479" s="698" t="s">
        <v>550</v>
      </c>
      <c r="D479" s="699" t="s">
        <v>551</v>
      </c>
      <c r="E479" s="700">
        <v>50113006</v>
      </c>
      <c r="F479" s="699" t="s">
        <v>1373</v>
      </c>
      <c r="G479" s="698" t="s">
        <v>556</v>
      </c>
      <c r="H479" s="698">
        <v>33888</v>
      </c>
      <c r="I479" s="698">
        <v>33888</v>
      </c>
      <c r="J479" s="698" t="s">
        <v>1384</v>
      </c>
      <c r="K479" s="698" t="s">
        <v>1383</v>
      </c>
      <c r="L479" s="701">
        <v>115.00000000000001</v>
      </c>
      <c r="M479" s="701">
        <v>2</v>
      </c>
      <c r="N479" s="702">
        <v>230.00000000000003</v>
      </c>
    </row>
    <row r="480" spans="1:14" ht="14.45" customHeight="1" x14ac:dyDescent="0.2">
      <c r="A480" s="696" t="s">
        <v>537</v>
      </c>
      <c r="B480" s="697" t="s">
        <v>538</v>
      </c>
      <c r="C480" s="698" t="s">
        <v>550</v>
      </c>
      <c r="D480" s="699" t="s">
        <v>551</v>
      </c>
      <c r="E480" s="700">
        <v>50113006</v>
      </c>
      <c r="F480" s="699" t="s">
        <v>1373</v>
      </c>
      <c r="G480" s="698" t="s">
        <v>556</v>
      </c>
      <c r="H480" s="698">
        <v>33890</v>
      </c>
      <c r="I480" s="698">
        <v>33890</v>
      </c>
      <c r="J480" s="698" t="s">
        <v>1385</v>
      </c>
      <c r="K480" s="698" t="s">
        <v>1383</v>
      </c>
      <c r="L480" s="701">
        <v>115.00000000000003</v>
      </c>
      <c r="M480" s="701">
        <v>1</v>
      </c>
      <c r="N480" s="702">
        <v>115.00000000000003</v>
      </c>
    </row>
    <row r="481" spans="1:14" ht="14.45" customHeight="1" x14ac:dyDescent="0.2">
      <c r="A481" s="696" t="s">
        <v>537</v>
      </c>
      <c r="B481" s="697" t="s">
        <v>538</v>
      </c>
      <c r="C481" s="698" t="s">
        <v>550</v>
      </c>
      <c r="D481" s="699" t="s">
        <v>551</v>
      </c>
      <c r="E481" s="700">
        <v>50113006</v>
      </c>
      <c r="F481" s="699" t="s">
        <v>1373</v>
      </c>
      <c r="G481" s="698" t="s">
        <v>556</v>
      </c>
      <c r="H481" s="698">
        <v>33891</v>
      </c>
      <c r="I481" s="698">
        <v>33891</v>
      </c>
      <c r="J481" s="698" t="s">
        <v>1386</v>
      </c>
      <c r="K481" s="698" t="s">
        <v>1383</v>
      </c>
      <c r="L481" s="701">
        <v>115</v>
      </c>
      <c r="M481" s="701">
        <v>14</v>
      </c>
      <c r="N481" s="702">
        <v>1610</v>
      </c>
    </row>
    <row r="482" spans="1:14" ht="14.45" customHeight="1" x14ac:dyDescent="0.2">
      <c r="A482" s="696" t="s">
        <v>537</v>
      </c>
      <c r="B482" s="697" t="s">
        <v>538</v>
      </c>
      <c r="C482" s="698" t="s">
        <v>550</v>
      </c>
      <c r="D482" s="699" t="s">
        <v>551</v>
      </c>
      <c r="E482" s="700">
        <v>50113006</v>
      </c>
      <c r="F482" s="699" t="s">
        <v>1373</v>
      </c>
      <c r="G482" s="698" t="s">
        <v>556</v>
      </c>
      <c r="H482" s="698">
        <v>217162</v>
      </c>
      <c r="I482" s="698">
        <v>217162</v>
      </c>
      <c r="J482" s="698" t="s">
        <v>1387</v>
      </c>
      <c r="K482" s="698" t="s">
        <v>1388</v>
      </c>
      <c r="L482" s="701">
        <v>170.2000008044233</v>
      </c>
      <c r="M482" s="701">
        <v>22</v>
      </c>
      <c r="N482" s="702">
        <v>3744.4000176973123</v>
      </c>
    </row>
    <row r="483" spans="1:14" ht="14.45" customHeight="1" x14ac:dyDescent="0.2">
      <c r="A483" s="696" t="s">
        <v>537</v>
      </c>
      <c r="B483" s="697" t="s">
        <v>538</v>
      </c>
      <c r="C483" s="698" t="s">
        <v>550</v>
      </c>
      <c r="D483" s="699" t="s">
        <v>551</v>
      </c>
      <c r="E483" s="700">
        <v>50113006</v>
      </c>
      <c r="F483" s="699" t="s">
        <v>1373</v>
      </c>
      <c r="G483" s="698" t="s">
        <v>556</v>
      </c>
      <c r="H483" s="698">
        <v>217160</v>
      </c>
      <c r="I483" s="698">
        <v>217160</v>
      </c>
      <c r="J483" s="698" t="s">
        <v>1389</v>
      </c>
      <c r="K483" s="698" t="s">
        <v>1388</v>
      </c>
      <c r="L483" s="701">
        <v>170.20000088486563</v>
      </c>
      <c r="M483" s="701">
        <v>20</v>
      </c>
      <c r="N483" s="702">
        <v>3404.0000176973126</v>
      </c>
    </row>
    <row r="484" spans="1:14" ht="14.45" customHeight="1" x14ac:dyDescent="0.2">
      <c r="A484" s="696" t="s">
        <v>537</v>
      </c>
      <c r="B484" s="697" t="s">
        <v>538</v>
      </c>
      <c r="C484" s="698" t="s">
        <v>550</v>
      </c>
      <c r="D484" s="699" t="s">
        <v>551</v>
      </c>
      <c r="E484" s="700">
        <v>50113006</v>
      </c>
      <c r="F484" s="699" t="s">
        <v>1373</v>
      </c>
      <c r="G484" s="698" t="s">
        <v>556</v>
      </c>
      <c r="H484" s="698">
        <v>841569</v>
      </c>
      <c r="I484" s="698">
        <v>0</v>
      </c>
      <c r="J484" s="698" t="s">
        <v>1390</v>
      </c>
      <c r="K484" s="698" t="s">
        <v>306</v>
      </c>
      <c r="L484" s="701">
        <v>1225.0999999999999</v>
      </c>
      <c r="M484" s="701">
        <v>3</v>
      </c>
      <c r="N484" s="702">
        <v>3675.2999999999997</v>
      </c>
    </row>
    <row r="485" spans="1:14" ht="14.45" customHeight="1" x14ac:dyDescent="0.2">
      <c r="A485" s="696" t="s">
        <v>537</v>
      </c>
      <c r="B485" s="697" t="s">
        <v>538</v>
      </c>
      <c r="C485" s="698" t="s">
        <v>550</v>
      </c>
      <c r="D485" s="699" t="s">
        <v>551</v>
      </c>
      <c r="E485" s="700">
        <v>50113006</v>
      </c>
      <c r="F485" s="699" t="s">
        <v>1373</v>
      </c>
      <c r="G485" s="698" t="s">
        <v>556</v>
      </c>
      <c r="H485" s="698">
        <v>990223</v>
      </c>
      <c r="I485" s="698">
        <v>217384</v>
      </c>
      <c r="J485" s="698" t="s">
        <v>1391</v>
      </c>
      <c r="K485" s="698" t="s">
        <v>306</v>
      </c>
      <c r="L485" s="701">
        <v>146.084</v>
      </c>
      <c r="M485" s="701">
        <v>100</v>
      </c>
      <c r="N485" s="702">
        <v>14608.400000000001</v>
      </c>
    </row>
    <row r="486" spans="1:14" ht="14.45" customHeight="1" x14ac:dyDescent="0.2">
      <c r="A486" s="696" t="s">
        <v>537</v>
      </c>
      <c r="B486" s="697" t="s">
        <v>538</v>
      </c>
      <c r="C486" s="698" t="s">
        <v>550</v>
      </c>
      <c r="D486" s="699" t="s">
        <v>551</v>
      </c>
      <c r="E486" s="700">
        <v>50113006</v>
      </c>
      <c r="F486" s="699" t="s">
        <v>1373</v>
      </c>
      <c r="G486" s="698" t="s">
        <v>556</v>
      </c>
      <c r="H486" s="698">
        <v>993236</v>
      </c>
      <c r="I486" s="698">
        <v>0</v>
      </c>
      <c r="J486" s="698" t="s">
        <v>1392</v>
      </c>
      <c r="K486" s="698" t="s">
        <v>1393</v>
      </c>
      <c r="L486" s="701">
        <v>258.59000000000003</v>
      </c>
      <c r="M486" s="701">
        <v>20</v>
      </c>
      <c r="N486" s="702">
        <v>5171.8</v>
      </c>
    </row>
    <row r="487" spans="1:14" ht="14.45" customHeight="1" x14ac:dyDescent="0.2">
      <c r="A487" s="696" t="s">
        <v>537</v>
      </c>
      <c r="B487" s="697" t="s">
        <v>538</v>
      </c>
      <c r="C487" s="698" t="s">
        <v>550</v>
      </c>
      <c r="D487" s="699" t="s">
        <v>551</v>
      </c>
      <c r="E487" s="700">
        <v>50113006</v>
      </c>
      <c r="F487" s="699" t="s">
        <v>1373</v>
      </c>
      <c r="G487" s="698" t="s">
        <v>571</v>
      </c>
      <c r="H487" s="698">
        <v>846765</v>
      </c>
      <c r="I487" s="698">
        <v>33421</v>
      </c>
      <c r="J487" s="698" t="s">
        <v>1394</v>
      </c>
      <c r="K487" s="698" t="s">
        <v>1388</v>
      </c>
      <c r="L487" s="701">
        <v>138.54</v>
      </c>
      <c r="M487" s="701">
        <v>10</v>
      </c>
      <c r="N487" s="702">
        <v>1385.3999999999999</v>
      </c>
    </row>
    <row r="488" spans="1:14" ht="14.45" customHeight="1" x14ac:dyDescent="0.2">
      <c r="A488" s="696" t="s">
        <v>537</v>
      </c>
      <c r="B488" s="697" t="s">
        <v>538</v>
      </c>
      <c r="C488" s="698" t="s">
        <v>550</v>
      </c>
      <c r="D488" s="699" t="s">
        <v>551</v>
      </c>
      <c r="E488" s="700">
        <v>50113006</v>
      </c>
      <c r="F488" s="699" t="s">
        <v>1373</v>
      </c>
      <c r="G488" s="698" t="s">
        <v>571</v>
      </c>
      <c r="H488" s="698">
        <v>846766</v>
      </c>
      <c r="I488" s="698">
        <v>33420</v>
      </c>
      <c r="J488" s="698" t="s">
        <v>1395</v>
      </c>
      <c r="K488" s="698" t="s">
        <v>1388</v>
      </c>
      <c r="L488" s="701">
        <v>138.54</v>
      </c>
      <c r="M488" s="701">
        <v>10</v>
      </c>
      <c r="N488" s="702">
        <v>1385.3999999999999</v>
      </c>
    </row>
    <row r="489" spans="1:14" ht="14.45" customHeight="1" x14ac:dyDescent="0.2">
      <c r="A489" s="696" t="s">
        <v>537</v>
      </c>
      <c r="B489" s="697" t="s">
        <v>538</v>
      </c>
      <c r="C489" s="698" t="s">
        <v>550</v>
      </c>
      <c r="D489" s="699" t="s">
        <v>551</v>
      </c>
      <c r="E489" s="700">
        <v>50113006</v>
      </c>
      <c r="F489" s="699" t="s">
        <v>1373</v>
      </c>
      <c r="G489" s="698" t="s">
        <v>571</v>
      </c>
      <c r="H489" s="698">
        <v>33751</v>
      </c>
      <c r="I489" s="698">
        <v>33751</v>
      </c>
      <c r="J489" s="698" t="s">
        <v>1396</v>
      </c>
      <c r="K489" s="698" t="s">
        <v>1397</v>
      </c>
      <c r="L489" s="701">
        <v>96.55</v>
      </c>
      <c r="M489" s="701">
        <v>4</v>
      </c>
      <c r="N489" s="702">
        <v>386.2</v>
      </c>
    </row>
    <row r="490" spans="1:14" ht="14.45" customHeight="1" x14ac:dyDescent="0.2">
      <c r="A490" s="696" t="s">
        <v>537</v>
      </c>
      <c r="B490" s="697" t="s">
        <v>538</v>
      </c>
      <c r="C490" s="698" t="s">
        <v>550</v>
      </c>
      <c r="D490" s="699" t="s">
        <v>551</v>
      </c>
      <c r="E490" s="700">
        <v>50113006</v>
      </c>
      <c r="F490" s="699" t="s">
        <v>1373</v>
      </c>
      <c r="G490" s="698" t="s">
        <v>571</v>
      </c>
      <c r="H490" s="698">
        <v>395579</v>
      </c>
      <c r="I490" s="698">
        <v>33752</v>
      </c>
      <c r="J490" s="698" t="s">
        <v>1398</v>
      </c>
      <c r="K490" s="698" t="s">
        <v>1399</v>
      </c>
      <c r="L490" s="701">
        <v>96.55</v>
      </c>
      <c r="M490" s="701">
        <v>4</v>
      </c>
      <c r="N490" s="702">
        <v>386.2</v>
      </c>
    </row>
    <row r="491" spans="1:14" ht="14.45" customHeight="1" x14ac:dyDescent="0.2">
      <c r="A491" s="696" t="s">
        <v>537</v>
      </c>
      <c r="B491" s="697" t="s">
        <v>538</v>
      </c>
      <c r="C491" s="698" t="s">
        <v>550</v>
      </c>
      <c r="D491" s="699" t="s">
        <v>551</v>
      </c>
      <c r="E491" s="700">
        <v>50113006</v>
      </c>
      <c r="F491" s="699" t="s">
        <v>1373</v>
      </c>
      <c r="G491" s="698" t="s">
        <v>571</v>
      </c>
      <c r="H491" s="698">
        <v>217496</v>
      </c>
      <c r="I491" s="698">
        <v>217496</v>
      </c>
      <c r="J491" s="698" t="s">
        <v>1400</v>
      </c>
      <c r="K491" s="698" t="s">
        <v>1375</v>
      </c>
      <c r="L491" s="701">
        <v>130.70999999999998</v>
      </c>
      <c r="M491" s="701">
        <v>4</v>
      </c>
      <c r="N491" s="702">
        <v>522.83999999999992</v>
      </c>
    </row>
    <row r="492" spans="1:14" ht="14.45" customHeight="1" x14ac:dyDescent="0.2">
      <c r="A492" s="696" t="s">
        <v>537</v>
      </c>
      <c r="B492" s="697" t="s">
        <v>538</v>
      </c>
      <c r="C492" s="698" t="s">
        <v>550</v>
      </c>
      <c r="D492" s="699" t="s">
        <v>551</v>
      </c>
      <c r="E492" s="700">
        <v>50113006</v>
      </c>
      <c r="F492" s="699" t="s">
        <v>1373</v>
      </c>
      <c r="G492" s="698" t="s">
        <v>306</v>
      </c>
      <c r="H492" s="698">
        <v>33859</v>
      </c>
      <c r="I492" s="698">
        <v>33859</v>
      </c>
      <c r="J492" s="698" t="s">
        <v>1401</v>
      </c>
      <c r="K492" s="698" t="s">
        <v>1375</v>
      </c>
      <c r="L492" s="701">
        <v>141.41999999999999</v>
      </c>
      <c r="M492" s="701">
        <v>8</v>
      </c>
      <c r="N492" s="702">
        <v>1131.3599999999999</v>
      </c>
    </row>
    <row r="493" spans="1:14" ht="14.45" customHeight="1" x14ac:dyDescent="0.2">
      <c r="A493" s="696" t="s">
        <v>537</v>
      </c>
      <c r="B493" s="697" t="s">
        <v>538</v>
      </c>
      <c r="C493" s="698" t="s">
        <v>550</v>
      </c>
      <c r="D493" s="699" t="s">
        <v>551</v>
      </c>
      <c r="E493" s="700">
        <v>50113006</v>
      </c>
      <c r="F493" s="699" t="s">
        <v>1373</v>
      </c>
      <c r="G493" s="698" t="s">
        <v>571</v>
      </c>
      <c r="H493" s="698">
        <v>217490</v>
      </c>
      <c r="I493" s="698">
        <v>217490</v>
      </c>
      <c r="J493" s="698" t="s">
        <v>1401</v>
      </c>
      <c r="K493" s="698" t="s">
        <v>1375</v>
      </c>
      <c r="L493" s="701">
        <v>140.68227280558619</v>
      </c>
      <c r="M493" s="701">
        <v>22</v>
      </c>
      <c r="N493" s="702">
        <v>3095.010001722896</v>
      </c>
    </row>
    <row r="494" spans="1:14" ht="14.45" customHeight="1" x14ac:dyDescent="0.2">
      <c r="A494" s="696" t="s">
        <v>537</v>
      </c>
      <c r="B494" s="697" t="s">
        <v>538</v>
      </c>
      <c r="C494" s="698" t="s">
        <v>550</v>
      </c>
      <c r="D494" s="699" t="s">
        <v>551</v>
      </c>
      <c r="E494" s="700">
        <v>50113006</v>
      </c>
      <c r="F494" s="699" t="s">
        <v>1373</v>
      </c>
      <c r="G494" s="698" t="s">
        <v>571</v>
      </c>
      <c r="H494" s="698">
        <v>217491</v>
      </c>
      <c r="I494" s="698">
        <v>217491</v>
      </c>
      <c r="J494" s="698" t="s">
        <v>1402</v>
      </c>
      <c r="K494" s="698" t="s">
        <v>1375</v>
      </c>
      <c r="L494" s="701">
        <v>133.59375</v>
      </c>
      <c r="M494" s="701">
        <v>16</v>
      </c>
      <c r="N494" s="702">
        <v>2137.5</v>
      </c>
    </row>
    <row r="495" spans="1:14" ht="14.45" customHeight="1" x14ac:dyDescent="0.2">
      <c r="A495" s="696" t="s">
        <v>537</v>
      </c>
      <c r="B495" s="697" t="s">
        <v>538</v>
      </c>
      <c r="C495" s="698" t="s">
        <v>550</v>
      </c>
      <c r="D495" s="699" t="s">
        <v>551</v>
      </c>
      <c r="E495" s="700">
        <v>50113006</v>
      </c>
      <c r="F495" s="699" t="s">
        <v>1373</v>
      </c>
      <c r="G495" s="698" t="s">
        <v>571</v>
      </c>
      <c r="H495" s="698">
        <v>217497</v>
      </c>
      <c r="I495" s="698">
        <v>217497</v>
      </c>
      <c r="J495" s="698" t="s">
        <v>1403</v>
      </c>
      <c r="K495" s="698" t="s">
        <v>1375</v>
      </c>
      <c r="L495" s="701">
        <v>133.27333333333334</v>
      </c>
      <c r="M495" s="701">
        <v>9</v>
      </c>
      <c r="N495" s="702">
        <v>1199.46</v>
      </c>
    </row>
    <row r="496" spans="1:14" ht="14.45" customHeight="1" x14ac:dyDescent="0.2">
      <c r="A496" s="696" t="s">
        <v>537</v>
      </c>
      <c r="B496" s="697" t="s">
        <v>538</v>
      </c>
      <c r="C496" s="698" t="s">
        <v>550</v>
      </c>
      <c r="D496" s="699" t="s">
        <v>551</v>
      </c>
      <c r="E496" s="700">
        <v>50113006</v>
      </c>
      <c r="F496" s="699" t="s">
        <v>1373</v>
      </c>
      <c r="G496" s="698" t="s">
        <v>571</v>
      </c>
      <c r="H496" s="698">
        <v>33936</v>
      </c>
      <c r="I496" s="698">
        <v>33936</v>
      </c>
      <c r="J496" s="698" t="s">
        <v>1404</v>
      </c>
      <c r="K496" s="698" t="s">
        <v>1405</v>
      </c>
      <c r="L496" s="701">
        <v>31.350000000000005</v>
      </c>
      <c r="M496" s="701">
        <v>6</v>
      </c>
      <c r="N496" s="702">
        <v>188.10000000000002</v>
      </c>
    </row>
    <row r="497" spans="1:14" ht="14.45" customHeight="1" x14ac:dyDescent="0.2">
      <c r="A497" s="696" t="s">
        <v>537</v>
      </c>
      <c r="B497" s="697" t="s">
        <v>538</v>
      </c>
      <c r="C497" s="698" t="s">
        <v>550</v>
      </c>
      <c r="D497" s="699" t="s">
        <v>551</v>
      </c>
      <c r="E497" s="700">
        <v>50113006</v>
      </c>
      <c r="F497" s="699" t="s">
        <v>1373</v>
      </c>
      <c r="G497" s="698" t="s">
        <v>571</v>
      </c>
      <c r="H497" s="698">
        <v>33848</v>
      </c>
      <c r="I497" s="698">
        <v>33848</v>
      </c>
      <c r="J497" s="698" t="s">
        <v>1406</v>
      </c>
      <c r="K497" s="698" t="s">
        <v>1375</v>
      </c>
      <c r="L497" s="701">
        <v>124.91666666666666</v>
      </c>
      <c r="M497" s="701">
        <v>15</v>
      </c>
      <c r="N497" s="702">
        <v>1873.7499999999998</v>
      </c>
    </row>
    <row r="498" spans="1:14" ht="14.45" customHeight="1" x14ac:dyDescent="0.2">
      <c r="A498" s="696" t="s">
        <v>537</v>
      </c>
      <c r="B498" s="697" t="s">
        <v>538</v>
      </c>
      <c r="C498" s="698" t="s">
        <v>550</v>
      </c>
      <c r="D498" s="699" t="s">
        <v>551</v>
      </c>
      <c r="E498" s="700">
        <v>50113006</v>
      </c>
      <c r="F498" s="699" t="s">
        <v>1373</v>
      </c>
      <c r="G498" s="698" t="s">
        <v>571</v>
      </c>
      <c r="H498" s="698">
        <v>990352</v>
      </c>
      <c r="I498" s="698">
        <v>33935</v>
      </c>
      <c r="J498" s="698" t="s">
        <v>1407</v>
      </c>
      <c r="K498" s="698" t="s">
        <v>1405</v>
      </c>
      <c r="L498" s="701">
        <v>31.350000000000012</v>
      </c>
      <c r="M498" s="701">
        <v>6</v>
      </c>
      <c r="N498" s="702">
        <v>188.10000000000008</v>
      </c>
    </row>
    <row r="499" spans="1:14" ht="14.45" customHeight="1" x14ac:dyDescent="0.2">
      <c r="A499" s="696" t="s">
        <v>537</v>
      </c>
      <c r="B499" s="697" t="s">
        <v>538</v>
      </c>
      <c r="C499" s="698" t="s">
        <v>550</v>
      </c>
      <c r="D499" s="699" t="s">
        <v>551</v>
      </c>
      <c r="E499" s="700">
        <v>50113006</v>
      </c>
      <c r="F499" s="699" t="s">
        <v>1373</v>
      </c>
      <c r="G499" s="698" t="s">
        <v>571</v>
      </c>
      <c r="H499" s="698">
        <v>33847</v>
      </c>
      <c r="I499" s="698">
        <v>33847</v>
      </c>
      <c r="J499" s="698" t="s">
        <v>1408</v>
      </c>
      <c r="K499" s="698" t="s">
        <v>1375</v>
      </c>
      <c r="L499" s="701">
        <v>125.36</v>
      </c>
      <c r="M499" s="701">
        <v>9</v>
      </c>
      <c r="N499" s="702">
        <v>1128.24</v>
      </c>
    </row>
    <row r="500" spans="1:14" ht="14.45" customHeight="1" x14ac:dyDescent="0.2">
      <c r="A500" s="696" t="s">
        <v>537</v>
      </c>
      <c r="B500" s="697" t="s">
        <v>538</v>
      </c>
      <c r="C500" s="698" t="s">
        <v>550</v>
      </c>
      <c r="D500" s="699" t="s">
        <v>551</v>
      </c>
      <c r="E500" s="700">
        <v>50113006</v>
      </c>
      <c r="F500" s="699" t="s">
        <v>1373</v>
      </c>
      <c r="G500" s="698" t="s">
        <v>571</v>
      </c>
      <c r="H500" s="698">
        <v>33527</v>
      </c>
      <c r="I500" s="698">
        <v>33527</v>
      </c>
      <c r="J500" s="698" t="s">
        <v>1409</v>
      </c>
      <c r="K500" s="698" t="s">
        <v>1380</v>
      </c>
      <c r="L500" s="701">
        <v>55.569999999999993</v>
      </c>
      <c r="M500" s="701">
        <v>68</v>
      </c>
      <c r="N500" s="702">
        <v>3778.7599999999993</v>
      </c>
    </row>
    <row r="501" spans="1:14" ht="14.45" customHeight="1" x14ac:dyDescent="0.2">
      <c r="A501" s="696" t="s">
        <v>537</v>
      </c>
      <c r="B501" s="697" t="s">
        <v>538</v>
      </c>
      <c r="C501" s="698" t="s">
        <v>550</v>
      </c>
      <c r="D501" s="699" t="s">
        <v>551</v>
      </c>
      <c r="E501" s="700">
        <v>50113006</v>
      </c>
      <c r="F501" s="699" t="s">
        <v>1373</v>
      </c>
      <c r="G501" s="698" t="s">
        <v>556</v>
      </c>
      <c r="H501" s="698">
        <v>988740</v>
      </c>
      <c r="I501" s="698">
        <v>0</v>
      </c>
      <c r="J501" s="698" t="s">
        <v>1410</v>
      </c>
      <c r="K501" s="698" t="s">
        <v>306</v>
      </c>
      <c r="L501" s="701">
        <v>177.63000000000002</v>
      </c>
      <c r="M501" s="701">
        <v>193</v>
      </c>
      <c r="N501" s="702">
        <v>34282.590000000004</v>
      </c>
    </row>
    <row r="502" spans="1:14" ht="14.45" customHeight="1" x14ac:dyDescent="0.2">
      <c r="A502" s="696" t="s">
        <v>537</v>
      </c>
      <c r="B502" s="697" t="s">
        <v>538</v>
      </c>
      <c r="C502" s="698" t="s">
        <v>550</v>
      </c>
      <c r="D502" s="699" t="s">
        <v>551</v>
      </c>
      <c r="E502" s="700">
        <v>50113006</v>
      </c>
      <c r="F502" s="699" t="s">
        <v>1373</v>
      </c>
      <c r="G502" s="698" t="s">
        <v>556</v>
      </c>
      <c r="H502" s="698">
        <v>995292</v>
      </c>
      <c r="I502" s="698">
        <v>0</v>
      </c>
      <c r="J502" s="698" t="s">
        <v>1411</v>
      </c>
      <c r="K502" s="698" t="s">
        <v>306</v>
      </c>
      <c r="L502" s="701">
        <v>156.81905172413792</v>
      </c>
      <c r="M502" s="701">
        <v>232</v>
      </c>
      <c r="N502" s="702">
        <v>36382.019999999997</v>
      </c>
    </row>
    <row r="503" spans="1:14" ht="14.45" customHeight="1" x14ac:dyDescent="0.2">
      <c r="A503" s="696" t="s">
        <v>537</v>
      </c>
      <c r="B503" s="697" t="s">
        <v>538</v>
      </c>
      <c r="C503" s="698" t="s">
        <v>550</v>
      </c>
      <c r="D503" s="699" t="s">
        <v>551</v>
      </c>
      <c r="E503" s="700">
        <v>50113006</v>
      </c>
      <c r="F503" s="699" t="s">
        <v>1373</v>
      </c>
      <c r="G503" s="698" t="s">
        <v>556</v>
      </c>
      <c r="H503" s="698">
        <v>994516</v>
      </c>
      <c r="I503" s="698">
        <v>0</v>
      </c>
      <c r="J503" s="698" t="s">
        <v>1412</v>
      </c>
      <c r="K503" s="698" t="s">
        <v>306</v>
      </c>
      <c r="L503" s="701">
        <v>196.62999999999997</v>
      </c>
      <c r="M503" s="701">
        <v>359</v>
      </c>
      <c r="N503" s="702">
        <v>70590.169999999984</v>
      </c>
    </row>
    <row r="504" spans="1:14" ht="14.45" customHeight="1" x14ac:dyDescent="0.2">
      <c r="A504" s="696" t="s">
        <v>537</v>
      </c>
      <c r="B504" s="697" t="s">
        <v>538</v>
      </c>
      <c r="C504" s="698" t="s">
        <v>550</v>
      </c>
      <c r="D504" s="699" t="s">
        <v>551</v>
      </c>
      <c r="E504" s="700">
        <v>50113006</v>
      </c>
      <c r="F504" s="699" t="s">
        <v>1373</v>
      </c>
      <c r="G504" s="698" t="s">
        <v>556</v>
      </c>
      <c r="H504" s="698">
        <v>217251</v>
      </c>
      <c r="I504" s="698">
        <v>217251</v>
      </c>
      <c r="J504" s="698" t="s">
        <v>1413</v>
      </c>
      <c r="K504" s="698" t="s">
        <v>1414</v>
      </c>
      <c r="L504" s="701">
        <v>2574.1149999999998</v>
      </c>
      <c r="M504" s="701">
        <v>4</v>
      </c>
      <c r="N504" s="702">
        <v>10296.459999999999</v>
      </c>
    </row>
    <row r="505" spans="1:14" ht="14.45" customHeight="1" x14ac:dyDescent="0.2">
      <c r="A505" s="696" t="s">
        <v>537</v>
      </c>
      <c r="B505" s="697" t="s">
        <v>538</v>
      </c>
      <c r="C505" s="698" t="s">
        <v>550</v>
      </c>
      <c r="D505" s="699" t="s">
        <v>551</v>
      </c>
      <c r="E505" s="700">
        <v>50113006</v>
      </c>
      <c r="F505" s="699" t="s">
        <v>1373</v>
      </c>
      <c r="G505" s="698" t="s">
        <v>556</v>
      </c>
      <c r="H505" s="698">
        <v>993484</v>
      </c>
      <c r="I505" s="698">
        <v>0</v>
      </c>
      <c r="J505" s="698" t="s">
        <v>1415</v>
      </c>
      <c r="K505" s="698" t="s">
        <v>306</v>
      </c>
      <c r="L505" s="701">
        <v>1991.0999999999995</v>
      </c>
      <c r="M505" s="701">
        <v>16</v>
      </c>
      <c r="N505" s="702">
        <v>31857.599999999991</v>
      </c>
    </row>
    <row r="506" spans="1:14" ht="14.45" customHeight="1" x14ac:dyDescent="0.2">
      <c r="A506" s="696" t="s">
        <v>537</v>
      </c>
      <c r="B506" s="697" t="s">
        <v>538</v>
      </c>
      <c r="C506" s="698" t="s">
        <v>550</v>
      </c>
      <c r="D506" s="699" t="s">
        <v>551</v>
      </c>
      <c r="E506" s="700">
        <v>50113006</v>
      </c>
      <c r="F506" s="699" t="s">
        <v>1373</v>
      </c>
      <c r="G506" s="698" t="s">
        <v>556</v>
      </c>
      <c r="H506" s="698">
        <v>33982</v>
      </c>
      <c r="I506" s="698">
        <v>33982</v>
      </c>
      <c r="J506" s="698" t="s">
        <v>1416</v>
      </c>
      <c r="K506" s="698" t="s">
        <v>800</v>
      </c>
      <c r="L506" s="701">
        <v>188.465</v>
      </c>
      <c r="M506" s="701">
        <v>4</v>
      </c>
      <c r="N506" s="702">
        <v>753.86</v>
      </c>
    </row>
    <row r="507" spans="1:14" ht="14.45" customHeight="1" x14ac:dyDescent="0.2">
      <c r="A507" s="696" t="s">
        <v>537</v>
      </c>
      <c r="B507" s="697" t="s">
        <v>538</v>
      </c>
      <c r="C507" s="698" t="s">
        <v>550</v>
      </c>
      <c r="D507" s="699" t="s">
        <v>551</v>
      </c>
      <c r="E507" s="700">
        <v>50113006</v>
      </c>
      <c r="F507" s="699" t="s">
        <v>1373</v>
      </c>
      <c r="G507" s="698" t="s">
        <v>556</v>
      </c>
      <c r="H507" s="698">
        <v>33990</v>
      </c>
      <c r="I507" s="698">
        <v>33990</v>
      </c>
      <c r="J507" s="698" t="s">
        <v>1417</v>
      </c>
      <c r="K507" s="698" t="s">
        <v>800</v>
      </c>
      <c r="L507" s="701">
        <v>188.45</v>
      </c>
      <c r="M507" s="701">
        <v>2</v>
      </c>
      <c r="N507" s="702">
        <v>376.9</v>
      </c>
    </row>
    <row r="508" spans="1:14" ht="14.45" customHeight="1" x14ac:dyDescent="0.2">
      <c r="A508" s="696" t="s">
        <v>537</v>
      </c>
      <c r="B508" s="697" t="s">
        <v>538</v>
      </c>
      <c r="C508" s="698" t="s">
        <v>550</v>
      </c>
      <c r="D508" s="699" t="s">
        <v>551</v>
      </c>
      <c r="E508" s="700">
        <v>50113006</v>
      </c>
      <c r="F508" s="699" t="s">
        <v>1373</v>
      </c>
      <c r="G508" s="698" t="s">
        <v>556</v>
      </c>
      <c r="H508" s="698">
        <v>33986</v>
      </c>
      <c r="I508" s="698">
        <v>33986</v>
      </c>
      <c r="J508" s="698" t="s">
        <v>1418</v>
      </c>
      <c r="K508" s="698" t="s">
        <v>800</v>
      </c>
      <c r="L508" s="701">
        <v>188.45</v>
      </c>
      <c r="M508" s="701">
        <v>4</v>
      </c>
      <c r="N508" s="702">
        <v>753.8</v>
      </c>
    </row>
    <row r="509" spans="1:14" ht="14.45" customHeight="1" x14ac:dyDescent="0.2">
      <c r="A509" s="696" t="s">
        <v>537</v>
      </c>
      <c r="B509" s="697" t="s">
        <v>538</v>
      </c>
      <c r="C509" s="698" t="s">
        <v>550</v>
      </c>
      <c r="D509" s="699" t="s">
        <v>551</v>
      </c>
      <c r="E509" s="700">
        <v>50113006</v>
      </c>
      <c r="F509" s="699" t="s">
        <v>1373</v>
      </c>
      <c r="G509" s="698" t="s">
        <v>556</v>
      </c>
      <c r="H509" s="698">
        <v>33994</v>
      </c>
      <c r="I509" s="698">
        <v>33994</v>
      </c>
      <c r="J509" s="698" t="s">
        <v>1419</v>
      </c>
      <c r="K509" s="698" t="s">
        <v>800</v>
      </c>
      <c r="L509" s="701">
        <v>188.45</v>
      </c>
      <c r="M509" s="701">
        <v>2</v>
      </c>
      <c r="N509" s="702">
        <v>376.9</v>
      </c>
    </row>
    <row r="510" spans="1:14" ht="14.45" customHeight="1" x14ac:dyDescent="0.2">
      <c r="A510" s="696" t="s">
        <v>537</v>
      </c>
      <c r="B510" s="697" t="s">
        <v>538</v>
      </c>
      <c r="C510" s="698" t="s">
        <v>550</v>
      </c>
      <c r="D510" s="699" t="s">
        <v>551</v>
      </c>
      <c r="E510" s="700">
        <v>50113006</v>
      </c>
      <c r="F510" s="699" t="s">
        <v>1373</v>
      </c>
      <c r="G510" s="698" t="s">
        <v>556</v>
      </c>
      <c r="H510" s="698">
        <v>33978</v>
      </c>
      <c r="I510" s="698">
        <v>33978</v>
      </c>
      <c r="J510" s="698" t="s">
        <v>1420</v>
      </c>
      <c r="K510" s="698" t="s">
        <v>800</v>
      </c>
      <c r="L510" s="701">
        <v>188.45000000000002</v>
      </c>
      <c r="M510" s="701">
        <v>3</v>
      </c>
      <c r="N510" s="702">
        <v>565.35</v>
      </c>
    </row>
    <row r="511" spans="1:14" ht="14.45" customHeight="1" x14ac:dyDescent="0.2">
      <c r="A511" s="696" t="s">
        <v>537</v>
      </c>
      <c r="B511" s="697" t="s">
        <v>538</v>
      </c>
      <c r="C511" s="698" t="s">
        <v>550</v>
      </c>
      <c r="D511" s="699" t="s">
        <v>551</v>
      </c>
      <c r="E511" s="700">
        <v>50113006</v>
      </c>
      <c r="F511" s="699" t="s">
        <v>1373</v>
      </c>
      <c r="G511" s="698" t="s">
        <v>571</v>
      </c>
      <c r="H511" s="698">
        <v>133220</v>
      </c>
      <c r="I511" s="698">
        <v>33220</v>
      </c>
      <c r="J511" s="698" t="s">
        <v>1421</v>
      </c>
      <c r="K511" s="698" t="s">
        <v>1422</v>
      </c>
      <c r="L511" s="701">
        <v>194.86</v>
      </c>
      <c r="M511" s="701">
        <v>2</v>
      </c>
      <c r="N511" s="702">
        <v>389.72</v>
      </c>
    </row>
    <row r="512" spans="1:14" ht="14.45" customHeight="1" x14ac:dyDescent="0.2">
      <c r="A512" s="696" t="s">
        <v>537</v>
      </c>
      <c r="B512" s="697" t="s">
        <v>538</v>
      </c>
      <c r="C512" s="698" t="s">
        <v>550</v>
      </c>
      <c r="D512" s="699" t="s">
        <v>551</v>
      </c>
      <c r="E512" s="700">
        <v>50113006</v>
      </c>
      <c r="F512" s="699" t="s">
        <v>1373</v>
      </c>
      <c r="G512" s="698" t="s">
        <v>556</v>
      </c>
      <c r="H512" s="698">
        <v>33525</v>
      </c>
      <c r="I512" s="698">
        <v>33525</v>
      </c>
      <c r="J512" s="698" t="s">
        <v>1423</v>
      </c>
      <c r="K512" s="698" t="s">
        <v>1380</v>
      </c>
      <c r="L512" s="701">
        <v>94.516666666666666</v>
      </c>
      <c r="M512" s="701">
        <v>30</v>
      </c>
      <c r="N512" s="702">
        <v>2835.5</v>
      </c>
    </row>
    <row r="513" spans="1:14" ht="14.45" customHeight="1" x14ac:dyDescent="0.2">
      <c r="A513" s="696" t="s">
        <v>537</v>
      </c>
      <c r="B513" s="697" t="s">
        <v>538</v>
      </c>
      <c r="C513" s="698" t="s">
        <v>550</v>
      </c>
      <c r="D513" s="699" t="s">
        <v>551</v>
      </c>
      <c r="E513" s="700">
        <v>50113008</v>
      </c>
      <c r="F513" s="699" t="s">
        <v>1424</v>
      </c>
      <c r="G513" s="698"/>
      <c r="H513" s="698"/>
      <c r="I513" s="698">
        <v>230459</v>
      </c>
      <c r="J513" s="698" t="s">
        <v>1425</v>
      </c>
      <c r="K513" s="698" t="s">
        <v>1426</v>
      </c>
      <c r="L513" s="701">
        <v>2099.02001953125</v>
      </c>
      <c r="M513" s="701">
        <v>20</v>
      </c>
      <c r="N513" s="702">
        <v>41980.400390625</v>
      </c>
    </row>
    <row r="514" spans="1:14" ht="14.45" customHeight="1" x14ac:dyDescent="0.2">
      <c r="A514" s="696" t="s">
        <v>537</v>
      </c>
      <c r="B514" s="697" t="s">
        <v>538</v>
      </c>
      <c r="C514" s="698" t="s">
        <v>550</v>
      </c>
      <c r="D514" s="699" t="s">
        <v>551</v>
      </c>
      <c r="E514" s="700">
        <v>50113008</v>
      </c>
      <c r="F514" s="699" t="s">
        <v>1424</v>
      </c>
      <c r="G514" s="698"/>
      <c r="H514" s="698"/>
      <c r="I514" s="698">
        <v>230458</v>
      </c>
      <c r="J514" s="698" t="s">
        <v>1425</v>
      </c>
      <c r="K514" s="698" t="s">
        <v>1427</v>
      </c>
      <c r="L514" s="701">
        <v>1049.510009765625</v>
      </c>
      <c r="M514" s="701">
        <v>26</v>
      </c>
      <c r="N514" s="702">
        <v>27287.26025390625</v>
      </c>
    </row>
    <row r="515" spans="1:14" ht="14.45" customHeight="1" x14ac:dyDescent="0.2">
      <c r="A515" s="696" t="s">
        <v>537</v>
      </c>
      <c r="B515" s="697" t="s">
        <v>538</v>
      </c>
      <c r="C515" s="698" t="s">
        <v>550</v>
      </c>
      <c r="D515" s="699" t="s">
        <v>551</v>
      </c>
      <c r="E515" s="700">
        <v>50113008</v>
      </c>
      <c r="F515" s="699" t="s">
        <v>1424</v>
      </c>
      <c r="G515" s="698"/>
      <c r="H515" s="698"/>
      <c r="I515" s="698">
        <v>29980</v>
      </c>
      <c r="J515" s="698" t="s">
        <v>1428</v>
      </c>
      <c r="K515" s="698" t="s">
        <v>1429</v>
      </c>
      <c r="L515" s="701">
        <v>11517</v>
      </c>
      <c r="M515" s="701">
        <v>10</v>
      </c>
      <c r="N515" s="702">
        <v>115170</v>
      </c>
    </row>
    <row r="516" spans="1:14" ht="14.45" customHeight="1" x14ac:dyDescent="0.2">
      <c r="A516" s="696" t="s">
        <v>537</v>
      </c>
      <c r="B516" s="697" t="s">
        <v>538</v>
      </c>
      <c r="C516" s="698" t="s">
        <v>550</v>
      </c>
      <c r="D516" s="699" t="s">
        <v>551</v>
      </c>
      <c r="E516" s="700">
        <v>50113008</v>
      </c>
      <c r="F516" s="699" t="s">
        <v>1424</v>
      </c>
      <c r="G516" s="698"/>
      <c r="H516" s="698"/>
      <c r="I516" s="698">
        <v>62465</v>
      </c>
      <c r="J516" s="698" t="s">
        <v>1430</v>
      </c>
      <c r="K516" s="698" t="s">
        <v>1431</v>
      </c>
      <c r="L516" s="701">
        <v>17457.349609375</v>
      </c>
      <c r="M516" s="701">
        <v>7</v>
      </c>
      <c r="N516" s="702">
        <v>122201.447265625</v>
      </c>
    </row>
    <row r="517" spans="1:14" ht="14.45" customHeight="1" x14ac:dyDescent="0.2">
      <c r="A517" s="696" t="s">
        <v>537</v>
      </c>
      <c r="B517" s="697" t="s">
        <v>538</v>
      </c>
      <c r="C517" s="698" t="s">
        <v>550</v>
      </c>
      <c r="D517" s="699" t="s">
        <v>551</v>
      </c>
      <c r="E517" s="700">
        <v>50113008</v>
      </c>
      <c r="F517" s="699" t="s">
        <v>1424</v>
      </c>
      <c r="G517" s="698"/>
      <c r="H517" s="698"/>
      <c r="I517" s="698">
        <v>62464</v>
      </c>
      <c r="J517" s="698" t="s">
        <v>1430</v>
      </c>
      <c r="K517" s="698" t="s">
        <v>1432</v>
      </c>
      <c r="L517" s="701">
        <v>9158.2696953781506</v>
      </c>
      <c r="M517" s="701">
        <v>119</v>
      </c>
      <c r="N517" s="702">
        <v>1089834.09375</v>
      </c>
    </row>
    <row r="518" spans="1:14" ht="14.45" customHeight="1" x14ac:dyDescent="0.2">
      <c r="A518" s="696" t="s">
        <v>537</v>
      </c>
      <c r="B518" s="697" t="s">
        <v>538</v>
      </c>
      <c r="C518" s="698" t="s">
        <v>550</v>
      </c>
      <c r="D518" s="699" t="s">
        <v>551</v>
      </c>
      <c r="E518" s="700">
        <v>50113008</v>
      </c>
      <c r="F518" s="699" t="s">
        <v>1424</v>
      </c>
      <c r="G518" s="698"/>
      <c r="H518" s="698"/>
      <c r="I518" s="698">
        <v>230686</v>
      </c>
      <c r="J518" s="698" t="s">
        <v>1433</v>
      </c>
      <c r="K518" s="698" t="s">
        <v>1434</v>
      </c>
      <c r="L518" s="701">
        <v>8607.7035228587956</v>
      </c>
      <c r="M518" s="701">
        <v>27</v>
      </c>
      <c r="N518" s="702">
        <v>232407.9951171875</v>
      </c>
    </row>
    <row r="519" spans="1:14" ht="14.45" customHeight="1" x14ac:dyDescent="0.2">
      <c r="A519" s="696" t="s">
        <v>537</v>
      </c>
      <c r="B519" s="697" t="s">
        <v>538</v>
      </c>
      <c r="C519" s="698" t="s">
        <v>550</v>
      </c>
      <c r="D519" s="699" t="s">
        <v>551</v>
      </c>
      <c r="E519" s="700">
        <v>50113008</v>
      </c>
      <c r="F519" s="699" t="s">
        <v>1424</v>
      </c>
      <c r="G519" s="698"/>
      <c r="H519" s="698"/>
      <c r="I519" s="698">
        <v>230687</v>
      </c>
      <c r="J519" s="698" t="s">
        <v>1433</v>
      </c>
      <c r="K519" s="698" t="s">
        <v>1435</v>
      </c>
      <c r="L519" s="701">
        <v>4305.39990234375</v>
      </c>
      <c r="M519" s="701">
        <v>37</v>
      </c>
      <c r="N519" s="702">
        <v>159299.79638671875</v>
      </c>
    </row>
    <row r="520" spans="1:14" ht="14.45" customHeight="1" x14ac:dyDescent="0.2">
      <c r="A520" s="696" t="s">
        <v>537</v>
      </c>
      <c r="B520" s="697" t="s">
        <v>538</v>
      </c>
      <c r="C520" s="698" t="s">
        <v>550</v>
      </c>
      <c r="D520" s="699" t="s">
        <v>551</v>
      </c>
      <c r="E520" s="700">
        <v>50113008</v>
      </c>
      <c r="F520" s="699" t="s">
        <v>1424</v>
      </c>
      <c r="G520" s="698"/>
      <c r="H520" s="698"/>
      <c r="I520" s="698">
        <v>214076</v>
      </c>
      <c r="J520" s="698" t="s">
        <v>1436</v>
      </c>
      <c r="K520" s="698" t="s">
        <v>1437</v>
      </c>
      <c r="L520" s="701">
        <v>1971.4200439453125</v>
      </c>
      <c r="M520" s="701">
        <v>6</v>
      </c>
      <c r="N520" s="702">
        <v>11828.520263671875</v>
      </c>
    </row>
    <row r="521" spans="1:14" ht="14.45" customHeight="1" x14ac:dyDescent="0.2">
      <c r="A521" s="696" t="s">
        <v>537</v>
      </c>
      <c r="B521" s="697" t="s">
        <v>538</v>
      </c>
      <c r="C521" s="698" t="s">
        <v>550</v>
      </c>
      <c r="D521" s="699" t="s">
        <v>551</v>
      </c>
      <c r="E521" s="700">
        <v>50113011</v>
      </c>
      <c r="F521" s="699" t="s">
        <v>1438</v>
      </c>
      <c r="G521" s="698"/>
      <c r="H521" s="698"/>
      <c r="I521" s="698">
        <v>158152</v>
      </c>
      <c r="J521" s="698" t="s">
        <v>1439</v>
      </c>
      <c r="K521" s="698" t="s">
        <v>1440</v>
      </c>
      <c r="L521" s="701">
        <v>912.99003255208333</v>
      </c>
      <c r="M521" s="701">
        <v>525</v>
      </c>
      <c r="N521" s="702">
        <v>479319.76708984375</v>
      </c>
    </row>
    <row r="522" spans="1:14" ht="14.45" customHeight="1" x14ac:dyDescent="0.2">
      <c r="A522" s="696" t="s">
        <v>537</v>
      </c>
      <c r="B522" s="697" t="s">
        <v>538</v>
      </c>
      <c r="C522" s="698" t="s">
        <v>550</v>
      </c>
      <c r="D522" s="699" t="s">
        <v>551</v>
      </c>
      <c r="E522" s="700">
        <v>50113011</v>
      </c>
      <c r="F522" s="699" t="s">
        <v>1438</v>
      </c>
      <c r="G522" s="698"/>
      <c r="H522" s="698"/>
      <c r="I522" s="698">
        <v>87240</v>
      </c>
      <c r="J522" s="698" t="s">
        <v>1441</v>
      </c>
      <c r="K522" s="698" t="s">
        <v>1442</v>
      </c>
      <c r="L522" s="701">
        <v>7590</v>
      </c>
      <c r="M522" s="701">
        <v>3</v>
      </c>
      <c r="N522" s="702">
        <v>22770</v>
      </c>
    </row>
    <row r="523" spans="1:14" ht="14.45" customHeight="1" x14ac:dyDescent="0.2">
      <c r="A523" s="696" t="s">
        <v>537</v>
      </c>
      <c r="B523" s="697" t="s">
        <v>538</v>
      </c>
      <c r="C523" s="698" t="s">
        <v>550</v>
      </c>
      <c r="D523" s="699" t="s">
        <v>551</v>
      </c>
      <c r="E523" s="700">
        <v>50113011</v>
      </c>
      <c r="F523" s="699" t="s">
        <v>1438</v>
      </c>
      <c r="G523" s="698"/>
      <c r="H523" s="698"/>
      <c r="I523" s="698">
        <v>87239</v>
      </c>
      <c r="J523" s="698" t="s">
        <v>1441</v>
      </c>
      <c r="K523" s="698" t="s">
        <v>1443</v>
      </c>
      <c r="L523" s="701">
        <v>3795</v>
      </c>
      <c r="M523" s="701">
        <v>3</v>
      </c>
      <c r="N523" s="702">
        <v>11385</v>
      </c>
    </row>
    <row r="524" spans="1:14" ht="14.45" customHeight="1" x14ac:dyDescent="0.2">
      <c r="A524" s="696" t="s">
        <v>537</v>
      </c>
      <c r="B524" s="697" t="s">
        <v>538</v>
      </c>
      <c r="C524" s="698" t="s">
        <v>550</v>
      </c>
      <c r="D524" s="699" t="s">
        <v>551</v>
      </c>
      <c r="E524" s="700">
        <v>50113012</v>
      </c>
      <c r="F524" s="699" t="s">
        <v>1444</v>
      </c>
      <c r="G524" s="698" t="s">
        <v>556</v>
      </c>
      <c r="H524" s="698">
        <v>193650</v>
      </c>
      <c r="I524" s="698">
        <v>93650</v>
      </c>
      <c r="J524" s="698" t="s">
        <v>1445</v>
      </c>
      <c r="K524" s="698" t="s">
        <v>1446</v>
      </c>
      <c r="L524" s="701">
        <v>9836.3959999999988</v>
      </c>
      <c r="M524" s="701">
        <v>5</v>
      </c>
      <c r="N524" s="702">
        <v>49181.979999999996</v>
      </c>
    </row>
    <row r="525" spans="1:14" ht="14.45" customHeight="1" x14ac:dyDescent="0.2">
      <c r="A525" s="696" t="s">
        <v>537</v>
      </c>
      <c r="B525" s="697" t="s">
        <v>538</v>
      </c>
      <c r="C525" s="698" t="s">
        <v>550</v>
      </c>
      <c r="D525" s="699" t="s">
        <v>551</v>
      </c>
      <c r="E525" s="700">
        <v>50113013</v>
      </c>
      <c r="F525" s="699" t="s">
        <v>1447</v>
      </c>
      <c r="G525" s="698" t="s">
        <v>306</v>
      </c>
      <c r="H525" s="698">
        <v>243369</v>
      </c>
      <c r="I525" s="698">
        <v>243369</v>
      </c>
      <c r="J525" s="698" t="s">
        <v>1448</v>
      </c>
      <c r="K525" s="698" t="s">
        <v>1449</v>
      </c>
      <c r="L525" s="701">
        <v>544.39</v>
      </c>
      <c r="M525" s="701">
        <v>21.8</v>
      </c>
      <c r="N525" s="702">
        <v>11867.702000000001</v>
      </c>
    </row>
    <row r="526" spans="1:14" ht="14.45" customHeight="1" x14ac:dyDescent="0.2">
      <c r="A526" s="696" t="s">
        <v>537</v>
      </c>
      <c r="B526" s="697" t="s">
        <v>538</v>
      </c>
      <c r="C526" s="698" t="s">
        <v>550</v>
      </c>
      <c r="D526" s="699" t="s">
        <v>551</v>
      </c>
      <c r="E526" s="700">
        <v>50113013</v>
      </c>
      <c r="F526" s="699" t="s">
        <v>1447</v>
      </c>
      <c r="G526" s="698" t="s">
        <v>556</v>
      </c>
      <c r="H526" s="698">
        <v>172972</v>
      </c>
      <c r="I526" s="698">
        <v>72972</v>
      </c>
      <c r="J526" s="698" t="s">
        <v>1450</v>
      </c>
      <c r="K526" s="698" t="s">
        <v>1451</v>
      </c>
      <c r="L526" s="701">
        <v>204.55702715113895</v>
      </c>
      <c r="M526" s="701">
        <v>275.99999999999983</v>
      </c>
      <c r="N526" s="702">
        <v>56457.739493714318</v>
      </c>
    </row>
    <row r="527" spans="1:14" ht="14.45" customHeight="1" x14ac:dyDescent="0.2">
      <c r="A527" s="696" t="s">
        <v>537</v>
      </c>
      <c r="B527" s="697" t="s">
        <v>538</v>
      </c>
      <c r="C527" s="698" t="s">
        <v>550</v>
      </c>
      <c r="D527" s="699" t="s">
        <v>551</v>
      </c>
      <c r="E527" s="700">
        <v>50113013</v>
      </c>
      <c r="F527" s="699" t="s">
        <v>1447</v>
      </c>
      <c r="G527" s="698" t="s">
        <v>571</v>
      </c>
      <c r="H527" s="698">
        <v>136083</v>
      </c>
      <c r="I527" s="698">
        <v>136083</v>
      </c>
      <c r="J527" s="698" t="s">
        <v>1452</v>
      </c>
      <c r="K527" s="698" t="s">
        <v>1453</v>
      </c>
      <c r="L527" s="701">
        <v>435.00580360427671</v>
      </c>
      <c r="M527" s="701">
        <v>62.900000000000006</v>
      </c>
      <c r="N527" s="702">
        <v>27361.865046709008</v>
      </c>
    </row>
    <row r="528" spans="1:14" ht="14.45" customHeight="1" x14ac:dyDescent="0.2">
      <c r="A528" s="696" t="s">
        <v>537</v>
      </c>
      <c r="B528" s="697" t="s">
        <v>538</v>
      </c>
      <c r="C528" s="698" t="s">
        <v>550</v>
      </c>
      <c r="D528" s="699" t="s">
        <v>551</v>
      </c>
      <c r="E528" s="700">
        <v>50113013</v>
      </c>
      <c r="F528" s="699" t="s">
        <v>1447</v>
      </c>
      <c r="G528" s="698" t="s">
        <v>556</v>
      </c>
      <c r="H528" s="698">
        <v>498791</v>
      </c>
      <c r="I528" s="698">
        <v>9999999</v>
      </c>
      <c r="J528" s="698" t="s">
        <v>1454</v>
      </c>
      <c r="K528" s="698" t="s">
        <v>1455</v>
      </c>
      <c r="L528" s="701">
        <v>1316.8700000000003</v>
      </c>
      <c r="M528" s="701">
        <v>6.6399999999999988</v>
      </c>
      <c r="N528" s="702">
        <v>8744.0168000000012</v>
      </c>
    </row>
    <row r="529" spans="1:14" ht="14.45" customHeight="1" x14ac:dyDescent="0.2">
      <c r="A529" s="696" t="s">
        <v>537</v>
      </c>
      <c r="B529" s="697" t="s">
        <v>538</v>
      </c>
      <c r="C529" s="698" t="s">
        <v>550</v>
      </c>
      <c r="D529" s="699" t="s">
        <v>551</v>
      </c>
      <c r="E529" s="700">
        <v>50113013</v>
      </c>
      <c r="F529" s="699" t="s">
        <v>1447</v>
      </c>
      <c r="G529" s="698" t="s">
        <v>571</v>
      </c>
      <c r="H529" s="698">
        <v>164831</v>
      </c>
      <c r="I529" s="698">
        <v>64831</v>
      </c>
      <c r="J529" s="698" t="s">
        <v>1456</v>
      </c>
      <c r="K529" s="698" t="s">
        <v>1457</v>
      </c>
      <c r="L529" s="701">
        <v>196.01999069768391</v>
      </c>
      <c r="M529" s="701">
        <v>12.9</v>
      </c>
      <c r="N529" s="702">
        <v>2528.6578800001225</v>
      </c>
    </row>
    <row r="530" spans="1:14" ht="14.45" customHeight="1" x14ac:dyDescent="0.2">
      <c r="A530" s="696" t="s">
        <v>537</v>
      </c>
      <c r="B530" s="697" t="s">
        <v>538</v>
      </c>
      <c r="C530" s="698" t="s">
        <v>550</v>
      </c>
      <c r="D530" s="699" t="s">
        <v>551</v>
      </c>
      <c r="E530" s="700">
        <v>50113013</v>
      </c>
      <c r="F530" s="699" t="s">
        <v>1447</v>
      </c>
      <c r="G530" s="698" t="s">
        <v>556</v>
      </c>
      <c r="H530" s="698">
        <v>183926</v>
      </c>
      <c r="I530" s="698">
        <v>183926</v>
      </c>
      <c r="J530" s="698" t="s">
        <v>1458</v>
      </c>
      <c r="K530" s="698" t="s">
        <v>1459</v>
      </c>
      <c r="L530" s="701">
        <v>128.81000000000006</v>
      </c>
      <c r="M530" s="701">
        <v>36.299999999999997</v>
      </c>
      <c r="N530" s="702">
        <v>4675.8030000000017</v>
      </c>
    </row>
    <row r="531" spans="1:14" ht="14.45" customHeight="1" x14ac:dyDescent="0.2">
      <c r="A531" s="696" t="s">
        <v>537</v>
      </c>
      <c r="B531" s="697" t="s">
        <v>538</v>
      </c>
      <c r="C531" s="698" t="s">
        <v>550</v>
      </c>
      <c r="D531" s="699" t="s">
        <v>551</v>
      </c>
      <c r="E531" s="700">
        <v>50113013</v>
      </c>
      <c r="F531" s="699" t="s">
        <v>1447</v>
      </c>
      <c r="G531" s="698" t="s">
        <v>556</v>
      </c>
      <c r="H531" s="698">
        <v>499230</v>
      </c>
      <c r="I531" s="698">
        <v>999999</v>
      </c>
      <c r="J531" s="698" t="s">
        <v>1460</v>
      </c>
      <c r="K531" s="698" t="s">
        <v>1461</v>
      </c>
      <c r="L531" s="701">
        <v>2013</v>
      </c>
      <c r="M531" s="701">
        <v>0.5</v>
      </c>
      <c r="N531" s="702">
        <v>1006.5</v>
      </c>
    </row>
    <row r="532" spans="1:14" ht="14.45" customHeight="1" x14ac:dyDescent="0.2">
      <c r="A532" s="696" t="s">
        <v>537</v>
      </c>
      <c r="B532" s="697" t="s">
        <v>538</v>
      </c>
      <c r="C532" s="698" t="s">
        <v>550</v>
      </c>
      <c r="D532" s="699" t="s">
        <v>551</v>
      </c>
      <c r="E532" s="700">
        <v>50113013</v>
      </c>
      <c r="F532" s="699" t="s">
        <v>1447</v>
      </c>
      <c r="G532" s="698" t="s">
        <v>556</v>
      </c>
      <c r="H532" s="698">
        <v>117170</v>
      </c>
      <c r="I532" s="698">
        <v>17170</v>
      </c>
      <c r="J532" s="698" t="s">
        <v>1462</v>
      </c>
      <c r="K532" s="698" t="s">
        <v>1463</v>
      </c>
      <c r="L532" s="701">
        <v>72.84</v>
      </c>
      <c r="M532" s="701">
        <v>2</v>
      </c>
      <c r="N532" s="702">
        <v>145.68</v>
      </c>
    </row>
    <row r="533" spans="1:14" ht="14.45" customHeight="1" x14ac:dyDescent="0.2">
      <c r="A533" s="696" t="s">
        <v>537</v>
      </c>
      <c r="B533" s="697" t="s">
        <v>538</v>
      </c>
      <c r="C533" s="698" t="s">
        <v>550</v>
      </c>
      <c r="D533" s="699" t="s">
        <v>551</v>
      </c>
      <c r="E533" s="700">
        <v>50113013</v>
      </c>
      <c r="F533" s="699" t="s">
        <v>1447</v>
      </c>
      <c r="G533" s="698" t="s">
        <v>556</v>
      </c>
      <c r="H533" s="698">
        <v>117171</v>
      </c>
      <c r="I533" s="698">
        <v>17171</v>
      </c>
      <c r="J533" s="698" t="s">
        <v>1464</v>
      </c>
      <c r="K533" s="698" t="s">
        <v>903</v>
      </c>
      <c r="L533" s="701">
        <v>72.840000000000018</v>
      </c>
      <c r="M533" s="701">
        <v>1</v>
      </c>
      <c r="N533" s="702">
        <v>72.840000000000018</v>
      </c>
    </row>
    <row r="534" spans="1:14" ht="14.45" customHeight="1" x14ac:dyDescent="0.2">
      <c r="A534" s="696" t="s">
        <v>537</v>
      </c>
      <c r="B534" s="697" t="s">
        <v>538</v>
      </c>
      <c r="C534" s="698" t="s">
        <v>550</v>
      </c>
      <c r="D534" s="699" t="s">
        <v>551</v>
      </c>
      <c r="E534" s="700">
        <v>50113013</v>
      </c>
      <c r="F534" s="699" t="s">
        <v>1447</v>
      </c>
      <c r="G534" s="698" t="s">
        <v>556</v>
      </c>
      <c r="H534" s="698">
        <v>103378</v>
      </c>
      <c r="I534" s="698">
        <v>3378</v>
      </c>
      <c r="J534" s="698" t="s">
        <v>1465</v>
      </c>
      <c r="K534" s="698" t="s">
        <v>1466</v>
      </c>
      <c r="L534" s="701">
        <v>37.319999999999993</v>
      </c>
      <c r="M534" s="701">
        <v>4</v>
      </c>
      <c r="N534" s="702">
        <v>149.27999999999997</v>
      </c>
    </row>
    <row r="535" spans="1:14" ht="14.45" customHeight="1" x14ac:dyDescent="0.2">
      <c r="A535" s="696" t="s">
        <v>537</v>
      </c>
      <c r="B535" s="697" t="s">
        <v>538</v>
      </c>
      <c r="C535" s="698" t="s">
        <v>550</v>
      </c>
      <c r="D535" s="699" t="s">
        <v>551</v>
      </c>
      <c r="E535" s="700">
        <v>50113013</v>
      </c>
      <c r="F535" s="699" t="s">
        <v>1447</v>
      </c>
      <c r="G535" s="698" t="s">
        <v>556</v>
      </c>
      <c r="H535" s="698">
        <v>111706</v>
      </c>
      <c r="I535" s="698">
        <v>11706</v>
      </c>
      <c r="J535" s="698" t="s">
        <v>1467</v>
      </c>
      <c r="K535" s="698" t="s">
        <v>1468</v>
      </c>
      <c r="L535" s="701">
        <v>451.82222797927466</v>
      </c>
      <c r="M535" s="701">
        <v>115.8</v>
      </c>
      <c r="N535" s="702">
        <v>52321.014000000003</v>
      </c>
    </row>
    <row r="536" spans="1:14" ht="14.45" customHeight="1" x14ac:dyDescent="0.2">
      <c r="A536" s="696" t="s">
        <v>537</v>
      </c>
      <c r="B536" s="697" t="s">
        <v>538</v>
      </c>
      <c r="C536" s="698" t="s">
        <v>550</v>
      </c>
      <c r="D536" s="699" t="s">
        <v>551</v>
      </c>
      <c r="E536" s="700">
        <v>50113013</v>
      </c>
      <c r="F536" s="699" t="s">
        <v>1447</v>
      </c>
      <c r="G536" s="698" t="s">
        <v>556</v>
      </c>
      <c r="H536" s="698">
        <v>131654</v>
      </c>
      <c r="I536" s="698">
        <v>131654</v>
      </c>
      <c r="J536" s="698" t="s">
        <v>1469</v>
      </c>
      <c r="K536" s="698" t="s">
        <v>1470</v>
      </c>
      <c r="L536" s="701">
        <v>719.29</v>
      </c>
      <c r="M536" s="701">
        <v>9</v>
      </c>
      <c r="N536" s="702">
        <v>6473.61</v>
      </c>
    </row>
    <row r="537" spans="1:14" ht="14.45" customHeight="1" x14ac:dyDescent="0.2">
      <c r="A537" s="696" t="s">
        <v>537</v>
      </c>
      <c r="B537" s="697" t="s">
        <v>538</v>
      </c>
      <c r="C537" s="698" t="s">
        <v>550</v>
      </c>
      <c r="D537" s="699" t="s">
        <v>551</v>
      </c>
      <c r="E537" s="700">
        <v>50113013</v>
      </c>
      <c r="F537" s="699" t="s">
        <v>1447</v>
      </c>
      <c r="G537" s="698" t="s">
        <v>556</v>
      </c>
      <c r="H537" s="698">
        <v>131656</v>
      </c>
      <c r="I537" s="698">
        <v>131656</v>
      </c>
      <c r="J537" s="698" t="s">
        <v>1471</v>
      </c>
      <c r="K537" s="698" t="s">
        <v>1472</v>
      </c>
      <c r="L537" s="701">
        <v>959.32185185185176</v>
      </c>
      <c r="M537" s="701">
        <v>13.5</v>
      </c>
      <c r="N537" s="702">
        <v>12950.844999999999</v>
      </c>
    </row>
    <row r="538" spans="1:14" ht="14.45" customHeight="1" x14ac:dyDescent="0.2">
      <c r="A538" s="696" t="s">
        <v>537</v>
      </c>
      <c r="B538" s="697" t="s">
        <v>538</v>
      </c>
      <c r="C538" s="698" t="s">
        <v>550</v>
      </c>
      <c r="D538" s="699" t="s">
        <v>551</v>
      </c>
      <c r="E538" s="700">
        <v>50113013</v>
      </c>
      <c r="F538" s="699" t="s">
        <v>1447</v>
      </c>
      <c r="G538" s="698" t="s">
        <v>571</v>
      </c>
      <c r="H538" s="698">
        <v>196039</v>
      </c>
      <c r="I538" s="698">
        <v>96039</v>
      </c>
      <c r="J538" s="698" t="s">
        <v>1473</v>
      </c>
      <c r="K538" s="698" t="s">
        <v>1474</v>
      </c>
      <c r="L538" s="701">
        <v>49.63</v>
      </c>
      <c r="M538" s="701">
        <v>1</v>
      </c>
      <c r="N538" s="702">
        <v>49.63</v>
      </c>
    </row>
    <row r="539" spans="1:14" ht="14.45" customHeight="1" x14ac:dyDescent="0.2">
      <c r="A539" s="696" t="s">
        <v>537</v>
      </c>
      <c r="B539" s="697" t="s">
        <v>538</v>
      </c>
      <c r="C539" s="698" t="s">
        <v>550</v>
      </c>
      <c r="D539" s="699" t="s">
        <v>551</v>
      </c>
      <c r="E539" s="700">
        <v>50113013</v>
      </c>
      <c r="F539" s="699" t="s">
        <v>1447</v>
      </c>
      <c r="G539" s="698" t="s">
        <v>571</v>
      </c>
      <c r="H539" s="698">
        <v>162187</v>
      </c>
      <c r="I539" s="698">
        <v>162187</v>
      </c>
      <c r="J539" s="698" t="s">
        <v>1475</v>
      </c>
      <c r="K539" s="698" t="s">
        <v>1476</v>
      </c>
      <c r="L539" s="701">
        <v>619.51999999999975</v>
      </c>
      <c r="M539" s="701">
        <v>35.000000000000007</v>
      </c>
      <c r="N539" s="702">
        <v>21683.199999999997</v>
      </c>
    </row>
    <row r="540" spans="1:14" ht="14.45" customHeight="1" x14ac:dyDescent="0.2">
      <c r="A540" s="696" t="s">
        <v>537</v>
      </c>
      <c r="B540" s="697" t="s">
        <v>538</v>
      </c>
      <c r="C540" s="698" t="s">
        <v>550</v>
      </c>
      <c r="D540" s="699" t="s">
        <v>551</v>
      </c>
      <c r="E540" s="700">
        <v>50113013</v>
      </c>
      <c r="F540" s="699" t="s">
        <v>1447</v>
      </c>
      <c r="G540" s="698" t="s">
        <v>556</v>
      </c>
      <c r="H540" s="698">
        <v>499251</v>
      </c>
      <c r="I540" s="698">
        <v>999999</v>
      </c>
      <c r="J540" s="698" t="s">
        <v>1477</v>
      </c>
      <c r="K540" s="698" t="s">
        <v>1478</v>
      </c>
      <c r="L540" s="701">
        <v>3416.5152999999996</v>
      </c>
      <c r="M540" s="701">
        <v>14</v>
      </c>
      <c r="N540" s="702">
        <v>47831.214199999995</v>
      </c>
    </row>
    <row r="541" spans="1:14" ht="14.45" customHeight="1" x14ac:dyDescent="0.2">
      <c r="A541" s="696" t="s">
        <v>537</v>
      </c>
      <c r="B541" s="697" t="s">
        <v>538</v>
      </c>
      <c r="C541" s="698" t="s">
        <v>550</v>
      </c>
      <c r="D541" s="699" t="s">
        <v>551</v>
      </c>
      <c r="E541" s="700">
        <v>50113013</v>
      </c>
      <c r="F541" s="699" t="s">
        <v>1447</v>
      </c>
      <c r="G541" s="698" t="s">
        <v>571</v>
      </c>
      <c r="H541" s="698">
        <v>849887</v>
      </c>
      <c r="I541" s="698">
        <v>129834</v>
      </c>
      <c r="J541" s="698" t="s">
        <v>1479</v>
      </c>
      <c r="K541" s="698" t="s">
        <v>1480</v>
      </c>
      <c r="L541" s="701">
        <v>150.70000000000002</v>
      </c>
      <c r="M541" s="701">
        <v>11.1</v>
      </c>
      <c r="N541" s="702">
        <v>1672.7700000000002</v>
      </c>
    </row>
    <row r="542" spans="1:14" ht="14.45" customHeight="1" x14ac:dyDescent="0.2">
      <c r="A542" s="696" t="s">
        <v>537</v>
      </c>
      <c r="B542" s="697" t="s">
        <v>538</v>
      </c>
      <c r="C542" s="698" t="s">
        <v>550</v>
      </c>
      <c r="D542" s="699" t="s">
        <v>551</v>
      </c>
      <c r="E542" s="700">
        <v>50113013</v>
      </c>
      <c r="F542" s="699" t="s">
        <v>1447</v>
      </c>
      <c r="G542" s="698" t="s">
        <v>571</v>
      </c>
      <c r="H542" s="698">
        <v>849655</v>
      </c>
      <c r="I542" s="698">
        <v>129836</v>
      </c>
      <c r="J542" s="698" t="s">
        <v>1481</v>
      </c>
      <c r="K542" s="698" t="s">
        <v>1480</v>
      </c>
      <c r="L542" s="701">
        <v>263.99999999999994</v>
      </c>
      <c r="M542" s="701">
        <v>21.200000000000003</v>
      </c>
      <c r="N542" s="702">
        <v>5596.7999999999993</v>
      </c>
    </row>
    <row r="543" spans="1:14" ht="14.45" customHeight="1" x14ac:dyDescent="0.2">
      <c r="A543" s="696" t="s">
        <v>537</v>
      </c>
      <c r="B543" s="697" t="s">
        <v>538</v>
      </c>
      <c r="C543" s="698" t="s">
        <v>550</v>
      </c>
      <c r="D543" s="699" t="s">
        <v>551</v>
      </c>
      <c r="E543" s="700">
        <v>50113013</v>
      </c>
      <c r="F543" s="699" t="s">
        <v>1447</v>
      </c>
      <c r="G543" s="698" t="s">
        <v>556</v>
      </c>
      <c r="H543" s="698">
        <v>502470</v>
      </c>
      <c r="I543" s="698">
        <v>9999999</v>
      </c>
      <c r="J543" s="698" t="s">
        <v>1482</v>
      </c>
      <c r="K543" s="698" t="s">
        <v>1483</v>
      </c>
      <c r="L543" s="701">
        <v>1518</v>
      </c>
      <c r="M543" s="701">
        <v>14</v>
      </c>
      <c r="N543" s="702">
        <v>21252</v>
      </c>
    </row>
    <row r="544" spans="1:14" ht="14.45" customHeight="1" x14ac:dyDescent="0.2">
      <c r="A544" s="696" t="s">
        <v>537</v>
      </c>
      <c r="B544" s="697" t="s">
        <v>538</v>
      </c>
      <c r="C544" s="698" t="s">
        <v>550</v>
      </c>
      <c r="D544" s="699" t="s">
        <v>551</v>
      </c>
      <c r="E544" s="700">
        <v>50113013</v>
      </c>
      <c r="F544" s="699" t="s">
        <v>1447</v>
      </c>
      <c r="G544" s="698" t="s">
        <v>571</v>
      </c>
      <c r="H544" s="698">
        <v>218400</v>
      </c>
      <c r="I544" s="698">
        <v>218400</v>
      </c>
      <c r="J544" s="698" t="s">
        <v>1484</v>
      </c>
      <c r="K544" s="698" t="s">
        <v>1485</v>
      </c>
      <c r="L544" s="701">
        <v>677.67197530864155</v>
      </c>
      <c r="M544" s="701">
        <v>48.600000000000009</v>
      </c>
      <c r="N544" s="702">
        <v>32934.857999999986</v>
      </c>
    </row>
    <row r="545" spans="1:14" ht="14.45" customHeight="1" x14ac:dyDescent="0.2">
      <c r="A545" s="696" t="s">
        <v>537</v>
      </c>
      <c r="B545" s="697" t="s">
        <v>538</v>
      </c>
      <c r="C545" s="698" t="s">
        <v>550</v>
      </c>
      <c r="D545" s="699" t="s">
        <v>551</v>
      </c>
      <c r="E545" s="700">
        <v>50113013</v>
      </c>
      <c r="F545" s="699" t="s">
        <v>1447</v>
      </c>
      <c r="G545" s="698" t="s">
        <v>556</v>
      </c>
      <c r="H545" s="698">
        <v>168860</v>
      </c>
      <c r="I545" s="698">
        <v>168860</v>
      </c>
      <c r="J545" s="698" t="s">
        <v>1486</v>
      </c>
      <c r="K545" s="698" t="s">
        <v>1487</v>
      </c>
      <c r="L545" s="701">
        <v>28924.386666666669</v>
      </c>
      <c r="M545" s="701">
        <v>3</v>
      </c>
      <c r="N545" s="702">
        <v>86773.16</v>
      </c>
    </row>
    <row r="546" spans="1:14" ht="14.45" customHeight="1" x14ac:dyDescent="0.2">
      <c r="A546" s="696" t="s">
        <v>537</v>
      </c>
      <c r="B546" s="697" t="s">
        <v>538</v>
      </c>
      <c r="C546" s="698" t="s">
        <v>550</v>
      </c>
      <c r="D546" s="699" t="s">
        <v>551</v>
      </c>
      <c r="E546" s="700">
        <v>50113013</v>
      </c>
      <c r="F546" s="699" t="s">
        <v>1447</v>
      </c>
      <c r="G546" s="698" t="s">
        <v>556</v>
      </c>
      <c r="H546" s="698">
        <v>101066</v>
      </c>
      <c r="I546" s="698">
        <v>1066</v>
      </c>
      <c r="J546" s="698" t="s">
        <v>1488</v>
      </c>
      <c r="K546" s="698" t="s">
        <v>1489</v>
      </c>
      <c r="L546" s="701">
        <v>57.023333333333348</v>
      </c>
      <c r="M546" s="701">
        <v>6</v>
      </c>
      <c r="N546" s="702">
        <v>342.1400000000001</v>
      </c>
    </row>
    <row r="547" spans="1:14" ht="14.45" customHeight="1" x14ac:dyDescent="0.2">
      <c r="A547" s="696" t="s">
        <v>537</v>
      </c>
      <c r="B547" s="697" t="s">
        <v>538</v>
      </c>
      <c r="C547" s="698" t="s">
        <v>550</v>
      </c>
      <c r="D547" s="699" t="s">
        <v>551</v>
      </c>
      <c r="E547" s="700">
        <v>50113013</v>
      </c>
      <c r="F547" s="699" t="s">
        <v>1447</v>
      </c>
      <c r="G547" s="698" t="s">
        <v>556</v>
      </c>
      <c r="H547" s="698">
        <v>188746</v>
      </c>
      <c r="I547" s="698">
        <v>88746</v>
      </c>
      <c r="J547" s="698" t="s">
        <v>1490</v>
      </c>
      <c r="K547" s="698" t="s">
        <v>1491</v>
      </c>
      <c r="L547" s="701">
        <v>49.309999999999988</v>
      </c>
      <c r="M547" s="701">
        <v>1</v>
      </c>
      <c r="N547" s="702">
        <v>49.309999999999988</v>
      </c>
    </row>
    <row r="548" spans="1:14" ht="14.45" customHeight="1" x14ac:dyDescent="0.2">
      <c r="A548" s="696" t="s">
        <v>537</v>
      </c>
      <c r="B548" s="697" t="s">
        <v>538</v>
      </c>
      <c r="C548" s="698" t="s">
        <v>550</v>
      </c>
      <c r="D548" s="699" t="s">
        <v>551</v>
      </c>
      <c r="E548" s="700">
        <v>50113013</v>
      </c>
      <c r="F548" s="699" t="s">
        <v>1447</v>
      </c>
      <c r="G548" s="698" t="s">
        <v>556</v>
      </c>
      <c r="H548" s="698">
        <v>847476</v>
      </c>
      <c r="I548" s="698">
        <v>112782</v>
      </c>
      <c r="J548" s="698" t="s">
        <v>1492</v>
      </c>
      <c r="K548" s="698" t="s">
        <v>1493</v>
      </c>
      <c r="L548" s="701">
        <v>727.7451778656125</v>
      </c>
      <c r="M548" s="701">
        <v>12.650000000000004</v>
      </c>
      <c r="N548" s="702">
        <v>9205.9765000000007</v>
      </c>
    </row>
    <row r="549" spans="1:14" ht="14.45" customHeight="1" x14ac:dyDescent="0.2">
      <c r="A549" s="696" t="s">
        <v>537</v>
      </c>
      <c r="B549" s="697" t="s">
        <v>538</v>
      </c>
      <c r="C549" s="698" t="s">
        <v>550</v>
      </c>
      <c r="D549" s="699" t="s">
        <v>551</v>
      </c>
      <c r="E549" s="700">
        <v>50113013</v>
      </c>
      <c r="F549" s="699" t="s">
        <v>1447</v>
      </c>
      <c r="G549" s="698" t="s">
        <v>556</v>
      </c>
      <c r="H549" s="698">
        <v>96414</v>
      </c>
      <c r="I549" s="698">
        <v>96414</v>
      </c>
      <c r="J549" s="698" t="s">
        <v>1494</v>
      </c>
      <c r="K549" s="698" t="s">
        <v>1495</v>
      </c>
      <c r="L549" s="701">
        <v>58.671702127659572</v>
      </c>
      <c r="M549" s="701">
        <v>9.3999999999999986</v>
      </c>
      <c r="N549" s="702">
        <v>551.5139999999999</v>
      </c>
    </row>
    <row r="550" spans="1:14" ht="14.45" customHeight="1" x14ac:dyDescent="0.2">
      <c r="A550" s="696" t="s">
        <v>537</v>
      </c>
      <c r="B550" s="697" t="s">
        <v>538</v>
      </c>
      <c r="C550" s="698" t="s">
        <v>550</v>
      </c>
      <c r="D550" s="699" t="s">
        <v>551</v>
      </c>
      <c r="E550" s="700">
        <v>50113013</v>
      </c>
      <c r="F550" s="699" t="s">
        <v>1447</v>
      </c>
      <c r="G550" s="698" t="s">
        <v>306</v>
      </c>
      <c r="H550" s="698">
        <v>995724</v>
      </c>
      <c r="I550" s="698">
        <v>242270</v>
      </c>
      <c r="J550" s="698" t="s">
        <v>1024</v>
      </c>
      <c r="K550" s="698" t="s">
        <v>1025</v>
      </c>
      <c r="L550" s="701">
        <v>885.5100000000001</v>
      </c>
      <c r="M550" s="701">
        <v>2.4</v>
      </c>
      <c r="N550" s="702">
        <v>2125.2240000000002</v>
      </c>
    </row>
    <row r="551" spans="1:14" ht="14.45" customHeight="1" x14ac:dyDescent="0.2">
      <c r="A551" s="696" t="s">
        <v>537</v>
      </c>
      <c r="B551" s="697" t="s">
        <v>538</v>
      </c>
      <c r="C551" s="698" t="s">
        <v>550</v>
      </c>
      <c r="D551" s="699" t="s">
        <v>551</v>
      </c>
      <c r="E551" s="700">
        <v>50113013</v>
      </c>
      <c r="F551" s="699" t="s">
        <v>1447</v>
      </c>
      <c r="G551" s="698" t="s">
        <v>571</v>
      </c>
      <c r="H551" s="698">
        <v>216704</v>
      </c>
      <c r="I551" s="698">
        <v>216704</v>
      </c>
      <c r="J551" s="698" t="s">
        <v>1496</v>
      </c>
      <c r="K551" s="698" t="s">
        <v>1025</v>
      </c>
      <c r="L551" s="701">
        <v>1044.5479452054794</v>
      </c>
      <c r="M551" s="701">
        <v>14.6</v>
      </c>
      <c r="N551" s="702">
        <v>15250.4</v>
      </c>
    </row>
    <row r="552" spans="1:14" ht="14.45" customHeight="1" x14ac:dyDescent="0.2">
      <c r="A552" s="696" t="s">
        <v>537</v>
      </c>
      <c r="B552" s="697" t="s">
        <v>538</v>
      </c>
      <c r="C552" s="698" t="s">
        <v>550</v>
      </c>
      <c r="D552" s="699" t="s">
        <v>551</v>
      </c>
      <c r="E552" s="700">
        <v>50113013</v>
      </c>
      <c r="F552" s="699" t="s">
        <v>1447</v>
      </c>
      <c r="G552" s="698" t="s">
        <v>556</v>
      </c>
      <c r="H552" s="698">
        <v>192490</v>
      </c>
      <c r="I552" s="698">
        <v>92490</v>
      </c>
      <c r="J552" s="698" t="s">
        <v>1497</v>
      </c>
      <c r="K552" s="698" t="s">
        <v>1498</v>
      </c>
      <c r="L552" s="701">
        <v>121.01999999999997</v>
      </c>
      <c r="M552" s="701">
        <v>1</v>
      </c>
      <c r="N552" s="702">
        <v>121.01999999999997</v>
      </c>
    </row>
    <row r="553" spans="1:14" ht="14.45" customHeight="1" x14ac:dyDescent="0.2">
      <c r="A553" s="696" t="s">
        <v>537</v>
      </c>
      <c r="B553" s="697" t="s">
        <v>538</v>
      </c>
      <c r="C553" s="698" t="s">
        <v>550</v>
      </c>
      <c r="D553" s="699" t="s">
        <v>551</v>
      </c>
      <c r="E553" s="700">
        <v>50113013</v>
      </c>
      <c r="F553" s="699" t="s">
        <v>1447</v>
      </c>
      <c r="G553" s="698" t="s">
        <v>272</v>
      </c>
      <c r="H553" s="698">
        <v>134595</v>
      </c>
      <c r="I553" s="698">
        <v>134595</v>
      </c>
      <c r="J553" s="698" t="s">
        <v>1499</v>
      </c>
      <c r="K553" s="698" t="s">
        <v>1500</v>
      </c>
      <c r="L553" s="701">
        <v>416.02884230718848</v>
      </c>
      <c r="M553" s="701">
        <v>95.19999999999996</v>
      </c>
      <c r="N553" s="702">
        <v>39605.945787644327</v>
      </c>
    </row>
    <row r="554" spans="1:14" ht="14.45" customHeight="1" x14ac:dyDescent="0.2">
      <c r="A554" s="696" t="s">
        <v>537</v>
      </c>
      <c r="B554" s="697" t="s">
        <v>538</v>
      </c>
      <c r="C554" s="698" t="s">
        <v>550</v>
      </c>
      <c r="D554" s="699" t="s">
        <v>551</v>
      </c>
      <c r="E554" s="700">
        <v>50113013</v>
      </c>
      <c r="F554" s="699" t="s">
        <v>1447</v>
      </c>
      <c r="G554" s="698" t="s">
        <v>571</v>
      </c>
      <c r="H554" s="698">
        <v>173750</v>
      </c>
      <c r="I554" s="698">
        <v>173750</v>
      </c>
      <c r="J554" s="698" t="s">
        <v>1501</v>
      </c>
      <c r="K554" s="698" t="s">
        <v>598</v>
      </c>
      <c r="L554" s="701">
        <v>716.16172979723342</v>
      </c>
      <c r="M554" s="701">
        <v>207.3</v>
      </c>
      <c r="N554" s="702">
        <v>148460.32658696649</v>
      </c>
    </row>
    <row r="555" spans="1:14" ht="14.45" customHeight="1" x14ac:dyDescent="0.2">
      <c r="A555" s="696" t="s">
        <v>537</v>
      </c>
      <c r="B555" s="697" t="s">
        <v>538</v>
      </c>
      <c r="C555" s="698" t="s">
        <v>550</v>
      </c>
      <c r="D555" s="699" t="s">
        <v>551</v>
      </c>
      <c r="E555" s="700">
        <v>50113013</v>
      </c>
      <c r="F555" s="699" t="s">
        <v>1447</v>
      </c>
      <c r="G555" s="698" t="s">
        <v>306</v>
      </c>
      <c r="H555" s="698">
        <v>245255</v>
      </c>
      <c r="I555" s="698">
        <v>245255</v>
      </c>
      <c r="J555" s="698" t="s">
        <v>1502</v>
      </c>
      <c r="K555" s="698" t="s">
        <v>1503</v>
      </c>
      <c r="L555" s="701">
        <v>196.46106309838351</v>
      </c>
      <c r="M555" s="701">
        <v>245.29999999999995</v>
      </c>
      <c r="N555" s="702">
        <v>48191.898778033465</v>
      </c>
    </row>
    <row r="556" spans="1:14" ht="14.45" customHeight="1" x14ac:dyDescent="0.2">
      <c r="A556" s="696" t="s">
        <v>537</v>
      </c>
      <c r="B556" s="697" t="s">
        <v>538</v>
      </c>
      <c r="C556" s="698" t="s">
        <v>550</v>
      </c>
      <c r="D556" s="699" t="s">
        <v>551</v>
      </c>
      <c r="E556" s="700">
        <v>50113013</v>
      </c>
      <c r="F556" s="699" t="s">
        <v>1447</v>
      </c>
      <c r="G556" s="698" t="s">
        <v>571</v>
      </c>
      <c r="H556" s="698">
        <v>224407</v>
      </c>
      <c r="I556" s="698">
        <v>224407</v>
      </c>
      <c r="J556" s="698" t="s">
        <v>1502</v>
      </c>
      <c r="K556" s="698" t="s">
        <v>1504</v>
      </c>
      <c r="L556" s="701">
        <v>188.46</v>
      </c>
      <c r="M556" s="701">
        <v>9.3999999999999844</v>
      </c>
      <c r="N556" s="702">
        <v>1771.5239999999972</v>
      </c>
    </row>
    <row r="557" spans="1:14" ht="14.45" customHeight="1" x14ac:dyDescent="0.2">
      <c r="A557" s="696" t="s">
        <v>537</v>
      </c>
      <c r="B557" s="697" t="s">
        <v>538</v>
      </c>
      <c r="C557" s="698" t="s">
        <v>550</v>
      </c>
      <c r="D557" s="699" t="s">
        <v>551</v>
      </c>
      <c r="E557" s="700">
        <v>50113013</v>
      </c>
      <c r="F557" s="699" t="s">
        <v>1447</v>
      </c>
      <c r="G557" s="698" t="s">
        <v>571</v>
      </c>
      <c r="H557" s="698">
        <v>242332</v>
      </c>
      <c r="I557" s="698">
        <v>242332</v>
      </c>
      <c r="J557" s="698" t="s">
        <v>1502</v>
      </c>
      <c r="K557" s="698" t="s">
        <v>1505</v>
      </c>
      <c r="L557" s="701">
        <v>376.92000000000007</v>
      </c>
      <c r="M557" s="701">
        <v>5.1499999999999995</v>
      </c>
      <c r="N557" s="702">
        <v>1941.1380000000001</v>
      </c>
    </row>
    <row r="558" spans="1:14" ht="14.45" customHeight="1" x14ac:dyDescent="0.2">
      <c r="A558" s="696" t="s">
        <v>537</v>
      </c>
      <c r="B558" s="697" t="s">
        <v>538</v>
      </c>
      <c r="C558" s="698" t="s">
        <v>550</v>
      </c>
      <c r="D558" s="699" t="s">
        <v>551</v>
      </c>
      <c r="E558" s="700">
        <v>50113013</v>
      </c>
      <c r="F558" s="699" t="s">
        <v>1447</v>
      </c>
      <c r="G558" s="698" t="s">
        <v>571</v>
      </c>
      <c r="H558" s="698">
        <v>236842</v>
      </c>
      <c r="I558" s="698">
        <v>236842</v>
      </c>
      <c r="J558" s="698" t="s">
        <v>1506</v>
      </c>
      <c r="K558" s="698" t="s">
        <v>1507</v>
      </c>
      <c r="L558" s="701">
        <v>1655.7799999999997</v>
      </c>
      <c r="M558" s="701">
        <v>30</v>
      </c>
      <c r="N558" s="702">
        <v>49673.399999999994</v>
      </c>
    </row>
    <row r="559" spans="1:14" ht="14.45" customHeight="1" x14ac:dyDescent="0.2">
      <c r="A559" s="696" t="s">
        <v>537</v>
      </c>
      <c r="B559" s="697" t="s">
        <v>538</v>
      </c>
      <c r="C559" s="698" t="s">
        <v>550</v>
      </c>
      <c r="D559" s="699" t="s">
        <v>551</v>
      </c>
      <c r="E559" s="700">
        <v>50113013</v>
      </c>
      <c r="F559" s="699" t="s">
        <v>1447</v>
      </c>
      <c r="G559" s="698" t="s">
        <v>306</v>
      </c>
      <c r="H559" s="698">
        <v>232628</v>
      </c>
      <c r="I559" s="698">
        <v>232628</v>
      </c>
      <c r="J559" s="698" t="s">
        <v>1508</v>
      </c>
      <c r="K559" s="698" t="s">
        <v>1509</v>
      </c>
      <c r="L559" s="701">
        <v>4213.6859999999997</v>
      </c>
      <c r="M559" s="701">
        <v>1</v>
      </c>
      <c r="N559" s="702">
        <v>4213.6859999999997</v>
      </c>
    </row>
    <row r="560" spans="1:14" ht="14.45" customHeight="1" x14ac:dyDescent="0.2">
      <c r="A560" s="696" t="s">
        <v>537</v>
      </c>
      <c r="B560" s="697" t="s">
        <v>538</v>
      </c>
      <c r="C560" s="698" t="s">
        <v>550</v>
      </c>
      <c r="D560" s="699" t="s">
        <v>551</v>
      </c>
      <c r="E560" s="700">
        <v>50113013</v>
      </c>
      <c r="F560" s="699" t="s">
        <v>1447</v>
      </c>
      <c r="G560" s="698" t="s">
        <v>556</v>
      </c>
      <c r="H560" s="698">
        <v>101076</v>
      </c>
      <c r="I560" s="698">
        <v>1076</v>
      </c>
      <c r="J560" s="698" t="s">
        <v>1510</v>
      </c>
      <c r="K560" s="698" t="s">
        <v>1117</v>
      </c>
      <c r="L560" s="701">
        <v>78.140000854087361</v>
      </c>
      <c r="M560" s="701">
        <v>27</v>
      </c>
      <c r="N560" s="702">
        <v>2109.7800230603589</v>
      </c>
    </row>
    <row r="561" spans="1:14" ht="14.45" customHeight="1" x14ac:dyDescent="0.2">
      <c r="A561" s="696" t="s">
        <v>537</v>
      </c>
      <c r="B561" s="697" t="s">
        <v>538</v>
      </c>
      <c r="C561" s="698" t="s">
        <v>550</v>
      </c>
      <c r="D561" s="699" t="s">
        <v>551</v>
      </c>
      <c r="E561" s="700">
        <v>50113013</v>
      </c>
      <c r="F561" s="699" t="s">
        <v>1447</v>
      </c>
      <c r="G561" s="698" t="s">
        <v>306</v>
      </c>
      <c r="H561" s="698">
        <v>113453</v>
      </c>
      <c r="I561" s="698">
        <v>113453</v>
      </c>
      <c r="J561" s="698" t="s">
        <v>1511</v>
      </c>
      <c r="K561" s="698" t="s">
        <v>1512</v>
      </c>
      <c r="L561" s="701">
        <v>748.00000000000011</v>
      </c>
      <c r="M561" s="701">
        <v>155.79999999999998</v>
      </c>
      <c r="N561" s="702">
        <v>116538.40000000001</v>
      </c>
    </row>
    <row r="562" spans="1:14" ht="14.45" customHeight="1" x14ac:dyDescent="0.2">
      <c r="A562" s="696" t="s">
        <v>537</v>
      </c>
      <c r="B562" s="697" t="s">
        <v>538</v>
      </c>
      <c r="C562" s="698" t="s">
        <v>550</v>
      </c>
      <c r="D562" s="699" t="s">
        <v>551</v>
      </c>
      <c r="E562" s="700">
        <v>50113013</v>
      </c>
      <c r="F562" s="699" t="s">
        <v>1447</v>
      </c>
      <c r="G562" s="698" t="s">
        <v>571</v>
      </c>
      <c r="H562" s="698">
        <v>173857</v>
      </c>
      <c r="I562" s="698">
        <v>173857</v>
      </c>
      <c r="J562" s="698" t="s">
        <v>1513</v>
      </c>
      <c r="K562" s="698" t="s">
        <v>1514</v>
      </c>
      <c r="L562" s="701">
        <v>762.62714508580325</v>
      </c>
      <c r="M562" s="701">
        <v>64.099999999999994</v>
      </c>
      <c r="N562" s="702">
        <v>48884.399999999987</v>
      </c>
    </row>
    <row r="563" spans="1:14" ht="14.45" customHeight="1" x14ac:dyDescent="0.2">
      <c r="A563" s="696" t="s">
        <v>537</v>
      </c>
      <c r="B563" s="697" t="s">
        <v>538</v>
      </c>
      <c r="C563" s="698" t="s">
        <v>550</v>
      </c>
      <c r="D563" s="699" t="s">
        <v>551</v>
      </c>
      <c r="E563" s="700">
        <v>50113013</v>
      </c>
      <c r="F563" s="699" t="s">
        <v>1447</v>
      </c>
      <c r="G563" s="698" t="s">
        <v>556</v>
      </c>
      <c r="H563" s="698">
        <v>106264</v>
      </c>
      <c r="I563" s="698">
        <v>6264</v>
      </c>
      <c r="J563" s="698" t="s">
        <v>1515</v>
      </c>
      <c r="K563" s="698" t="s">
        <v>1516</v>
      </c>
      <c r="L563" s="701">
        <v>25.48</v>
      </c>
      <c r="M563" s="701">
        <v>1</v>
      </c>
      <c r="N563" s="702">
        <v>25.48</v>
      </c>
    </row>
    <row r="564" spans="1:14" ht="14.45" customHeight="1" x14ac:dyDescent="0.2">
      <c r="A564" s="696" t="s">
        <v>537</v>
      </c>
      <c r="B564" s="697" t="s">
        <v>538</v>
      </c>
      <c r="C564" s="698" t="s">
        <v>550</v>
      </c>
      <c r="D564" s="699" t="s">
        <v>551</v>
      </c>
      <c r="E564" s="700">
        <v>50113013</v>
      </c>
      <c r="F564" s="699" t="s">
        <v>1447</v>
      </c>
      <c r="G564" s="698" t="s">
        <v>571</v>
      </c>
      <c r="H564" s="698">
        <v>206563</v>
      </c>
      <c r="I564" s="698">
        <v>206563</v>
      </c>
      <c r="J564" s="698" t="s">
        <v>1517</v>
      </c>
      <c r="K564" s="698" t="s">
        <v>1518</v>
      </c>
      <c r="L564" s="701">
        <v>20.41333333333333</v>
      </c>
      <c r="M564" s="701">
        <v>180</v>
      </c>
      <c r="N564" s="702">
        <v>3674.3999999999996</v>
      </c>
    </row>
    <row r="565" spans="1:14" ht="14.45" customHeight="1" x14ac:dyDescent="0.2">
      <c r="A565" s="696" t="s">
        <v>537</v>
      </c>
      <c r="B565" s="697" t="s">
        <v>538</v>
      </c>
      <c r="C565" s="698" t="s">
        <v>550</v>
      </c>
      <c r="D565" s="699" t="s">
        <v>551</v>
      </c>
      <c r="E565" s="700">
        <v>50113013</v>
      </c>
      <c r="F565" s="699" t="s">
        <v>1447</v>
      </c>
      <c r="G565" s="698" t="s">
        <v>306</v>
      </c>
      <c r="H565" s="698">
        <v>206567</v>
      </c>
      <c r="I565" s="698">
        <v>206567</v>
      </c>
      <c r="J565" s="698" t="s">
        <v>1517</v>
      </c>
      <c r="K565" s="698" t="s">
        <v>1519</v>
      </c>
      <c r="L565" s="701">
        <v>482.77</v>
      </c>
      <c r="M565" s="701">
        <v>1</v>
      </c>
      <c r="N565" s="702">
        <v>482.77</v>
      </c>
    </row>
    <row r="566" spans="1:14" ht="14.45" customHeight="1" x14ac:dyDescent="0.2">
      <c r="A566" s="696" t="s">
        <v>537</v>
      </c>
      <c r="B566" s="697" t="s">
        <v>538</v>
      </c>
      <c r="C566" s="698" t="s">
        <v>550</v>
      </c>
      <c r="D566" s="699" t="s">
        <v>551</v>
      </c>
      <c r="E566" s="700">
        <v>50113013</v>
      </c>
      <c r="F566" s="699" t="s">
        <v>1447</v>
      </c>
      <c r="G566" s="698" t="s">
        <v>556</v>
      </c>
      <c r="H566" s="698">
        <v>225174</v>
      </c>
      <c r="I566" s="698">
        <v>225174</v>
      </c>
      <c r="J566" s="698" t="s">
        <v>1520</v>
      </c>
      <c r="K566" s="698" t="s">
        <v>1521</v>
      </c>
      <c r="L566" s="701">
        <v>42.99</v>
      </c>
      <c r="M566" s="701">
        <v>1</v>
      </c>
      <c r="N566" s="702">
        <v>42.99</v>
      </c>
    </row>
    <row r="567" spans="1:14" ht="14.45" customHeight="1" x14ac:dyDescent="0.2">
      <c r="A567" s="696" t="s">
        <v>537</v>
      </c>
      <c r="B567" s="697" t="s">
        <v>538</v>
      </c>
      <c r="C567" s="698" t="s">
        <v>550</v>
      </c>
      <c r="D567" s="699" t="s">
        <v>551</v>
      </c>
      <c r="E567" s="700">
        <v>50113013</v>
      </c>
      <c r="F567" s="699" t="s">
        <v>1447</v>
      </c>
      <c r="G567" s="698" t="s">
        <v>556</v>
      </c>
      <c r="H567" s="698">
        <v>225175</v>
      </c>
      <c r="I567" s="698">
        <v>225175</v>
      </c>
      <c r="J567" s="698" t="s">
        <v>1520</v>
      </c>
      <c r="K567" s="698" t="s">
        <v>1522</v>
      </c>
      <c r="L567" s="701">
        <v>43.415999999999997</v>
      </c>
      <c r="M567" s="701">
        <v>5</v>
      </c>
      <c r="N567" s="702">
        <v>217.07999999999998</v>
      </c>
    </row>
    <row r="568" spans="1:14" ht="14.45" customHeight="1" x14ac:dyDescent="0.2">
      <c r="A568" s="696" t="s">
        <v>537</v>
      </c>
      <c r="B568" s="697" t="s">
        <v>538</v>
      </c>
      <c r="C568" s="698" t="s">
        <v>550</v>
      </c>
      <c r="D568" s="699" t="s">
        <v>551</v>
      </c>
      <c r="E568" s="700">
        <v>50113013</v>
      </c>
      <c r="F568" s="699" t="s">
        <v>1447</v>
      </c>
      <c r="G568" s="698" t="s">
        <v>571</v>
      </c>
      <c r="H568" s="698">
        <v>126127</v>
      </c>
      <c r="I568" s="698">
        <v>26127</v>
      </c>
      <c r="J568" s="698" t="s">
        <v>1523</v>
      </c>
      <c r="K568" s="698" t="s">
        <v>1524</v>
      </c>
      <c r="L568" s="701">
        <v>2237.7300000000009</v>
      </c>
      <c r="M568" s="701">
        <v>125.3</v>
      </c>
      <c r="N568" s="702">
        <v>280387.56900000013</v>
      </c>
    </row>
    <row r="569" spans="1:14" ht="14.45" customHeight="1" x14ac:dyDescent="0.2">
      <c r="A569" s="696" t="s">
        <v>537</v>
      </c>
      <c r="B569" s="697" t="s">
        <v>538</v>
      </c>
      <c r="C569" s="698" t="s">
        <v>550</v>
      </c>
      <c r="D569" s="699" t="s">
        <v>551</v>
      </c>
      <c r="E569" s="700">
        <v>50113013</v>
      </c>
      <c r="F569" s="699" t="s">
        <v>1447</v>
      </c>
      <c r="G569" s="698" t="s">
        <v>571</v>
      </c>
      <c r="H569" s="698">
        <v>166269</v>
      </c>
      <c r="I569" s="698">
        <v>166269</v>
      </c>
      <c r="J569" s="698" t="s">
        <v>1525</v>
      </c>
      <c r="K569" s="698" t="s">
        <v>1526</v>
      </c>
      <c r="L569" s="701">
        <v>52.879965595894433</v>
      </c>
      <c r="M569" s="701">
        <v>193</v>
      </c>
      <c r="N569" s="702">
        <v>10205.833360007626</v>
      </c>
    </row>
    <row r="570" spans="1:14" ht="14.45" customHeight="1" x14ac:dyDescent="0.2">
      <c r="A570" s="696" t="s">
        <v>537</v>
      </c>
      <c r="B570" s="697" t="s">
        <v>538</v>
      </c>
      <c r="C570" s="698" t="s">
        <v>550</v>
      </c>
      <c r="D570" s="699" t="s">
        <v>551</v>
      </c>
      <c r="E570" s="700">
        <v>50113013</v>
      </c>
      <c r="F570" s="699" t="s">
        <v>1447</v>
      </c>
      <c r="G570" s="698" t="s">
        <v>571</v>
      </c>
      <c r="H570" s="698">
        <v>166265</v>
      </c>
      <c r="I570" s="698">
        <v>166265</v>
      </c>
      <c r="J570" s="698" t="s">
        <v>1527</v>
      </c>
      <c r="K570" s="698" t="s">
        <v>1528</v>
      </c>
      <c r="L570" s="701">
        <v>33.386833333333328</v>
      </c>
      <c r="M570" s="701">
        <v>60</v>
      </c>
      <c r="N570" s="702">
        <v>2003.2099999999996</v>
      </c>
    </row>
    <row r="571" spans="1:14" ht="14.45" customHeight="1" x14ac:dyDescent="0.2">
      <c r="A571" s="696" t="s">
        <v>537</v>
      </c>
      <c r="B571" s="697" t="s">
        <v>538</v>
      </c>
      <c r="C571" s="698" t="s">
        <v>550</v>
      </c>
      <c r="D571" s="699" t="s">
        <v>551</v>
      </c>
      <c r="E571" s="700">
        <v>50113013</v>
      </c>
      <c r="F571" s="699" t="s">
        <v>1447</v>
      </c>
      <c r="G571" s="698" t="s">
        <v>306</v>
      </c>
      <c r="H571" s="698">
        <v>211760</v>
      </c>
      <c r="I571" s="698">
        <v>211760</v>
      </c>
      <c r="J571" s="698" t="s">
        <v>1529</v>
      </c>
      <c r="K571" s="698" t="s">
        <v>1530</v>
      </c>
      <c r="L571" s="701">
        <v>880</v>
      </c>
      <c r="M571" s="701">
        <v>103</v>
      </c>
      <c r="N571" s="702">
        <v>90640</v>
      </c>
    </row>
    <row r="572" spans="1:14" ht="14.45" customHeight="1" x14ac:dyDescent="0.2">
      <c r="A572" s="696" t="s">
        <v>537</v>
      </c>
      <c r="B572" s="697" t="s">
        <v>538</v>
      </c>
      <c r="C572" s="698" t="s">
        <v>550</v>
      </c>
      <c r="D572" s="699" t="s">
        <v>551</v>
      </c>
      <c r="E572" s="700">
        <v>50113013</v>
      </c>
      <c r="F572" s="699" t="s">
        <v>1447</v>
      </c>
      <c r="G572" s="698" t="s">
        <v>571</v>
      </c>
      <c r="H572" s="698">
        <v>247338</v>
      </c>
      <c r="I572" s="698">
        <v>247338</v>
      </c>
      <c r="J572" s="698" t="s">
        <v>1531</v>
      </c>
      <c r="K572" s="698" t="s">
        <v>1530</v>
      </c>
      <c r="L572" s="701">
        <v>332.62</v>
      </c>
      <c r="M572" s="701">
        <v>20</v>
      </c>
      <c r="N572" s="702">
        <v>6652.4</v>
      </c>
    </row>
    <row r="573" spans="1:14" ht="14.45" customHeight="1" x14ac:dyDescent="0.2">
      <c r="A573" s="696" t="s">
        <v>537</v>
      </c>
      <c r="B573" s="697" t="s">
        <v>538</v>
      </c>
      <c r="C573" s="698" t="s">
        <v>550</v>
      </c>
      <c r="D573" s="699" t="s">
        <v>551</v>
      </c>
      <c r="E573" s="700">
        <v>50113013</v>
      </c>
      <c r="F573" s="699" t="s">
        <v>1447</v>
      </c>
      <c r="G573" s="698" t="s">
        <v>556</v>
      </c>
      <c r="H573" s="698">
        <v>209414</v>
      </c>
      <c r="I573" s="698">
        <v>209414</v>
      </c>
      <c r="J573" s="698" t="s">
        <v>1532</v>
      </c>
      <c r="K573" s="698" t="s">
        <v>1533</v>
      </c>
      <c r="L573" s="701">
        <v>20672.96</v>
      </c>
      <c r="M573" s="701">
        <v>5</v>
      </c>
      <c r="N573" s="702">
        <v>103364.79999999999</v>
      </c>
    </row>
    <row r="574" spans="1:14" ht="14.45" customHeight="1" x14ac:dyDescent="0.2">
      <c r="A574" s="696" t="s">
        <v>537</v>
      </c>
      <c r="B574" s="697" t="s">
        <v>538</v>
      </c>
      <c r="C574" s="698" t="s">
        <v>550</v>
      </c>
      <c r="D574" s="699" t="s">
        <v>551</v>
      </c>
      <c r="E574" s="700">
        <v>50113014</v>
      </c>
      <c r="F574" s="699" t="s">
        <v>1534</v>
      </c>
      <c r="G574" s="698" t="s">
        <v>571</v>
      </c>
      <c r="H574" s="698">
        <v>850734</v>
      </c>
      <c r="I574" s="698">
        <v>149384</v>
      </c>
      <c r="J574" s="698" t="s">
        <v>1535</v>
      </c>
      <c r="K574" s="698" t="s">
        <v>1536</v>
      </c>
      <c r="L574" s="701">
        <v>1115.252</v>
      </c>
      <c r="M574" s="701">
        <v>10</v>
      </c>
      <c r="N574" s="702">
        <v>11152.52</v>
      </c>
    </row>
    <row r="575" spans="1:14" ht="14.45" customHeight="1" x14ac:dyDescent="0.2">
      <c r="A575" s="696" t="s">
        <v>537</v>
      </c>
      <c r="B575" s="697" t="s">
        <v>538</v>
      </c>
      <c r="C575" s="698" t="s">
        <v>550</v>
      </c>
      <c r="D575" s="699" t="s">
        <v>551</v>
      </c>
      <c r="E575" s="700">
        <v>50113014</v>
      </c>
      <c r="F575" s="699" t="s">
        <v>1534</v>
      </c>
      <c r="G575" s="698" t="s">
        <v>571</v>
      </c>
      <c r="H575" s="698">
        <v>164407</v>
      </c>
      <c r="I575" s="698">
        <v>164407</v>
      </c>
      <c r="J575" s="698" t="s">
        <v>1537</v>
      </c>
      <c r="K575" s="698" t="s">
        <v>1538</v>
      </c>
      <c r="L575" s="701">
        <v>637.99999999999977</v>
      </c>
      <c r="M575" s="701">
        <v>29.000000000000007</v>
      </c>
      <c r="N575" s="702">
        <v>18501.999999999996</v>
      </c>
    </row>
    <row r="576" spans="1:14" ht="14.45" customHeight="1" x14ac:dyDescent="0.2">
      <c r="A576" s="696" t="s">
        <v>537</v>
      </c>
      <c r="B576" s="697" t="s">
        <v>538</v>
      </c>
      <c r="C576" s="698" t="s">
        <v>550</v>
      </c>
      <c r="D576" s="699" t="s">
        <v>551</v>
      </c>
      <c r="E576" s="700">
        <v>50113014</v>
      </c>
      <c r="F576" s="699" t="s">
        <v>1534</v>
      </c>
      <c r="G576" s="698" t="s">
        <v>571</v>
      </c>
      <c r="H576" s="698">
        <v>164401</v>
      </c>
      <c r="I576" s="698">
        <v>164401</v>
      </c>
      <c r="J576" s="698" t="s">
        <v>1537</v>
      </c>
      <c r="K576" s="698" t="s">
        <v>1539</v>
      </c>
      <c r="L576" s="701">
        <v>318.99999929593315</v>
      </c>
      <c r="M576" s="701">
        <v>89.6</v>
      </c>
      <c r="N576" s="702">
        <v>28582.399936915608</v>
      </c>
    </row>
    <row r="577" spans="1:14" ht="14.45" customHeight="1" x14ac:dyDescent="0.2">
      <c r="A577" s="696" t="s">
        <v>537</v>
      </c>
      <c r="B577" s="697" t="s">
        <v>538</v>
      </c>
      <c r="C577" s="698" t="s">
        <v>550</v>
      </c>
      <c r="D577" s="699" t="s">
        <v>551</v>
      </c>
      <c r="E577" s="700">
        <v>50113014</v>
      </c>
      <c r="F577" s="699" t="s">
        <v>1534</v>
      </c>
      <c r="G577" s="698" t="s">
        <v>306</v>
      </c>
      <c r="H577" s="698">
        <v>129428</v>
      </c>
      <c r="I577" s="698">
        <v>500720</v>
      </c>
      <c r="J577" s="698" t="s">
        <v>1540</v>
      </c>
      <c r="K577" s="698" t="s">
        <v>1541</v>
      </c>
      <c r="L577" s="701">
        <v>3630</v>
      </c>
      <c r="M577" s="701">
        <v>40</v>
      </c>
      <c r="N577" s="702">
        <v>145200</v>
      </c>
    </row>
    <row r="578" spans="1:14" ht="14.45" customHeight="1" x14ac:dyDescent="0.2">
      <c r="A578" s="696" t="s">
        <v>537</v>
      </c>
      <c r="B578" s="697" t="s">
        <v>538</v>
      </c>
      <c r="C578" s="698" t="s">
        <v>550</v>
      </c>
      <c r="D578" s="699" t="s">
        <v>551</v>
      </c>
      <c r="E578" s="700">
        <v>50113014</v>
      </c>
      <c r="F578" s="699" t="s">
        <v>1534</v>
      </c>
      <c r="G578" s="698" t="s">
        <v>571</v>
      </c>
      <c r="H578" s="698">
        <v>189220</v>
      </c>
      <c r="I578" s="698">
        <v>189220</v>
      </c>
      <c r="J578" s="698" t="s">
        <v>1542</v>
      </c>
      <c r="K578" s="698" t="s">
        <v>1543</v>
      </c>
      <c r="L578" s="701">
        <v>6765</v>
      </c>
      <c r="M578" s="701">
        <v>1</v>
      </c>
      <c r="N578" s="702">
        <v>6765</v>
      </c>
    </row>
    <row r="579" spans="1:14" ht="14.45" customHeight="1" thickBot="1" x14ac:dyDescent="0.25">
      <c r="A579" s="703" t="s">
        <v>537</v>
      </c>
      <c r="B579" s="704" t="s">
        <v>538</v>
      </c>
      <c r="C579" s="705" t="s">
        <v>550</v>
      </c>
      <c r="D579" s="706" t="s">
        <v>551</v>
      </c>
      <c r="E579" s="707">
        <v>50113014</v>
      </c>
      <c r="F579" s="706" t="s">
        <v>1534</v>
      </c>
      <c r="G579" s="705" t="s">
        <v>306</v>
      </c>
      <c r="H579" s="705">
        <v>196852</v>
      </c>
      <c r="I579" s="705">
        <v>196852</v>
      </c>
      <c r="J579" s="705" t="s">
        <v>1544</v>
      </c>
      <c r="K579" s="705" t="s">
        <v>1545</v>
      </c>
      <c r="L579" s="708">
        <v>611.04</v>
      </c>
      <c r="M579" s="708">
        <v>20</v>
      </c>
      <c r="N579" s="709">
        <v>12220.8</v>
      </c>
    </row>
  </sheetData>
  <autoFilter ref="A4:N4" xr:uid="{00000000-0009-0000-0000-000009000000}"/>
  <mergeCells count="3">
    <mergeCell ref="C3:I3"/>
    <mergeCell ref="J3:K3"/>
    <mergeCell ref="A1:N1"/>
  </mergeCells>
  <hyperlinks>
    <hyperlink ref="A2" location="Obsah!A1" display="Zpět na Obsah  KL 01  1.-4.měsíc" xr:uid="{FC41BE63-88BC-4653-ABC9-C0418000F2A8}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List8">
    <tabColor theme="0" tint="-0.249977111117893"/>
    <pageSetUpPr fitToPage="1"/>
  </sheetPr>
  <dimension ref="A1:F90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ColWidth="8.85546875" defaultRowHeight="14.45" customHeight="1" x14ac:dyDescent="0.2"/>
  <cols>
    <col min="1" max="1" width="46.7109375" style="233" customWidth="1"/>
    <col min="2" max="2" width="10" style="312" customWidth="1"/>
    <col min="3" max="3" width="5.5703125" style="315" customWidth="1"/>
    <col min="4" max="4" width="10.85546875" style="312" customWidth="1"/>
    <col min="5" max="5" width="5.5703125" style="315" customWidth="1"/>
    <col min="6" max="6" width="10.85546875" style="312" customWidth="1"/>
    <col min="7" max="16384" width="8.85546875" style="233"/>
  </cols>
  <sheetData>
    <row r="1" spans="1:6" ht="37.15" customHeight="1" thickBot="1" x14ac:dyDescent="0.35">
      <c r="A1" s="534" t="s">
        <v>183</v>
      </c>
      <c r="B1" s="535"/>
      <c r="C1" s="535"/>
      <c r="D1" s="535"/>
      <c r="E1" s="535"/>
      <c r="F1" s="535"/>
    </row>
    <row r="2" spans="1:6" ht="14.45" customHeight="1" thickBot="1" x14ac:dyDescent="0.25">
      <c r="A2" s="350" t="s">
        <v>305</v>
      </c>
      <c r="B2" s="67"/>
      <c r="C2" s="68"/>
      <c r="D2" s="69"/>
      <c r="E2" s="68"/>
      <c r="F2" s="69"/>
    </row>
    <row r="3" spans="1:6" ht="14.45" customHeight="1" thickBot="1" x14ac:dyDescent="0.25">
      <c r="A3" s="191"/>
      <c r="B3" s="536" t="s">
        <v>145</v>
      </c>
      <c r="C3" s="537"/>
      <c r="D3" s="538" t="s">
        <v>144</v>
      </c>
      <c r="E3" s="537"/>
      <c r="F3" s="97" t="s">
        <v>3</v>
      </c>
    </row>
    <row r="4" spans="1:6" ht="14.45" customHeight="1" thickBot="1" x14ac:dyDescent="0.25">
      <c r="A4" s="710" t="s">
        <v>168</v>
      </c>
      <c r="B4" s="711" t="s">
        <v>14</v>
      </c>
      <c r="C4" s="712" t="s">
        <v>2</v>
      </c>
      <c r="D4" s="711" t="s">
        <v>14</v>
      </c>
      <c r="E4" s="712" t="s">
        <v>2</v>
      </c>
      <c r="F4" s="713" t="s">
        <v>14</v>
      </c>
    </row>
    <row r="5" spans="1:6" ht="14.45" customHeight="1" thickBot="1" x14ac:dyDescent="0.25">
      <c r="A5" s="724" t="s">
        <v>1546</v>
      </c>
      <c r="B5" s="687">
        <v>578681.05456567812</v>
      </c>
      <c r="C5" s="714">
        <v>0.19406473202143457</v>
      </c>
      <c r="D5" s="687">
        <v>2403216.0090479334</v>
      </c>
      <c r="E5" s="714">
        <v>0.80593526797856552</v>
      </c>
      <c r="F5" s="688">
        <v>2981897.0636136113</v>
      </c>
    </row>
    <row r="6" spans="1:6" ht="14.45" customHeight="1" thickBot="1" x14ac:dyDescent="0.25">
      <c r="A6" s="720" t="s">
        <v>3</v>
      </c>
      <c r="B6" s="721">
        <v>578681.05456567812</v>
      </c>
      <c r="C6" s="722">
        <v>0.19406473202143457</v>
      </c>
      <c r="D6" s="721">
        <v>2403216.0090479334</v>
      </c>
      <c r="E6" s="722">
        <v>0.80593526797856552</v>
      </c>
      <c r="F6" s="723">
        <v>2981897.0636136113</v>
      </c>
    </row>
    <row r="7" spans="1:6" ht="14.45" customHeight="1" thickBot="1" x14ac:dyDescent="0.25"/>
    <row r="8" spans="1:6" ht="14.45" customHeight="1" x14ac:dyDescent="0.2">
      <c r="A8" s="730" t="s">
        <v>1547</v>
      </c>
      <c r="B8" s="694">
        <v>3096.4800000000005</v>
      </c>
      <c r="C8" s="715">
        <v>5.7203803319140732E-2</v>
      </c>
      <c r="D8" s="694">
        <v>51034.186500000003</v>
      </c>
      <c r="E8" s="715">
        <v>0.94279619668085923</v>
      </c>
      <c r="F8" s="695">
        <v>54130.666500000007</v>
      </c>
    </row>
    <row r="9" spans="1:6" ht="14.45" customHeight="1" x14ac:dyDescent="0.2">
      <c r="A9" s="731" t="s">
        <v>1548</v>
      </c>
      <c r="B9" s="701"/>
      <c r="C9" s="726">
        <v>0</v>
      </c>
      <c r="D9" s="701">
        <v>5204.1000000000004</v>
      </c>
      <c r="E9" s="726">
        <v>1</v>
      </c>
      <c r="F9" s="702">
        <v>5204.1000000000004</v>
      </c>
    </row>
    <row r="10" spans="1:6" ht="14.45" customHeight="1" x14ac:dyDescent="0.2">
      <c r="A10" s="731" t="s">
        <v>1549</v>
      </c>
      <c r="B10" s="701"/>
      <c r="C10" s="726">
        <v>0</v>
      </c>
      <c r="D10" s="701">
        <v>274.73999999999995</v>
      </c>
      <c r="E10" s="726">
        <v>1</v>
      </c>
      <c r="F10" s="702">
        <v>274.73999999999995</v>
      </c>
    </row>
    <row r="11" spans="1:6" ht="14.45" customHeight="1" x14ac:dyDescent="0.2">
      <c r="A11" s="731" t="s">
        <v>1550</v>
      </c>
      <c r="B11" s="701">
        <v>3077.0299999999997</v>
      </c>
      <c r="C11" s="726">
        <v>0.42342915096196054</v>
      </c>
      <c r="D11" s="701">
        <v>4189.8999999999996</v>
      </c>
      <c r="E11" s="726">
        <v>0.57657084903803946</v>
      </c>
      <c r="F11" s="702">
        <v>7266.9299999999994</v>
      </c>
    </row>
    <row r="12" spans="1:6" ht="14.45" customHeight="1" x14ac:dyDescent="0.2">
      <c r="A12" s="731" t="s">
        <v>1551</v>
      </c>
      <c r="B12" s="701"/>
      <c r="C12" s="726">
        <v>0</v>
      </c>
      <c r="D12" s="701">
        <v>175667.10997354719</v>
      </c>
      <c r="E12" s="726">
        <v>1</v>
      </c>
      <c r="F12" s="702">
        <v>175667.10997354719</v>
      </c>
    </row>
    <row r="13" spans="1:6" ht="14.45" customHeight="1" x14ac:dyDescent="0.2">
      <c r="A13" s="731" t="s">
        <v>1552</v>
      </c>
      <c r="B13" s="701"/>
      <c r="C13" s="726">
        <v>0</v>
      </c>
      <c r="D13" s="701">
        <v>268.95</v>
      </c>
      <c r="E13" s="726">
        <v>1</v>
      </c>
      <c r="F13" s="702">
        <v>268.95</v>
      </c>
    </row>
    <row r="14" spans="1:6" ht="14.45" customHeight="1" x14ac:dyDescent="0.2">
      <c r="A14" s="731" t="s">
        <v>1553</v>
      </c>
      <c r="B14" s="701">
        <v>181.91</v>
      </c>
      <c r="C14" s="726">
        <v>1</v>
      </c>
      <c r="D14" s="701"/>
      <c r="E14" s="726">
        <v>0</v>
      </c>
      <c r="F14" s="702">
        <v>181.91</v>
      </c>
    </row>
    <row r="15" spans="1:6" ht="14.45" customHeight="1" x14ac:dyDescent="0.2">
      <c r="A15" s="731" t="s">
        <v>1554</v>
      </c>
      <c r="B15" s="701"/>
      <c r="C15" s="726">
        <v>0</v>
      </c>
      <c r="D15" s="701">
        <v>77.740000000000009</v>
      </c>
      <c r="E15" s="726">
        <v>1</v>
      </c>
      <c r="F15" s="702">
        <v>77.740000000000009</v>
      </c>
    </row>
    <row r="16" spans="1:6" ht="14.45" customHeight="1" x14ac:dyDescent="0.2">
      <c r="A16" s="731" t="s">
        <v>1555</v>
      </c>
      <c r="B16" s="701"/>
      <c r="C16" s="726">
        <v>0</v>
      </c>
      <c r="D16" s="701">
        <v>601.46</v>
      </c>
      <c r="E16" s="726">
        <v>1</v>
      </c>
      <c r="F16" s="702">
        <v>601.46</v>
      </c>
    </row>
    <row r="17" spans="1:6" ht="14.45" customHeight="1" x14ac:dyDescent="0.2">
      <c r="A17" s="731" t="s">
        <v>1556</v>
      </c>
      <c r="B17" s="701">
        <v>1822.08</v>
      </c>
      <c r="C17" s="726">
        <v>0.89118877014501963</v>
      </c>
      <c r="D17" s="701">
        <v>222.47000000000006</v>
      </c>
      <c r="E17" s="726">
        <v>0.10881122985498035</v>
      </c>
      <c r="F17" s="702">
        <v>2044.55</v>
      </c>
    </row>
    <row r="18" spans="1:6" ht="14.45" customHeight="1" x14ac:dyDescent="0.2">
      <c r="A18" s="731" t="s">
        <v>1557</v>
      </c>
      <c r="B18" s="701"/>
      <c r="C18" s="726">
        <v>0</v>
      </c>
      <c r="D18" s="701">
        <v>3483.4498909748231</v>
      </c>
      <c r="E18" s="726">
        <v>1</v>
      </c>
      <c r="F18" s="702">
        <v>3483.4498909748231</v>
      </c>
    </row>
    <row r="19" spans="1:6" ht="14.45" customHeight="1" x14ac:dyDescent="0.2">
      <c r="A19" s="731" t="s">
        <v>1558</v>
      </c>
      <c r="B19" s="701"/>
      <c r="C19" s="726">
        <v>0</v>
      </c>
      <c r="D19" s="701">
        <v>174.23</v>
      </c>
      <c r="E19" s="726">
        <v>1</v>
      </c>
      <c r="F19" s="702">
        <v>174.23</v>
      </c>
    </row>
    <row r="20" spans="1:6" ht="14.45" customHeight="1" x14ac:dyDescent="0.2">
      <c r="A20" s="731" t="s">
        <v>1559</v>
      </c>
      <c r="B20" s="701"/>
      <c r="C20" s="726">
        <v>0</v>
      </c>
      <c r="D20" s="701">
        <v>208.88000000000005</v>
      </c>
      <c r="E20" s="726">
        <v>1</v>
      </c>
      <c r="F20" s="702">
        <v>208.88000000000005</v>
      </c>
    </row>
    <row r="21" spans="1:6" ht="14.45" customHeight="1" x14ac:dyDescent="0.2">
      <c r="A21" s="731" t="s">
        <v>1560</v>
      </c>
      <c r="B21" s="701">
        <v>93.52000000000001</v>
      </c>
      <c r="C21" s="726">
        <v>1</v>
      </c>
      <c r="D21" s="701"/>
      <c r="E21" s="726">
        <v>0</v>
      </c>
      <c r="F21" s="702">
        <v>93.52000000000001</v>
      </c>
    </row>
    <row r="22" spans="1:6" ht="14.45" customHeight="1" x14ac:dyDescent="0.2">
      <c r="A22" s="731" t="s">
        <v>1561</v>
      </c>
      <c r="B22" s="701"/>
      <c r="C22" s="726">
        <v>0</v>
      </c>
      <c r="D22" s="701">
        <v>8.6999999999999975</v>
      </c>
      <c r="E22" s="726">
        <v>1</v>
      </c>
      <c r="F22" s="702">
        <v>8.6999999999999975</v>
      </c>
    </row>
    <row r="23" spans="1:6" ht="14.45" customHeight="1" x14ac:dyDescent="0.2">
      <c r="A23" s="731" t="s">
        <v>1562</v>
      </c>
      <c r="B23" s="701"/>
      <c r="C23" s="726">
        <v>0</v>
      </c>
      <c r="D23" s="701">
        <v>530.54000000000008</v>
      </c>
      <c r="E23" s="726">
        <v>1</v>
      </c>
      <c r="F23" s="702">
        <v>530.54000000000008</v>
      </c>
    </row>
    <row r="24" spans="1:6" ht="14.45" customHeight="1" x14ac:dyDescent="0.2">
      <c r="A24" s="731" t="s">
        <v>1563</v>
      </c>
      <c r="B24" s="701"/>
      <c r="C24" s="726">
        <v>0</v>
      </c>
      <c r="D24" s="701">
        <v>122.89000000000003</v>
      </c>
      <c r="E24" s="726">
        <v>1</v>
      </c>
      <c r="F24" s="702">
        <v>122.89000000000003</v>
      </c>
    </row>
    <row r="25" spans="1:6" ht="14.45" customHeight="1" x14ac:dyDescent="0.2">
      <c r="A25" s="731" t="s">
        <v>1564</v>
      </c>
      <c r="B25" s="701"/>
      <c r="C25" s="726">
        <v>0</v>
      </c>
      <c r="D25" s="701">
        <v>158.97999999999999</v>
      </c>
      <c r="E25" s="726">
        <v>1</v>
      </c>
      <c r="F25" s="702">
        <v>158.97999999999999</v>
      </c>
    </row>
    <row r="26" spans="1:6" ht="14.45" customHeight="1" x14ac:dyDescent="0.2">
      <c r="A26" s="731" t="s">
        <v>1565</v>
      </c>
      <c r="B26" s="701"/>
      <c r="C26" s="726">
        <v>0</v>
      </c>
      <c r="D26" s="701">
        <v>77.13</v>
      </c>
      <c r="E26" s="726">
        <v>1</v>
      </c>
      <c r="F26" s="702">
        <v>77.13</v>
      </c>
    </row>
    <row r="27" spans="1:6" ht="14.45" customHeight="1" x14ac:dyDescent="0.2">
      <c r="A27" s="731" t="s">
        <v>1566</v>
      </c>
      <c r="B27" s="701"/>
      <c r="C27" s="726">
        <v>0</v>
      </c>
      <c r="D27" s="701">
        <v>121.95</v>
      </c>
      <c r="E27" s="726">
        <v>1</v>
      </c>
      <c r="F27" s="702">
        <v>121.95</v>
      </c>
    </row>
    <row r="28" spans="1:6" ht="14.45" customHeight="1" x14ac:dyDescent="0.2">
      <c r="A28" s="731" t="s">
        <v>1567</v>
      </c>
      <c r="B28" s="701"/>
      <c r="C28" s="726">
        <v>0</v>
      </c>
      <c r="D28" s="701">
        <v>99.23</v>
      </c>
      <c r="E28" s="726">
        <v>1</v>
      </c>
      <c r="F28" s="702">
        <v>99.23</v>
      </c>
    </row>
    <row r="29" spans="1:6" ht="14.45" customHeight="1" x14ac:dyDescent="0.2">
      <c r="A29" s="731" t="s">
        <v>1568</v>
      </c>
      <c r="B29" s="701"/>
      <c r="C29" s="726">
        <v>0</v>
      </c>
      <c r="D29" s="701">
        <v>368500</v>
      </c>
      <c r="E29" s="726">
        <v>1</v>
      </c>
      <c r="F29" s="702">
        <v>368500</v>
      </c>
    </row>
    <row r="30" spans="1:6" ht="14.45" customHeight="1" x14ac:dyDescent="0.2">
      <c r="A30" s="731" t="s">
        <v>1569</v>
      </c>
      <c r="B30" s="701"/>
      <c r="C30" s="726">
        <v>0</v>
      </c>
      <c r="D30" s="701">
        <v>9246.6</v>
      </c>
      <c r="E30" s="726">
        <v>1</v>
      </c>
      <c r="F30" s="702">
        <v>9246.6</v>
      </c>
    </row>
    <row r="31" spans="1:6" ht="14.45" customHeight="1" x14ac:dyDescent="0.2">
      <c r="A31" s="731" t="s">
        <v>1570</v>
      </c>
      <c r="B31" s="701"/>
      <c r="C31" s="726">
        <v>0</v>
      </c>
      <c r="D31" s="701">
        <v>280387.56900000002</v>
      </c>
      <c r="E31" s="726">
        <v>1</v>
      </c>
      <c r="F31" s="702">
        <v>280387.56900000002</v>
      </c>
    </row>
    <row r="32" spans="1:6" ht="14.45" customHeight="1" x14ac:dyDescent="0.2">
      <c r="A32" s="731" t="s">
        <v>1571</v>
      </c>
      <c r="B32" s="701"/>
      <c r="C32" s="726">
        <v>0</v>
      </c>
      <c r="D32" s="701">
        <v>2528.6578800001225</v>
      </c>
      <c r="E32" s="726">
        <v>1</v>
      </c>
      <c r="F32" s="702">
        <v>2528.6578800001225</v>
      </c>
    </row>
    <row r="33" spans="1:6" ht="14.45" customHeight="1" x14ac:dyDescent="0.2">
      <c r="A33" s="731" t="s">
        <v>1572</v>
      </c>
      <c r="B33" s="701">
        <v>482.77</v>
      </c>
      <c r="C33" s="726">
        <v>0.11612948231609484</v>
      </c>
      <c r="D33" s="701">
        <v>3674.3999999999996</v>
      </c>
      <c r="E33" s="726">
        <v>0.88387051768390501</v>
      </c>
      <c r="F33" s="702">
        <v>4157.17</v>
      </c>
    </row>
    <row r="34" spans="1:6" ht="14.45" customHeight="1" x14ac:dyDescent="0.2">
      <c r="A34" s="731" t="s">
        <v>1573</v>
      </c>
      <c r="B34" s="701"/>
      <c r="C34" s="726">
        <v>0</v>
      </c>
      <c r="D34" s="701">
        <v>148460.32658696664</v>
      </c>
      <c r="E34" s="726">
        <v>1</v>
      </c>
      <c r="F34" s="702">
        <v>148460.32658696664</v>
      </c>
    </row>
    <row r="35" spans="1:6" ht="14.45" customHeight="1" x14ac:dyDescent="0.2">
      <c r="A35" s="731" t="s">
        <v>1574</v>
      </c>
      <c r="B35" s="701"/>
      <c r="C35" s="726">
        <v>0</v>
      </c>
      <c r="D35" s="701">
        <v>7269.57</v>
      </c>
      <c r="E35" s="726">
        <v>1</v>
      </c>
      <c r="F35" s="702">
        <v>7269.57</v>
      </c>
    </row>
    <row r="36" spans="1:6" ht="14.45" customHeight="1" x14ac:dyDescent="0.2">
      <c r="A36" s="731" t="s">
        <v>1575</v>
      </c>
      <c r="B36" s="701">
        <v>11867.702000000001</v>
      </c>
      <c r="C36" s="726">
        <v>1</v>
      </c>
      <c r="D36" s="701"/>
      <c r="E36" s="726">
        <v>0</v>
      </c>
      <c r="F36" s="702">
        <v>11867.702000000001</v>
      </c>
    </row>
    <row r="37" spans="1:6" ht="14.45" customHeight="1" x14ac:dyDescent="0.2">
      <c r="A37" s="731" t="s">
        <v>1576</v>
      </c>
      <c r="B37" s="701">
        <v>4213.6859999999997</v>
      </c>
      <c r="C37" s="726">
        <v>1</v>
      </c>
      <c r="D37" s="701"/>
      <c r="E37" s="726">
        <v>0</v>
      </c>
      <c r="F37" s="702">
        <v>4213.6859999999997</v>
      </c>
    </row>
    <row r="38" spans="1:6" ht="14.45" customHeight="1" x14ac:dyDescent="0.2">
      <c r="A38" s="731" t="s">
        <v>1577</v>
      </c>
      <c r="B38" s="701"/>
      <c r="C38" s="726">
        <v>0</v>
      </c>
      <c r="D38" s="701">
        <v>21732.83</v>
      </c>
      <c r="E38" s="726">
        <v>1</v>
      </c>
      <c r="F38" s="702">
        <v>21732.83</v>
      </c>
    </row>
    <row r="39" spans="1:6" ht="14.45" customHeight="1" x14ac:dyDescent="0.2">
      <c r="A39" s="731" t="s">
        <v>1578</v>
      </c>
      <c r="B39" s="701"/>
      <c r="C39" s="726">
        <v>0</v>
      </c>
      <c r="D39" s="701">
        <v>12209.043360007625</v>
      </c>
      <c r="E39" s="726">
        <v>1</v>
      </c>
      <c r="F39" s="702">
        <v>12209.043360007625</v>
      </c>
    </row>
    <row r="40" spans="1:6" ht="14.45" customHeight="1" x14ac:dyDescent="0.2">
      <c r="A40" s="731" t="s">
        <v>1579</v>
      </c>
      <c r="B40" s="701"/>
      <c r="C40" s="726">
        <v>0</v>
      </c>
      <c r="D40" s="701">
        <v>32934.858000000007</v>
      </c>
      <c r="E40" s="726">
        <v>1</v>
      </c>
      <c r="F40" s="702">
        <v>32934.858000000007</v>
      </c>
    </row>
    <row r="41" spans="1:6" ht="14.45" customHeight="1" x14ac:dyDescent="0.2">
      <c r="A41" s="731" t="s">
        <v>1580</v>
      </c>
      <c r="B41" s="701">
        <v>48191.898778033617</v>
      </c>
      <c r="C41" s="726">
        <v>0.9284713723736735</v>
      </c>
      <c r="D41" s="701">
        <v>3712.6619999999975</v>
      </c>
      <c r="E41" s="726">
        <v>7.1528627626326488E-2</v>
      </c>
      <c r="F41" s="702">
        <v>51904.560778033614</v>
      </c>
    </row>
    <row r="42" spans="1:6" ht="14.45" customHeight="1" x14ac:dyDescent="0.2">
      <c r="A42" s="731" t="s">
        <v>1581</v>
      </c>
      <c r="B42" s="701">
        <v>7438.2840000000006</v>
      </c>
      <c r="C42" s="726">
        <v>0.32784113878090065</v>
      </c>
      <c r="D42" s="701">
        <v>15250.400000000001</v>
      </c>
      <c r="E42" s="726">
        <v>0.6721588612190994</v>
      </c>
      <c r="F42" s="702">
        <v>22688.684000000001</v>
      </c>
    </row>
    <row r="43" spans="1:6" ht="14.45" customHeight="1" x14ac:dyDescent="0.2">
      <c r="A43" s="731" t="s">
        <v>1582</v>
      </c>
      <c r="B43" s="701"/>
      <c r="C43" s="726">
        <v>0</v>
      </c>
      <c r="D43" s="701">
        <v>47084.399936915615</v>
      </c>
      <c r="E43" s="726">
        <v>1</v>
      </c>
      <c r="F43" s="702">
        <v>47084.399936915615</v>
      </c>
    </row>
    <row r="44" spans="1:6" ht="14.45" customHeight="1" x14ac:dyDescent="0.2">
      <c r="A44" s="731" t="s">
        <v>1583</v>
      </c>
      <c r="B44" s="701">
        <v>102860.8</v>
      </c>
      <c r="C44" s="726">
        <v>0.88460949687903667</v>
      </c>
      <c r="D44" s="701">
        <v>13417.4</v>
      </c>
      <c r="E44" s="726">
        <v>0.11539050312096334</v>
      </c>
      <c r="F44" s="702">
        <v>116278.2</v>
      </c>
    </row>
    <row r="45" spans="1:6" ht="14.45" customHeight="1" x14ac:dyDescent="0.2">
      <c r="A45" s="731" t="s">
        <v>1584</v>
      </c>
      <c r="B45" s="701">
        <v>145200</v>
      </c>
      <c r="C45" s="726">
        <v>0.74509912589404204</v>
      </c>
      <c r="D45" s="701">
        <v>49673.4</v>
      </c>
      <c r="E45" s="726">
        <v>0.25490087410595802</v>
      </c>
      <c r="F45" s="702">
        <v>194873.4</v>
      </c>
    </row>
    <row r="46" spans="1:6" ht="14.45" customHeight="1" x14ac:dyDescent="0.2">
      <c r="A46" s="731" t="s">
        <v>1585</v>
      </c>
      <c r="B46" s="701"/>
      <c r="C46" s="726">
        <v>0</v>
      </c>
      <c r="D46" s="701">
        <v>11152.52</v>
      </c>
      <c r="E46" s="726">
        <v>1</v>
      </c>
      <c r="F46" s="702">
        <v>11152.52</v>
      </c>
    </row>
    <row r="47" spans="1:6" ht="14.45" customHeight="1" x14ac:dyDescent="0.2">
      <c r="A47" s="731" t="s">
        <v>1586</v>
      </c>
      <c r="B47" s="701">
        <v>1614.09</v>
      </c>
      <c r="C47" s="726">
        <v>1</v>
      </c>
      <c r="D47" s="701"/>
      <c r="E47" s="726">
        <v>0</v>
      </c>
      <c r="F47" s="702">
        <v>1614.09</v>
      </c>
    </row>
    <row r="48" spans="1:6" ht="14.45" customHeight="1" x14ac:dyDescent="0.2">
      <c r="A48" s="731" t="s">
        <v>1587</v>
      </c>
      <c r="B48" s="701"/>
      <c r="C48" s="726">
        <v>0</v>
      </c>
      <c r="D48" s="701">
        <v>38272.120000000003</v>
      </c>
      <c r="E48" s="726">
        <v>1</v>
      </c>
      <c r="F48" s="702">
        <v>38272.120000000003</v>
      </c>
    </row>
    <row r="49" spans="1:6" ht="14.45" customHeight="1" x14ac:dyDescent="0.2">
      <c r="A49" s="731" t="s">
        <v>1588</v>
      </c>
      <c r="B49" s="701"/>
      <c r="C49" s="726">
        <v>0</v>
      </c>
      <c r="D49" s="701">
        <v>224.18</v>
      </c>
      <c r="E49" s="726">
        <v>1</v>
      </c>
      <c r="F49" s="702">
        <v>224.18</v>
      </c>
    </row>
    <row r="50" spans="1:6" ht="14.45" customHeight="1" x14ac:dyDescent="0.2">
      <c r="A50" s="731" t="s">
        <v>1589</v>
      </c>
      <c r="B50" s="701">
        <v>163.07999999999998</v>
      </c>
      <c r="C50" s="726">
        <v>1</v>
      </c>
      <c r="D50" s="701"/>
      <c r="E50" s="726">
        <v>0</v>
      </c>
      <c r="F50" s="702">
        <v>163.07999999999998</v>
      </c>
    </row>
    <row r="51" spans="1:6" ht="14.45" customHeight="1" x14ac:dyDescent="0.2">
      <c r="A51" s="731" t="s">
        <v>1590</v>
      </c>
      <c r="B51" s="701"/>
      <c r="C51" s="726">
        <v>0</v>
      </c>
      <c r="D51" s="701">
        <v>1600.730875</v>
      </c>
      <c r="E51" s="726">
        <v>1</v>
      </c>
      <c r="F51" s="702">
        <v>1600.730875</v>
      </c>
    </row>
    <row r="52" spans="1:6" ht="14.45" customHeight="1" x14ac:dyDescent="0.2">
      <c r="A52" s="731" t="s">
        <v>1591</v>
      </c>
      <c r="B52" s="701">
        <v>625.31000000000006</v>
      </c>
      <c r="C52" s="726">
        <v>1</v>
      </c>
      <c r="D52" s="701"/>
      <c r="E52" s="726">
        <v>0</v>
      </c>
      <c r="F52" s="702">
        <v>625.31000000000006</v>
      </c>
    </row>
    <row r="53" spans="1:6" ht="14.45" customHeight="1" x14ac:dyDescent="0.2">
      <c r="A53" s="731" t="s">
        <v>1592</v>
      </c>
      <c r="B53" s="701"/>
      <c r="C53" s="726">
        <v>0</v>
      </c>
      <c r="D53" s="701">
        <v>770.43</v>
      </c>
      <c r="E53" s="726">
        <v>1</v>
      </c>
      <c r="F53" s="702">
        <v>770.43</v>
      </c>
    </row>
    <row r="54" spans="1:6" ht="14.45" customHeight="1" x14ac:dyDescent="0.2">
      <c r="A54" s="731" t="s">
        <v>1593</v>
      </c>
      <c r="B54" s="701"/>
      <c r="C54" s="726">
        <v>0</v>
      </c>
      <c r="D54" s="701">
        <v>5935.82</v>
      </c>
      <c r="E54" s="726">
        <v>1</v>
      </c>
      <c r="F54" s="702">
        <v>5935.82</v>
      </c>
    </row>
    <row r="55" spans="1:6" ht="14.45" customHeight="1" x14ac:dyDescent="0.2">
      <c r="A55" s="731" t="s">
        <v>1594</v>
      </c>
      <c r="B55" s="701">
        <v>942.4</v>
      </c>
      <c r="C55" s="726">
        <v>0.48768370937694056</v>
      </c>
      <c r="D55" s="701">
        <v>990</v>
      </c>
      <c r="E55" s="726">
        <v>0.51231629062305939</v>
      </c>
      <c r="F55" s="702">
        <v>1932.4</v>
      </c>
    </row>
    <row r="56" spans="1:6" ht="14.45" customHeight="1" x14ac:dyDescent="0.2">
      <c r="A56" s="731" t="s">
        <v>1595</v>
      </c>
      <c r="B56" s="701"/>
      <c r="C56" s="726">
        <v>0</v>
      </c>
      <c r="D56" s="701">
        <v>124152.6</v>
      </c>
      <c r="E56" s="726">
        <v>1</v>
      </c>
      <c r="F56" s="702">
        <v>124152.6</v>
      </c>
    </row>
    <row r="57" spans="1:6" ht="14.45" customHeight="1" x14ac:dyDescent="0.2">
      <c r="A57" s="731" t="s">
        <v>1596</v>
      </c>
      <c r="B57" s="701"/>
      <c r="C57" s="726">
        <v>0</v>
      </c>
      <c r="D57" s="701">
        <v>22173.13</v>
      </c>
      <c r="E57" s="726">
        <v>1</v>
      </c>
      <c r="F57" s="702">
        <v>22173.13</v>
      </c>
    </row>
    <row r="58" spans="1:6" ht="14.45" customHeight="1" x14ac:dyDescent="0.2">
      <c r="A58" s="731" t="s">
        <v>1597</v>
      </c>
      <c r="B58" s="701"/>
      <c r="C58" s="726">
        <v>0</v>
      </c>
      <c r="D58" s="701">
        <v>14981.05</v>
      </c>
      <c r="E58" s="726">
        <v>1</v>
      </c>
      <c r="F58" s="702">
        <v>14981.05</v>
      </c>
    </row>
    <row r="59" spans="1:6" ht="14.45" customHeight="1" x14ac:dyDescent="0.2">
      <c r="A59" s="731" t="s">
        <v>1598</v>
      </c>
      <c r="B59" s="701"/>
      <c r="C59" s="726">
        <v>0</v>
      </c>
      <c r="D59" s="701">
        <v>507.42999999999989</v>
      </c>
      <c r="E59" s="726">
        <v>1</v>
      </c>
      <c r="F59" s="702">
        <v>507.42999999999989</v>
      </c>
    </row>
    <row r="60" spans="1:6" ht="14.45" customHeight="1" x14ac:dyDescent="0.2">
      <c r="A60" s="731" t="s">
        <v>1599</v>
      </c>
      <c r="B60" s="701"/>
      <c r="C60" s="726">
        <v>0</v>
      </c>
      <c r="D60" s="701">
        <v>251.53000000000006</v>
      </c>
      <c r="E60" s="726">
        <v>1</v>
      </c>
      <c r="F60" s="702">
        <v>251.53000000000006</v>
      </c>
    </row>
    <row r="61" spans="1:6" ht="14.45" customHeight="1" x14ac:dyDescent="0.2">
      <c r="A61" s="731" t="s">
        <v>1600</v>
      </c>
      <c r="B61" s="701"/>
      <c r="C61" s="726">
        <v>0</v>
      </c>
      <c r="D61" s="701">
        <v>86.289999999999992</v>
      </c>
      <c r="E61" s="726">
        <v>1</v>
      </c>
      <c r="F61" s="702">
        <v>86.289999999999992</v>
      </c>
    </row>
    <row r="62" spans="1:6" ht="14.45" customHeight="1" x14ac:dyDescent="0.2">
      <c r="A62" s="731" t="s">
        <v>1601</v>
      </c>
      <c r="B62" s="701"/>
      <c r="C62" s="726">
        <v>0</v>
      </c>
      <c r="D62" s="701">
        <v>36747.360000000001</v>
      </c>
      <c r="E62" s="726">
        <v>1</v>
      </c>
      <c r="F62" s="702">
        <v>36747.360000000001</v>
      </c>
    </row>
    <row r="63" spans="1:6" ht="14.45" customHeight="1" x14ac:dyDescent="0.2">
      <c r="A63" s="731" t="s">
        <v>1602</v>
      </c>
      <c r="B63" s="701"/>
      <c r="C63" s="726">
        <v>0</v>
      </c>
      <c r="D63" s="701">
        <v>255.47000000000006</v>
      </c>
      <c r="E63" s="726">
        <v>1</v>
      </c>
      <c r="F63" s="702">
        <v>255.47000000000006</v>
      </c>
    </row>
    <row r="64" spans="1:6" ht="14.45" customHeight="1" x14ac:dyDescent="0.2">
      <c r="A64" s="731" t="s">
        <v>1603</v>
      </c>
      <c r="B64" s="701"/>
      <c r="C64" s="726">
        <v>0</v>
      </c>
      <c r="D64" s="701">
        <v>100578.03</v>
      </c>
      <c r="E64" s="726">
        <v>1</v>
      </c>
      <c r="F64" s="702">
        <v>100578.03</v>
      </c>
    </row>
    <row r="65" spans="1:6" ht="14.45" customHeight="1" x14ac:dyDescent="0.2">
      <c r="A65" s="731" t="s">
        <v>1604</v>
      </c>
      <c r="B65" s="701">
        <v>40283.61</v>
      </c>
      <c r="C65" s="726">
        <v>0.99616604411868348</v>
      </c>
      <c r="D65" s="701">
        <v>155.04</v>
      </c>
      <c r="E65" s="726">
        <v>3.8339558813165124E-3</v>
      </c>
      <c r="F65" s="702">
        <v>40438.65</v>
      </c>
    </row>
    <row r="66" spans="1:6" ht="14.45" customHeight="1" x14ac:dyDescent="0.2">
      <c r="A66" s="731" t="s">
        <v>1605</v>
      </c>
      <c r="B66" s="701">
        <v>99.14</v>
      </c>
      <c r="C66" s="726">
        <v>0.10747349478568177</v>
      </c>
      <c r="D66" s="701">
        <v>823.31999999999994</v>
      </c>
      <c r="E66" s="726">
        <v>0.8925265052143182</v>
      </c>
      <c r="F66" s="702">
        <v>922.45999999999992</v>
      </c>
    </row>
    <row r="67" spans="1:6" ht="14.45" customHeight="1" x14ac:dyDescent="0.2">
      <c r="A67" s="731" t="s">
        <v>1606</v>
      </c>
      <c r="B67" s="701">
        <v>163.10000000000002</v>
      </c>
      <c r="C67" s="726">
        <v>1</v>
      </c>
      <c r="D67" s="701"/>
      <c r="E67" s="726">
        <v>0</v>
      </c>
      <c r="F67" s="702">
        <v>163.10000000000002</v>
      </c>
    </row>
    <row r="68" spans="1:6" ht="14.45" customHeight="1" x14ac:dyDescent="0.2">
      <c r="A68" s="731" t="s">
        <v>1607</v>
      </c>
      <c r="B68" s="701">
        <v>119.78999999999999</v>
      </c>
      <c r="C68" s="726">
        <v>1</v>
      </c>
      <c r="D68" s="701"/>
      <c r="E68" s="726">
        <v>0</v>
      </c>
      <c r="F68" s="702">
        <v>119.78999999999999</v>
      </c>
    </row>
    <row r="69" spans="1:6" ht="14.45" customHeight="1" x14ac:dyDescent="0.2">
      <c r="A69" s="731" t="s">
        <v>1608</v>
      </c>
      <c r="B69" s="701">
        <v>174.35</v>
      </c>
      <c r="C69" s="726">
        <v>1</v>
      </c>
      <c r="D69" s="701"/>
      <c r="E69" s="726">
        <v>0</v>
      </c>
      <c r="F69" s="702">
        <v>174.35</v>
      </c>
    </row>
    <row r="70" spans="1:6" ht="14.45" customHeight="1" x14ac:dyDescent="0.2">
      <c r="A70" s="731" t="s">
        <v>1609</v>
      </c>
      <c r="B70" s="701">
        <v>534.17999999999995</v>
      </c>
      <c r="C70" s="726">
        <v>1</v>
      </c>
      <c r="D70" s="701"/>
      <c r="E70" s="726">
        <v>0</v>
      </c>
      <c r="F70" s="702">
        <v>534.17999999999995</v>
      </c>
    </row>
    <row r="71" spans="1:6" ht="14.45" customHeight="1" x14ac:dyDescent="0.2">
      <c r="A71" s="731" t="s">
        <v>1610</v>
      </c>
      <c r="B71" s="701"/>
      <c r="C71" s="726">
        <v>0</v>
      </c>
      <c r="D71" s="701">
        <v>9194.909999999998</v>
      </c>
      <c r="E71" s="726">
        <v>1</v>
      </c>
      <c r="F71" s="702">
        <v>9194.909999999998</v>
      </c>
    </row>
    <row r="72" spans="1:6" ht="14.45" customHeight="1" x14ac:dyDescent="0.2">
      <c r="A72" s="731" t="s">
        <v>1611</v>
      </c>
      <c r="B72" s="701">
        <v>64.72</v>
      </c>
      <c r="C72" s="726">
        <v>1</v>
      </c>
      <c r="D72" s="701"/>
      <c r="E72" s="726">
        <v>0</v>
      </c>
      <c r="F72" s="702">
        <v>64.72</v>
      </c>
    </row>
    <row r="73" spans="1:6" ht="14.45" customHeight="1" x14ac:dyDescent="0.2">
      <c r="A73" s="731" t="s">
        <v>1612</v>
      </c>
      <c r="B73" s="701">
        <v>286.32999999999993</v>
      </c>
      <c r="C73" s="726">
        <v>1</v>
      </c>
      <c r="D73" s="701"/>
      <c r="E73" s="726">
        <v>0</v>
      </c>
      <c r="F73" s="702">
        <v>286.32999999999993</v>
      </c>
    </row>
    <row r="74" spans="1:6" ht="14.45" customHeight="1" x14ac:dyDescent="0.2">
      <c r="A74" s="731" t="s">
        <v>1613</v>
      </c>
      <c r="B74" s="701"/>
      <c r="C74" s="726">
        <v>0</v>
      </c>
      <c r="D74" s="701">
        <v>128.29000000000002</v>
      </c>
      <c r="E74" s="726">
        <v>1</v>
      </c>
      <c r="F74" s="702">
        <v>128.29000000000002</v>
      </c>
    </row>
    <row r="75" spans="1:6" ht="14.45" customHeight="1" x14ac:dyDescent="0.2">
      <c r="A75" s="731" t="s">
        <v>1614</v>
      </c>
      <c r="B75" s="701"/>
      <c r="C75" s="726">
        <v>0</v>
      </c>
      <c r="D75" s="701">
        <v>3716.6499999999996</v>
      </c>
      <c r="E75" s="726">
        <v>1</v>
      </c>
      <c r="F75" s="702">
        <v>3716.6499999999996</v>
      </c>
    </row>
    <row r="76" spans="1:6" ht="14.45" customHeight="1" x14ac:dyDescent="0.2">
      <c r="A76" s="731" t="s">
        <v>1615</v>
      </c>
      <c r="B76" s="701">
        <v>157.22</v>
      </c>
      <c r="C76" s="726">
        <v>1</v>
      </c>
      <c r="D76" s="701"/>
      <c r="E76" s="726">
        <v>0</v>
      </c>
      <c r="F76" s="702">
        <v>157.22</v>
      </c>
    </row>
    <row r="77" spans="1:6" ht="14.45" customHeight="1" x14ac:dyDescent="0.2">
      <c r="A77" s="731" t="s">
        <v>1616</v>
      </c>
      <c r="B77" s="701"/>
      <c r="C77" s="726">
        <v>0</v>
      </c>
      <c r="D77" s="701">
        <v>244.22000000000003</v>
      </c>
      <c r="E77" s="726">
        <v>1</v>
      </c>
      <c r="F77" s="702">
        <v>244.22000000000003</v>
      </c>
    </row>
    <row r="78" spans="1:6" ht="14.45" customHeight="1" x14ac:dyDescent="0.2">
      <c r="A78" s="731" t="s">
        <v>1617</v>
      </c>
      <c r="B78" s="701"/>
      <c r="C78" s="726">
        <v>0</v>
      </c>
      <c r="D78" s="701">
        <v>1058.78</v>
      </c>
      <c r="E78" s="726">
        <v>1</v>
      </c>
      <c r="F78" s="702">
        <v>1058.78</v>
      </c>
    </row>
    <row r="79" spans="1:6" ht="14.45" customHeight="1" x14ac:dyDescent="0.2">
      <c r="A79" s="731" t="s">
        <v>1618</v>
      </c>
      <c r="B79" s="701">
        <v>22223.800000000003</v>
      </c>
      <c r="C79" s="726">
        <v>1</v>
      </c>
      <c r="D79" s="701"/>
      <c r="E79" s="726">
        <v>0</v>
      </c>
      <c r="F79" s="702">
        <v>22223.800000000003</v>
      </c>
    </row>
    <row r="80" spans="1:6" ht="14.45" customHeight="1" x14ac:dyDescent="0.2">
      <c r="A80" s="731" t="s">
        <v>1619</v>
      </c>
      <c r="B80" s="701">
        <v>39605.945787644298</v>
      </c>
      <c r="C80" s="726">
        <v>1</v>
      </c>
      <c r="D80" s="701"/>
      <c r="E80" s="726">
        <v>0</v>
      </c>
      <c r="F80" s="702">
        <v>39605.945787644298</v>
      </c>
    </row>
    <row r="81" spans="1:6" ht="14.45" customHeight="1" x14ac:dyDescent="0.2">
      <c r="A81" s="731" t="s">
        <v>1620</v>
      </c>
      <c r="B81" s="701"/>
      <c r="C81" s="726">
        <v>0</v>
      </c>
      <c r="D81" s="701">
        <v>431.64000000000004</v>
      </c>
      <c r="E81" s="726">
        <v>1</v>
      </c>
      <c r="F81" s="702">
        <v>431.64000000000004</v>
      </c>
    </row>
    <row r="82" spans="1:6" ht="14.45" customHeight="1" x14ac:dyDescent="0.2">
      <c r="A82" s="731" t="s">
        <v>1621</v>
      </c>
      <c r="B82" s="701">
        <v>1061.7199999999998</v>
      </c>
      <c r="C82" s="726">
        <v>0.85762290182393897</v>
      </c>
      <c r="D82" s="701">
        <v>176.26</v>
      </c>
      <c r="E82" s="726">
        <v>0.14237709817606101</v>
      </c>
      <c r="F82" s="702">
        <v>1237.9799999999998</v>
      </c>
    </row>
    <row r="83" spans="1:6" ht="14.45" customHeight="1" x14ac:dyDescent="0.2">
      <c r="A83" s="731" t="s">
        <v>1622</v>
      </c>
      <c r="B83" s="701"/>
      <c r="C83" s="726">
        <v>0</v>
      </c>
      <c r="D83" s="701">
        <v>27361.865046709001</v>
      </c>
      <c r="E83" s="726">
        <v>1</v>
      </c>
      <c r="F83" s="702">
        <v>27361.865046709001</v>
      </c>
    </row>
    <row r="84" spans="1:6" ht="14.45" customHeight="1" x14ac:dyDescent="0.2">
      <c r="A84" s="731" t="s">
        <v>1623</v>
      </c>
      <c r="B84" s="701">
        <v>24366.348000000002</v>
      </c>
      <c r="C84" s="726">
        <v>1</v>
      </c>
      <c r="D84" s="701"/>
      <c r="E84" s="726">
        <v>0</v>
      </c>
      <c r="F84" s="702">
        <v>24366.348000000002</v>
      </c>
    </row>
    <row r="85" spans="1:6" ht="14.45" customHeight="1" x14ac:dyDescent="0.2">
      <c r="A85" s="731" t="s">
        <v>1624</v>
      </c>
      <c r="B85" s="701"/>
      <c r="C85" s="726">
        <v>0</v>
      </c>
      <c r="D85" s="701">
        <v>43513.04</v>
      </c>
      <c r="E85" s="726">
        <v>1</v>
      </c>
      <c r="F85" s="702">
        <v>43513.04</v>
      </c>
    </row>
    <row r="86" spans="1:6" ht="14.45" customHeight="1" x14ac:dyDescent="0.2">
      <c r="A86" s="731" t="s">
        <v>1625</v>
      </c>
      <c r="B86" s="701">
        <v>116538.4</v>
      </c>
      <c r="C86" s="726">
        <v>0.70448813585551695</v>
      </c>
      <c r="D86" s="701">
        <v>48884.4</v>
      </c>
      <c r="E86" s="726">
        <v>0.29551186414448316</v>
      </c>
      <c r="F86" s="702">
        <v>165422.79999999999</v>
      </c>
    </row>
    <row r="87" spans="1:6" ht="14.45" customHeight="1" x14ac:dyDescent="0.2">
      <c r="A87" s="731" t="s">
        <v>1626</v>
      </c>
      <c r="B87" s="701"/>
      <c r="C87" s="726">
        <v>0</v>
      </c>
      <c r="D87" s="701">
        <v>1994.7999960896475</v>
      </c>
      <c r="E87" s="726">
        <v>1</v>
      </c>
      <c r="F87" s="702">
        <v>1994.7999960896475</v>
      </c>
    </row>
    <row r="88" spans="1:6" ht="14.45" customHeight="1" x14ac:dyDescent="0.2">
      <c r="A88" s="731" t="s">
        <v>1627</v>
      </c>
      <c r="B88" s="701"/>
      <c r="C88" s="726">
        <v>0</v>
      </c>
      <c r="D88" s="701">
        <v>628376.27</v>
      </c>
      <c r="E88" s="726">
        <v>1</v>
      </c>
      <c r="F88" s="702">
        <v>628376.27</v>
      </c>
    </row>
    <row r="89" spans="1:6" ht="14.45" customHeight="1" thickBot="1" x14ac:dyDescent="0.25">
      <c r="A89" s="732" t="s">
        <v>1628</v>
      </c>
      <c r="B89" s="727">
        <v>1131.3599999999999</v>
      </c>
      <c r="C89" s="728">
        <v>5.3873156938958493E-2</v>
      </c>
      <c r="D89" s="727">
        <v>19869.080001722905</v>
      </c>
      <c r="E89" s="728">
        <v>0.94612684306104144</v>
      </c>
      <c r="F89" s="729">
        <v>21000.440001722905</v>
      </c>
    </row>
    <row r="90" spans="1:6" ht="14.45" customHeight="1" thickBot="1" x14ac:dyDescent="0.25">
      <c r="A90" s="720" t="s">
        <v>3</v>
      </c>
      <c r="B90" s="721">
        <v>578681.05456567777</v>
      </c>
      <c r="C90" s="722">
        <v>0.19406473202143443</v>
      </c>
      <c r="D90" s="721">
        <v>2403216.0090479339</v>
      </c>
      <c r="E90" s="722">
        <v>0.80593526797856552</v>
      </c>
      <c r="F90" s="723">
        <v>2981897.0636136117</v>
      </c>
    </row>
  </sheetData>
  <mergeCells count="3">
    <mergeCell ref="A1:F1"/>
    <mergeCell ref="B3:C3"/>
    <mergeCell ref="D3:E3"/>
  </mergeCells>
  <conditionalFormatting sqref="C5:C1048576">
    <cfRule type="cellIs" dxfId="44" priority="8" stopIfTrue="1" operator="greaterThan">
      <formula>0.1</formula>
    </cfRule>
  </conditionalFormatting>
  <hyperlinks>
    <hyperlink ref="A2" location="Obsah!A1" display="Zpět na Obsah  KL 01  1.-4.měsíc" xr:uid="{47F3F8A2-F042-4C63-8EBA-D950607A728F}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27</vt:i4>
      </vt:variant>
      <vt:variant>
        <vt:lpstr>Pojmenované oblasti</vt:lpstr>
      </vt:variant>
      <vt:variant>
        <vt:i4>5</vt:i4>
      </vt:variant>
    </vt:vector>
  </HeadingPairs>
  <TitlesOfParts>
    <vt:vector size="32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Vykáz.-A Det.Lék.</vt:lpstr>
      <vt:lpstr>ZV Vykáz.-H</vt:lpstr>
      <vt:lpstr>ZV Vykáz.-H Detail</vt:lpstr>
      <vt:lpstr>CaseMix</vt:lpstr>
      <vt:lpstr>ALOS</vt:lpstr>
      <vt:lpstr>Total</vt:lpstr>
      <vt:lpstr>ZV Vyžád.</vt:lpstr>
      <vt:lpstr>ZV Vyžád. Detail</vt:lpstr>
      <vt:lpstr>OD TISS</vt:lpstr>
      <vt:lpstr>doměsíce</vt:lpstr>
      <vt:lpstr>'ON Data'!Obdobi</vt:lpstr>
      <vt:lpstr>'Osobní náklady'!Obdobi</vt:lpstr>
      <vt:lpstr>ALOS!Oblast_tisku</vt:lpstr>
      <vt:lpstr>CaseMix!Oblast_tisku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Uživatel systému Windows</cp:lastModifiedBy>
  <cp:lastPrinted>2017-05-31T07:11:02Z</cp:lastPrinted>
  <dcterms:created xsi:type="dcterms:W3CDTF">2013-04-17T20:15:29Z</dcterms:created>
  <dcterms:modified xsi:type="dcterms:W3CDTF">2021-12-22T15:55:50Z</dcterms:modified>
</cp:coreProperties>
</file>