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Osobní náklady" sheetId="431" r:id="rId7"/>
    <sheet name="ON Data" sheetId="432" state="hidden" r:id="rId8"/>
    <sheet name="ZV Vykáz.-A" sheetId="344" r:id="rId9"/>
    <sheet name="ZV Vykáz.-A Lékaři" sheetId="429" r:id="rId10"/>
    <sheet name="ZV Vykáz.-A Detail" sheetId="345" r:id="rId11"/>
    <sheet name="ZV Vykáz.-A Det.Lék." sheetId="430" r:id="rId12"/>
    <sheet name="ZV Vykáz.-H" sheetId="410" r:id="rId13"/>
    <sheet name="ZV Vykáz.-H Detail" sheetId="377" r:id="rId14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11" hidden="1">'ZV Vykáz.-A Det.Lék.'!$A$5:$S$5</definedName>
    <definedName name="_xlnm._FilterDatabase" localSheetId="10" hidden="1">'ZV Vykáz.-A Detail'!$A$5:$R$5</definedName>
    <definedName name="_xlnm._FilterDatabase" localSheetId="9" hidden="1">'ZV Vykáz.-A Lékaři'!$A$4:$A$5</definedName>
    <definedName name="_xlnm._FilterDatabase" localSheetId="13" hidden="1">'ZV Vykáz.-H Detail'!$A$5:$Q$5</definedName>
    <definedName name="doměsíce">'HI Graf'!$C$11</definedName>
    <definedName name="Obdobi" localSheetId="7">'ON Data'!$B$3:$B$16</definedName>
    <definedName name="Obdobi" localSheetId="6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10" i="431"/>
  <c r="D14" i="431"/>
  <c r="E11" i="431"/>
  <c r="E15" i="431"/>
  <c r="F12" i="431"/>
  <c r="G9" i="431"/>
  <c r="G13" i="431"/>
  <c r="H10" i="431"/>
  <c r="H14" i="431"/>
  <c r="I11" i="431"/>
  <c r="I15" i="431"/>
  <c r="J12" i="431"/>
  <c r="K9" i="431"/>
  <c r="K13" i="431"/>
  <c r="L10" i="431"/>
  <c r="L14" i="431"/>
  <c r="M11" i="431"/>
  <c r="M15" i="431"/>
  <c r="N12" i="431"/>
  <c r="O9" i="431"/>
  <c r="O13" i="431"/>
  <c r="P10" i="431"/>
  <c r="P14" i="431"/>
  <c r="Q11" i="431"/>
  <c r="Q15" i="431"/>
  <c r="C10" i="431"/>
  <c r="C14" i="431"/>
  <c r="D11" i="431"/>
  <c r="D15" i="431"/>
  <c r="E12" i="431"/>
  <c r="F9" i="431"/>
  <c r="F13" i="431"/>
  <c r="G10" i="431"/>
  <c r="G14" i="431"/>
  <c r="H11" i="431"/>
  <c r="H15" i="431"/>
  <c r="J9" i="431"/>
  <c r="J13" i="431"/>
  <c r="K10" i="431"/>
  <c r="K14" i="431"/>
  <c r="L11" i="431"/>
  <c r="L15" i="431"/>
  <c r="N9" i="431"/>
  <c r="N13" i="431"/>
  <c r="O14" i="431"/>
  <c r="P15" i="431"/>
  <c r="Q12" i="431"/>
  <c r="I12" i="431"/>
  <c r="M12" i="431"/>
  <c r="O10" i="431"/>
  <c r="P11" i="431"/>
  <c r="C11" i="431"/>
  <c r="C15" i="431"/>
  <c r="D12" i="431"/>
  <c r="E9" i="431"/>
  <c r="E13" i="431"/>
  <c r="F10" i="431"/>
  <c r="F14" i="431"/>
  <c r="G11" i="431"/>
  <c r="G15" i="431"/>
  <c r="H12" i="431"/>
  <c r="I9" i="431"/>
  <c r="I13" i="431"/>
  <c r="J10" i="431"/>
  <c r="J14" i="431"/>
  <c r="K11" i="431"/>
  <c r="K15" i="431"/>
  <c r="L12" i="431"/>
  <c r="M9" i="431"/>
  <c r="M13" i="431"/>
  <c r="N10" i="431"/>
  <c r="N14" i="431"/>
  <c r="O11" i="431"/>
  <c r="O15" i="431"/>
  <c r="P12" i="431"/>
  <c r="Q9" i="431"/>
  <c r="Q13" i="431"/>
  <c r="C12" i="431"/>
  <c r="D9" i="431"/>
  <c r="D13" i="431"/>
  <c r="E10" i="431"/>
  <c r="E14" i="431"/>
  <c r="F11" i="431"/>
  <c r="F15" i="431"/>
  <c r="G12" i="431"/>
  <c r="H9" i="431"/>
  <c r="H13" i="431"/>
  <c r="I10" i="431"/>
  <c r="I14" i="431"/>
  <c r="J11" i="431"/>
  <c r="J15" i="431"/>
  <c r="K12" i="431"/>
  <c r="L9" i="431"/>
  <c r="L13" i="431"/>
  <c r="M10" i="431"/>
  <c r="M14" i="431"/>
  <c r="N11" i="431"/>
  <c r="N15" i="431"/>
  <c r="O12" i="431"/>
  <c r="P9" i="431"/>
  <c r="P13" i="431"/>
  <c r="Q10" i="431"/>
  <c r="Q14" i="431"/>
  <c r="F8" i="431"/>
  <c r="M8" i="431"/>
  <c r="D8" i="431"/>
  <c r="N8" i="431"/>
  <c r="Q8" i="431"/>
  <c r="C8" i="431"/>
  <c r="J8" i="431"/>
  <c r="G8" i="431"/>
  <c r="L8" i="431"/>
  <c r="O8" i="431"/>
  <c r="P8" i="431"/>
  <c r="I8" i="431"/>
  <c r="E8" i="431"/>
  <c r="H8" i="431"/>
  <c r="K8" i="431"/>
  <c r="S14" i="431" l="1"/>
  <c r="R14" i="431"/>
  <c r="S10" i="431"/>
  <c r="R10" i="431"/>
  <c r="S13" i="431"/>
  <c r="R13" i="431"/>
  <c r="S9" i="431"/>
  <c r="R9" i="431"/>
  <c r="R12" i="431"/>
  <c r="S12" i="431"/>
  <c r="S15" i="431"/>
  <c r="R15" i="431"/>
  <c r="S11" i="431"/>
  <c r="R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8" i="414" l="1"/>
  <c r="E18" i="414" s="1"/>
  <c r="D17" i="414"/>
  <c r="A1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5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19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C15" i="414"/>
  <c r="D15" i="414"/>
  <c r="D12" i="414"/>
  <c r="D4" i="414"/>
  <c r="C12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C20" i="414"/>
  <c r="D20" i="414"/>
  <c r="I12" i="339" l="1"/>
  <c r="I13" i="339" s="1"/>
  <c r="F13" i="339"/>
  <c r="E13" i="339"/>
  <c r="E15" i="339" s="1"/>
  <c r="H12" i="339"/>
  <c r="G12" i="339"/>
  <c r="A4" i="383"/>
  <c r="A19" i="383"/>
  <c r="A18" i="383"/>
  <c r="A16" i="383"/>
  <c r="A14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4" i="414"/>
  <c r="C4" i="414"/>
  <c r="H13" i="339" l="1"/>
  <c r="F15" i="339"/>
  <c r="J13" i="339"/>
  <c r="B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<sst xmlns="http://schemas.openxmlformats.org/spreadsheetml/2006/main" count="727" uniqueCount="348">
  <si>
    <t>NS</t>
  </si>
  <si>
    <t>%</t>
  </si>
  <si>
    <t>Celkem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</si>
  <si>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</si>
  <si>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</si>
  <si>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</si>
  <si>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</si>
  <si>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</si>
  <si>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</si>
  <si>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</si>
  <si>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</si>
  <si>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</si>
  <si>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</si>
  <si>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</si>
  <si>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</si>
  <si>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</si>
  <si>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</si>
  <si>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</si>
  <si>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</si>
  <si>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</si>
  <si>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</si>
  <si>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</si>
  <si>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</si>
  <si>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</si>
  <si>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</si>
  <si>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</si>
  <si>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</si>
  <si>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</si>
  <si>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</si>
  <si>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</si>
  <si>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</si>
  <si>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</si>
  <si>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</si>
  <si>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</si>
  <si>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</si>
  <si>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</si>
  <si>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</si>
  <si>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</si>
  <si>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</si>
  <si>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</si>
  <si>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</si>
  <si>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</si>
  <si>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</si>
  <si>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</si>
  <si>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</si>
  <si>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</si>
  <si>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</si>
  <si>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</si>
  <si>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</si>
  <si>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</si>
  <si>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</si>
  <si>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</si>
  <si>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</si>
  <si>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</si>
  <si>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</si>
  <si>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</si>
  <si>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</si>
  <si>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</si>
  <si>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</si>
  <si>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</si>
  <si>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</si>
  <si>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</si>
  <si>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</si>
  <si>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</si>
  <si>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</si>
  <si>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</si>
  <si>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</si>
  <si>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</si>
  <si>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</si>
  <si>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</si>
  <si>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</si>
  <si>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</si>
  <si>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</si>
  <si>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</si>
  <si>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</si>
  <si>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</si>
  <si>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</si>
  <si>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</si>
  <si>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</si>
  <si>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</si>
  <si>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</si>
  <si>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</si>
  <si>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</si>
  <si>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</si>
  <si>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</si>
  <si>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</si>
  <si>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</si>
  <si>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</si>
  <si>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</si>
  <si>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</si>
  <si>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</si>
  <si>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</si>
  <si>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</si>
  <si>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</si>
  <si>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</si>
  <si>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</si>
  <si>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</si>
  <si>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</si>
  <si>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</si>
  <si>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</si>
  <si>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</si>
  <si>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</si>
  <si>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</si>
  <si>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</si>
  <si>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</si>
  <si>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</si>
  <si>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</si>
  <si>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</si>
  <si>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</si>
  <si>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</si>
  <si>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</si>
  <si>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</si>
  <si>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</si>
  <si>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</si>
  <si>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</si>
  <si>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</si>
  <si>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</si>
  <si>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</si>
  <si>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</si>
  <si>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</si>
  <si>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</si>
  <si>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</si>
  <si>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</si>
  <si>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</si>
  <si>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</si>
  <si>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</si>
  <si>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</si>
  <si>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</si>
  <si>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</si>
  <si>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</si>
  <si>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</si>
  <si>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</si>
  <si>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</si>
  <si>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</si>
  <si>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</si>
  <si>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</si>
  <si>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</si>
  <si>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</si>
  <si>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</si>
  <si>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</si>
  <si>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</si>
  <si>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</si>
  <si>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</si>
  <si>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</si>
  <si>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</si>
  <si>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</si>
  <si>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</si>
  <si>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</si>
  <si>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</si>
  <si>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</si>
  <si>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</si>
  <si>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</si>
  <si>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</si>
  <si>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</si>
  <si>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</si>
  <si>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</si>
  <si>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</si>
  <si>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</si>
  <si>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</si>
  <si>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</si>
  <si>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</si>
  <si>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</si>
  <si>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</si>
  <si>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</si>
  <si>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</si>
  <si>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</si>
  <si>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</si>
  <si>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</si>
  <si>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</si>
  <si>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</si>
  <si>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</si>
  <si>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</si>
  <si>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</si>
  <si>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</si>
  <si>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</si>
  <si>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</si>
  <si>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</si>
  <si>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</si>
  <si>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</si>
  <si>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</si>
  <si>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</si>
  <si>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</si>
  <si>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</si>
  <si>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</si>
  <si>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</si>
  <si>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</si>
  <si>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</si>
  <si>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</si>
  <si>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</si>
  <si>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</si>
  <si>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</si>
  <si>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</si>
  <si>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</si>
  <si>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</si>
  <si>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</si>
  <si>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</si>
  <si>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</si>
  <si>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</si>
  <si>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</si>
  <si>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</si>
  <si>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</si>
  <si>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</si>
  <si>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</si>
  <si>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</si>
  <si>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</si>
  <si>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</si>
  <si>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</si>
  <si>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</si>
  <si>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</si>
  <si>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</si>
  <si>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</si>
  <si>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50117001     všeobecný materiál (N524,525,P35,49,T13,V26,31,32,34,35,37,47,111,Z510)</t>
  </si>
  <si>
    <t>50117004     tiskopisy a kanc.potřeby (sk.V42, 43)</t>
  </si>
  <si>
    <t>50117015     IT - spotřební materiál (sk. P37, 48)</t>
  </si>
  <si>
    <t>50117024     všeob.mat. - ostatní-vyjímky (V44) od 0,01 do 999,99</t>
  </si>
  <si>
    <t>50119     DDHM a textil</t>
  </si>
  <si>
    <t>--</t>
  </si>
  <si>
    <t>50119077     OOPP a prádlo pro zaměstnance (sk.T14)</t>
  </si>
  <si>
    <t>51     Služby</t>
  </si>
  <si>
    <t>51102     Technika a stavby</t>
  </si>
  <si>
    <t>51102025     opravy - hl.energetik</t>
  </si>
  <si>
    <t>51201     Cestovné zaměstnanců-tuzemské</t>
  </si>
  <si>
    <t>51201000     cestovné z mezd</t>
  </si>
  <si>
    <t>51802     Spoje</t>
  </si>
  <si>
    <t>51802003    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</si>
  <si>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</si>
  <si>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</si>
  <si>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</si>
  <si>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</si>
  <si>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</si>
  <si>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</si>
  <si>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</si>
  <si>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</si>
  <si>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</si>
  <si>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</si>
  <si>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</si>
  <si>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</si>
  <si>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</si>
  <si>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</si>
  <si>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</si>
  <si>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</si>
  <si>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</si>
  <si>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</si>
  <si>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</si>
  <si>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54972     Školení, kongres.popl.tuzemské - lékaři (pouze OPMČ)</t>
  </si>
  <si>
    <t>54972000     školení, kongres.popl.tuzemské - lékaři (pouze OPMČ)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</si>
  <si>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</si>
  <si>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</si>
  <si>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</si>
  <si>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</si>
  <si>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</si>
  <si>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</si>
  <si>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</si>
  <si>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</si>
  <si>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</si>
  <si>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</si>
  <si>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</si>
  <si>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</si>
  <si>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</si>
  <si>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</si>
  <si>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</si>
  <si>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</si>
  <si>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</si>
  <si>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</si>
  <si>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</si>
  <si>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</si>
  <si>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</si>
  <si>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</si>
  <si>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</si>
  <si>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</si>
  <si>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</si>
  <si>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</si>
  <si>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</si>
  <si>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</si>
  <si>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</si>
  <si>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</si>
  <si>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</si>
  <si>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</si>
  <si>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</si>
  <si>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</si>
  <si>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</si>
  <si>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</si>
  <si>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</si>
  <si>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</si>
  <si>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</si>
  <si>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</si>
  <si>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</si>
  <si>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</si>
  <si>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</si>
  <si>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</si>
  <si>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</si>
  <si>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THP</t>
  </si>
  <si>
    <t>Specializovaná ambulantní péče</t>
  </si>
  <si>
    <t>206 - Pracoviště klinické farmakologie (mimo laboratorní</t>
  </si>
  <si>
    <t>Zdravotní výkony vykázané na pracovišti v rámci ambulantní péče *</t>
  </si>
  <si>
    <t>4321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</si>
  <si>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</si>
  <si>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</si>
  <si>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</si>
  <si>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</si>
  <si>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Burdová Karolína</t>
  </si>
  <si>
    <t>Zdravotní výkony vykázané na pracovišti v rámci ambulantní péče dle lékařů *</t>
  </si>
  <si>
    <t>06</t>
  </si>
  <si>
    <t>206</t>
  </si>
  <si>
    <t>V</t>
  </si>
  <si>
    <t>09543</t>
  </si>
  <si>
    <t>Signalni kod</t>
  </si>
  <si>
    <t>26022</t>
  </si>
  <si>
    <t>CÍLENÉ VYŠETŘENÍ KLINICKÝM FARMAKOLOGEM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</si>
  <si>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</si>
  <si>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</si>
  <si>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</si>
  <si>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</si>
  <si>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</si>
  <si>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05 - II. chirurgická klinika - cévně-transplantační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</si>
  <si>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</si>
  <si>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</si>
  <si>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</si>
  <si>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</si>
  <si>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14 - Oční klinika</t>
  </si>
  <si>
    <t>16 - Klinika plicních nemocí a tuberkulózy</t>
  </si>
  <si>
    <t>17 - Neurologická klinika</t>
  </si>
  <si>
    <t>21 - Onkologická klinika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</si>
  <si>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</si>
  <si>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</si>
  <si>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</si>
  <si>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</si>
  <si>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</si>
  <si>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</si>
  <si>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26023</t>
  </si>
  <si>
    <t>KONTROLNÍ VYŠETŘENÍ KLINICKÝM FARMAKOLOGEM</t>
  </si>
  <si>
    <t>02</t>
  </si>
  <si>
    <t>03</t>
  </si>
  <si>
    <t>05</t>
  </si>
  <si>
    <t>07</t>
  </si>
  <si>
    <t>08</t>
  </si>
  <si>
    <t>10</t>
  </si>
  <si>
    <t>11</t>
  </si>
  <si>
    <t>14</t>
  </si>
  <si>
    <t>16</t>
  </si>
  <si>
    <t>17</t>
  </si>
  <si>
    <t>21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</si>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</sst>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5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0">
    <xf numFmtId="0" fontId="0" fillId="0" borderId="0" xfId="0"/>
    <xf numFmtId="0" fontId="27" fillId="2" borderId="17" xfId="78" applyFont="1" applyFill="1" applyBorder="1"/>
    <xf numFmtId="0" fontId="28" fillId="2" borderId="18" xfId="78" applyFont="1" applyFill="1" applyBorder="1"/>
    <xf numFmtId="3" fontId="28" fillId="2" borderId="19" xfId="78" applyNumberFormat="1" applyFont="1" applyFill="1" applyBorder="1"/>
    <xf numFmtId="0" fontId="28" fillId="4" borderId="18" xfId="78" applyFont="1" applyFill="1" applyBorder="1"/>
    <xf numFmtId="3" fontId="28" fillId="4" borderId="19" xfId="78" applyNumberFormat="1" applyFont="1" applyFill="1" applyBorder="1"/>
    <xf numFmtId="171" fontId="28" fillId="3" borderId="19" xfId="78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78" applyNumberFormat="1" applyFont="1" applyFill="1" applyBorder="1"/>
    <xf numFmtId="3" fontId="27" fillId="5" borderId="8" xfId="78" applyNumberFormat="1" applyFont="1" applyFill="1" applyBorder="1"/>
    <xf numFmtId="3" fontId="27" fillId="5" borderId="12" xfId="78" applyNumberFormat="1" applyFont="1" applyFill="1" applyBorder="1"/>
    <xf numFmtId="0" fontId="27" fillId="5" borderId="0" xfId="78" applyFont="1" applyFill="1"/>
    <xf numFmtId="10" fontId="27" fillId="5" borderId="0" xfId="78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78" applyNumberFormat="1" applyFont="1" applyFill="1" applyBorder="1"/>
    <xf numFmtId="3" fontId="27" fillId="5" borderId="29" xfId="78" applyNumberFormat="1" applyFont="1" applyFill="1" applyBorder="1"/>
    <xf numFmtId="3" fontId="27" fillId="5" borderId="25" xfId="78" applyNumberFormat="1" applyFont="1" applyFill="1" applyBorder="1"/>
    <xf numFmtId="3" fontId="27" fillId="5" borderId="9" xfId="78" applyNumberFormat="1" applyFont="1" applyFill="1" applyBorder="1"/>
    <xf numFmtId="3" fontId="27" fillId="5" borderId="10" xfId="78" applyNumberFormat="1" applyFont="1" applyFill="1" applyBorder="1"/>
    <xf numFmtId="3" fontId="27" fillId="5" borderId="13" xfId="78" applyNumberFormat="1" applyFont="1" applyFill="1" applyBorder="1"/>
    <xf numFmtId="3" fontId="27" fillId="5" borderId="14" xfId="78" applyNumberFormat="1" applyFont="1" applyFill="1" applyBorder="1"/>
    <xf numFmtId="3" fontId="28" fillId="2" borderId="27" xfId="78" applyNumberFormat="1" applyFont="1" applyFill="1" applyBorder="1"/>
    <xf numFmtId="3" fontId="28" fillId="2" borderId="20" xfId="78" applyNumberFormat="1" applyFont="1" applyFill="1" applyBorder="1"/>
    <xf numFmtId="3" fontId="28" fillId="4" borderId="27" xfId="78" applyNumberFormat="1" applyFont="1" applyFill="1" applyBorder="1"/>
    <xf numFmtId="3" fontId="28" fillId="4" borderId="20" xfId="78" applyNumberFormat="1" applyFont="1" applyFill="1" applyBorder="1"/>
    <xf numFmtId="171" fontId="28" fillId="3" borderId="27" xfId="78" applyNumberFormat="1" applyFont="1" applyFill="1" applyBorder="1"/>
    <xf numFmtId="171" fontId="28" fillId="3" borderId="20" xfId="78" applyNumberFormat="1" applyFont="1" applyFill="1" applyBorder="1"/>
    <xf numFmtId="0" fontId="31" fillId="2" borderId="25" xfId="78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8" fillId="0" borderId="36" xfId="79" applyFont="1" applyFill="1" applyBorder="1" applyAlignment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78" applyFont="1" applyFill="1" applyBorder="1"/>
    <xf numFmtId="0" fontId="31" fillId="2" borderId="23" xfId="78" applyFont="1" applyFill="1" applyBorder="1" applyAlignment="1">
      <alignment horizontal="center"/>
    </xf>
    <xf numFmtId="0" fontId="31" fillId="2" borderId="22" xfId="78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78" applyNumberFormat="1" applyFont="1" applyFill="1" applyBorder="1"/>
    <xf numFmtId="9" fontId="28" fillId="4" borderId="20" xfId="78" applyNumberFormat="1" applyFont="1" applyFill="1" applyBorder="1"/>
    <xf numFmtId="9" fontId="28" fillId="3" borderId="20" xfId="78" applyNumberFormat="1" applyFont="1" applyFill="1" applyBorder="1"/>
    <xf numFmtId="0" fontId="31" fillId="2" borderId="21" xfId="78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0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78" applyFont="1" applyFill="1"/>
    <xf numFmtId="0" fontId="50" fillId="0" borderId="36" xfId="78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78" applyFont="1" applyFill="1" applyBorder="1" applyAlignment="1">
      <alignment horizontal="center"/>
    </xf>
    <xf numFmtId="0" fontId="31" fillId="2" borderId="39" xfId="78" applyFont="1" applyFill="1" applyBorder="1" applyAlignment="1">
      <alignment horizontal="center"/>
    </xf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6" xfId="0" applyNumberFormat="1" applyFont="1" applyBorder="1" applyAlignment="1">
      <alignment horizontal="right" vertical="center"/>
    </xf>
    <xf numFmtId="173" fontId="39" fillId="0" borderId="86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7" xfId="0" applyNumberFormat="1" applyFont="1" applyBorder="1" applyAlignment="1">
      <alignment vertical="center"/>
    </xf>
    <xf numFmtId="173" fontId="39" fillId="0" borderId="86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4" fontId="39" fillId="0" borderId="89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7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5" xfId="0" applyNumberFormat="1" applyFont="1" applyFill="1" applyBorder="1"/>
    <xf numFmtId="3" fontId="0" fillId="7" borderId="61" xfId="0" applyNumberFormat="1" applyFont="1" applyFill="1" applyBorder="1"/>
    <xf numFmtId="0" fontId="0" fillId="0" borderId="96" xfId="0" applyNumberFormat="1" applyFont="1" applyBorder="1"/>
    <xf numFmtId="3" fontId="0" fillId="0" borderId="97" xfId="0" applyNumberFormat="1" applyFont="1" applyBorder="1"/>
    <xf numFmtId="0" fontId="0" fillId="7" borderId="96" xfId="0" applyNumberFormat="1" applyFont="1" applyFill="1" applyBorder="1"/>
    <xf numFmtId="3" fontId="0" fillId="7" borderId="97" xfId="0" applyNumberFormat="1" applyFont="1" applyFill="1" applyBorder="1"/>
    <xf numFmtId="0" fontId="52" fillId="8" borderId="96" xfId="0" applyNumberFormat="1" applyFont="1" applyFill="1" applyBorder="1"/>
    <xf numFmtId="3" fontId="52" fillId="8" borderId="97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78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78" applyFont="1" applyFill="1" applyBorder="1" applyAlignment="1">
      <alignment horizontal="center"/>
    </xf>
    <xf numFmtId="0" fontId="31" fillId="2" borderId="43" xfId="78" applyFont="1" applyFill="1" applyBorder="1" applyAlignment="1">
      <alignment horizontal="center"/>
    </xf>
    <xf numFmtId="0" fontId="31" fillId="2" borderId="40" xfId="78" applyFont="1" applyFill="1" applyBorder="1" applyAlignment="1">
      <alignment horizontal="center"/>
    </xf>
    <xf numFmtId="0" fontId="31" fillId="2" borderId="59" xfId="78" applyFont="1" applyFill="1" applyBorder="1" applyAlignment="1">
      <alignment horizontal="center"/>
    </xf>
    <xf numFmtId="0" fontId="31" fillId="2" borderId="41" xfId="78" applyFont="1" applyFill="1" applyBorder="1" applyAlignment="1">
      <alignment horizontal="center"/>
    </xf>
    <xf numFmtId="0" fontId="31" fillId="2" borderId="81" xfId="78" applyFont="1" applyFill="1" applyBorder="1" applyAlignment="1">
      <alignment horizontal="center"/>
    </xf>
    <xf numFmtId="0" fontId="31" fillId="2" borderId="70" xfId="78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2" xfId="26" applyFont="1" applyFill="1" applyBorder="1" applyAlignment="1"/>
    <xf numFmtId="3" fontId="54" fillId="4" borderId="76" xfId="0" applyNumberFormat="1" applyFont="1" applyFill="1" applyBorder="1" applyAlignment="1">
      <alignment horizontal="center" vertical="center"/>
    </xf>
    <xf numFmtId="3" fontId="54" fillId="4" borderId="84" xfId="0" applyNumberFormat="1" applyFont="1" applyFill="1" applyBorder="1" applyAlignment="1">
      <alignment horizontal="center" vertical="center"/>
    </xf>
    <xf numFmtId="9" fontId="54" fillId="4" borderId="76" xfId="0" applyNumberFormat="1" applyFont="1" applyFill="1" applyBorder="1" applyAlignment="1">
      <alignment horizontal="center" vertical="center"/>
    </xf>
    <xf numFmtId="9" fontId="54" fillId="4" borderId="84" xfId="0" applyNumberFormat="1" applyFont="1" applyFill="1" applyBorder="1" applyAlignment="1">
      <alignment horizontal="center" vertical="center"/>
    </xf>
    <xf numFmtId="3" fontId="54" fillId="4" borderId="77" xfId="0" applyNumberFormat="1" applyFont="1" applyFill="1" applyBorder="1" applyAlignment="1">
      <alignment horizontal="center" vertical="center" wrapText="1"/>
    </xf>
    <xf numFmtId="3" fontId="54" fillId="4" borderId="85" xfId="0" applyNumberFormat="1" applyFont="1" applyFill="1" applyBorder="1" applyAlignment="1">
      <alignment horizontal="center" vertical="center" wrapText="1"/>
    </xf>
    <xf numFmtId="0" fontId="39" fillId="2" borderId="92" xfId="0" applyFont="1" applyFill="1" applyBorder="1" applyAlignment="1">
      <alignment horizontal="center" vertical="center" wrapText="1"/>
    </xf>
    <xf numFmtId="0" fontId="39" fillId="2" borderId="78" xfId="0" applyFont="1" applyFill="1" applyBorder="1" applyAlignment="1">
      <alignment horizontal="center" vertical="center" wrapText="1"/>
    </xf>
    <xf numFmtId="0" fontId="54" fillId="9" borderId="94" xfId="0" applyFont="1" applyFill="1" applyBorder="1" applyAlignment="1">
      <alignment horizontal="center"/>
    </xf>
    <xf numFmtId="0" fontId="54" fillId="9" borderId="93" xfId="0" applyFont="1" applyFill="1" applyBorder="1" applyAlignment="1">
      <alignment horizontal="center"/>
    </xf>
    <xf numFmtId="0" fontId="54" fillId="9" borderId="75" xfId="0" applyFont="1" applyFill="1" applyBorder="1" applyAlignment="1">
      <alignment horizontal="center"/>
    </xf>
    <xf numFmtId="0" fontId="54" fillId="2" borderId="77" xfId="0" applyFont="1" applyFill="1" applyBorder="1" applyAlignment="1">
      <alignment horizontal="center" vertical="center" wrapText="1"/>
    </xf>
    <xf numFmtId="0" fontId="54" fillId="2" borderId="85" xfId="0" applyFont="1" applyFill="1" applyBorder="1" applyAlignment="1">
      <alignment horizontal="center" vertical="center" wrapText="1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0" xfId="0" applyFont="1" applyFill="1" applyBorder="1" applyAlignment="1">
      <alignment horizontal="center"/>
    </xf>
    <xf numFmtId="0" fontId="58" fillId="2" borderId="70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4" borderId="66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0" fontId="58" fillId="2" borderId="66" xfId="0" applyFont="1" applyFill="1" applyBorder="1" applyAlignment="1">
      <alignment horizontal="center"/>
    </xf>
    <xf numFmtId="166" fontId="39" fillId="2" borderId="67" xfId="0" applyNumberFormat="1" applyFont="1" applyFill="1" applyBorder="1" applyAlignment="1">
      <alignment horizontal="center" vertical="center"/>
    </xf>
    <xf numFmtId="0" fontId="32" fillId="0" borderId="90" xfId="0" applyFont="1" applyBorder="1" applyAlignment="1">
      <alignment horizontal="center" vertical="center"/>
    </xf>
    <xf numFmtId="0" fontId="54" fillId="4" borderId="83" xfId="0" applyFont="1" applyFill="1" applyBorder="1" applyAlignment="1">
      <alignment horizontal="center" vertical="center" wrapText="1"/>
    </xf>
    <xf numFmtId="0" fontId="54" fillId="4" borderId="91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4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85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3" xfId="0" applyNumberFormat="1" applyFont="1" applyFill="1" applyBorder="1" applyAlignment="1">
      <alignment horizontal="center" vertical="center" wrapText="1"/>
    </xf>
    <xf numFmtId="168" fontId="54" fillId="2" borderId="91" xfId="0" applyNumberFormat="1" applyFont="1" applyFill="1" applyBorder="1" applyAlignment="1">
      <alignment horizontal="center" vertical="center" wrapText="1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7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3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5" xfId="0" applyNumberFormat="1" applyFont="1" applyFill="1" applyBorder="1" applyAlignment="1">
      <alignment horizontal="center" vertical="top"/>
    </xf>
    <xf numFmtId="3" fontId="33" fillId="10" borderId="99" xfId="0" applyNumberFormat="1" applyFont="1" applyFill="1" applyBorder="1" applyAlignment="1">
      <alignment horizontal="right" vertical="top"/>
    </xf>
    <xf numFmtId="3" fontId="33" fillId="10" borderId="100" xfId="0" applyNumberFormat="1" applyFont="1" applyFill="1" applyBorder="1" applyAlignment="1">
      <alignment horizontal="right" vertical="top"/>
    </xf>
    <xf numFmtId="177" fontId="33" fillId="10" borderId="101" xfId="0" applyNumberFormat="1" applyFont="1" applyFill="1" applyBorder="1" applyAlignment="1">
      <alignment horizontal="right" vertical="top"/>
    </xf>
    <xf numFmtId="3" fontId="33" fillId="0" borderId="99" xfId="0" applyNumberFormat="1" applyFont="1" applyBorder="1" applyAlignment="1">
      <alignment horizontal="right" vertical="top"/>
    </xf>
    <xf numFmtId="177" fontId="33" fillId="10" borderId="102" xfId="0" applyNumberFormat="1" applyFont="1" applyFill="1" applyBorder="1" applyAlignment="1">
      <alignment horizontal="right" vertical="top"/>
    </xf>
    <xf numFmtId="3" fontId="35" fillId="10" borderId="104" xfId="0" applyNumberFormat="1" applyFont="1" applyFill="1" applyBorder="1" applyAlignment="1">
      <alignment horizontal="right" vertical="top"/>
    </xf>
    <xf numFmtId="3" fontId="35" fillId="10" borderId="105" xfId="0" applyNumberFormat="1" applyFont="1" applyFill="1" applyBorder="1" applyAlignment="1">
      <alignment horizontal="right" vertical="top"/>
    </xf>
    <xf numFmtId="177" fontId="35" fillId="10" borderId="106" xfId="0" applyNumberFormat="1" applyFont="1" applyFill="1" applyBorder="1" applyAlignment="1">
      <alignment horizontal="right" vertical="top"/>
    </xf>
    <xf numFmtId="3" fontId="35" fillId="0" borderId="104" xfId="0" applyNumberFormat="1" applyFont="1" applyBorder="1" applyAlignment="1">
      <alignment horizontal="right" vertical="top"/>
    </xf>
    <xf numFmtId="177" fontId="35" fillId="10" borderId="107" xfId="0" applyNumberFormat="1" applyFont="1" applyFill="1" applyBorder="1" applyAlignment="1">
      <alignment horizontal="right" vertical="top"/>
    </xf>
    <xf numFmtId="0" fontId="35" fillId="10" borderId="106" xfId="0" applyFont="1" applyFill="1" applyBorder="1" applyAlignment="1">
      <alignment horizontal="right" vertical="top"/>
    </xf>
    <xf numFmtId="0" fontId="35" fillId="10" borderId="107" xfId="0" applyFont="1" applyFill="1" applyBorder="1" applyAlignment="1">
      <alignment horizontal="right" vertical="top"/>
    </xf>
    <xf numFmtId="0" fontId="33" fillId="10" borderId="101" xfId="0" applyFont="1" applyFill="1" applyBorder="1" applyAlignment="1">
      <alignment horizontal="right" vertical="top"/>
    </xf>
    <xf numFmtId="0" fontId="33" fillId="10" borderId="102" xfId="0" applyFont="1" applyFill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177" fontId="35" fillId="10" borderId="111" xfId="0" applyNumberFormat="1" applyFont="1" applyFill="1" applyBorder="1" applyAlignment="1">
      <alignment horizontal="right" vertical="top"/>
    </xf>
    <xf numFmtId="0" fontId="37" fillId="11" borderId="98" xfId="0" applyFont="1" applyFill="1" applyBorder="1" applyAlignment="1">
      <alignment vertical="top"/>
    </xf>
    <xf numFmtId="0" fontId="37" fillId="11" borderId="98" xfId="0" applyFont="1" applyFill="1" applyBorder="1" applyAlignment="1">
      <alignment vertical="top" indent="2"/>
    </xf>
    <xf numFmtId="0" fontId="37" fillId="11" borderId="98" xfId="0" applyFont="1" applyFill="1" applyBorder="1" applyAlignment="1">
      <alignment vertical="top" indent="4"/>
    </xf>
    <xf numFmtId="0" fontId="38" fillId="11" borderId="103" xfId="0" applyFont="1" applyFill="1" applyBorder="1" applyAlignment="1">
      <alignment vertical="top" indent="6"/>
    </xf>
    <xf numFmtId="0" fontId="37" fillId="11" borderId="98" xfId="0" applyFont="1" applyFill="1" applyBorder="1" applyAlignment="1">
      <alignment vertical="top" indent="8"/>
    </xf>
    <xf numFmtId="0" fontId="38" fillId="11" borderId="103" xfId="0" applyFont="1" applyFill="1" applyBorder="1" applyAlignment="1">
      <alignment vertical="top" indent="2"/>
    </xf>
    <xf numFmtId="0" fontId="37" fillId="11" borderId="98" xfId="0" applyFont="1" applyFill="1" applyBorder="1" applyAlignment="1">
      <alignment vertical="top" indent="6"/>
    </xf>
    <xf numFmtId="0" fontId="38" fillId="11" borderId="103" xfId="0" applyFont="1" applyFill="1" applyBorder="1" applyAlignment="1">
      <alignment vertical="top" indent="4"/>
    </xf>
    <xf numFmtId="0" fontId="32" fillId="11" borderId="98" xfId="0" applyFont="1" applyFill="1" applyBorder="1"/>
    <xf numFmtId="0" fontId="38" fillId="11" borderId="18" xfId="0" applyFont="1" applyFill="1" applyBorder="1" applyAlignment="1">
      <alignment vertical="top"/>
    </xf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4" xfId="0" applyFont="1" applyFill="1" applyBorder="1" applyAlignment="1">
      <alignment horizontal="left"/>
    </xf>
    <xf numFmtId="169" fontId="58" fillId="4" borderId="65" xfId="0" applyNumberFormat="1" applyFont="1" applyFill="1" applyBorder="1"/>
    <xf numFmtId="9" fontId="58" fillId="4" borderId="65" xfId="0" applyNumberFormat="1" applyFont="1" applyFill="1" applyBorder="1"/>
    <xf numFmtId="9" fontId="58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8" fillId="0" borderId="67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3" fontId="32" fillId="0" borderId="27" xfId="0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2" fillId="0" borderId="64" xfId="0" applyFont="1" applyFill="1" applyBorder="1"/>
    <xf numFmtId="0" fontId="32" fillId="0" borderId="65" xfId="0" applyFont="1" applyFill="1" applyBorder="1"/>
    <xf numFmtId="3" fontId="32" fillId="0" borderId="65" xfId="0" applyNumberFormat="1" applyFont="1" applyFill="1" applyBorder="1"/>
    <xf numFmtId="9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3" fontId="32" fillId="0" borderId="68" xfId="0" applyNumberFormat="1" applyFont="1" applyFill="1" applyBorder="1"/>
    <xf numFmtId="9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169" fontId="32" fillId="0" borderId="65" xfId="0" applyNumberFormat="1" applyFont="1" applyFill="1" applyBorder="1"/>
    <xf numFmtId="9" fontId="32" fillId="0" borderId="66" xfId="0" applyNumberFormat="1" applyFont="1" applyFill="1" applyBorder="1"/>
    <xf numFmtId="0" fontId="32" fillId="0" borderId="72" xfId="0" applyFont="1" applyFill="1" applyBorder="1"/>
    <xf numFmtId="169" fontId="32" fillId="0" borderId="73" xfId="0" applyNumberFormat="1" applyFont="1" applyFill="1" applyBorder="1"/>
    <xf numFmtId="0" fontId="32" fillId="0" borderId="73" xfId="0" applyFont="1" applyFill="1" applyBorder="1"/>
    <xf numFmtId="9" fontId="32" fillId="0" borderId="73" xfId="0" applyNumberFormat="1" applyFont="1" applyFill="1" applyBorder="1"/>
    <xf numFmtId="9" fontId="32" fillId="0" borderId="74" xfId="0" applyNumberFormat="1" applyFont="1" applyFill="1" applyBorder="1"/>
    <xf numFmtId="169" fontId="32" fillId="0" borderId="68" xfId="0" applyNumberFormat="1" applyFont="1" applyFill="1" applyBorder="1"/>
    <xf numFmtId="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72" xfId="0" applyFont="1" applyFill="1" applyBorder="1"/>
    <xf numFmtId="0" fontId="39" fillId="0" borderId="67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  <xf numFmtId="3" fontId="32" fillId="0" borderId="73" xfId="0" applyNumberFormat="1" applyFont="1" applyFill="1" applyBorder="1"/>
    <xf numFmtId="3" fontId="32" fillId="0" borderId="74" xfId="0" applyNumberFormat="1" applyFont="1" applyFill="1" applyBorder="1"/>
  </cellXfs>
  <cellStyles count="95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4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normální_Sestava hospodaření" xfId="79"/>
    <cellStyle name="Procenta 10" xfId="80"/>
    <cellStyle name="Procenta 11" xfId="81"/>
    <cellStyle name="Procenta 2" xfId="82"/>
    <cellStyle name="Procenta 2 2" xfId="83"/>
    <cellStyle name="Procenta 2 2 2" xfId="84"/>
    <cellStyle name="Procenta 2 3" xfId="85"/>
    <cellStyle name="Procenta 3" xfId="86"/>
    <cellStyle name="Procenta 3 2" xfId="87"/>
    <cellStyle name="Procenta 4" xfId="88"/>
    <cellStyle name="Procenta 5" xfId="89"/>
    <cellStyle name="Procenta 6" xfId="90"/>
    <cellStyle name="Procenta 7" xfId="91"/>
    <cellStyle name="Procenta 8" xfId="92"/>
    <cellStyle name="Procenta 9" xfId="93"/>
  </cellStyles>
  <dxfs count="54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53"/>
      <tableStyleElement type="headerRow" dxfId="52"/>
      <tableStyleElement type="totalRow" dxfId="51"/>
      <tableStyleElement type="firstColumn" dxfId="50"/>
      <tableStyleElement type="lastColumn" dxfId="49"/>
      <tableStyleElement type="firstRowStripe" dxfId="48"/>
      <tableStyleElement type="firstColumnStripe" dxfId="47"/>
    </tableStyle>
    <tableStyle name="TableStyleMedium2 2" pivot="0" count="7">
      <tableStyleElement type="wholeTable" dxfId="46"/>
      <tableStyleElement type="headerRow" dxfId="45"/>
      <tableStyleElement type="totalRow" dxfId="44"/>
      <tableStyleElement type="firstColumn" dxfId="43"/>
      <tableStyleElement type="lastColumn" dxfId="42"/>
      <tableStyleElement type="firstRowStripe" dxfId="41"/>
      <tableStyleElement type="firstColumnStripe" dxfId="4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25705680"/>
        <c:axId val="-202571166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25702416"/>
        <c:axId val="-2025717648"/>
      </c:scatterChart>
      <c:catAx>
        <c:axId val="-2025705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02571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257116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025705680"/>
        <c:crosses val="autoZero"/>
        <c:crossBetween val="between"/>
      </c:valAx>
      <c:valAx>
        <c:axId val="-202570241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025717648"/>
        <c:crosses val="max"/>
        <c:crossBetween val="midCat"/>
      </c:valAx>
      <c:valAx>
        <c:axId val="-20257176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02570241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5" totalsRowShown="0" headerRowDxfId="39" tableBorderDxfId="38">
  <autoFilter ref="A7:S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37"/>
    <tableColumn id="2" name="popis" dataDxfId="36"/>
    <tableColumn id="3" name="01 uv_sk" dataDxfId="3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3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3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3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3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3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2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2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2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2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2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2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2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2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2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20">
      <calculatedColumnFormula>IF(Tabulka[[#This Row],[15_vzpl]]=0,"",Tabulka[[#This Row],[14_vzsk]]/Tabulka[[#This Row],[15_vzpl]])</calculatedColumnFormula>
    </tableColumn>
    <tableColumn id="20" name="17_vzroz" dataDxfId="19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00" totalsRowShown="0">
  <autoFilter ref="C3:S100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1" bestFit="1" customWidth="1"/>
    <col min="2" max="2" width="102.21875" style="101" bestFit="1" customWidth="1"/>
    <col min="3" max="3" width="16.109375" style="42" hidden="1" customWidth="1"/>
    <col min="4" max="16384" width="8.88671875" style="101"/>
  </cols>
  <sheetData>
    <row r="1" spans="1:3" ht="18.600000000000001" customHeight="1" thickBot="1" x14ac:dyDescent="0.4">
      <c r="A1" s="263" t="s">
        <v>82</v>
      </c>
      <c r="B1" s="263"/>
    </row>
    <row r="2" spans="1:3" ht="14.4" customHeight="1" thickBot="1" x14ac:dyDescent="0.35">
      <c r="A2" s="189" t="s">
        <v>204</v>
      </c>
      <c r="B2" s="41"/>
    </row>
    <row r="3" spans="1:3" ht="14.4" customHeight="1" thickBot="1" x14ac:dyDescent="0.35">
      <c r="A3" s="259" t="s">
        <v>99</v>
      </c>
      <c r="B3" s="260"/>
    </row>
    <row r="4" spans="1:3" ht="14.4" customHeight="1" x14ac:dyDescent="0.3">
      <c r="A4" s="113" t="str">
        <f t="shared" ref="A4:A8" si="0">HYPERLINK("#'"&amp;C4&amp;"'!A1",C4)</f>
        <v>Motivace</v>
      </c>
      <c r="B4" s="63" t="s">
        <v>89</v>
      </c>
      <c r="C4" s="42" t="s">
        <v>90</v>
      </c>
    </row>
    <row r="5" spans="1:3" ht="14.4" customHeight="1" x14ac:dyDescent="0.3">
      <c r="A5" s="114" t="str">
        <f t="shared" si="0"/>
        <v>HI</v>
      </c>
      <c r="B5" s="64" t="s">
        <v>98</v>
      </c>
      <c r="C5" s="42" t="s">
        <v>85</v>
      </c>
    </row>
    <row r="6" spans="1:3" ht="14.4" customHeight="1" x14ac:dyDescent="0.3">
      <c r="A6" s="115" t="str">
        <f t="shared" si="0"/>
        <v>HI Graf</v>
      </c>
      <c r="B6" s="65" t="s">
        <v>78</v>
      </c>
      <c r="C6" s="42" t="s">
        <v>86</v>
      </c>
    </row>
    <row r="7" spans="1:3" ht="14.4" customHeight="1" x14ac:dyDescent="0.3">
      <c r="A7" s="115" t="str">
        <f t="shared" si="0"/>
        <v>Man Tab</v>
      </c>
      <c r="B7" s="65" t="s">
        <v>206</v>
      </c>
      <c r="C7" s="42" t="s">
        <v>87</v>
      </c>
    </row>
    <row r="8" spans="1:3" ht="14.4" customHeight="1" thickBot="1" x14ac:dyDescent="0.35">
      <c r="A8" s="116" t="str">
        <f t="shared" si="0"/>
        <v>HV</v>
      </c>
      <c r="B8" s="66" t="s">
        <v>36</v>
      </c>
      <c r="C8" s="42" t="s">
        <v>41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61" t="s">
        <v>83</v>
      </c>
      <c r="B10" s="260"/>
    </row>
    <row r="11" spans="1:3" ht="14.4" customHeight="1" thickBot="1" x14ac:dyDescent="0.35">
      <c r="A11" s="117" t="str">
        <f t="shared" ref="A11" si="1">HYPERLINK("#'"&amp;C11&amp;"'!A1",C11)</f>
        <v>Osobní náklady</v>
      </c>
      <c r="B11" s="65" t="s">
        <v>80</v>
      </c>
      <c r="C11" s="42" t="s">
        <v>88</v>
      </c>
    </row>
    <row r="12" spans="1:3" ht="14.4" customHeight="1" thickBot="1" x14ac:dyDescent="0.35">
      <c r="A12" s="68"/>
      <c r="B12" s="68"/>
    </row>
    <row r="13" spans="1:3" ht="14.4" customHeight="1" thickBot="1" x14ac:dyDescent="0.35">
      <c r="A13" s="262" t="s">
        <v>84</v>
      </c>
      <c r="B13" s="260"/>
    </row>
    <row r="14" spans="1:3" ht="14.4" customHeight="1" x14ac:dyDescent="0.3">
      <c r="A14" s="118" t="str">
        <f t="shared" ref="A14:A19" si="2">HYPERLINK("#'"&amp;C14&amp;"'!A1",C14)</f>
        <v>ZV Vykáz.-A</v>
      </c>
      <c r="B14" s="64" t="s">
        <v>294</v>
      </c>
      <c r="C14" s="42" t="s">
        <v>91</v>
      </c>
    </row>
    <row r="15" spans="1:3" ht="14.4" customHeight="1" x14ac:dyDescent="0.3">
      <c r="A15" s="115" t="str">
        <f t="shared" ref="A15" si="3">HYPERLINK("#'"&amp;C15&amp;"'!A1",C15)</f>
        <v>ZV Vykáz.-A Lékaři</v>
      </c>
      <c r="B15" s="65" t="s">
        <v>301</v>
      </c>
      <c r="C15" s="42" t="s">
        <v>142</v>
      </c>
    </row>
    <row r="16" spans="1:3" ht="14.4" customHeight="1" x14ac:dyDescent="0.3">
      <c r="A16" s="115" t="str">
        <f t="shared" si="2"/>
        <v>ZV Vykáz.-A Detail</v>
      </c>
      <c r="B16" s="65" t="s">
        <v>309</v>
      </c>
      <c r="C16" s="42" t="s">
        <v>92</v>
      </c>
    </row>
    <row r="17" spans="1:3" ht="14.4" customHeight="1" x14ac:dyDescent="0.3">
      <c r="A17" s="205" t="str">
        <f>HYPERLINK("#'"&amp;C17&amp;"'!A1",C17)</f>
        <v>ZV Vykáz.-A Det.Lék.</v>
      </c>
      <c r="B17" s="65" t="s">
        <v>310</v>
      </c>
      <c r="C17" s="42" t="s">
        <v>167</v>
      </c>
    </row>
    <row r="18" spans="1:3" ht="14.4" customHeight="1" x14ac:dyDescent="0.3">
      <c r="A18" s="115" t="str">
        <f t="shared" si="2"/>
        <v>ZV Vykáz.-H</v>
      </c>
      <c r="B18" s="65" t="s">
        <v>95</v>
      </c>
      <c r="C18" s="42" t="s">
        <v>93</v>
      </c>
    </row>
    <row r="19" spans="1:3" ht="14.4" customHeight="1" x14ac:dyDescent="0.3">
      <c r="A19" s="115" t="str">
        <f t="shared" si="2"/>
        <v>ZV Vykáz.-H Detail</v>
      </c>
      <c r="B19" s="65" t="s">
        <v>347</v>
      </c>
      <c r="C19" s="42" t="s">
        <v>94</v>
      </c>
    </row>
  </sheetData>
  <mergeCells count="4">
    <mergeCell ref="A3:B3"/>
    <mergeCell ref="A10:B10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1" bestFit="1" customWidth="1"/>
    <col min="2" max="2" width="7.77734375" style="175" hidden="1" customWidth="1" outlineLevel="1"/>
    <col min="3" max="3" width="7.77734375" style="175" customWidth="1" collapsed="1"/>
    <col min="4" max="4" width="7.77734375" style="175" customWidth="1"/>
    <col min="5" max="5" width="7.77734375" style="78" hidden="1" customWidth="1" outlineLevel="1"/>
    <col min="6" max="6" width="7.77734375" style="78" customWidth="1" collapsed="1"/>
    <col min="7" max="7" width="7.77734375" style="78" customWidth="1"/>
    <col min="8" max="16384" width="8.88671875" style="101"/>
  </cols>
  <sheetData>
    <row r="1" spans="1:7" ht="18.600000000000001" customHeight="1" thickBot="1" x14ac:dyDescent="0.4">
      <c r="A1" s="330" t="s">
        <v>301</v>
      </c>
      <c r="B1" s="263"/>
      <c r="C1" s="263"/>
      <c r="D1" s="263"/>
      <c r="E1" s="263"/>
      <c r="F1" s="263"/>
      <c r="G1" s="263"/>
    </row>
    <row r="2" spans="1:7" ht="14.4" customHeight="1" thickBot="1" x14ac:dyDescent="0.35">
      <c r="A2" s="189" t="s">
        <v>204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209" t="s">
        <v>96</v>
      </c>
      <c r="B3" s="197">
        <f t="shared" ref="B3:G3" si="0">SUBTOTAL(9,B6:B1048576)</f>
        <v>2</v>
      </c>
      <c r="C3" s="198">
        <f t="shared" si="0"/>
        <v>0</v>
      </c>
      <c r="D3" s="208">
        <f t="shared" si="0"/>
        <v>0</v>
      </c>
      <c r="E3" s="181">
        <f t="shared" si="0"/>
        <v>364.33</v>
      </c>
      <c r="F3" s="179">
        <f t="shared" si="0"/>
        <v>0</v>
      </c>
      <c r="G3" s="199">
        <f t="shared" si="0"/>
        <v>0</v>
      </c>
    </row>
    <row r="4" spans="1:7" ht="14.4" customHeight="1" x14ac:dyDescent="0.3">
      <c r="A4" s="331" t="s">
        <v>97</v>
      </c>
      <c r="B4" s="336" t="s">
        <v>141</v>
      </c>
      <c r="C4" s="334"/>
      <c r="D4" s="337"/>
      <c r="E4" s="336" t="s">
        <v>73</v>
      </c>
      <c r="F4" s="334"/>
      <c r="G4" s="337"/>
    </row>
    <row r="5" spans="1:7" ht="14.4" customHeight="1" thickBot="1" x14ac:dyDescent="0.35">
      <c r="A5" s="379"/>
      <c r="B5" s="380">
        <v>2015</v>
      </c>
      <c r="C5" s="381">
        <v>2016</v>
      </c>
      <c r="D5" s="394">
        <v>2017</v>
      </c>
      <c r="E5" s="380">
        <v>2015</v>
      </c>
      <c r="F5" s="381">
        <v>2016</v>
      </c>
      <c r="G5" s="394">
        <v>2017</v>
      </c>
    </row>
    <row r="6" spans="1:7" ht="14.4" customHeight="1" thickBot="1" x14ac:dyDescent="0.35">
      <c r="A6" s="398" t="s">
        <v>300</v>
      </c>
      <c r="B6" s="395">
        <v>2</v>
      </c>
      <c r="C6" s="395"/>
      <c r="D6" s="395"/>
      <c r="E6" s="396">
        <v>364.33</v>
      </c>
      <c r="F6" s="396"/>
      <c r="G6" s="397"/>
    </row>
    <row r="7" spans="1:7" ht="14.4" customHeight="1" x14ac:dyDescent="0.3">
      <c r="A7" s="392" t="s">
        <v>203</v>
      </c>
    </row>
    <row r="8" spans="1:7" ht="14.4" customHeight="1" x14ac:dyDescent="0.3">
      <c r="A8" s="393" t="s">
        <v>297</v>
      </c>
    </row>
    <row r="9" spans="1:7" ht="14.4" customHeight="1" x14ac:dyDescent="0.3">
      <c r="A9" s="392" t="s">
        <v>298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.109375" style="101" bestFit="1" customWidth="1"/>
    <col min="5" max="5" width="8" style="101" customWidth="1"/>
    <col min="6" max="6" width="50.88671875" style="101" bestFit="1" customWidth="1" collapsed="1"/>
    <col min="7" max="8" width="11.109375" style="175" hidden="1" customWidth="1" outlineLevel="1"/>
    <col min="9" max="10" width="9.33203125" style="101" hidden="1" customWidth="1"/>
    <col min="11" max="12" width="11.109375" style="175" customWidth="1"/>
    <col min="13" max="14" width="9.33203125" style="101" hidden="1" customWidth="1"/>
    <col min="15" max="16" width="11.109375" style="175" customWidth="1"/>
    <col min="17" max="17" width="11.109375" style="176" customWidth="1"/>
    <col min="18" max="18" width="11.109375" style="175" customWidth="1"/>
    <col min="19" max="16384" width="8.88671875" style="101"/>
  </cols>
  <sheetData>
    <row r="1" spans="1:18" ht="18.600000000000001" customHeight="1" thickBot="1" x14ac:dyDescent="0.4">
      <c r="A1" s="263" t="s">
        <v>309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</row>
    <row r="2" spans="1:18" ht="14.4" customHeight="1" thickBot="1" x14ac:dyDescent="0.35">
      <c r="A2" s="189" t="s">
        <v>204</v>
      </c>
      <c r="B2" s="166"/>
      <c r="C2" s="166"/>
      <c r="D2" s="83"/>
      <c r="E2" s="83"/>
      <c r="F2" s="83"/>
      <c r="G2" s="187"/>
      <c r="H2" s="187"/>
      <c r="I2" s="83"/>
      <c r="J2" s="83"/>
      <c r="K2" s="187"/>
      <c r="L2" s="187"/>
      <c r="M2" s="83"/>
      <c r="N2" s="83"/>
      <c r="O2" s="187"/>
      <c r="P2" s="187"/>
      <c r="Q2" s="184"/>
      <c r="R2" s="187"/>
    </row>
    <row r="3" spans="1:18" ht="14.4" customHeight="1" thickBot="1" x14ac:dyDescent="0.35">
      <c r="F3" s="62" t="s">
        <v>96</v>
      </c>
      <c r="G3" s="74">
        <f t="shared" ref="G3:P3" si="0">SUBTOTAL(9,G6:G1048576)</f>
        <v>2</v>
      </c>
      <c r="H3" s="75">
        <f t="shared" si="0"/>
        <v>364.33</v>
      </c>
      <c r="I3" s="57"/>
      <c r="J3" s="57"/>
      <c r="K3" s="75">
        <f t="shared" si="0"/>
        <v>0</v>
      </c>
      <c r="L3" s="75">
        <f t="shared" si="0"/>
        <v>0</v>
      </c>
      <c r="M3" s="57"/>
      <c r="N3" s="57"/>
      <c r="O3" s="75">
        <f t="shared" si="0"/>
        <v>0</v>
      </c>
      <c r="P3" s="75">
        <f t="shared" si="0"/>
        <v>0</v>
      </c>
      <c r="Q3" s="58">
        <f>IF(L3=0,0,P3/L3)</f>
        <v>0</v>
      </c>
      <c r="R3" s="76">
        <f>IF(O3=0,0,P3/O3)</f>
        <v>0</v>
      </c>
    </row>
    <row r="4" spans="1:18" ht="14.4" customHeight="1" x14ac:dyDescent="0.3">
      <c r="A4" s="338" t="s">
        <v>166</v>
      </c>
      <c r="B4" s="338" t="s">
        <v>69</v>
      </c>
      <c r="C4" s="346" t="s">
        <v>0</v>
      </c>
      <c r="D4" s="340" t="s">
        <v>70</v>
      </c>
      <c r="E4" s="345" t="s">
        <v>45</v>
      </c>
      <c r="F4" s="341" t="s">
        <v>44</v>
      </c>
      <c r="G4" s="342">
        <v>2015</v>
      </c>
      <c r="H4" s="343"/>
      <c r="I4" s="73"/>
      <c r="J4" s="73"/>
      <c r="K4" s="342">
        <v>2016</v>
      </c>
      <c r="L4" s="343"/>
      <c r="M4" s="73"/>
      <c r="N4" s="73"/>
      <c r="O4" s="342">
        <v>2017</v>
      </c>
      <c r="P4" s="343"/>
      <c r="Q4" s="344" t="s">
        <v>1</v>
      </c>
      <c r="R4" s="339" t="s">
        <v>72</v>
      </c>
    </row>
    <row r="5" spans="1:18" ht="14.4" customHeight="1" thickBot="1" x14ac:dyDescent="0.35">
      <c r="A5" s="399"/>
      <c r="B5" s="399"/>
      <c r="C5" s="400"/>
      <c r="D5" s="401"/>
      <c r="E5" s="402"/>
      <c r="F5" s="403"/>
      <c r="G5" s="404" t="s">
        <v>46</v>
      </c>
      <c r="H5" s="405" t="s">
        <v>3</v>
      </c>
      <c r="I5" s="406"/>
      <c r="J5" s="406"/>
      <c r="K5" s="404" t="s">
        <v>46</v>
      </c>
      <c r="L5" s="405" t="s">
        <v>3</v>
      </c>
      <c r="M5" s="406"/>
      <c r="N5" s="406"/>
      <c r="O5" s="404" t="s">
        <v>46</v>
      </c>
      <c r="P5" s="405" t="s">
        <v>3</v>
      </c>
      <c r="Q5" s="407"/>
      <c r="R5" s="408"/>
    </row>
    <row r="6" spans="1:18" ht="14.4" customHeight="1" x14ac:dyDescent="0.3">
      <c r="A6" s="409" t="s">
        <v>302</v>
      </c>
      <c r="B6" s="410" t="s">
        <v>303</v>
      </c>
      <c r="C6" s="410" t="s">
        <v>295</v>
      </c>
      <c r="D6" s="410" t="s">
        <v>304</v>
      </c>
      <c r="E6" s="410" t="s">
        <v>305</v>
      </c>
      <c r="F6" s="410" t="s">
        <v>306</v>
      </c>
      <c r="G6" s="411">
        <v>1</v>
      </c>
      <c r="H6" s="411">
        <v>33.33</v>
      </c>
      <c r="I6" s="410"/>
      <c r="J6" s="410">
        <v>33.33</v>
      </c>
      <c r="K6" s="411"/>
      <c r="L6" s="411"/>
      <c r="M6" s="410"/>
      <c r="N6" s="410"/>
      <c r="O6" s="411"/>
      <c r="P6" s="411"/>
      <c r="Q6" s="412"/>
      <c r="R6" s="413"/>
    </row>
    <row r="7" spans="1:18" ht="14.4" customHeight="1" thickBot="1" x14ac:dyDescent="0.35">
      <c r="A7" s="414" t="s">
        <v>302</v>
      </c>
      <c r="B7" s="415" t="s">
        <v>303</v>
      </c>
      <c r="C7" s="415" t="s">
        <v>295</v>
      </c>
      <c r="D7" s="415" t="s">
        <v>304</v>
      </c>
      <c r="E7" s="415" t="s">
        <v>307</v>
      </c>
      <c r="F7" s="415" t="s">
        <v>308</v>
      </c>
      <c r="G7" s="416">
        <v>1</v>
      </c>
      <c r="H7" s="416">
        <v>331</v>
      </c>
      <c r="I7" s="415"/>
      <c r="J7" s="415">
        <v>331</v>
      </c>
      <c r="K7" s="416"/>
      <c r="L7" s="416"/>
      <c r="M7" s="415"/>
      <c r="N7" s="415"/>
      <c r="O7" s="416"/>
      <c r="P7" s="416"/>
      <c r="Q7" s="417"/>
      <c r="R7" s="418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7.77734375" style="101" customWidth="1"/>
    <col min="5" max="5" width="2.109375" style="101" bestFit="1" customWidth="1"/>
    <col min="6" max="6" width="8" style="101" customWidth="1"/>
    <col min="7" max="7" width="50.88671875" style="101" bestFit="1" customWidth="1" collapsed="1"/>
    <col min="8" max="9" width="11.109375" style="175" hidden="1" customWidth="1" outlineLevel="1"/>
    <col min="10" max="11" width="9.33203125" style="101" hidden="1" customWidth="1"/>
    <col min="12" max="13" width="11.109375" style="175" customWidth="1"/>
    <col min="14" max="15" width="9.33203125" style="101" hidden="1" customWidth="1"/>
    <col min="16" max="17" width="11.109375" style="175" customWidth="1"/>
    <col min="18" max="18" width="11.109375" style="176" customWidth="1"/>
    <col min="19" max="19" width="11.109375" style="175" customWidth="1"/>
    <col min="20" max="16384" width="8.88671875" style="101"/>
  </cols>
  <sheetData>
    <row r="1" spans="1:19" ht="18.600000000000001" customHeight="1" thickBot="1" x14ac:dyDescent="0.4">
      <c r="A1" s="263" t="s">
        <v>310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</row>
    <row r="2" spans="1:19" ht="14.4" customHeight="1" thickBot="1" x14ac:dyDescent="0.35">
      <c r="A2" s="189" t="s">
        <v>204</v>
      </c>
      <c r="B2" s="166"/>
      <c r="C2" s="166"/>
      <c r="D2" s="166"/>
      <c r="E2" s="83"/>
      <c r="F2" s="83"/>
      <c r="G2" s="83"/>
      <c r="H2" s="187"/>
      <c r="I2" s="187"/>
      <c r="J2" s="83"/>
      <c r="K2" s="83"/>
      <c r="L2" s="187"/>
      <c r="M2" s="187"/>
      <c r="N2" s="83"/>
      <c r="O2" s="83"/>
      <c r="P2" s="187"/>
      <c r="Q2" s="187"/>
      <c r="R2" s="184"/>
      <c r="S2" s="187"/>
    </row>
    <row r="3" spans="1:19" ht="14.4" customHeight="1" thickBot="1" x14ac:dyDescent="0.35">
      <c r="G3" s="62" t="s">
        <v>96</v>
      </c>
      <c r="H3" s="74">
        <f t="shared" ref="H3:Q3" si="0">SUBTOTAL(9,H6:H1048576)</f>
        <v>2</v>
      </c>
      <c r="I3" s="75">
        <f t="shared" si="0"/>
        <v>364.33</v>
      </c>
      <c r="J3" s="57"/>
      <c r="K3" s="57"/>
      <c r="L3" s="75">
        <f t="shared" si="0"/>
        <v>0</v>
      </c>
      <c r="M3" s="75">
        <f t="shared" si="0"/>
        <v>0</v>
      </c>
      <c r="N3" s="57"/>
      <c r="O3" s="57"/>
      <c r="P3" s="75">
        <f t="shared" si="0"/>
        <v>0</v>
      </c>
      <c r="Q3" s="75">
        <f t="shared" si="0"/>
        <v>0</v>
      </c>
      <c r="R3" s="58">
        <f>IF(M3=0,0,Q3/M3)</f>
        <v>0</v>
      </c>
      <c r="S3" s="76">
        <f>IF(P3=0,0,Q3/P3)</f>
        <v>0</v>
      </c>
    </row>
    <row r="4" spans="1:19" ht="14.4" customHeight="1" x14ac:dyDescent="0.3">
      <c r="A4" s="338" t="s">
        <v>166</v>
      </c>
      <c r="B4" s="338" t="s">
        <v>69</v>
      </c>
      <c r="C4" s="346" t="s">
        <v>0</v>
      </c>
      <c r="D4" s="204" t="s">
        <v>97</v>
      </c>
      <c r="E4" s="340" t="s">
        <v>70</v>
      </c>
      <c r="F4" s="345" t="s">
        <v>45</v>
      </c>
      <c r="G4" s="341" t="s">
        <v>44</v>
      </c>
      <c r="H4" s="342">
        <v>2015</v>
      </c>
      <c r="I4" s="343"/>
      <c r="J4" s="73"/>
      <c r="K4" s="73"/>
      <c r="L4" s="342">
        <v>2016</v>
      </c>
      <c r="M4" s="343"/>
      <c r="N4" s="73"/>
      <c r="O4" s="73"/>
      <c r="P4" s="342">
        <v>2017</v>
      </c>
      <c r="Q4" s="343"/>
      <c r="R4" s="344" t="s">
        <v>1</v>
      </c>
      <c r="S4" s="339" t="s">
        <v>72</v>
      </c>
    </row>
    <row r="5" spans="1:19" ht="14.4" customHeight="1" thickBot="1" x14ac:dyDescent="0.35">
      <c r="A5" s="399"/>
      <c r="B5" s="399"/>
      <c r="C5" s="400"/>
      <c r="D5" s="419"/>
      <c r="E5" s="401"/>
      <c r="F5" s="402"/>
      <c r="G5" s="403"/>
      <c r="H5" s="404" t="s">
        <v>46</v>
      </c>
      <c r="I5" s="405" t="s">
        <v>3</v>
      </c>
      <c r="J5" s="406"/>
      <c r="K5" s="406"/>
      <c r="L5" s="404" t="s">
        <v>46</v>
      </c>
      <c r="M5" s="405" t="s">
        <v>3</v>
      </c>
      <c r="N5" s="406"/>
      <c r="O5" s="406"/>
      <c r="P5" s="404" t="s">
        <v>46</v>
      </c>
      <c r="Q5" s="405" t="s">
        <v>3</v>
      </c>
      <c r="R5" s="407"/>
      <c r="S5" s="408"/>
    </row>
    <row r="6" spans="1:19" ht="14.4" customHeight="1" x14ac:dyDescent="0.3">
      <c r="A6" s="409" t="s">
        <v>302</v>
      </c>
      <c r="B6" s="410" t="s">
        <v>303</v>
      </c>
      <c r="C6" s="410" t="s">
        <v>295</v>
      </c>
      <c r="D6" s="410" t="s">
        <v>300</v>
      </c>
      <c r="E6" s="410" t="s">
        <v>304</v>
      </c>
      <c r="F6" s="410" t="s">
        <v>305</v>
      </c>
      <c r="G6" s="410" t="s">
        <v>306</v>
      </c>
      <c r="H6" s="411">
        <v>1</v>
      </c>
      <c r="I6" s="411">
        <v>33.33</v>
      </c>
      <c r="J6" s="410"/>
      <c r="K6" s="410">
        <v>33.33</v>
      </c>
      <c r="L6" s="411"/>
      <c r="M6" s="411"/>
      <c r="N6" s="410"/>
      <c r="O6" s="410"/>
      <c r="P6" s="411"/>
      <c r="Q6" s="411"/>
      <c r="R6" s="412"/>
      <c r="S6" s="413"/>
    </row>
    <row r="7" spans="1:19" ht="14.4" customHeight="1" thickBot="1" x14ac:dyDescent="0.35">
      <c r="A7" s="414" t="s">
        <v>302</v>
      </c>
      <c r="B7" s="415" t="s">
        <v>303</v>
      </c>
      <c r="C7" s="415" t="s">
        <v>295</v>
      </c>
      <c r="D7" s="415" t="s">
        <v>300</v>
      </c>
      <c r="E7" s="415" t="s">
        <v>304</v>
      </c>
      <c r="F7" s="415" t="s">
        <v>307</v>
      </c>
      <c r="G7" s="415" t="s">
        <v>308</v>
      </c>
      <c r="H7" s="416">
        <v>1</v>
      </c>
      <c r="I7" s="416">
        <v>331</v>
      </c>
      <c r="J7" s="415"/>
      <c r="K7" s="415">
        <v>331</v>
      </c>
      <c r="L7" s="416"/>
      <c r="M7" s="416"/>
      <c r="N7" s="415"/>
      <c r="O7" s="415"/>
      <c r="P7" s="416"/>
      <c r="Q7" s="416"/>
      <c r="R7" s="417"/>
      <c r="S7" s="418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1" bestFit="1" customWidth="1" collapsed="1"/>
    <col min="2" max="2" width="7.77734375" style="78" hidden="1" customWidth="1" outlineLevel="1"/>
    <col min="3" max="3" width="0.109375" style="101" hidden="1" customWidth="1"/>
    <col min="4" max="4" width="7.77734375" style="78" customWidth="1"/>
    <col min="5" max="5" width="5.44140625" style="101" hidden="1" customWidth="1"/>
    <col min="6" max="6" width="7.77734375" style="78" customWidth="1"/>
    <col min="7" max="7" width="7.77734375" style="176" customWidth="1" collapsed="1"/>
    <col min="8" max="8" width="7.77734375" style="78" hidden="1" customWidth="1" outlineLevel="1"/>
    <col min="9" max="9" width="5.44140625" style="101" hidden="1" customWidth="1"/>
    <col min="10" max="10" width="7.77734375" style="78" customWidth="1"/>
    <col min="11" max="11" width="5.44140625" style="101" hidden="1" customWidth="1"/>
    <col min="12" max="12" width="7.77734375" style="78" customWidth="1"/>
    <col min="13" max="13" width="7.77734375" style="176" customWidth="1" collapsed="1"/>
    <col min="14" max="14" width="7.77734375" style="78" hidden="1" customWidth="1" outlineLevel="1"/>
    <col min="15" max="15" width="5" style="101" hidden="1" customWidth="1"/>
    <col min="16" max="16" width="7.77734375" style="78" customWidth="1"/>
    <col min="17" max="17" width="5" style="101" hidden="1" customWidth="1"/>
    <col min="18" max="18" width="7.77734375" style="78" customWidth="1"/>
    <col min="19" max="19" width="7.77734375" style="176" customWidth="1"/>
    <col min="20" max="16384" width="8.88671875" style="101"/>
  </cols>
  <sheetData>
    <row r="1" spans="1:19" ht="18.600000000000001" customHeight="1" thickBot="1" x14ac:dyDescent="0.4">
      <c r="A1" s="275" t="s">
        <v>95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</row>
    <row r="2" spans="1:19" ht="14.4" customHeight="1" thickBot="1" x14ac:dyDescent="0.35">
      <c r="A2" s="189" t="s">
        <v>204</v>
      </c>
      <c r="B2" s="183"/>
      <c r="C2" s="83"/>
      <c r="D2" s="183"/>
      <c r="E2" s="83"/>
      <c r="F2" s="183"/>
      <c r="G2" s="184"/>
      <c r="H2" s="183"/>
      <c r="I2" s="83"/>
      <c r="J2" s="183"/>
      <c r="K2" s="83"/>
      <c r="L2" s="183"/>
      <c r="M2" s="184"/>
      <c r="N2" s="183"/>
      <c r="O2" s="83"/>
      <c r="P2" s="183"/>
      <c r="Q2" s="83"/>
      <c r="R2" s="183"/>
      <c r="S2" s="184"/>
    </row>
    <row r="3" spans="1:19" ht="14.4" customHeight="1" thickBot="1" x14ac:dyDescent="0.35">
      <c r="A3" s="177" t="s">
        <v>96</v>
      </c>
      <c r="B3" s="178">
        <f>SUBTOTAL(9,B6:B1048576)</f>
        <v>42513</v>
      </c>
      <c r="C3" s="179">
        <f t="shared" ref="C3:R3" si="0">SUBTOTAL(9,C6:C1048576)</f>
        <v>23.467687830410188</v>
      </c>
      <c r="D3" s="179">
        <f t="shared" si="0"/>
        <v>26196</v>
      </c>
      <c r="E3" s="179">
        <f t="shared" si="0"/>
        <v>14</v>
      </c>
      <c r="F3" s="179">
        <f t="shared" si="0"/>
        <v>57296</v>
      </c>
      <c r="G3" s="182">
        <f>IF(D3&lt;&gt;0,F3/D3,"")</f>
        <v>2.1872041533058484</v>
      </c>
      <c r="H3" s="178">
        <f t="shared" si="0"/>
        <v>0</v>
      </c>
      <c r="I3" s="179">
        <f t="shared" si="0"/>
        <v>0</v>
      </c>
      <c r="J3" s="179">
        <f t="shared" si="0"/>
        <v>0</v>
      </c>
      <c r="K3" s="179">
        <f t="shared" si="0"/>
        <v>0</v>
      </c>
      <c r="L3" s="179">
        <f t="shared" si="0"/>
        <v>0</v>
      </c>
      <c r="M3" s="180" t="str">
        <f>IF(J3&lt;&gt;0,L3/J3,"")</f>
        <v/>
      </c>
      <c r="N3" s="181">
        <f t="shared" si="0"/>
        <v>0</v>
      </c>
      <c r="O3" s="179">
        <f t="shared" si="0"/>
        <v>0</v>
      </c>
      <c r="P3" s="179">
        <f t="shared" si="0"/>
        <v>0</v>
      </c>
      <c r="Q3" s="179">
        <f t="shared" si="0"/>
        <v>0</v>
      </c>
      <c r="R3" s="179">
        <f t="shared" si="0"/>
        <v>0</v>
      </c>
      <c r="S3" s="180" t="str">
        <f>IF(P3&lt;&gt;0,R3/P3,"")</f>
        <v/>
      </c>
    </row>
    <row r="4" spans="1:19" ht="14.4" customHeight="1" x14ac:dyDescent="0.3">
      <c r="A4" s="331" t="s">
        <v>79</v>
      </c>
      <c r="B4" s="332" t="s">
        <v>73</v>
      </c>
      <c r="C4" s="333"/>
      <c r="D4" s="333"/>
      <c r="E4" s="333"/>
      <c r="F4" s="333"/>
      <c r="G4" s="335"/>
      <c r="H4" s="332" t="s">
        <v>74</v>
      </c>
      <c r="I4" s="333"/>
      <c r="J4" s="333"/>
      <c r="K4" s="333"/>
      <c r="L4" s="333"/>
      <c r="M4" s="335"/>
      <c r="N4" s="332" t="s">
        <v>75</v>
      </c>
      <c r="O4" s="333"/>
      <c r="P4" s="333"/>
      <c r="Q4" s="333"/>
      <c r="R4" s="333"/>
      <c r="S4" s="335"/>
    </row>
    <row r="5" spans="1:19" ht="14.4" customHeight="1" thickBot="1" x14ac:dyDescent="0.35">
      <c r="A5" s="379"/>
      <c r="B5" s="380">
        <v>2015</v>
      </c>
      <c r="C5" s="381"/>
      <c r="D5" s="381">
        <v>2016</v>
      </c>
      <c r="E5" s="381"/>
      <c r="F5" s="381">
        <v>2017</v>
      </c>
      <c r="G5" s="420" t="s">
        <v>1</v>
      </c>
      <c r="H5" s="380">
        <v>2015</v>
      </c>
      <c r="I5" s="381"/>
      <c r="J5" s="381">
        <v>2016</v>
      </c>
      <c r="K5" s="381"/>
      <c r="L5" s="381">
        <v>2017</v>
      </c>
      <c r="M5" s="420" t="s">
        <v>1</v>
      </c>
      <c r="N5" s="380">
        <v>2015</v>
      </c>
      <c r="O5" s="381"/>
      <c r="P5" s="381">
        <v>2016</v>
      </c>
      <c r="Q5" s="381"/>
      <c r="R5" s="381">
        <v>2017</v>
      </c>
      <c r="S5" s="420" t="s">
        <v>1</v>
      </c>
    </row>
    <row r="6" spans="1:19" ht="14.4" customHeight="1" x14ac:dyDescent="0.3">
      <c r="A6" s="430" t="s">
        <v>311</v>
      </c>
      <c r="B6" s="421">
        <v>3142</v>
      </c>
      <c r="C6" s="410">
        <v>0.93428486470413319</v>
      </c>
      <c r="D6" s="421">
        <v>3363</v>
      </c>
      <c r="E6" s="410">
        <v>1</v>
      </c>
      <c r="F6" s="421">
        <v>3369</v>
      </c>
      <c r="G6" s="412">
        <v>1.0017841213202499</v>
      </c>
      <c r="H6" s="421"/>
      <c r="I6" s="410"/>
      <c r="J6" s="421"/>
      <c r="K6" s="410"/>
      <c r="L6" s="421"/>
      <c r="M6" s="412"/>
      <c r="N6" s="421"/>
      <c r="O6" s="410"/>
      <c r="P6" s="421"/>
      <c r="Q6" s="410"/>
      <c r="R6" s="421"/>
      <c r="S6" s="422"/>
    </row>
    <row r="7" spans="1:19" ht="14.4" customHeight="1" x14ac:dyDescent="0.3">
      <c r="A7" s="431" t="s">
        <v>312</v>
      </c>
      <c r="B7" s="424">
        <v>6288</v>
      </c>
      <c r="C7" s="425">
        <v>1.691686844229217</v>
      </c>
      <c r="D7" s="424">
        <v>3717</v>
      </c>
      <c r="E7" s="425">
        <v>1</v>
      </c>
      <c r="F7" s="424">
        <v>7808</v>
      </c>
      <c r="G7" s="426">
        <v>2.1006187785848804</v>
      </c>
      <c r="H7" s="424"/>
      <c r="I7" s="425"/>
      <c r="J7" s="424"/>
      <c r="K7" s="425"/>
      <c r="L7" s="424"/>
      <c r="M7" s="426"/>
      <c r="N7" s="424"/>
      <c r="O7" s="425"/>
      <c r="P7" s="424"/>
      <c r="Q7" s="425"/>
      <c r="R7" s="424"/>
      <c r="S7" s="427"/>
    </row>
    <row r="8" spans="1:19" ht="14.4" customHeight="1" x14ac:dyDescent="0.3">
      <c r="A8" s="431" t="s">
        <v>313</v>
      </c>
      <c r="B8" s="424">
        <v>16874</v>
      </c>
      <c r="C8" s="425">
        <v>6.8095238095238093</v>
      </c>
      <c r="D8" s="424">
        <v>2478</v>
      </c>
      <c r="E8" s="425">
        <v>1</v>
      </c>
      <c r="F8" s="424">
        <v>7451</v>
      </c>
      <c r="G8" s="426">
        <v>3.0068603712671509</v>
      </c>
      <c r="H8" s="424"/>
      <c r="I8" s="425"/>
      <c r="J8" s="424"/>
      <c r="K8" s="425"/>
      <c r="L8" s="424"/>
      <c r="M8" s="426"/>
      <c r="N8" s="424"/>
      <c r="O8" s="425"/>
      <c r="P8" s="424"/>
      <c r="Q8" s="425"/>
      <c r="R8" s="424"/>
      <c r="S8" s="427"/>
    </row>
    <row r="9" spans="1:19" ht="14.4" customHeight="1" x14ac:dyDescent="0.3">
      <c r="A9" s="431" t="s">
        <v>314</v>
      </c>
      <c r="B9" s="424">
        <v>496</v>
      </c>
      <c r="C9" s="425"/>
      <c r="D9" s="424"/>
      <c r="E9" s="425"/>
      <c r="F9" s="424">
        <v>355</v>
      </c>
      <c r="G9" s="426"/>
      <c r="H9" s="424"/>
      <c r="I9" s="425"/>
      <c r="J9" s="424"/>
      <c r="K9" s="425"/>
      <c r="L9" s="424"/>
      <c r="M9" s="426"/>
      <c r="N9" s="424"/>
      <c r="O9" s="425"/>
      <c r="P9" s="424"/>
      <c r="Q9" s="425"/>
      <c r="R9" s="424"/>
      <c r="S9" s="427"/>
    </row>
    <row r="10" spans="1:19" ht="14.4" customHeight="1" x14ac:dyDescent="0.3">
      <c r="A10" s="431" t="s">
        <v>315</v>
      </c>
      <c r="B10" s="424">
        <v>5292</v>
      </c>
      <c r="C10" s="425">
        <v>1.4949152542372881</v>
      </c>
      <c r="D10" s="424">
        <v>3540</v>
      </c>
      <c r="E10" s="425">
        <v>1</v>
      </c>
      <c r="F10" s="424">
        <v>15254</v>
      </c>
      <c r="G10" s="426">
        <v>4.3090395480225991</v>
      </c>
      <c r="H10" s="424"/>
      <c r="I10" s="425"/>
      <c r="J10" s="424"/>
      <c r="K10" s="425"/>
      <c r="L10" s="424"/>
      <c r="M10" s="426"/>
      <c r="N10" s="424"/>
      <c r="O10" s="425"/>
      <c r="P10" s="424"/>
      <c r="Q10" s="425"/>
      <c r="R10" s="424"/>
      <c r="S10" s="427"/>
    </row>
    <row r="11" spans="1:19" ht="14.4" customHeight="1" x14ac:dyDescent="0.3">
      <c r="A11" s="431" t="s">
        <v>316</v>
      </c>
      <c r="B11" s="424"/>
      <c r="C11" s="425"/>
      <c r="D11" s="424">
        <v>354</v>
      </c>
      <c r="E11" s="425">
        <v>1</v>
      </c>
      <c r="F11" s="424">
        <v>1242</v>
      </c>
      <c r="G11" s="426">
        <v>3.5084745762711864</v>
      </c>
      <c r="H11" s="424"/>
      <c r="I11" s="425"/>
      <c r="J11" s="424"/>
      <c r="K11" s="425"/>
      <c r="L11" s="424"/>
      <c r="M11" s="426"/>
      <c r="N11" s="424"/>
      <c r="O11" s="425"/>
      <c r="P11" s="424"/>
      <c r="Q11" s="425"/>
      <c r="R11" s="424"/>
      <c r="S11" s="427"/>
    </row>
    <row r="12" spans="1:19" ht="14.4" customHeight="1" x14ac:dyDescent="0.3">
      <c r="A12" s="431" t="s">
        <v>317</v>
      </c>
      <c r="B12" s="424">
        <v>2812</v>
      </c>
      <c r="C12" s="425">
        <v>0.66195856873822978</v>
      </c>
      <c r="D12" s="424">
        <v>4248</v>
      </c>
      <c r="E12" s="425">
        <v>1</v>
      </c>
      <c r="F12" s="424">
        <v>5143</v>
      </c>
      <c r="G12" s="426">
        <v>1.2106873822975517</v>
      </c>
      <c r="H12" s="424"/>
      <c r="I12" s="425"/>
      <c r="J12" s="424"/>
      <c r="K12" s="425"/>
      <c r="L12" s="424"/>
      <c r="M12" s="426"/>
      <c r="N12" s="424"/>
      <c r="O12" s="425"/>
      <c r="P12" s="424"/>
      <c r="Q12" s="425"/>
      <c r="R12" s="424"/>
      <c r="S12" s="427"/>
    </row>
    <row r="13" spans="1:19" ht="14.4" customHeight="1" x14ac:dyDescent="0.3">
      <c r="A13" s="431" t="s">
        <v>318</v>
      </c>
      <c r="B13" s="424"/>
      <c r="C13" s="425"/>
      <c r="D13" s="424"/>
      <c r="E13" s="425"/>
      <c r="F13" s="424">
        <v>887</v>
      </c>
      <c r="G13" s="426"/>
      <c r="H13" s="424"/>
      <c r="I13" s="425"/>
      <c r="J13" s="424"/>
      <c r="K13" s="425"/>
      <c r="L13" s="424"/>
      <c r="M13" s="426"/>
      <c r="N13" s="424"/>
      <c r="O13" s="425"/>
      <c r="P13" s="424"/>
      <c r="Q13" s="425"/>
      <c r="R13" s="424"/>
      <c r="S13" s="427"/>
    </row>
    <row r="14" spans="1:19" ht="14.4" customHeight="1" x14ac:dyDescent="0.3">
      <c r="A14" s="431" t="s">
        <v>319</v>
      </c>
      <c r="B14" s="424">
        <v>1158</v>
      </c>
      <c r="C14" s="425">
        <v>0.65423728813559323</v>
      </c>
      <c r="D14" s="424">
        <v>1770</v>
      </c>
      <c r="E14" s="425">
        <v>1</v>
      </c>
      <c r="F14" s="424"/>
      <c r="G14" s="426"/>
      <c r="H14" s="424"/>
      <c r="I14" s="425"/>
      <c r="J14" s="424"/>
      <c r="K14" s="425"/>
      <c r="L14" s="424"/>
      <c r="M14" s="426"/>
      <c r="N14" s="424"/>
      <c r="O14" s="425"/>
      <c r="P14" s="424"/>
      <c r="Q14" s="425"/>
      <c r="R14" s="424"/>
      <c r="S14" s="427"/>
    </row>
    <row r="15" spans="1:19" ht="14.4" customHeight="1" x14ac:dyDescent="0.3">
      <c r="A15" s="431" t="s">
        <v>320</v>
      </c>
      <c r="B15" s="424">
        <v>993</v>
      </c>
      <c r="C15" s="425">
        <v>2.8050847457627119</v>
      </c>
      <c r="D15" s="424">
        <v>354</v>
      </c>
      <c r="E15" s="425">
        <v>1</v>
      </c>
      <c r="F15" s="424">
        <v>3903</v>
      </c>
      <c r="G15" s="426">
        <v>11.025423728813559</v>
      </c>
      <c r="H15" s="424"/>
      <c r="I15" s="425"/>
      <c r="J15" s="424"/>
      <c r="K15" s="425"/>
      <c r="L15" s="424"/>
      <c r="M15" s="426"/>
      <c r="N15" s="424"/>
      <c r="O15" s="425"/>
      <c r="P15" s="424"/>
      <c r="Q15" s="425"/>
      <c r="R15" s="424"/>
      <c r="S15" s="427"/>
    </row>
    <row r="16" spans="1:19" ht="14.4" customHeight="1" x14ac:dyDescent="0.3">
      <c r="A16" s="431" t="s">
        <v>321</v>
      </c>
      <c r="B16" s="424">
        <v>827</v>
      </c>
      <c r="C16" s="425">
        <v>2.3361581920903953</v>
      </c>
      <c r="D16" s="424">
        <v>354</v>
      </c>
      <c r="E16" s="425">
        <v>1</v>
      </c>
      <c r="F16" s="424">
        <v>710</v>
      </c>
      <c r="G16" s="426">
        <v>2.0056497175141241</v>
      </c>
      <c r="H16" s="424"/>
      <c r="I16" s="425"/>
      <c r="J16" s="424"/>
      <c r="K16" s="425"/>
      <c r="L16" s="424"/>
      <c r="M16" s="426"/>
      <c r="N16" s="424"/>
      <c r="O16" s="425"/>
      <c r="P16" s="424"/>
      <c r="Q16" s="425"/>
      <c r="R16" s="424"/>
      <c r="S16" s="427"/>
    </row>
    <row r="17" spans="1:19" ht="14.4" customHeight="1" x14ac:dyDescent="0.3">
      <c r="A17" s="431" t="s">
        <v>322</v>
      </c>
      <c r="B17" s="424">
        <v>1489</v>
      </c>
      <c r="C17" s="425">
        <v>4.2062146892655363</v>
      </c>
      <c r="D17" s="424">
        <v>354</v>
      </c>
      <c r="E17" s="425">
        <v>1</v>
      </c>
      <c r="F17" s="424">
        <v>1773</v>
      </c>
      <c r="G17" s="426">
        <v>5.0084745762711869</v>
      </c>
      <c r="H17" s="424"/>
      <c r="I17" s="425"/>
      <c r="J17" s="424"/>
      <c r="K17" s="425"/>
      <c r="L17" s="424"/>
      <c r="M17" s="426"/>
      <c r="N17" s="424"/>
      <c r="O17" s="425"/>
      <c r="P17" s="424"/>
      <c r="Q17" s="425"/>
      <c r="R17" s="424"/>
      <c r="S17" s="427"/>
    </row>
    <row r="18" spans="1:19" ht="14.4" customHeight="1" x14ac:dyDescent="0.3">
      <c r="A18" s="431" t="s">
        <v>323</v>
      </c>
      <c r="B18" s="424">
        <v>1985</v>
      </c>
      <c r="C18" s="425">
        <v>0.65968760385510139</v>
      </c>
      <c r="D18" s="424">
        <v>3009</v>
      </c>
      <c r="E18" s="425">
        <v>1</v>
      </c>
      <c r="F18" s="424">
        <v>6564</v>
      </c>
      <c r="G18" s="426">
        <v>2.1814556331006978</v>
      </c>
      <c r="H18" s="424"/>
      <c r="I18" s="425"/>
      <c r="J18" s="424"/>
      <c r="K18" s="425"/>
      <c r="L18" s="424"/>
      <c r="M18" s="426"/>
      <c r="N18" s="424"/>
      <c r="O18" s="425"/>
      <c r="P18" s="424"/>
      <c r="Q18" s="425"/>
      <c r="R18" s="424"/>
      <c r="S18" s="427"/>
    </row>
    <row r="19" spans="1:19" ht="14.4" customHeight="1" x14ac:dyDescent="0.3">
      <c r="A19" s="431" t="s">
        <v>324</v>
      </c>
      <c r="B19" s="424"/>
      <c r="C19" s="425"/>
      <c r="D19" s="424"/>
      <c r="E19" s="425"/>
      <c r="F19" s="424">
        <v>177</v>
      </c>
      <c r="G19" s="426"/>
      <c r="H19" s="424"/>
      <c r="I19" s="425"/>
      <c r="J19" s="424"/>
      <c r="K19" s="425"/>
      <c r="L19" s="424"/>
      <c r="M19" s="426"/>
      <c r="N19" s="424"/>
      <c r="O19" s="425"/>
      <c r="P19" s="424"/>
      <c r="Q19" s="425"/>
      <c r="R19" s="424"/>
      <c r="S19" s="427"/>
    </row>
    <row r="20" spans="1:19" ht="14.4" customHeight="1" x14ac:dyDescent="0.3">
      <c r="A20" s="431" t="s">
        <v>325</v>
      </c>
      <c r="B20" s="424"/>
      <c r="C20" s="425"/>
      <c r="D20" s="424">
        <v>708</v>
      </c>
      <c r="E20" s="425">
        <v>1</v>
      </c>
      <c r="F20" s="424">
        <v>1065</v>
      </c>
      <c r="G20" s="426">
        <v>1.5042372881355932</v>
      </c>
      <c r="H20" s="424"/>
      <c r="I20" s="425"/>
      <c r="J20" s="424"/>
      <c r="K20" s="425"/>
      <c r="L20" s="424"/>
      <c r="M20" s="426"/>
      <c r="N20" s="424"/>
      <c r="O20" s="425"/>
      <c r="P20" s="424"/>
      <c r="Q20" s="425"/>
      <c r="R20" s="424"/>
      <c r="S20" s="427"/>
    </row>
    <row r="21" spans="1:19" ht="14.4" customHeight="1" x14ac:dyDescent="0.3">
      <c r="A21" s="431" t="s">
        <v>326</v>
      </c>
      <c r="B21" s="424">
        <v>496</v>
      </c>
      <c r="C21" s="425">
        <v>0.46704331450094161</v>
      </c>
      <c r="D21" s="424">
        <v>1062</v>
      </c>
      <c r="E21" s="425">
        <v>1</v>
      </c>
      <c r="F21" s="424">
        <v>1595</v>
      </c>
      <c r="G21" s="426">
        <v>1.5018832391713748</v>
      </c>
      <c r="H21" s="424"/>
      <c r="I21" s="425"/>
      <c r="J21" s="424"/>
      <c r="K21" s="425"/>
      <c r="L21" s="424"/>
      <c r="M21" s="426"/>
      <c r="N21" s="424"/>
      <c r="O21" s="425"/>
      <c r="P21" s="424"/>
      <c r="Q21" s="425"/>
      <c r="R21" s="424"/>
      <c r="S21" s="427"/>
    </row>
    <row r="22" spans="1:19" ht="14.4" customHeight="1" thickBot="1" x14ac:dyDescent="0.35">
      <c r="A22" s="432" t="s">
        <v>327</v>
      </c>
      <c r="B22" s="428">
        <v>661</v>
      </c>
      <c r="C22" s="415">
        <v>0.74689265536723159</v>
      </c>
      <c r="D22" s="428">
        <v>885</v>
      </c>
      <c r="E22" s="415">
        <v>1</v>
      </c>
      <c r="F22" s="428"/>
      <c r="G22" s="417"/>
      <c r="H22" s="428"/>
      <c r="I22" s="415"/>
      <c r="J22" s="428"/>
      <c r="K22" s="415"/>
      <c r="L22" s="428"/>
      <c r="M22" s="417"/>
      <c r="N22" s="428"/>
      <c r="O22" s="415"/>
      <c r="P22" s="428"/>
      <c r="Q22" s="415"/>
      <c r="R22" s="428"/>
      <c r="S22" s="42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3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1" bestFit="1" customWidth="1"/>
    <col min="2" max="2" width="8.6640625" style="101" bestFit="1" customWidth="1"/>
    <col min="3" max="3" width="2.109375" style="101" bestFit="1" customWidth="1"/>
    <col min="4" max="4" width="8" style="101" bestFit="1" customWidth="1"/>
    <col min="5" max="5" width="52.88671875" style="101" bestFit="1" customWidth="1" collapsed="1"/>
    <col min="6" max="7" width="11.109375" style="175" hidden="1" customWidth="1" outlineLevel="1"/>
    <col min="8" max="9" width="9.33203125" style="175" hidden="1" customWidth="1"/>
    <col min="10" max="11" width="11.109375" style="175" customWidth="1"/>
    <col min="12" max="13" width="9.33203125" style="175" hidden="1" customWidth="1"/>
    <col min="14" max="15" width="11.109375" style="175" customWidth="1"/>
    <col min="16" max="16" width="11.109375" style="176" customWidth="1"/>
    <col min="17" max="17" width="11.109375" style="175" customWidth="1"/>
    <col min="18" max="16384" width="8.88671875" style="101"/>
  </cols>
  <sheetData>
    <row r="1" spans="1:17" ht="18.600000000000001" customHeight="1" thickBot="1" x14ac:dyDescent="0.4">
      <c r="A1" s="263" t="s">
        <v>347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</row>
    <row r="2" spans="1:17" ht="14.4" customHeight="1" thickBot="1" x14ac:dyDescent="0.35">
      <c r="A2" s="189" t="s">
        <v>204</v>
      </c>
      <c r="B2" s="102"/>
      <c r="C2" s="102"/>
      <c r="D2" s="102"/>
      <c r="E2" s="102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6"/>
      <c r="Q2" s="185"/>
    </row>
    <row r="3" spans="1:17" ht="14.4" customHeight="1" thickBot="1" x14ac:dyDescent="0.35">
      <c r="E3" s="62" t="s">
        <v>96</v>
      </c>
      <c r="F3" s="74">
        <f t="shared" ref="F3:O3" si="0">SUBTOTAL(9,F6:F1048576)</f>
        <v>149</v>
      </c>
      <c r="G3" s="75">
        <f t="shared" si="0"/>
        <v>42513</v>
      </c>
      <c r="H3" s="75"/>
      <c r="I3" s="75"/>
      <c r="J3" s="75">
        <f t="shared" si="0"/>
        <v>84</v>
      </c>
      <c r="K3" s="75">
        <f t="shared" si="0"/>
        <v>26196</v>
      </c>
      <c r="L3" s="75"/>
      <c r="M3" s="75"/>
      <c r="N3" s="75">
        <f t="shared" si="0"/>
        <v>198</v>
      </c>
      <c r="O3" s="75">
        <f t="shared" si="0"/>
        <v>57296</v>
      </c>
      <c r="P3" s="58">
        <f>IF(K3=0,0,O3/K3)</f>
        <v>2.1872041533058484</v>
      </c>
      <c r="Q3" s="76">
        <f>IF(N3=0,0,O3/N3)</f>
        <v>289.37373737373736</v>
      </c>
    </row>
    <row r="4" spans="1:17" ht="14.4" customHeight="1" x14ac:dyDescent="0.3">
      <c r="A4" s="340" t="s">
        <v>43</v>
      </c>
      <c r="B4" s="338" t="s">
        <v>69</v>
      </c>
      <c r="C4" s="340" t="s">
        <v>70</v>
      </c>
      <c r="D4" s="349" t="s">
        <v>71</v>
      </c>
      <c r="E4" s="341" t="s">
        <v>44</v>
      </c>
      <c r="F4" s="347">
        <v>2015</v>
      </c>
      <c r="G4" s="348"/>
      <c r="H4" s="77"/>
      <c r="I4" s="77"/>
      <c r="J4" s="347">
        <v>2016</v>
      </c>
      <c r="K4" s="348"/>
      <c r="L4" s="77"/>
      <c r="M4" s="77"/>
      <c r="N4" s="347">
        <v>2017</v>
      </c>
      <c r="O4" s="348"/>
      <c r="P4" s="350" t="s">
        <v>1</v>
      </c>
      <c r="Q4" s="339" t="s">
        <v>72</v>
      </c>
    </row>
    <row r="5" spans="1:17" ht="14.4" customHeight="1" thickBot="1" x14ac:dyDescent="0.35">
      <c r="A5" s="401"/>
      <c r="B5" s="399"/>
      <c r="C5" s="401"/>
      <c r="D5" s="433"/>
      <c r="E5" s="403"/>
      <c r="F5" s="434" t="s">
        <v>46</v>
      </c>
      <c r="G5" s="435" t="s">
        <v>3</v>
      </c>
      <c r="H5" s="436"/>
      <c r="I5" s="436"/>
      <c r="J5" s="434" t="s">
        <v>46</v>
      </c>
      <c r="K5" s="435" t="s">
        <v>3</v>
      </c>
      <c r="L5" s="436"/>
      <c r="M5" s="436"/>
      <c r="N5" s="434" t="s">
        <v>46</v>
      </c>
      <c r="O5" s="435" t="s">
        <v>3</v>
      </c>
      <c r="P5" s="437"/>
      <c r="Q5" s="408"/>
    </row>
    <row r="6" spans="1:17" ht="14.4" customHeight="1" x14ac:dyDescent="0.3">
      <c r="A6" s="409" t="s">
        <v>328</v>
      </c>
      <c r="B6" s="410" t="s">
        <v>303</v>
      </c>
      <c r="C6" s="410" t="s">
        <v>304</v>
      </c>
      <c r="D6" s="410" t="s">
        <v>307</v>
      </c>
      <c r="E6" s="410" t="s">
        <v>308</v>
      </c>
      <c r="F6" s="411">
        <v>7</v>
      </c>
      <c r="G6" s="411">
        <v>2317</v>
      </c>
      <c r="H6" s="411">
        <v>0.81814971751412424</v>
      </c>
      <c r="I6" s="411">
        <v>331</v>
      </c>
      <c r="J6" s="411">
        <v>8</v>
      </c>
      <c r="K6" s="411">
        <v>2832</v>
      </c>
      <c r="L6" s="411">
        <v>1</v>
      </c>
      <c r="M6" s="411">
        <v>354</v>
      </c>
      <c r="N6" s="411">
        <v>6</v>
      </c>
      <c r="O6" s="411">
        <v>2130</v>
      </c>
      <c r="P6" s="412">
        <v>0.7521186440677966</v>
      </c>
      <c r="Q6" s="413">
        <v>355</v>
      </c>
    </row>
    <row r="7" spans="1:17" ht="14.4" customHeight="1" x14ac:dyDescent="0.3">
      <c r="A7" s="423" t="s">
        <v>328</v>
      </c>
      <c r="B7" s="425" t="s">
        <v>303</v>
      </c>
      <c r="C7" s="425" t="s">
        <v>304</v>
      </c>
      <c r="D7" s="425" t="s">
        <v>329</v>
      </c>
      <c r="E7" s="425" t="s">
        <v>330</v>
      </c>
      <c r="F7" s="438">
        <v>5</v>
      </c>
      <c r="G7" s="438">
        <v>825</v>
      </c>
      <c r="H7" s="438">
        <v>1.5536723163841808</v>
      </c>
      <c r="I7" s="438">
        <v>165</v>
      </c>
      <c r="J7" s="438">
        <v>3</v>
      </c>
      <c r="K7" s="438">
        <v>531</v>
      </c>
      <c r="L7" s="438">
        <v>1</v>
      </c>
      <c r="M7" s="438">
        <v>177</v>
      </c>
      <c r="N7" s="438">
        <v>7</v>
      </c>
      <c r="O7" s="438">
        <v>1239</v>
      </c>
      <c r="P7" s="426">
        <v>2.3333333333333335</v>
      </c>
      <c r="Q7" s="439">
        <v>177</v>
      </c>
    </row>
    <row r="8" spans="1:17" ht="14.4" customHeight="1" x14ac:dyDescent="0.3">
      <c r="A8" s="423" t="s">
        <v>331</v>
      </c>
      <c r="B8" s="425" t="s">
        <v>303</v>
      </c>
      <c r="C8" s="425" t="s">
        <v>304</v>
      </c>
      <c r="D8" s="425" t="s">
        <v>307</v>
      </c>
      <c r="E8" s="425" t="s">
        <v>308</v>
      </c>
      <c r="F8" s="438">
        <v>18</v>
      </c>
      <c r="G8" s="438">
        <v>5958</v>
      </c>
      <c r="H8" s="438">
        <v>2.1038135593220337</v>
      </c>
      <c r="I8" s="438">
        <v>331</v>
      </c>
      <c r="J8" s="438">
        <v>8</v>
      </c>
      <c r="K8" s="438">
        <v>2832</v>
      </c>
      <c r="L8" s="438">
        <v>1</v>
      </c>
      <c r="M8" s="438">
        <v>354</v>
      </c>
      <c r="N8" s="438">
        <v>20</v>
      </c>
      <c r="O8" s="438">
        <v>7100</v>
      </c>
      <c r="P8" s="426">
        <v>2.5070621468926553</v>
      </c>
      <c r="Q8" s="439">
        <v>355</v>
      </c>
    </row>
    <row r="9" spans="1:17" ht="14.4" customHeight="1" x14ac:dyDescent="0.3">
      <c r="A9" s="423" t="s">
        <v>331</v>
      </c>
      <c r="B9" s="425" t="s">
        <v>303</v>
      </c>
      <c r="C9" s="425" t="s">
        <v>304</v>
      </c>
      <c r="D9" s="425" t="s">
        <v>329</v>
      </c>
      <c r="E9" s="425" t="s">
        <v>330</v>
      </c>
      <c r="F9" s="438">
        <v>2</v>
      </c>
      <c r="G9" s="438">
        <v>330</v>
      </c>
      <c r="H9" s="438">
        <v>0.3728813559322034</v>
      </c>
      <c r="I9" s="438">
        <v>165</v>
      </c>
      <c r="J9" s="438">
        <v>5</v>
      </c>
      <c r="K9" s="438">
        <v>885</v>
      </c>
      <c r="L9" s="438">
        <v>1</v>
      </c>
      <c r="M9" s="438">
        <v>177</v>
      </c>
      <c r="N9" s="438">
        <v>4</v>
      </c>
      <c r="O9" s="438">
        <v>708</v>
      </c>
      <c r="P9" s="426">
        <v>0.8</v>
      </c>
      <c r="Q9" s="439">
        <v>177</v>
      </c>
    </row>
    <row r="10" spans="1:17" ht="14.4" customHeight="1" x14ac:dyDescent="0.3">
      <c r="A10" s="423" t="s">
        <v>332</v>
      </c>
      <c r="B10" s="425" t="s">
        <v>303</v>
      </c>
      <c r="C10" s="425" t="s">
        <v>304</v>
      </c>
      <c r="D10" s="425" t="s">
        <v>307</v>
      </c>
      <c r="E10" s="425" t="s">
        <v>308</v>
      </c>
      <c r="F10" s="438">
        <v>44</v>
      </c>
      <c r="G10" s="438">
        <v>14564</v>
      </c>
      <c r="H10" s="438">
        <v>6.8568738229755182</v>
      </c>
      <c r="I10" s="438">
        <v>331</v>
      </c>
      <c r="J10" s="438">
        <v>6</v>
      </c>
      <c r="K10" s="438">
        <v>2124</v>
      </c>
      <c r="L10" s="438">
        <v>1</v>
      </c>
      <c r="M10" s="438">
        <v>354</v>
      </c>
      <c r="N10" s="438">
        <v>17</v>
      </c>
      <c r="O10" s="438">
        <v>6035</v>
      </c>
      <c r="P10" s="426">
        <v>2.841337099811676</v>
      </c>
      <c r="Q10" s="439">
        <v>355</v>
      </c>
    </row>
    <row r="11" spans="1:17" ht="14.4" customHeight="1" x14ac:dyDescent="0.3">
      <c r="A11" s="423" t="s">
        <v>332</v>
      </c>
      <c r="B11" s="425" t="s">
        <v>303</v>
      </c>
      <c r="C11" s="425" t="s">
        <v>304</v>
      </c>
      <c r="D11" s="425" t="s">
        <v>329</v>
      </c>
      <c r="E11" s="425" t="s">
        <v>330</v>
      </c>
      <c r="F11" s="438">
        <v>14</v>
      </c>
      <c r="G11" s="438">
        <v>2310</v>
      </c>
      <c r="H11" s="438">
        <v>6.5254237288135597</v>
      </c>
      <c r="I11" s="438">
        <v>165</v>
      </c>
      <c r="J11" s="438">
        <v>2</v>
      </c>
      <c r="K11" s="438">
        <v>354</v>
      </c>
      <c r="L11" s="438">
        <v>1</v>
      </c>
      <c r="M11" s="438">
        <v>177</v>
      </c>
      <c r="N11" s="438">
        <v>8</v>
      </c>
      <c r="O11" s="438">
        <v>1416</v>
      </c>
      <c r="P11" s="426">
        <v>4</v>
      </c>
      <c r="Q11" s="439">
        <v>177</v>
      </c>
    </row>
    <row r="12" spans="1:17" ht="14.4" customHeight="1" x14ac:dyDescent="0.3">
      <c r="A12" s="423" t="s">
        <v>333</v>
      </c>
      <c r="B12" s="425" t="s">
        <v>303</v>
      </c>
      <c r="C12" s="425" t="s">
        <v>304</v>
      </c>
      <c r="D12" s="425" t="s">
        <v>307</v>
      </c>
      <c r="E12" s="425" t="s">
        <v>308</v>
      </c>
      <c r="F12" s="438">
        <v>1</v>
      </c>
      <c r="G12" s="438">
        <v>331</v>
      </c>
      <c r="H12" s="438"/>
      <c r="I12" s="438">
        <v>331</v>
      </c>
      <c r="J12" s="438"/>
      <c r="K12" s="438"/>
      <c r="L12" s="438"/>
      <c r="M12" s="438"/>
      <c r="N12" s="438">
        <v>1</v>
      </c>
      <c r="O12" s="438">
        <v>355</v>
      </c>
      <c r="P12" s="426"/>
      <c r="Q12" s="439">
        <v>355</v>
      </c>
    </row>
    <row r="13" spans="1:17" ht="14.4" customHeight="1" x14ac:dyDescent="0.3">
      <c r="A13" s="423" t="s">
        <v>333</v>
      </c>
      <c r="B13" s="425" t="s">
        <v>303</v>
      </c>
      <c r="C13" s="425" t="s">
        <v>304</v>
      </c>
      <c r="D13" s="425" t="s">
        <v>329</v>
      </c>
      <c r="E13" s="425" t="s">
        <v>330</v>
      </c>
      <c r="F13" s="438">
        <v>1</v>
      </c>
      <c r="G13" s="438">
        <v>165</v>
      </c>
      <c r="H13" s="438"/>
      <c r="I13" s="438">
        <v>165</v>
      </c>
      <c r="J13" s="438"/>
      <c r="K13" s="438"/>
      <c r="L13" s="438"/>
      <c r="M13" s="438"/>
      <c r="N13" s="438"/>
      <c r="O13" s="438"/>
      <c r="P13" s="426"/>
      <c r="Q13" s="439"/>
    </row>
    <row r="14" spans="1:17" ht="14.4" customHeight="1" x14ac:dyDescent="0.3">
      <c r="A14" s="423" t="s">
        <v>334</v>
      </c>
      <c r="B14" s="425" t="s">
        <v>303</v>
      </c>
      <c r="C14" s="425" t="s">
        <v>304</v>
      </c>
      <c r="D14" s="425" t="s">
        <v>307</v>
      </c>
      <c r="E14" s="425" t="s">
        <v>308</v>
      </c>
      <c r="F14" s="438">
        <v>12</v>
      </c>
      <c r="G14" s="438">
        <v>3972</v>
      </c>
      <c r="H14" s="438">
        <v>1.2467043314500941</v>
      </c>
      <c r="I14" s="438">
        <v>331</v>
      </c>
      <c r="J14" s="438">
        <v>9</v>
      </c>
      <c r="K14" s="438">
        <v>3186</v>
      </c>
      <c r="L14" s="438">
        <v>1</v>
      </c>
      <c r="M14" s="438">
        <v>354</v>
      </c>
      <c r="N14" s="438">
        <v>32</v>
      </c>
      <c r="O14" s="438">
        <v>11360</v>
      </c>
      <c r="P14" s="426">
        <v>3.5655994978028875</v>
      </c>
      <c r="Q14" s="439">
        <v>355</v>
      </c>
    </row>
    <row r="15" spans="1:17" ht="14.4" customHeight="1" x14ac:dyDescent="0.3">
      <c r="A15" s="423" t="s">
        <v>334</v>
      </c>
      <c r="B15" s="425" t="s">
        <v>303</v>
      </c>
      <c r="C15" s="425" t="s">
        <v>304</v>
      </c>
      <c r="D15" s="425" t="s">
        <v>329</v>
      </c>
      <c r="E15" s="425" t="s">
        <v>330</v>
      </c>
      <c r="F15" s="438">
        <v>8</v>
      </c>
      <c r="G15" s="438">
        <v>1320</v>
      </c>
      <c r="H15" s="438">
        <v>3.7288135593220337</v>
      </c>
      <c r="I15" s="438">
        <v>165</v>
      </c>
      <c r="J15" s="438">
        <v>2</v>
      </c>
      <c r="K15" s="438">
        <v>354</v>
      </c>
      <c r="L15" s="438">
        <v>1</v>
      </c>
      <c r="M15" s="438">
        <v>177</v>
      </c>
      <c r="N15" s="438">
        <v>22</v>
      </c>
      <c r="O15" s="438">
        <v>3894</v>
      </c>
      <c r="P15" s="426">
        <v>11</v>
      </c>
      <c r="Q15" s="439">
        <v>177</v>
      </c>
    </row>
    <row r="16" spans="1:17" ht="14.4" customHeight="1" x14ac:dyDescent="0.3">
      <c r="A16" s="423" t="s">
        <v>335</v>
      </c>
      <c r="B16" s="425" t="s">
        <v>303</v>
      </c>
      <c r="C16" s="425" t="s">
        <v>304</v>
      </c>
      <c r="D16" s="425" t="s">
        <v>307</v>
      </c>
      <c r="E16" s="425" t="s">
        <v>308</v>
      </c>
      <c r="F16" s="438"/>
      <c r="G16" s="438"/>
      <c r="H16" s="438"/>
      <c r="I16" s="438"/>
      <c r="J16" s="438">
        <v>1</v>
      </c>
      <c r="K16" s="438">
        <v>354</v>
      </c>
      <c r="L16" s="438">
        <v>1</v>
      </c>
      <c r="M16" s="438">
        <v>354</v>
      </c>
      <c r="N16" s="438">
        <v>3</v>
      </c>
      <c r="O16" s="438">
        <v>1065</v>
      </c>
      <c r="P16" s="426">
        <v>3.0084745762711864</v>
      </c>
      <c r="Q16" s="439">
        <v>355</v>
      </c>
    </row>
    <row r="17" spans="1:17" ht="14.4" customHeight="1" x14ac:dyDescent="0.3">
      <c r="A17" s="423" t="s">
        <v>335</v>
      </c>
      <c r="B17" s="425" t="s">
        <v>303</v>
      </c>
      <c r="C17" s="425" t="s">
        <v>304</v>
      </c>
      <c r="D17" s="425" t="s">
        <v>329</v>
      </c>
      <c r="E17" s="425" t="s">
        <v>330</v>
      </c>
      <c r="F17" s="438"/>
      <c r="G17" s="438"/>
      <c r="H17" s="438"/>
      <c r="I17" s="438"/>
      <c r="J17" s="438"/>
      <c r="K17" s="438"/>
      <c r="L17" s="438"/>
      <c r="M17" s="438"/>
      <c r="N17" s="438">
        <v>1</v>
      </c>
      <c r="O17" s="438">
        <v>177</v>
      </c>
      <c r="P17" s="426"/>
      <c r="Q17" s="439">
        <v>177</v>
      </c>
    </row>
    <row r="18" spans="1:17" ht="14.4" customHeight="1" x14ac:dyDescent="0.3">
      <c r="A18" s="423" t="s">
        <v>336</v>
      </c>
      <c r="B18" s="425" t="s">
        <v>303</v>
      </c>
      <c r="C18" s="425" t="s">
        <v>304</v>
      </c>
      <c r="D18" s="425" t="s">
        <v>307</v>
      </c>
      <c r="E18" s="425" t="s">
        <v>308</v>
      </c>
      <c r="F18" s="438">
        <v>7</v>
      </c>
      <c r="G18" s="438">
        <v>2317</v>
      </c>
      <c r="H18" s="438">
        <v>0.65451977401129946</v>
      </c>
      <c r="I18" s="438">
        <v>331</v>
      </c>
      <c r="J18" s="438">
        <v>10</v>
      </c>
      <c r="K18" s="438">
        <v>3540</v>
      </c>
      <c r="L18" s="438">
        <v>1</v>
      </c>
      <c r="M18" s="438">
        <v>354</v>
      </c>
      <c r="N18" s="438">
        <v>10</v>
      </c>
      <c r="O18" s="438">
        <v>3550</v>
      </c>
      <c r="P18" s="426">
        <v>1.0028248587570621</v>
      </c>
      <c r="Q18" s="439">
        <v>355</v>
      </c>
    </row>
    <row r="19" spans="1:17" ht="14.4" customHeight="1" x14ac:dyDescent="0.3">
      <c r="A19" s="423" t="s">
        <v>336</v>
      </c>
      <c r="B19" s="425" t="s">
        <v>303</v>
      </c>
      <c r="C19" s="425" t="s">
        <v>304</v>
      </c>
      <c r="D19" s="425" t="s">
        <v>329</v>
      </c>
      <c r="E19" s="425" t="s">
        <v>330</v>
      </c>
      <c r="F19" s="438">
        <v>3</v>
      </c>
      <c r="G19" s="438">
        <v>495</v>
      </c>
      <c r="H19" s="438">
        <v>0.69915254237288138</v>
      </c>
      <c r="I19" s="438">
        <v>165</v>
      </c>
      <c r="J19" s="438">
        <v>4</v>
      </c>
      <c r="K19" s="438">
        <v>708</v>
      </c>
      <c r="L19" s="438">
        <v>1</v>
      </c>
      <c r="M19" s="438">
        <v>177</v>
      </c>
      <c r="N19" s="438">
        <v>9</v>
      </c>
      <c r="O19" s="438">
        <v>1593</v>
      </c>
      <c r="P19" s="426">
        <v>2.25</v>
      </c>
      <c r="Q19" s="439">
        <v>177</v>
      </c>
    </row>
    <row r="20" spans="1:17" ht="14.4" customHeight="1" x14ac:dyDescent="0.3">
      <c r="A20" s="423" t="s">
        <v>337</v>
      </c>
      <c r="B20" s="425" t="s">
        <v>303</v>
      </c>
      <c r="C20" s="425" t="s">
        <v>304</v>
      </c>
      <c r="D20" s="425" t="s">
        <v>307</v>
      </c>
      <c r="E20" s="425" t="s">
        <v>308</v>
      </c>
      <c r="F20" s="438"/>
      <c r="G20" s="438"/>
      <c r="H20" s="438"/>
      <c r="I20" s="438"/>
      <c r="J20" s="438"/>
      <c r="K20" s="438"/>
      <c r="L20" s="438"/>
      <c r="M20" s="438"/>
      <c r="N20" s="438">
        <v>2</v>
      </c>
      <c r="O20" s="438">
        <v>710</v>
      </c>
      <c r="P20" s="426"/>
      <c r="Q20" s="439">
        <v>355</v>
      </c>
    </row>
    <row r="21" spans="1:17" ht="14.4" customHeight="1" x14ac:dyDescent="0.3">
      <c r="A21" s="423" t="s">
        <v>337</v>
      </c>
      <c r="B21" s="425" t="s">
        <v>303</v>
      </c>
      <c r="C21" s="425" t="s">
        <v>304</v>
      </c>
      <c r="D21" s="425" t="s">
        <v>329</v>
      </c>
      <c r="E21" s="425" t="s">
        <v>330</v>
      </c>
      <c r="F21" s="438"/>
      <c r="G21" s="438"/>
      <c r="H21" s="438"/>
      <c r="I21" s="438"/>
      <c r="J21" s="438"/>
      <c r="K21" s="438"/>
      <c r="L21" s="438"/>
      <c r="M21" s="438"/>
      <c r="N21" s="438">
        <v>1</v>
      </c>
      <c r="O21" s="438">
        <v>177</v>
      </c>
      <c r="P21" s="426"/>
      <c r="Q21" s="439">
        <v>177</v>
      </c>
    </row>
    <row r="22" spans="1:17" ht="14.4" customHeight="1" x14ac:dyDescent="0.3">
      <c r="A22" s="423" t="s">
        <v>338</v>
      </c>
      <c r="B22" s="425" t="s">
        <v>303</v>
      </c>
      <c r="C22" s="425" t="s">
        <v>304</v>
      </c>
      <c r="D22" s="425" t="s">
        <v>307</v>
      </c>
      <c r="E22" s="425" t="s">
        <v>308</v>
      </c>
      <c r="F22" s="438">
        <v>3</v>
      </c>
      <c r="G22" s="438">
        <v>993</v>
      </c>
      <c r="H22" s="438">
        <v>0.56101694915254241</v>
      </c>
      <c r="I22" s="438">
        <v>331</v>
      </c>
      <c r="J22" s="438">
        <v>5</v>
      </c>
      <c r="K22" s="438">
        <v>1770</v>
      </c>
      <c r="L22" s="438">
        <v>1</v>
      </c>
      <c r="M22" s="438">
        <v>354</v>
      </c>
      <c r="N22" s="438"/>
      <c r="O22" s="438"/>
      <c r="P22" s="426"/>
      <c r="Q22" s="439"/>
    </row>
    <row r="23" spans="1:17" ht="14.4" customHeight="1" x14ac:dyDescent="0.3">
      <c r="A23" s="423" t="s">
        <v>338</v>
      </c>
      <c r="B23" s="425" t="s">
        <v>303</v>
      </c>
      <c r="C23" s="425" t="s">
        <v>304</v>
      </c>
      <c r="D23" s="425" t="s">
        <v>329</v>
      </c>
      <c r="E23" s="425" t="s">
        <v>330</v>
      </c>
      <c r="F23" s="438">
        <v>1</v>
      </c>
      <c r="G23" s="438">
        <v>165</v>
      </c>
      <c r="H23" s="438"/>
      <c r="I23" s="438">
        <v>165</v>
      </c>
      <c r="J23" s="438"/>
      <c r="K23" s="438"/>
      <c r="L23" s="438"/>
      <c r="M23" s="438"/>
      <c r="N23" s="438"/>
      <c r="O23" s="438"/>
      <c r="P23" s="426"/>
      <c r="Q23" s="439"/>
    </row>
    <row r="24" spans="1:17" ht="14.4" customHeight="1" x14ac:dyDescent="0.3">
      <c r="A24" s="423" t="s">
        <v>339</v>
      </c>
      <c r="B24" s="425" t="s">
        <v>303</v>
      </c>
      <c r="C24" s="425" t="s">
        <v>304</v>
      </c>
      <c r="D24" s="425" t="s">
        <v>307</v>
      </c>
      <c r="E24" s="425" t="s">
        <v>308</v>
      </c>
      <c r="F24" s="438">
        <v>3</v>
      </c>
      <c r="G24" s="438">
        <v>993</v>
      </c>
      <c r="H24" s="438">
        <v>2.8050847457627119</v>
      </c>
      <c r="I24" s="438">
        <v>331</v>
      </c>
      <c r="J24" s="438">
        <v>1</v>
      </c>
      <c r="K24" s="438">
        <v>354</v>
      </c>
      <c r="L24" s="438">
        <v>1</v>
      </c>
      <c r="M24" s="438">
        <v>354</v>
      </c>
      <c r="N24" s="438">
        <v>9</v>
      </c>
      <c r="O24" s="438">
        <v>3195</v>
      </c>
      <c r="P24" s="426">
        <v>9.0254237288135588</v>
      </c>
      <c r="Q24" s="439">
        <v>355</v>
      </c>
    </row>
    <row r="25" spans="1:17" ht="14.4" customHeight="1" x14ac:dyDescent="0.3">
      <c r="A25" s="423" t="s">
        <v>339</v>
      </c>
      <c r="B25" s="425" t="s">
        <v>303</v>
      </c>
      <c r="C25" s="425" t="s">
        <v>304</v>
      </c>
      <c r="D25" s="425" t="s">
        <v>329</v>
      </c>
      <c r="E25" s="425" t="s">
        <v>330</v>
      </c>
      <c r="F25" s="438"/>
      <c r="G25" s="438"/>
      <c r="H25" s="438"/>
      <c r="I25" s="438"/>
      <c r="J25" s="438"/>
      <c r="K25" s="438"/>
      <c r="L25" s="438"/>
      <c r="M25" s="438"/>
      <c r="N25" s="438">
        <v>4</v>
      </c>
      <c r="O25" s="438">
        <v>708</v>
      </c>
      <c r="P25" s="426"/>
      <c r="Q25" s="439">
        <v>177</v>
      </c>
    </row>
    <row r="26" spans="1:17" ht="14.4" customHeight="1" x14ac:dyDescent="0.3">
      <c r="A26" s="423" t="s">
        <v>340</v>
      </c>
      <c r="B26" s="425" t="s">
        <v>303</v>
      </c>
      <c r="C26" s="425" t="s">
        <v>304</v>
      </c>
      <c r="D26" s="425" t="s">
        <v>307</v>
      </c>
      <c r="E26" s="425" t="s">
        <v>308</v>
      </c>
      <c r="F26" s="438">
        <v>2</v>
      </c>
      <c r="G26" s="438">
        <v>662</v>
      </c>
      <c r="H26" s="438">
        <v>1.8700564971751412</v>
      </c>
      <c r="I26" s="438">
        <v>331</v>
      </c>
      <c r="J26" s="438">
        <v>1</v>
      </c>
      <c r="K26" s="438">
        <v>354</v>
      </c>
      <c r="L26" s="438">
        <v>1</v>
      </c>
      <c r="M26" s="438">
        <v>354</v>
      </c>
      <c r="N26" s="438">
        <v>2</v>
      </c>
      <c r="O26" s="438">
        <v>710</v>
      </c>
      <c r="P26" s="426">
        <v>2.0056497175141241</v>
      </c>
      <c r="Q26" s="439">
        <v>355</v>
      </c>
    </row>
    <row r="27" spans="1:17" ht="14.4" customHeight="1" x14ac:dyDescent="0.3">
      <c r="A27" s="423" t="s">
        <v>340</v>
      </c>
      <c r="B27" s="425" t="s">
        <v>303</v>
      </c>
      <c r="C27" s="425" t="s">
        <v>304</v>
      </c>
      <c r="D27" s="425" t="s">
        <v>329</v>
      </c>
      <c r="E27" s="425" t="s">
        <v>330</v>
      </c>
      <c r="F27" s="438">
        <v>1</v>
      </c>
      <c r="G27" s="438">
        <v>165</v>
      </c>
      <c r="H27" s="438"/>
      <c r="I27" s="438">
        <v>165</v>
      </c>
      <c r="J27" s="438"/>
      <c r="K27" s="438"/>
      <c r="L27" s="438"/>
      <c r="M27" s="438"/>
      <c r="N27" s="438"/>
      <c r="O27" s="438"/>
      <c r="P27" s="426"/>
      <c r="Q27" s="439"/>
    </row>
    <row r="28" spans="1:17" ht="14.4" customHeight="1" x14ac:dyDescent="0.3">
      <c r="A28" s="423" t="s">
        <v>341</v>
      </c>
      <c r="B28" s="425" t="s">
        <v>303</v>
      </c>
      <c r="C28" s="425" t="s">
        <v>304</v>
      </c>
      <c r="D28" s="425" t="s">
        <v>307</v>
      </c>
      <c r="E28" s="425" t="s">
        <v>308</v>
      </c>
      <c r="F28" s="438">
        <v>4</v>
      </c>
      <c r="G28" s="438">
        <v>1324</v>
      </c>
      <c r="H28" s="438">
        <v>3.7401129943502824</v>
      </c>
      <c r="I28" s="438">
        <v>331</v>
      </c>
      <c r="J28" s="438">
        <v>1</v>
      </c>
      <c r="K28" s="438">
        <v>354</v>
      </c>
      <c r="L28" s="438">
        <v>1</v>
      </c>
      <c r="M28" s="438">
        <v>354</v>
      </c>
      <c r="N28" s="438">
        <v>3</v>
      </c>
      <c r="O28" s="438">
        <v>1065</v>
      </c>
      <c r="P28" s="426">
        <v>3.0084745762711864</v>
      </c>
      <c r="Q28" s="439">
        <v>355</v>
      </c>
    </row>
    <row r="29" spans="1:17" ht="14.4" customHeight="1" x14ac:dyDescent="0.3">
      <c r="A29" s="423" t="s">
        <v>341</v>
      </c>
      <c r="B29" s="425" t="s">
        <v>303</v>
      </c>
      <c r="C29" s="425" t="s">
        <v>304</v>
      </c>
      <c r="D29" s="425" t="s">
        <v>329</v>
      </c>
      <c r="E29" s="425" t="s">
        <v>330</v>
      </c>
      <c r="F29" s="438">
        <v>1</v>
      </c>
      <c r="G29" s="438">
        <v>165</v>
      </c>
      <c r="H29" s="438"/>
      <c r="I29" s="438">
        <v>165</v>
      </c>
      <c r="J29" s="438"/>
      <c r="K29" s="438"/>
      <c r="L29" s="438"/>
      <c r="M29" s="438"/>
      <c r="N29" s="438">
        <v>4</v>
      </c>
      <c r="O29" s="438">
        <v>708</v>
      </c>
      <c r="P29" s="426"/>
      <c r="Q29" s="439">
        <v>177</v>
      </c>
    </row>
    <row r="30" spans="1:17" ht="14.4" customHeight="1" x14ac:dyDescent="0.3">
      <c r="A30" s="423" t="s">
        <v>342</v>
      </c>
      <c r="B30" s="425" t="s">
        <v>303</v>
      </c>
      <c r="C30" s="425" t="s">
        <v>304</v>
      </c>
      <c r="D30" s="425" t="s">
        <v>307</v>
      </c>
      <c r="E30" s="425" t="s">
        <v>308</v>
      </c>
      <c r="F30" s="438">
        <v>5</v>
      </c>
      <c r="G30" s="438">
        <v>1655</v>
      </c>
      <c r="H30" s="438">
        <v>0.58439265536723162</v>
      </c>
      <c r="I30" s="438">
        <v>331</v>
      </c>
      <c r="J30" s="438">
        <v>8</v>
      </c>
      <c r="K30" s="438">
        <v>2832</v>
      </c>
      <c r="L30" s="438">
        <v>1</v>
      </c>
      <c r="M30" s="438">
        <v>354</v>
      </c>
      <c r="N30" s="438">
        <v>15</v>
      </c>
      <c r="O30" s="438">
        <v>5325</v>
      </c>
      <c r="P30" s="426">
        <v>1.8802966101694916</v>
      </c>
      <c r="Q30" s="439">
        <v>355</v>
      </c>
    </row>
    <row r="31" spans="1:17" ht="14.4" customHeight="1" x14ac:dyDescent="0.3">
      <c r="A31" s="423" t="s">
        <v>342</v>
      </c>
      <c r="B31" s="425" t="s">
        <v>303</v>
      </c>
      <c r="C31" s="425" t="s">
        <v>304</v>
      </c>
      <c r="D31" s="425" t="s">
        <v>329</v>
      </c>
      <c r="E31" s="425" t="s">
        <v>330</v>
      </c>
      <c r="F31" s="438">
        <v>2</v>
      </c>
      <c r="G31" s="438">
        <v>330</v>
      </c>
      <c r="H31" s="438">
        <v>1.8644067796610169</v>
      </c>
      <c r="I31" s="438">
        <v>165</v>
      </c>
      <c r="J31" s="438">
        <v>1</v>
      </c>
      <c r="K31" s="438">
        <v>177</v>
      </c>
      <c r="L31" s="438">
        <v>1</v>
      </c>
      <c r="M31" s="438">
        <v>177</v>
      </c>
      <c r="N31" s="438">
        <v>7</v>
      </c>
      <c r="O31" s="438">
        <v>1239</v>
      </c>
      <c r="P31" s="426">
        <v>7</v>
      </c>
      <c r="Q31" s="439">
        <v>177</v>
      </c>
    </row>
    <row r="32" spans="1:17" ht="14.4" customHeight="1" x14ac:dyDescent="0.3">
      <c r="A32" s="423" t="s">
        <v>343</v>
      </c>
      <c r="B32" s="425" t="s">
        <v>303</v>
      </c>
      <c r="C32" s="425" t="s">
        <v>304</v>
      </c>
      <c r="D32" s="425" t="s">
        <v>329</v>
      </c>
      <c r="E32" s="425" t="s">
        <v>330</v>
      </c>
      <c r="F32" s="438"/>
      <c r="G32" s="438"/>
      <c r="H32" s="438"/>
      <c r="I32" s="438"/>
      <c r="J32" s="438"/>
      <c r="K32" s="438"/>
      <c r="L32" s="438"/>
      <c r="M32" s="438"/>
      <c r="N32" s="438">
        <v>1</v>
      </c>
      <c r="O32" s="438">
        <v>177</v>
      </c>
      <c r="P32" s="426"/>
      <c r="Q32" s="439">
        <v>177</v>
      </c>
    </row>
    <row r="33" spans="1:17" ht="14.4" customHeight="1" x14ac:dyDescent="0.3">
      <c r="A33" s="423" t="s">
        <v>344</v>
      </c>
      <c r="B33" s="425" t="s">
        <v>303</v>
      </c>
      <c r="C33" s="425" t="s">
        <v>304</v>
      </c>
      <c r="D33" s="425" t="s">
        <v>307</v>
      </c>
      <c r="E33" s="425" t="s">
        <v>308</v>
      </c>
      <c r="F33" s="438"/>
      <c r="G33" s="438"/>
      <c r="H33" s="438"/>
      <c r="I33" s="438"/>
      <c r="J33" s="438">
        <v>2</v>
      </c>
      <c r="K33" s="438">
        <v>708</v>
      </c>
      <c r="L33" s="438">
        <v>1</v>
      </c>
      <c r="M33" s="438">
        <v>354</v>
      </c>
      <c r="N33" s="438">
        <v>3</v>
      </c>
      <c r="O33" s="438">
        <v>1065</v>
      </c>
      <c r="P33" s="426">
        <v>1.5042372881355932</v>
      </c>
      <c r="Q33" s="439">
        <v>355</v>
      </c>
    </row>
    <row r="34" spans="1:17" ht="14.4" customHeight="1" x14ac:dyDescent="0.3">
      <c r="A34" s="423" t="s">
        <v>345</v>
      </c>
      <c r="B34" s="425" t="s">
        <v>303</v>
      </c>
      <c r="C34" s="425" t="s">
        <v>304</v>
      </c>
      <c r="D34" s="425" t="s">
        <v>307</v>
      </c>
      <c r="E34" s="425" t="s">
        <v>308</v>
      </c>
      <c r="F34" s="438">
        <v>1</v>
      </c>
      <c r="G34" s="438">
        <v>331</v>
      </c>
      <c r="H34" s="438">
        <v>0.4675141242937853</v>
      </c>
      <c r="I34" s="438">
        <v>331</v>
      </c>
      <c r="J34" s="438">
        <v>2</v>
      </c>
      <c r="K34" s="438">
        <v>708</v>
      </c>
      <c r="L34" s="438">
        <v>1</v>
      </c>
      <c r="M34" s="438">
        <v>354</v>
      </c>
      <c r="N34" s="438">
        <v>2</v>
      </c>
      <c r="O34" s="438">
        <v>710</v>
      </c>
      <c r="P34" s="426">
        <v>1.0028248587570621</v>
      </c>
      <c r="Q34" s="439">
        <v>355</v>
      </c>
    </row>
    <row r="35" spans="1:17" ht="14.4" customHeight="1" x14ac:dyDescent="0.3">
      <c r="A35" s="423" t="s">
        <v>345</v>
      </c>
      <c r="B35" s="425" t="s">
        <v>303</v>
      </c>
      <c r="C35" s="425" t="s">
        <v>304</v>
      </c>
      <c r="D35" s="425" t="s">
        <v>329</v>
      </c>
      <c r="E35" s="425" t="s">
        <v>330</v>
      </c>
      <c r="F35" s="438">
        <v>1</v>
      </c>
      <c r="G35" s="438">
        <v>165</v>
      </c>
      <c r="H35" s="438">
        <v>0.46610169491525422</v>
      </c>
      <c r="I35" s="438">
        <v>165</v>
      </c>
      <c r="J35" s="438">
        <v>2</v>
      </c>
      <c r="K35" s="438">
        <v>354</v>
      </c>
      <c r="L35" s="438">
        <v>1</v>
      </c>
      <c r="M35" s="438">
        <v>177</v>
      </c>
      <c r="N35" s="438">
        <v>5</v>
      </c>
      <c r="O35" s="438">
        <v>885</v>
      </c>
      <c r="P35" s="426">
        <v>2.5</v>
      </c>
      <c r="Q35" s="439">
        <v>177</v>
      </c>
    </row>
    <row r="36" spans="1:17" ht="14.4" customHeight="1" x14ac:dyDescent="0.3">
      <c r="A36" s="423" t="s">
        <v>346</v>
      </c>
      <c r="B36" s="425" t="s">
        <v>303</v>
      </c>
      <c r="C36" s="425" t="s">
        <v>304</v>
      </c>
      <c r="D36" s="425" t="s">
        <v>307</v>
      </c>
      <c r="E36" s="425" t="s">
        <v>308</v>
      </c>
      <c r="F36" s="438">
        <v>1</v>
      </c>
      <c r="G36" s="438">
        <v>331</v>
      </c>
      <c r="H36" s="438">
        <v>0.4675141242937853</v>
      </c>
      <c r="I36" s="438">
        <v>331</v>
      </c>
      <c r="J36" s="438">
        <v>2</v>
      </c>
      <c r="K36" s="438">
        <v>708</v>
      </c>
      <c r="L36" s="438">
        <v>1</v>
      </c>
      <c r="M36" s="438">
        <v>354</v>
      </c>
      <c r="N36" s="438"/>
      <c r="O36" s="438"/>
      <c r="P36" s="426"/>
      <c r="Q36" s="439"/>
    </row>
    <row r="37" spans="1:17" ht="14.4" customHeight="1" thickBot="1" x14ac:dyDescent="0.35">
      <c r="A37" s="414" t="s">
        <v>346</v>
      </c>
      <c r="B37" s="415" t="s">
        <v>303</v>
      </c>
      <c r="C37" s="415" t="s">
        <v>304</v>
      </c>
      <c r="D37" s="415" t="s">
        <v>329</v>
      </c>
      <c r="E37" s="415" t="s">
        <v>330</v>
      </c>
      <c r="F37" s="416">
        <v>2</v>
      </c>
      <c r="G37" s="416">
        <v>330</v>
      </c>
      <c r="H37" s="416">
        <v>1.8644067796610169</v>
      </c>
      <c r="I37" s="416">
        <v>165</v>
      </c>
      <c r="J37" s="416">
        <v>1</v>
      </c>
      <c r="K37" s="416">
        <v>177</v>
      </c>
      <c r="L37" s="416">
        <v>1</v>
      </c>
      <c r="M37" s="416">
        <v>177</v>
      </c>
      <c r="N37" s="416"/>
      <c r="O37" s="416"/>
      <c r="P37" s="417"/>
      <c r="Q37" s="418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9" bestFit="1" customWidth="1"/>
    <col min="2" max="2" width="11.6640625" style="119" hidden="1" customWidth="1"/>
    <col min="3" max="4" width="11" style="121" customWidth="1"/>
    <col min="5" max="5" width="11" style="122" customWidth="1"/>
    <col min="6" max="16384" width="8.88671875" style="119"/>
  </cols>
  <sheetData>
    <row r="1" spans="1:5" ht="18.600000000000001" thickBot="1" x14ac:dyDescent="0.4">
      <c r="A1" s="263" t="s">
        <v>89</v>
      </c>
      <c r="B1" s="263"/>
      <c r="C1" s="264"/>
      <c r="D1" s="264"/>
      <c r="E1" s="264"/>
    </row>
    <row r="2" spans="1:5" ht="14.4" customHeight="1" thickBot="1" x14ac:dyDescent="0.35">
      <c r="A2" s="189" t="s">
        <v>204</v>
      </c>
      <c r="B2" s="120"/>
    </row>
    <row r="3" spans="1:5" ht="14.4" customHeight="1" thickBot="1" x14ac:dyDescent="0.35">
      <c r="A3" s="123"/>
      <c r="C3" s="124" t="s">
        <v>81</v>
      </c>
      <c r="D3" s="125" t="s">
        <v>47</v>
      </c>
      <c r="E3" s="126" t="s">
        <v>49</v>
      </c>
    </row>
    <row r="4" spans="1:5" ht="14.4" customHeight="1" thickBot="1" x14ac:dyDescent="0.3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1784.5230375351907</v>
      </c>
      <c r="D4" s="129">
        <f ca="1">IF(ISERROR(VLOOKUP("Náklady celkem",INDIRECT("HI!$A:$G"),5,0)),0,VLOOKUP("Náklady celkem",INDIRECT("HI!$A:$G"),5,0))</f>
        <v>2051.2419399999999</v>
      </c>
      <c r="E4" s="130">
        <f ca="1">IF(C4=0,0,D4/C4)</f>
        <v>1.1494622915225601</v>
      </c>
    </row>
    <row r="5" spans="1:5" ht="14.4" customHeight="1" x14ac:dyDescent="0.3">
      <c r="A5" s="131" t="s">
        <v>101</v>
      </c>
      <c r="B5" s="132"/>
      <c r="C5" s="133"/>
      <c r="D5" s="133"/>
      <c r="E5" s="134"/>
    </row>
    <row r="6" spans="1:5" ht="14.4" customHeight="1" x14ac:dyDescent="0.3">
      <c r="A6" s="135" t="s">
        <v>106</v>
      </c>
      <c r="B6" s="136"/>
      <c r="C6" s="137"/>
      <c r="D6" s="137"/>
      <c r="E6" s="134"/>
    </row>
    <row r="7" spans="1:5" ht="14.4" customHeight="1" x14ac:dyDescent="0.3">
      <c r="A7" s="1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85</v>
      </c>
      <c r="C7" s="137">
        <f>IF(ISERROR(HI!F5),"",HI!F5)</f>
        <v>0</v>
      </c>
      <c r="D7" s="137">
        <f>IF(ISERROR(HI!E5),"",HI!E5)</f>
        <v>0</v>
      </c>
      <c r="E7" s="134">
        <f t="shared" ref="E7:E11" si="0">IF(C7=0,0,D7/C7)</f>
        <v>0</v>
      </c>
    </row>
    <row r="8" spans="1:5" ht="14.4" customHeight="1" x14ac:dyDescent="0.3">
      <c r="A8" s="139" t="s">
        <v>102</v>
      </c>
      <c r="B8" s="136"/>
      <c r="C8" s="137"/>
      <c r="D8" s="137"/>
      <c r="E8" s="134"/>
    </row>
    <row r="9" spans="1:5" ht="14.4" customHeight="1" x14ac:dyDescent="0.3">
      <c r="A9" s="139" t="s">
        <v>103</v>
      </c>
      <c r="B9" s="136"/>
      <c r="C9" s="137"/>
      <c r="D9" s="137"/>
      <c r="E9" s="134"/>
    </row>
    <row r="10" spans="1:5" ht="14.4" customHeight="1" x14ac:dyDescent="0.3">
      <c r="A10" s="140" t="s">
        <v>107</v>
      </c>
      <c r="B10" s="136"/>
      <c r="C10" s="133"/>
      <c r="D10" s="133"/>
      <c r="E10" s="134"/>
    </row>
    <row r="11" spans="1:5" ht="14.4" customHeight="1" x14ac:dyDescent="0.3">
      <c r="A11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6" t="s">
        <v>85</v>
      </c>
      <c r="C11" s="137">
        <f>IF(ISERROR(HI!F6),"",HI!F6)</f>
        <v>0</v>
      </c>
      <c r="D11" s="137">
        <f>IF(ISERROR(HI!E6),"",HI!E6)</f>
        <v>0</v>
      </c>
      <c r="E11" s="134">
        <f t="shared" si="0"/>
        <v>0</v>
      </c>
    </row>
    <row r="12" spans="1:5" ht="14.4" customHeight="1" thickBot="1" x14ac:dyDescent="0.35">
      <c r="A12" s="142" t="str">
        <f>HYPERLINK("#HI!A1","Osobní náklady")</f>
        <v>Osobní náklady</v>
      </c>
      <c r="B12" s="136"/>
      <c r="C12" s="133">
        <f ca="1">IF(ISERROR(VLOOKUP("Osobní náklady (Kč) *",INDIRECT("HI!$A:$G"),6,0)),0,VLOOKUP("Osobní náklady (Kč) *",INDIRECT("HI!$A:$G"),6,0))</f>
        <v>1781</v>
      </c>
      <c r="D12" s="133">
        <f ca="1">IF(ISERROR(VLOOKUP("Osobní náklady (Kč) *",INDIRECT("HI!$A:$G"),5,0)),0,VLOOKUP("Osobní náklady (Kč) *",INDIRECT("HI!$A:$G"),5,0))</f>
        <v>2028.2174600000001</v>
      </c>
      <c r="E12" s="134">
        <f ca="1">IF(C12=0,0,D12/C12)</f>
        <v>1.1388082313307131</v>
      </c>
    </row>
    <row r="13" spans="1:5" ht="14.4" customHeight="1" thickBot="1" x14ac:dyDescent="0.35">
      <c r="A13" s="146"/>
      <c r="B13" s="147"/>
      <c r="C13" s="148"/>
      <c r="D13" s="148"/>
      <c r="E13" s="149"/>
    </row>
    <row r="14" spans="1:5" ht="14.4" customHeight="1" thickBot="1" x14ac:dyDescent="0.35">
      <c r="A14" s="150" t="str">
        <f>HYPERLINK("#HI!A1","VÝNOSY CELKEM (v tisících)")</f>
        <v>VÝNOSY CELKEM (v tisících)</v>
      </c>
      <c r="B14" s="151"/>
      <c r="C14" s="152">
        <f ca="1">IF(ISERROR(VLOOKUP("Výnosy celkem",INDIRECT("HI!$A:$G"),6,0)),0,VLOOKUP("Výnosy celkem",INDIRECT("HI!$A:$G"),6,0))</f>
        <v>0</v>
      </c>
      <c r="D14" s="152">
        <f ca="1">IF(ISERROR(VLOOKUP("Výnosy celkem",INDIRECT("HI!$A:$G"),5,0)),0,VLOOKUP("Výnosy celkem",INDIRECT("HI!$A:$G"),5,0))</f>
        <v>0</v>
      </c>
      <c r="E14" s="153">
        <f t="shared" ref="E14:E19" ca="1" si="1">IF(C14=0,0,D14/C14)</f>
        <v>0</v>
      </c>
    </row>
    <row r="15" spans="1:5" ht="14.4" customHeight="1" x14ac:dyDescent="0.3">
      <c r="A15" s="154" t="str">
        <f>HYPERLINK("#HI!A1","Ambulance (body za výkony + Kč za ZUM a ZULP)")</f>
        <v>Ambulance (body za výkony + Kč za ZUM a ZULP)</v>
      </c>
      <c r="B15" s="132"/>
      <c r="C15" s="133">
        <f ca="1">IF(ISERROR(VLOOKUP("Ambulance *",INDIRECT("HI!$A:$G"),6,0)),0,VLOOKUP("Ambulance *",INDIRECT("HI!$A:$G"),6,0))</f>
        <v>0</v>
      </c>
      <c r="D15" s="133">
        <f ca="1">IF(ISERROR(VLOOKUP("Ambulance *",INDIRECT("HI!$A:$G"),5,0)),0,VLOOKUP("Ambulance *",INDIRECT("HI!$A:$G"),5,0))</f>
        <v>0</v>
      </c>
      <c r="E15" s="134">
        <f t="shared" ca="1" si="1"/>
        <v>0</v>
      </c>
    </row>
    <row r="16" spans="1:5" ht="14.4" customHeight="1" x14ac:dyDescent="0.3">
      <c r="A16" s="202" t="str">
        <f>HYPERLINK("#'ZV Vykáz.-A'!A1","Zdravotní výkony vykázané u ambulantních pacientů (min. 100 % 2016)")</f>
        <v>Zdravotní výkony vykázané u ambulantních pacientů (min. 100 % 2016)</v>
      </c>
      <c r="B16" s="203" t="s">
        <v>91</v>
      </c>
      <c r="C16" s="138">
        <v>1</v>
      </c>
      <c r="D16" s="138" t="str">
        <f>IF(ISERROR(VLOOKUP("Celkem:",'ZV Vykáz.-A'!$A:$AB,10,0)),"",VLOOKUP("Celkem:",'ZV Vykáz.-A'!$A:$AB,10,0))</f>
        <v/>
      </c>
      <c r="E16" s="134" t="e">
        <f t="shared" si="1"/>
        <v>#VALUE!</v>
      </c>
    </row>
    <row r="17" spans="1:5" ht="14.4" customHeight="1" x14ac:dyDescent="0.3">
      <c r="A17" s="201" t="str">
        <f>HYPERLINK("#'ZV Vykáz.-A'!A1","Specializovaná ambulantní péče")</f>
        <v>Specializovaná ambulantní péče</v>
      </c>
      <c r="B17" s="203" t="s">
        <v>91</v>
      </c>
      <c r="C17" s="138">
        <v>1</v>
      </c>
      <c r="D17" s="195">
        <f>IF(ISERROR(VLOOKUP("Specializovaná ambulantní péče",'ZV Vykáz.-A'!$A:$AB,10,0)),"",VLOOKUP("Specializovaná ambulantní péče",'ZV Vykáz.-A'!$A:$AB,10,0))</f>
        <v>0</v>
      </c>
      <c r="E17" s="134">
        <f t="shared" si="1"/>
        <v>0</v>
      </c>
    </row>
    <row r="18" spans="1:5" ht="14.4" customHeight="1" x14ac:dyDescent="0.3">
      <c r="A18" s="201" t="str">
        <f>HYPERLINK("#'ZV Vykáz.-A'!A1","Ambulantní péče ve vyjmenovaných odbornostech (§9)")</f>
        <v>Ambulantní péče ve vyjmenovaných odbornostech (§9)</v>
      </c>
      <c r="B18" s="203" t="s">
        <v>91</v>
      </c>
      <c r="C18" s="138">
        <v>1</v>
      </c>
      <c r="D18" s="195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4">
        <f>IF(OR(C18=0,D18=""),0,IF(C18="","",D18/C18))</f>
        <v>0</v>
      </c>
    </row>
    <row r="19" spans="1:5" ht="14.4" customHeight="1" x14ac:dyDescent="0.3">
      <c r="A19" s="155" t="str">
        <f>HYPERLINK("#'ZV Vykáz.-H'!A1","Zdravotní výkony vykázané u hospitalizovaných pacientů (max. 85 %)")</f>
        <v>Zdravotní výkony vykázané u hospitalizovaných pacientů (max. 85 %)</v>
      </c>
      <c r="B19" s="203" t="s">
        <v>93</v>
      </c>
      <c r="C19" s="138">
        <v>0.85</v>
      </c>
      <c r="D19" s="138">
        <f>IF(ISERROR(VLOOKUP("Celkem:",'ZV Vykáz.-H'!$A:$S,7,0)),"",VLOOKUP("Celkem:",'ZV Vykáz.-H'!$A:$S,7,0))</f>
        <v>2.1872041533058484</v>
      </c>
      <c r="E19" s="134">
        <f t="shared" si="1"/>
        <v>2.57318135683041</v>
      </c>
    </row>
    <row r="20" spans="1:5" ht="14.4" customHeight="1" x14ac:dyDescent="0.3">
      <c r="A20" s="156" t="str">
        <f>HYPERLINK("#HI!A1","Hospitalizace (casemix * 30000)")</f>
        <v>Hospitalizace (casemix * 30000)</v>
      </c>
      <c r="B20" s="136"/>
      <c r="C20" s="133">
        <f ca="1">IF(ISERROR(VLOOKUP("Hospitalizace *",INDIRECT("HI!$A:$G"),6,0)),0,VLOOKUP("Hospitalizace *",INDIRECT("HI!$A:$G"),6,0))</f>
        <v>0</v>
      </c>
      <c r="D20" s="133">
        <f ca="1">IF(ISERROR(VLOOKUP("Hospitalizace *",INDIRECT("HI!$A:$G"),5,0)),0,VLOOKUP("Hospitalizace *",INDIRECT("HI!$A:$G"),5,0))</f>
        <v>0</v>
      </c>
      <c r="E20" s="134">
        <f ca="1">IF(C20=0,0,D20/C20)</f>
        <v>0</v>
      </c>
    </row>
    <row r="21" spans="1:5" ht="14.4" customHeight="1" thickBot="1" x14ac:dyDescent="0.35">
      <c r="A21" s="157" t="s">
        <v>104</v>
      </c>
      <c r="B21" s="143"/>
      <c r="C21" s="144"/>
      <c r="D21" s="144"/>
      <c r="E21" s="145"/>
    </row>
    <row r="22" spans="1:5" ht="14.4" customHeight="1" thickBot="1" x14ac:dyDescent="0.35">
      <c r="A22" s="158"/>
      <c r="B22" s="159"/>
      <c r="C22" s="160"/>
      <c r="D22" s="160"/>
      <c r="E22" s="161"/>
    </row>
    <row r="23" spans="1:5" ht="14.4" customHeight="1" thickBot="1" x14ac:dyDescent="0.35">
      <c r="A23" s="162" t="s">
        <v>105</v>
      </c>
      <c r="B23" s="163"/>
      <c r="C23" s="164"/>
      <c r="D23" s="164"/>
      <c r="E23" s="165"/>
    </row>
  </sheetData>
  <mergeCells count="1">
    <mergeCell ref="A1:E1"/>
  </mergeCells>
  <conditionalFormatting sqref="E5">
    <cfRule type="cellIs" dxfId="1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1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1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1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1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1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1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1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1" bestFit="1" customWidth="1"/>
    <col min="2" max="2" width="9.5546875" style="101" hidden="1" customWidth="1" outlineLevel="1"/>
    <col min="3" max="3" width="9.5546875" style="101" customWidth="1" collapsed="1"/>
    <col min="4" max="4" width="2.21875" style="101" customWidth="1"/>
    <col min="5" max="8" width="9.5546875" style="101" customWidth="1"/>
    <col min="9" max="10" width="9.77734375" style="101" hidden="1" customWidth="1" outlineLevel="1"/>
    <col min="11" max="11" width="8.88671875" style="101" collapsed="1"/>
    <col min="12" max="16384" width="8.88671875" style="101"/>
  </cols>
  <sheetData>
    <row r="1" spans="1:10" ht="18.600000000000001" customHeight="1" thickBot="1" x14ac:dyDescent="0.4">
      <c r="A1" s="274" t="s">
        <v>98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0" ht="14.4" customHeight="1" thickBot="1" x14ac:dyDescent="0.35">
      <c r="A2" s="189" t="s">
        <v>204</v>
      </c>
      <c r="B2" s="83"/>
      <c r="C2" s="83"/>
      <c r="D2" s="83"/>
      <c r="E2" s="83"/>
      <c r="F2" s="83"/>
    </row>
    <row r="3" spans="1:10" ht="14.4" customHeight="1" x14ac:dyDescent="0.3">
      <c r="A3" s="265"/>
      <c r="B3" s="79">
        <v>2015</v>
      </c>
      <c r="C3" s="40">
        <v>2016</v>
      </c>
      <c r="D3" s="7"/>
      <c r="E3" s="269">
        <v>2017</v>
      </c>
      <c r="F3" s="270"/>
      <c r="G3" s="270"/>
      <c r="H3" s="271"/>
      <c r="I3" s="272">
        <v>2017</v>
      </c>
      <c r="J3" s="273"/>
    </row>
    <row r="4" spans="1:10" ht="14.4" customHeight="1" thickBot="1" x14ac:dyDescent="0.35">
      <c r="A4" s="266"/>
      <c r="B4" s="267" t="s">
        <v>47</v>
      </c>
      <c r="C4" s="268"/>
      <c r="D4" s="7"/>
      <c r="E4" s="100" t="s">
        <v>47</v>
      </c>
      <c r="F4" s="81" t="s">
        <v>48</v>
      </c>
      <c r="G4" s="81" t="s">
        <v>42</v>
      </c>
      <c r="H4" s="82" t="s">
        <v>49</v>
      </c>
      <c r="I4" s="206" t="s">
        <v>169</v>
      </c>
      <c r="J4" s="207" t="s">
        <v>170</v>
      </c>
    </row>
    <row r="5" spans="1:10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10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10" ht="14.4" customHeight="1" x14ac:dyDescent="0.3">
      <c r="A7" s="84" t="str">
        <f>HYPERLINK("#'Osobní náklady'!A1","Osobní náklady (Kč) *")</f>
        <v>Osobní náklady (Kč) *</v>
      </c>
      <c r="B7" s="10">
        <v>1751.3667</v>
      </c>
      <c r="C7" s="31">
        <v>1887.9484</v>
      </c>
      <c r="D7" s="8"/>
      <c r="E7" s="90">
        <v>2028.2174600000001</v>
      </c>
      <c r="F7" s="30">
        <v>1781</v>
      </c>
      <c r="G7" s="91">
        <f>E7-F7</f>
        <v>247.21746000000007</v>
      </c>
      <c r="H7" s="95">
        <f>IF(F7&lt;0.00000001,"",E7/F7)</f>
        <v>1.1388082313307131</v>
      </c>
    </row>
    <row r="8" spans="1:10" ht="14.4" customHeight="1" thickBot="1" x14ac:dyDescent="0.35">
      <c r="A8" s="1" t="s">
        <v>50</v>
      </c>
      <c r="B8" s="11">
        <v>3.9949999999998909</v>
      </c>
      <c r="C8" s="33">
        <v>7.8850700000000415</v>
      </c>
      <c r="D8" s="8"/>
      <c r="E8" s="92">
        <v>23.024479999999812</v>
      </c>
      <c r="F8" s="32">
        <v>3.5230375351907242</v>
      </c>
      <c r="G8" s="93">
        <f>E8-F8</f>
        <v>19.501442464809088</v>
      </c>
      <c r="H8" s="96">
        <f>IF(F8&lt;0.00000001,"",E8/F8)</f>
        <v>6.5354058167175761</v>
      </c>
    </row>
    <row r="9" spans="1:10" ht="14.4" customHeight="1" thickBot="1" x14ac:dyDescent="0.35">
      <c r="A9" s="2" t="s">
        <v>51</v>
      </c>
      <c r="B9" s="3">
        <v>1755.3616999999999</v>
      </c>
      <c r="C9" s="35">
        <v>1895.83347</v>
      </c>
      <c r="D9" s="8"/>
      <c r="E9" s="3">
        <v>2051.2419399999999</v>
      </c>
      <c r="F9" s="34">
        <v>1784.5230375351907</v>
      </c>
      <c r="G9" s="34">
        <f>E9-F9</f>
        <v>266.71890246480916</v>
      </c>
      <c r="H9" s="97">
        <f>IF(F9&lt;0.00000001,"",E9/F9)</f>
        <v>1.1494622915225601</v>
      </c>
    </row>
    <row r="10" spans="1:10" ht="14.4" customHeight="1" thickBot="1" x14ac:dyDescent="0.35">
      <c r="A10" s="12"/>
      <c r="B10" s="12"/>
      <c r="C10" s="80"/>
      <c r="D10" s="8"/>
      <c r="E10" s="12"/>
      <c r="F10" s="13"/>
    </row>
    <row r="11" spans="1:10" ht="14.4" customHeight="1" x14ac:dyDescent="0.3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0.36432999999999999</v>
      </c>
      <c r="C11" s="29">
        <f>IF(ISERROR(VLOOKUP("Celkem:",'ZV Vykáz.-A'!A:H,5,0)),0,VLOOKUP("Celkem:",'ZV Vykáz.-A'!A:H,5,0)/1000)</f>
        <v>0</v>
      </c>
      <c r="D11" s="8"/>
      <c r="E11" s="89">
        <f>IF(ISERROR(VLOOKUP("Celkem:",'ZV Vykáz.-A'!A:H,8,0)),0,VLOOKUP("Celkem:",'ZV Vykáz.-A'!A:H,8,0)/1000)</f>
        <v>0</v>
      </c>
      <c r="F11" s="28">
        <f>C11</f>
        <v>0</v>
      </c>
      <c r="G11" s="88">
        <f>E11-F11</f>
        <v>0</v>
      </c>
      <c r="H11" s="94" t="str">
        <f>IF(F11&lt;0.00000001,"",E11/F11)</f>
        <v/>
      </c>
      <c r="I11" s="88">
        <f>E11-B11</f>
        <v>-0.36432999999999999</v>
      </c>
      <c r="J11" s="94">
        <f>IF(B11&lt;0.00000001,"",E11/B11)</f>
        <v>0</v>
      </c>
    </row>
    <row r="12" spans="1:10" ht="14.4" customHeight="1" thickBot="1" x14ac:dyDescent="0.3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C12</f>
        <v>0</v>
      </c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" customHeight="1" thickBot="1" x14ac:dyDescent="0.35">
      <c r="A13" s="4" t="s">
        <v>54</v>
      </c>
      <c r="B13" s="5">
        <f>SUM(B11:B12)</f>
        <v>0.36432999999999999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8" t="str">
        <f>IF(F13&lt;0.00000001,"",E13/F13)</f>
        <v/>
      </c>
      <c r="I13" s="36">
        <f>SUM(I11:I12)</f>
        <v>-0.36432999999999999</v>
      </c>
      <c r="J13" s="98">
        <f>IF(B13&lt;0.00000001,"",E13/B13)</f>
        <v>0</v>
      </c>
    </row>
    <row r="14" spans="1:10" ht="14.4" customHeight="1" thickBot="1" x14ac:dyDescent="0.35">
      <c r="A14" s="12"/>
      <c r="B14" s="12"/>
      <c r="C14" s="80"/>
      <c r="D14" s="8"/>
      <c r="E14" s="12"/>
      <c r="F14" s="13"/>
    </row>
    <row r="15" spans="1:10" ht="14.4" customHeight="1" thickBot="1" x14ac:dyDescent="0.35">
      <c r="A15" s="106" t="str">
        <f>HYPERLINK("#'HI Graf'!A1","Hospodářský index (Výnosy / Náklady) *")</f>
        <v>Hospodářský index (Výnosy / Náklady) *</v>
      </c>
      <c r="B15" s="6">
        <f>IF(B9=0,"",B13/B9)</f>
        <v>2.0755266564150284E-4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9" t="str">
        <f>IF(ISERROR(F15-E15),"",IF(F15&lt;0.00000001,"",E15/F15))</f>
        <v/>
      </c>
    </row>
    <row r="17" spans="1:8" ht="14.4" customHeight="1" x14ac:dyDescent="0.3">
      <c r="A17" s="85" t="s">
        <v>108</v>
      </c>
    </row>
    <row r="18" spans="1:8" ht="14.4" customHeight="1" x14ac:dyDescent="0.3">
      <c r="A18" s="192" t="s">
        <v>133</v>
      </c>
      <c r="B18" s="193"/>
      <c r="C18" s="193"/>
      <c r="D18" s="193"/>
      <c r="E18" s="193"/>
      <c r="F18" s="193"/>
      <c r="G18" s="193"/>
      <c r="H18" s="193"/>
    </row>
    <row r="19" spans="1:8" x14ac:dyDescent="0.3">
      <c r="A19" s="191" t="s">
        <v>132</v>
      </c>
      <c r="B19" s="193"/>
      <c r="C19" s="193"/>
      <c r="D19" s="193"/>
      <c r="E19" s="193"/>
      <c r="F19" s="193"/>
      <c r="G19" s="193"/>
      <c r="H19" s="193"/>
    </row>
    <row r="20" spans="1:8" ht="14.4" customHeight="1" x14ac:dyDescent="0.3">
      <c r="A20" s="86" t="s">
        <v>140</v>
      </c>
    </row>
    <row r="21" spans="1:8" ht="14.4" customHeight="1" x14ac:dyDescent="0.3">
      <c r="A21" s="86" t="s">
        <v>109</v>
      </c>
    </row>
    <row r="22" spans="1:8" ht="14.4" customHeight="1" x14ac:dyDescent="0.3">
      <c r="A22" s="87" t="s">
        <v>168</v>
      </c>
    </row>
    <row r="23" spans="1:8" ht="14.4" customHeight="1" x14ac:dyDescent="0.3">
      <c r="A23" s="87" t="s">
        <v>110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10" priority="8" operator="greaterThan">
      <formula>0</formula>
    </cfRule>
  </conditionalFormatting>
  <conditionalFormatting sqref="G11:G13 G15">
    <cfRule type="cellIs" dxfId="9" priority="7" operator="lessThan">
      <formula>0</formula>
    </cfRule>
  </conditionalFormatting>
  <conditionalFormatting sqref="H5:H9">
    <cfRule type="cellIs" dxfId="8" priority="6" operator="greaterThan">
      <formula>1</formula>
    </cfRule>
  </conditionalFormatting>
  <conditionalFormatting sqref="H11:H13 H15">
    <cfRule type="cellIs" dxfId="7" priority="5" operator="lessThan">
      <formula>1</formula>
    </cfRule>
  </conditionalFormatting>
  <conditionalFormatting sqref="I11:I13">
    <cfRule type="cellIs" dxfId="6" priority="4" operator="lessThan">
      <formula>0</formula>
    </cfRule>
  </conditionalFormatting>
  <conditionalFormatting sqref="J11:J13">
    <cfRule type="cellIs" dxfId="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1"/>
    <col min="2" max="13" width="8.88671875" style="101" customWidth="1"/>
    <col min="14" max="16384" width="8.88671875" style="101"/>
  </cols>
  <sheetData>
    <row r="1" spans="1:13" ht="18.600000000000001" customHeight="1" thickBot="1" x14ac:dyDescent="0.4">
      <c r="A1" s="263" t="s">
        <v>78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  <row r="2" spans="1:13" ht="14.4" customHeight="1" x14ac:dyDescent="0.3">
      <c r="A2" s="189" t="s">
        <v>204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" customHeight="1" x14ac:dyDescent="0.3">
      <c r="A3" s="167"/>
      <c r="B3" s="168" t="s">
        <v>56</v>
      </c>
      <c r="C3" s="169" t="s">
        <v>57</v>
      </c>
      <c r="D3" s="169" t="s">
        <v>58</v>
      </c>
      <c r="E3" s="168" t="s">
        <v>59</v>
      </c>
      <c r="F3" s="169" t="s">
        <v>60</v>
      </c>
      <c r="G3" s="169" t="s">
        <v>61</v>
      </c>
      <c r="H3" s="169" t="s">
        <v>62</v>
      </c>
      <c r="I3" s="169" t="s">
        <v>63</v>
      </c>
      <c r="J3" s="169" t="s">
        <v>64</v>
      </c>
      <c r="K3" s="169" t="s">
        <v>65</v>
      </c>
      <c r="L3" s="169" t="s">
        <v>66</v>
      </c>
      <c r="M3" s="169" t="s">
        <v>67</v>
      </c>
    </row>
    <row r="4" spans="1:13" ht="14.4" customHeight="1" x14ac:dyDescent="0.3">
      <c r="A4" s="167" t="s">
        <v>55</v>
      </c>
      <c r="B4" s="170">
        <f>(B10+B8)/B6</f>
        <v>0</v>
      </c>
      <c r="C4" s="170">
        <f t="shared" ref="C4:M4" si="0">(C10+C8)/C6</f>
        <v>0</v>
      </c>
      <c r="D4" s="170">
        <f t="shared" si="0"/>
        <v>0</v>
      </c>
      <c r="E4" s="170">
        <f t="shared" si="0"/>
        <v>0</v>
      </c>
      <c r="F4" s="170">
        <f t="shared" si="0"/>
        <v>0</v>
      </c>
      <c r="G4" s="170">
        <f t="shared" si="0"/>
        <v>0</v>
      </c>
      <c r="H4" s="170">
        <f t="shared" si="0"/>
        <v>0</v>
      </c>
      <c r="I4" s="170">
        <f t="shared" si="0"/>
        <v>0</v>
      </c>
      <c r="J4" s="170">
        <f t="shared" si="0"/>
        <v>0</v>
      </c>
      <c r="K4" s="170">
        <f t="shared" si="0"/>
        <v>0</v>
      </c>
      <c r="L4" s="170">
        <f t="shared" si="0"/>
        <v>0</v>
      </c>
      <c r="M4" s="170">
        <f t="shared" si="0"/>
        <v>0</v>
      </c>
    </row>
    <row r="5" spans="1:13" ht="14.4" customHeight="1" x14ac:dyDescent="0.3">
      <c r="A5" s="171" t="s">
        <v>28</v>
      </c>
      <c r="B5" s="170">
        <f>IF(ISERROR(VLOOKUP($A5,'Man Tab'!$A:$Q,COLUMN()+2,0)),0,VLOOKUP($A5,'Man Tab'!$A:$Q,COLUMN()+2,0))</f>
        <v>138.31961000000001</v>
      </c>
      <c r="C5" s="170">
        <f>IF(ISERROR(VLOOKUP($A5,'Man Tab'!$A:$Q,COLUMN()+2,0)),0,VLOOKUP($A5,'Man Tab'!$A:$Q,COLUMN()+2,0))</f>
        <v>137.98177000000001</v>
      </c>
      <c r="D5" s="170">
        <f>IF(ISERROR(VLOOKUP($A5,'Man Tab'!$A:$Q,COLUMN()+2,0)),0,VLOOKUP($A5,'Man Tab'!$A:$Q,COLUMN()+2,0))</f>
        <v>138.13058000000001</v>
      </c>
      <c r="E5" s="170">
        <f>IF(ISERROR(VLOOKUP($A5,'Man Tab'!$A:$Q,COLUMN()+2,0)),0,VLOOKUP($A5,'Man Tab'!$A:$Q,COLUMN()+2,0))</f>
        <v>138.08590000000001</v>
      </c>
      <c r="F5" s="170">
        <f>IF(ISERROR(VLOOKUP($A5,'Man Tab'!$A:$Q,COLUMN()+2,0)),0,VLOOKUP($A5,'Man Tab'!$A:$Q,COLUMN()+2,0))</f>
        <v>138.40977000000001</v>
      </c>
      <c r="G5" s="170">
        <f>IF(ISERROR(VLOOKUP($A5,'Man Tab'!$A:$Q,COLUMN()+2,0)),0,VLOOKUP($A5,'Man Tab'!$A:$Q,COLUMN()+2,0))</f>
        <v>139.56535</v>
      </c>
      <c r="H5" s="170">
        <f>IF(ISERROR(VLOOKUP($A5,'Man Tab'!$A:$Q,COLUMN()+2,0)),0,VLOOKUP($A5,'Man Tab'!$A:$Q,COLUMN()+2,0))</f>
        <v>277.74932000000001</v>
      </c>
      <c r="I5" s="170">
        <f>IF(ISERROR(VLOOKUP($A5,'Man Tab'!$A:$Q,COLUMN()+2,0)),0,VLOOKUP($A5,'Man Tab'!$A:$Q,COLUMN()+2,0))</f>
        <v>142.54298</v>
      </c>
      <c r="J5" s="170">
        <f>IF(ISERROR(VLOOKUP($A5,'Man Tab'!$A:$Q,COLUMN()+2,0)),0,VLOOKUP($A5,'Man Tab'!$A:$Q,COLUMN()+2,0))</f>
        <v>156.93415999999999</v>
      </c>
      <c r="K5" s="170">
        <f>IF(ISERROR(VLOOKUP($A5,'Man Tab'!$A:$Q,COLUMN()+2,0)),0,VLOOKUP($A5,'Man Tab'!$A:$Q,COLUMN()+2,0))</f>
        <v>178.22564</v>
      </c>
      <c r="L5" s="170">
        <f>IF(ISERROR(VLOOKUP($A5,'Man Tab'!$A:$Q,COLUMN()+2,0)),0,VLOOKUP($A5,'Man Tab'!$A:$Q,COLUMN()+2,0))</f>
        <v>197.00386</v>
      </c>
      <c r="M5" s="170">
        <f>IF(ISERROR(VLOOKUP($A5,'Man Tab'!$A:$Q,COLUMN()+2,0)),0,VLOOKUP($A5,'Man Tab'!$A:$Q,COLUMN()+2,0))</f>
        <v>268.29300000000001</v>
      </c>
    </row>
    <row r="6" spans="1:13" ht="14.4" customHeight="1" x14ac:dyDescent="0.3">
      <c r="A6" s="171" t="s">
        <v>51</v>
      </c>
      <c r="B6" s="172">
        <f>B5</f>
        <v>138.31961000000001</v>
      </c>
      <c r="C6" s="172">
        <f t="shared" ref="C6:M6" si="1">C5+B6</f>
        <v>276.30137999999999</v>
      </c>
      <c r="D6" s="172">
        <f t="shared" si="1"/>
        <v>414.43196</v>
      </c>
      <c r="E6" s="172">
        <f t="shared" si="1"/>
        <v>552.51786000000004</v>
      </c>
      <c r="F6" s="172">
        <f t="shared" si="1"/>
        <v>690.92763000000002</v>
      </c>
      <c r="G6" s="172">
        <f t="shared" si="1"/>
        <v>830.49297999999999</v>
      </c>
      <c r="H6" s="172">
        <f t="shared" si="1"/>
        <v>1108.2422999999999</v>
      </c>
      <c r="I6" s="172">
        <f t="shared" si="1"/>
        <v>1250.7852799999998</v>
      </c>
      <c r="J6" s="172">
        <f t="shared" si="1"/>
        <v>1407.7194399999998</v>
      </c>
      <c r="K6" s="172">
        <f t="shared" si="1"/>
        <v>1585.94508</v>
      </c>
      <c r="L6" s="172">
        <f t="shared" si="1"/>
        <v>1782.94894</v>
      </c>
      <c r="M6" s="172">
        <f t="shared" si="1"/>
        <v>2051.2419399999999</v>
      </c>
    </row>
    <row r="7" spans="1:13" ht="14.4" customHeight="1" x14ac:dyDescent="0.3">
      <c r="A7" s="171" t="s">
        <v>76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52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77</v>
      </c>
      <c r="B9" s="171"/>
      <c r="C9" s="171">
        <v>0</v>
      </c>
      <c r="D9" s="171">
        <v>0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53</v>
      </c>
      <c r="B10" s="172">
        <f>B9/1000</f>
        <v>0</v>
      </c>
      <c r="C10" s="172">
        <f t="shared" ref="C10:M10" si="3">C9/1000+B10</f>
        <v>0</v>
      </c>
      <c r="D10" s="172">
        <f t="shared" si="3"/>
        <v>0</v>
      </c>
      <c r="E10" s="172">
        <f t="shared" si="3"/>
        <v>0</v>
      </c>
      <c r="F10" s="172">
        <f t="shared" si="3"/>
        <v>0</v>
      </c>
      <c r="G10" s="172">
        <f t="shared" si="3"/>
        <v>0</v>
      </c>
      <c r="H10" s="172">
        <f t="shared" si="3"/>
        <v>0</v>
      </c>
      <c r="I10" s="172">
        <f t="shared" si="3"/>
        <v>0</v>
      </c>
      <c r="J10" s="172">
        <f t="shared" si="3"/>
        <v>0</v>
      </c>
      <c r="K10" s="172">
        <f t="shared" si="3"/>
        <v>0</v>
      </c>
      <c r="L10" s="172">
        <f t="shared" si="3"/>
        <v>0</v>
      </c>
      <c r="M10" s="172">
        <f t="shared" si="3"/>
        <v>0</v>
      </c>
    </row>
    <row r="11" spans="1:13" ht="14.4" customHeight="1" x14ac:dyDescent="0.3">
      <c r="A11" s="167"/>
      <c r="B11" s="167" t="s">
        <v>68</v>
      </c>
      <c r="C11" s="167">
        <f ca="1">IF(MONTH(TODAY())=1,12,MONTH(TODAY())-1)</f>
        <v>12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0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1" bestFit="1" customWidth="1"/>
    <col min="2" max="2" width="12.77734375" style="101" bestFit="1" customWidth="1"/>
    <col min="3" max="3" width="13.6640625" style="101" bestFit="1" customWidth="1"/>
    <col min="4" max="15" width="7.77734375" style="101" bestFit="1" customWidth="1"/>
    <col min="16" max="16" width="8.88671875" style="101" customWidth="1"/>
    <col min="17" max="17" width="6.6640625" style="101" bestFit="1" customWidth="1"/>
    <col min="18" max="16384" width="8.88671875" style="101"/>
  </cols>
  <sheetData>
    <row r="1" spans="1:17" s="173" customFormat="1" ht="18.600000000000001" customHeight="1" thickBot="1" x14ac:dyDescent="0.4">
      <c r="A1" s="275" t="s">
        <v>206</v>
      </c>
      <c r="B1" s="275"/>
      <c r="C1" s="275"/>
      <c r="D1" s="275"/>
      <c r="E1" s="275"/>
      <c r="F1" s="275"/>
      <c r="G1" s="275"/>
      <c r="H1" s="263"/>
      <c r="I1" s="263"/>
      <c r="J1" s="263"/>
      <c r="K1" s="263"/>
      <c r="L1" s="263"/>
      <c r="M1" s="263"/>
      <c r="N1" s="263"/>
      <c r="O1" s="263"/>
      <c r="P1" s="263"/>
      <c r="Q1" s="263"/>
    </row>
    <row r="2" spans="1:17" s="173" customFormat="1" ht="14.4" customHeight="1" thickBot="1" x14ac:dyDescent="0.3">
      <c r="A2" s="189" t="s">
        <v>204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276" t="s">
        <v>4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109"/>
      <c r="Q3" s="111"/>
    </row>
    <row r="4" spans="1:17" ht="14.4" customHeight="1" x14ac:dyDescent="0.3">
      <c r="A4" s="60"/>
      <c r="B4" s="20">
        <v>2017</v>
      </c>
      <c r="C4" s="110" t="s">
        <v>5</v>
      </c>
      <c r="D4" s="200" t="s">
        <v>144</v>
      </c>
      <c r="E4" s="200" t="s">
        <v>145</v>
      </c>
      <c r="F4" s="200" t="s">
        <v>146</v>
      </c>
      <c r="G4" s="200" t="s">
        <v>147</v>
      </c>
      <c r="H4" s="200" t="s">
        <v>148</v>
      </c>
      <c r="I4" s="200" t="s">
        <v>149</v>
      </c>
      <c r="J4" s="200" t="s">
        <v>150</v>
      </c>
      <c r="K4" s="200" t="s">
        <v>151</v>
      </c>
      <c r="L4" s="200" t="s">
        <v>152</v>
      </c>
      <c r="M4" s="200" t="s">
        <v>153</v>
      </c>
      <c r="N4" s="200" t="s">
        <v>154</v>
      </c>
      <c r="O4" s="200" t="s">
        <v>155</v>
      </c>
      <c r="P4" s="278" t="s">
        <v>2</v>
      </c>
      <c r="Q4" s="279"/>
    </row>
    <row r="5" spans="1:17" ht="14.4" customHeight="1" thickBot="1" x14ac:dyDescent="0.35">
      <c r="A5" s="61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" customHeight="1" x14ac:dyDescent="0.3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205</v>
      </c>
    </row>
    <row r="7" spans="1:17" ht="14.4" customHeight="1" x14ac:dyDescent="0.3">
      <c r="A7" s="15" t="s">
        <v>10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205</v>
      </c>
    </row>
    <row r="8" spans="1:17" ht="14.4" customHeight="1" x14ac:dyDescent="0.3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205</v>
      </c>
    </row>
    <row r="9" spans="1:17" ht="14.4" customHeight="1" x14ac:dyDescent="0.3">
      <c r="A9" s="15" t="s">
        <v>12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205</v>
      </c>
    </row>
    <row r="10" spans="1:17" ht="14.4" customHeight="1" x14ac:dyDescent="0.3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205</v>
      </c>
    </row>
    <row r="11" spans="1:17" ht="14.4" customHeight="1" x14ac:dyDescent="0.3">
      <c r="A11" s="15" t="s">
        <v>14</v>
      </c>
      <c r="B11" s="46">
        <v>2.5258086728019999</v>
      </c>
      <c r="C11" s="47">
        <v>0.21048405606600001</v>
      </c>
      <c r="D11" s="47">
        <v>0.19919999999999999</v>
      </c>
      <c r="E11" s="47">
        <v>0</v>
      </c>
      <c r="F11" s="47">
        <v>0</v>
      </c>
      <c r="G11" s="47">
        <v>0</v>
      </c>
      <c r="H11" s="47">
        <v>0.24056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0.43975999999999998</v>
      </c>
      <c r="Q11" s="70">
        <v>0.17410661572800001</v>
      </c>
    </row>
    <row r="12" spans="1:17" ht="14.4" customHeight="1" x14ac:dyDescent="0.3">
      <c r="A12" s="15" t="s">
        <v>15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205</v>
      </c>
    </row>
    <row r="13" spans="1:17" ht="14.4" customHeight="1" x14ac:dyDescent="0.3">
      <c r="A13" s="15" t="s">
        <v>16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1.5826</v>
      </c>
      <c r="M13" s="47">
        <v>0</v>
      </c>
      <c r="N13" s="47">
        <v>0</v>
      </c>
      <c r="O13" s="47">
        <v>0</v>
      </c>
      <c r="P13" s="48">
        <v>1.5826</v>
      </c>
      <c r="Q13" s="70" t="s">
        <v>205</v>
      </c>
    </row>
    <row r="14" spans="1:17" ht="14.4" customHeight="1" x14ac:dyDescent="0.3">
      <c r="A14" s="15" t="s">
        <v>17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0" t="s">
        <v>205</v>
      </c>
    </row>
    <row r="15" spans="1:17" ht="14.4" customHeight="1" x14ac:dyDescent="0.3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205</v>
      </c>
    </row>
    <row r="16" spans="1:17" ht="14.4" customHeight="1" x14ac:dyDescent="0.3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205</v>
      </c>
    </row>
    <row r="17" spans="1:17" ht="14.4" customHeight="1" x14ac:dyDescent="0.3">
      <c r="A17" s="15" t="s">
        <v>20</v>
      </c>
      <c r="B17" s="46">
        <v>0.99999999999900002</v>
      </c>
      <c r="C17" s="47">
        <v>8.3333333332999998E-2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0">
        <v>0</v>
      </c>
    </row>
    <row r="18" spans="1:17" ht="14.4" customHeight="1" x14ac:dyDescent="0.3">
      <c r="A18" s="15" t="s">
        <v>21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5.3070000000000004</v>
      </c>
      <c r="N18" s="47">
        <v>7.1999999999000003E-2</v>
      </c>
      <c r="O18" s="47">
        <v>0.84299999999899999</v>
      </c>
      <c r="P18" s="48">
        <v>6.2220000000000004</v>
      </c>
      <c r="Q18" s="70" t="s">
        <v>205</v>
      </c>
    </row>
    <row r="19" spans="1:17" ht="14.4" customHeight="1" x14ac:dyDescent="0.3">
      <c r="A19" s="15" t="s">
        <v>22</v>
      </c>
      <c r="B19" s="46">
        <v>-2.7711471149999998E-3</v>
      </c>
      <c r="C19" s="47">
        <v>-2.30928926E-4</v>
      </c>
      <c r="D19" s="47">
        <v>-5.5999999999999999E-3</v>
      </c>
      <c r="E19" s="47">
        <v>0</v>
      </c>
      <c r="F19" s="47">
        <v>3.5720000000000002E-2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3.0120000000000001E-2</v>
      </c>
      <c r="Q19" s="70">
        <v>-10.869145067764</v>
      </c>
    </row>
    <row r="20" spans="1:17" ht="14.4" customHeight="1" x14ac:dyDescent="0.3">
      <c r="A20" s="15" t="s">
        <v>23</v>
      </c>
      <c r="B20" s="46">
        <v>1781</v>
      </c>
      <c r="C20" s="47">
        <v>148.416666666667</v>
      </c>
      <c r="D20" s="47">
        <v>138.12601000000001</v>
      </c>
      <c r="E20" s="47">
        <v>137.98177000000001</v>
      </c>
      <c r="F20" s="47">
        <v>138.09486000000001</v>
      </c>
      <c r="G20" s="47">
        <v>138.08590000000001</v>
      </c>
      <c r="H20" s="47">
        <v>138.16920999999999</v>
      </c>
      <c r="I20" s="47">
        <v>139.56535</v>
      </c>
      <c r="J20" s="47">
        <v>277.74932000000001</v>
      </c>
      <c r="K20" s="47">
        <v>142.54298</v>
      </c>
      <c r="L20" s="47">
        <v>155.35156000000001</v>
      </c>
      <c r="M20" s="47">
        <v>163.61864</v>
      </c>
      <c r="N20" s="47">
        <v>196.93186</v>
      </c>
      <c r="O20" s="47">
        <v>262</v>
      </c>
      <c r="P20" s="48">
        <v>2028.2174600000001</v>
      </c>
      <c r="Q20" s="70">
        <v>1.1388082313300001</v>
      </c>
    </row>
    <row r="21" spans="1:17" ht="14.4" customHeight="1" x14ac:dyDescent="0.3">
      <c r="A21" s="16" t="s">
        <v>24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70" t="s">
        <v>205</v>
      </c>
    </row>
    <row r="22" spans="1:17" ht="14.4" customHeight="1" x14ac:dyDescent="0.3">
      <c r="A22" s="15" t="s">
        <v>25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205</v>
      </c>
    </row>
    <row r="23" spans="1:17" ht="14.4" customHeight="1" x14ac:dyDescent="0.3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205</v>
      </c>
    </row>
    <row r="24" spans="1:17" ht="14.4" customHeight="1" x14ac:dyDescent="0.3">
      <c r="A24" s="16" t="s">
        <v>27</v>
      </c>
      <c r="B24" s="46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9.3000000000000007</v>
      </c>
      <c r="N24" s="47">
        <v>0</v>
      </c>
      <c r="O24" s="47">
        <v>5.4499999999990001</v>
      </c>
      <c r="P24" s="48">
        <v>14.749999999999</v>
      </c>
      <c r="Q24" s="70"/>
    </row>
    <row r="25" spans="1:17" ht="14.4" customHeight="1" x14ac:dyDescent="0.3">
      <c r="A25" s="17" t="s">
        <v>28</v>
      </c>
      <c r="B25" s="49">
        <v>1784.5230375256899</v>
      </c>
      <c r="C25" s="50">
        <v>148.71025312714099</v>
      </c>
      <c r="D25" s="50">
        <v>138.31961000000001</v>
      </c>
      <c r="E25" s="50">
        <v>137.98177000000001</v>
      </c>
      <c r="F25" s="50">
        <v>138.13058000000001</v>
      </c>
      <c r="G25" s="50">
        <v>138.08590000000001</v>
      </c>
      <c r="H25" s="50">
        <v>138.40977000000001</v>
      </c>
      <c r="I25" s="50">
        <v>139.56535</v>
      </c>
      <c r="J25" s="50">
        <v>277.74932000000001</v>
      </c>
      <c r="K25" s="50">
        <v>142.54298</v>
      </c>
      <c r="L25" s="50">
        <v>156.93415999999999</v>
      </c>
      <c r="M25" s="50">
        <v>178.22564</v>
      </c>
      <c r="N25" s="50">
        <v>197.00386</v>
      </c>
      <c r="O25" s="50">
        <v>268.29300000000001</v>
      </c>
      <c r="P25" s="51">
        <v>2051.2419399999999</v>
      </c>
      <c r="Q25" s="71">
        <v>1.1494622915279999</v>
      </c>
    </row>
    <row r="26" spans="1:17" ht="14.4" customHeight="1" x14ac:dyDescent="0.3">
      <c r="A26" s="15" t="s">
        <v>29</v>
      </c>
      <c r="B26" s="46">
        <v>278.85684610689401</v>
      </c>
      <c r="C26" s="47">
        <v>23.238070508907001</v>
      </c>
      <c r="D26" s="47">
        <v>19.483979999999999</v>
      </c>
      <c r="E26" s="47">
        <v>18.917190000000002</v>
      </c>
      <c r="F26" s="47">
        <v>23.650780000000001</v>
      </c>
      <c r="G26" s="47">
        <v>22.349070000000001</v>
      </c>
      <c r="H26" s="47">
        <v>22.922720000000002</v>
      </c>
      <c r="I26" s="47">
        <v>25.73395</v>
      </c>
      <c r="J26" s="47">
        <v>35.649659999999997</v>
      </c>
      <c r="K26" s="47">
        <v>41.381459999999997</v>
      </c>
      <c r="L26" s="47">
        <v>9.7117199999999997</v>
      </c>
      <c r="M26" s="47">
        <v>31.20899</v>
      </c>
      <c r="N26" s="47">
        <v>29.968160000000001</v>
      </c>
      <c r="O26" s="47">
        <v>40.23377</v>
      </c>
      <c r="P26" s="48">
        <v>321.21145000000001</v>
      </c>
      <c r="Q26" s="70">
        <v>1.151886548544</v>
      </c>
    </row>
    <row r="27" spans="1:17" ht="14.4" customHeight="1" x14ac:dyDescent="0.3">
      <c r="A27" s="18" t="s">
        <v>30</v>
      </c>
      <c r="B27" s="49">
        <v>2063.37988363258</v>
      </c>
      <c r="C27" s="50">
        <v>171.948323636048</v>
      </c>
      <c r="D27" s="50">
        <v>157.80359000000001</v>
      </c>
      <c r="E27" s="50">
        <v>156.89895999999999</v>
      </c>
      <c r="F27" s="50">
        <v>161.78136000000001</v>
      </c>
      <c r="G27" s="50">
        <v>160.43496999999999</v>
      </c>
      <c r="H27" s="50">
        <v>161.33249000000001</v>
      </c>
      <c r="I27" s="50">
        <v>165.29929999999999</v>
      </c>
      <c r="J27" s="50">
        <v>313.39897999999999</v>
      </c>
      <c r="K27" s="50">
        <v>183.92444</v>
      </c>
      <c r="L27" s="50">
        <v>166.64588000000001</v>
      </c>
      <c r="M27" s="50">
        <v>209.43463</v>
      </c>
      <c r="N27" s="50">
        <v>226.97201999999999</v>
      </c>
      <c r="O27" s="50">
        <v>308.52677</v>
      </c>
      <c r="P27" s="51">
        <v>2372.4533900000001</v>
      </c>
      <c r="Q27" s="71">
        <v>1.149789919354</v>
      </c>
    </row>
    <row r="28" spans="1:17" ht="14.4" customHeight="1" x14ac:dyDescent="0.3">
      <c r="A28" s="16" t="s">
        <v>31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>
        <v>0</v>
      </c>
    </row>
    <row r="29" spans="1:17" ht="14.4" customHeight="1" x14ac:dyDescent="0.3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205</v>
      </c>
    </row>
    <row r="30" spans="1:17" ht="14.4" customHeight="1" x14ac:dyDescent="0.3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205</v>
      </c>
    </row>
    <row r="32" spans="1:17" ht="14.4" customHeight="1" x14ac:dyDescent="0.3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" customHeight="1" x14ac:dyDescent="0.3">
      <c r="A33" s="85" t="s">
        <v>108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" customHeight="1" x14ac:dyDescent="0.3">
      <c r="A34" s="107" t="s">
        <v>156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" customHeight="1" x14ac:dyDescent="0.3">
      <c r="A35" s="108" t="s">
        <v>35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7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1" customWidth="1"/>
    <col min="2" max="11" width="10" style="101" customWidth="1"/>
    <col min="12" max="16384" width="8.88671875" style="101"/>
  </cols>
  <sheetData>
    <row r="1" spans="1:11" s="55" customFormat="1" ht="18.600000000000001" customHeight="1" thickBot="1" x14ac:dyDescent="0.4">
      <c r="A1" s="275" t="s">
        <v>36</v>
      </c>
      <c r="B1" s="275"/>
      <c r="C1" s="275"/>
      <c r="D1" s="275"/>
      <c r="E1" s="275"/>
      <c r="F1" s="275"/>
      <c r="G1" s="275"/>
      <c r="H1" s="280"/>
      <c r="I1" s="280"/>
      <c r="J1" s="280"/>
      <c r="K1" s="280"/>
    </row>
    <row r="2" spans="1:11" s="55" customFormat="1" ht="14.4" customHeight="1" thickBot="1" x14ac:dyDescent="0.35">
      <c r="A2" s="189" t="s">
        <v>204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76" t="s">
        <v>37</v>
      </c>
      <c r="C3" s="277"/>
      <c r="D3" s="277"/>
      <c r="E3" s="277"/>
      <c r="F3" s="283" t="s">
        <v>38</v>
      </c>
      <c r="G3" s="277"/>
      <c r="H3" s="277"/>
      <c r="I3" s="277"/>
      <c r="J3" s="277"/>
      <c r="K3" s="284"/>
    </row>
    <row r="4" spans="1:11" ht="14.4" customHeight="1" x14ac:dyDescent="0.3">
      <c r="A4" s="60"/>
      <c r="B4" s="281"/>
      <c r="C4" s="282"/>
      <c r="D4" s="282"/>
      <c r="E4" s="282"/>
      <c r="F4" s="285" t="s">
        <v>157</v>
      </c>
      <c r="G4" s="287" t="s">
        <v>39</v>
      </c>
      <c r="H4" s="112" t="s">
        <v>100</v>
      </c>
      <c r="I4" s="285" t="s">
        <v>40</v>
      </c>
      <c r="J4" s="287" t="s">
        <v>164</v>
      </c>
      <c r="K4" s="288" t="s">
        <v>158</v>
      </c>
    </row>
    <row r="5" spans="1:11" ht="42" thickBot="1" x14ac:dyDescent="0.35">
      <c r="A5" s="61"/>
      <c r="B5" s="24" t="s">
        <v>160</v>
      </c>
      <c r="C5" s="25" t="s">
        <v>161</v>
      </c>
      <c r="D5" s="26" t="s">
        <v>162</v>
      </c>
      <c r="E5" s="26" t="s">
        <v>163</v>
      </c>
      <c r="F5" s="286"/>
      <c r="G5" s="286"/>
      <c r="H5" s="25" t="s">
        <v>159</v>
      </c>
      <c r="I5" s="286"/>
      <c r="J5" s="286"/>
      <c r="K5" s="289"/>
    </row>
    <row r="6" spans="1:11" ht="14.4" customHeight="1" thickBot="1" x14ac:dyDescent="0.35">
      <c r="A6" s="369" t="s">
        <v>207</v>
      </c>
      <c r="B6" s="351">
        <v>1770.98852630384</v>
      </c>
      <c r="C6" s="351">
        <v>1895.83347</v>
      </c>
      <c r="D6" s="352">
        <v>124.844943696165</v>
      </c>
      <c r="E6" s="353">
        <v>1.0704944960630001</v>
      </c>
      <c r="F6" s="351">
        <v>1784.5230375256899</v>
      </c>
      <c r="G6" s="352">
        <v>1784.5230375256899</v>
      </c>
      <c r="H6" s="354">
        <v>268.29300000000001</v>
      </c>
      <c r="I6" s="351">
        <v>2051.2419399999999</v>
      </c>
      <c r="J6" s="352">
        <v>266.71890247431202</v>
      </c>
      <c r="K6" s="355">
        <v>1.1494622915279999</v>
      </c>
    </row>
    <row r="7" spans="1:11" ht="14.4" customHeight="1" thickBot="1" x14ac:dyDescent="0.35">
      <c r="A7" s="370" t="s">
        <v>208</v>
      </c>
      <c r="B7" s="351">
        <v>4.8075692549740001</v>
      </c>
      <c r="C7" s="351">
        <v>0.9375</v>
      </c>
      <c r="D7" s="352">
        <v>-3.8700692549740001</v>
      </c>
      <c r="E7" s="353">
        <v>0.19500499114600001</v>
      </c>
      <c r="F7" s="351">
        <v>2.5258086728019999</v>
      </c>
      <c r="G7" s="352">
        <v>2.5258086728019999</v>
      </c>
      <c r="H7" s="354">
        <v>0</v>
      </c>
      <c r="I7" s="351">
        <v>2.0223599999999999</v>
      </c>
      <c r="J7" s="352">
        <v>-0.50344867280200001</v>
      </c>
      <c r="K7" s="355">
        <v>0.80067822308699999</v>
      </c>
    </row>
    <row r="8" spans="1:11" ht="14.4" customHeight="1" thickBot="1" x14ac:dyDescent="0.35">
      <c r="A8" s="371" t="s">
        <v>209</v>
      </c>
      <c r="B8" s="351">
        <v>4.8075692549740001</v>
      </c>
      <c r="C8" s="351">
        <v>0.9375</v>
      </c>
      <c r="D8" s="352">
        <v>-3.8700692549740001</v>
      </c>
      <c r="E8" s="353">
        <v>0.19500499114600001</v>
      </c>
      <c r="F8" s="351">
        <v>2.5258086728019999</v>
      </c>
      <c r="G8" s="352">
        <v>2.5258086728019999</v>
      </c>
      <c r="H8" s="354">
        <v>0</v>
      </c>
      <c r="I8" s="351">
        <v>2.0223599999999999</v>
      </c>
      <c r="J8" s="352">
        <v>-0.50344867280200001</v>
      </c>
      <c r="K8" s="355">
        <v>0.80067822308699999</v>
      </c>
    </row>
    <row r="9" spans="1:11" ht="14.4" customHeight="1" thickBot="1" x14ac:dyDescent="0.35">
      <c r="A9" s="372" t="s">
        <v>210</v>
      </c>
      <c r="B9" s="356">
        <v>4.8075692549740001</v>
      </c>
      <c r="C9" s="356">
        <v>0.9375</v>
      </c>
      <c r="D9" s="357">
        <v>-3.8700692549740001</v>
      </c>
      <c r="E9" s="358">
        <v>0.19500499114600001</v>
      </c>
      <c r="F9" s="356">
        <v>2.5258086728019999</v>
      </c>
      <c r="G9" s="357">
        <v>2.5258086728019999</v>
      </c>
      <c r="H9" s="359">
        <v>0</v>
      </c>
      <c r="I9" s="356">
        <v>0.43975999999999998</v>
      </c>
      <c r="J9" s="357">
        <v>-2.0860486728019998</v>
      </c>
      <c r="K9" s="360">
        <v>0.17410661572800001</v>
      </c>
    </row>
    <row r="10" spans="1:11" ht="14.4" customHeight="1" thickBot="1" x14ac:dyDescent="0.35">
      <c r="A10" s="373" t="s">
        <v>211</v>
      </c>
      <c r="B10" s="351">
        <v>0.78661042967600003</v>
      </c>
      <c r="C10" s="351">
        <v>0</v>
      </c>
      <c r="D10" s="352">
        <v>-0.78661042967600003</v>
      </c>
      <c r="E10" s="353">
        <v>0</v>
      </c>
      <c r="F10" s="351">
        <v>0</v>
      </c>
      <c r="G10" s="352">
        <v>0</v>
      </c>
      <c r="H10" s="354">
        <v>0</v>
      </c>
      <c r="I10" s="351">
        <v>0</v>
      </c>
      <c r="J10" s="352">
        <v>0</v>
      </c>
      <c r="K10" s="355">
        <v>0</v>
      </c>
    </row>
    <row r="11" spans="1:11" ht="14.4" customHeight="1" thickBot="1" x14ac:dyDescent="0.35">
      <c r="A11" s="373" t="s">
        <v>212</v>
      </c>
      <c r="B11" s="351">
        <v>2.4606536317060002</v>
      </c>
      <c r="C11" s="351">
        <v>0.52049999999999996</v>
      </c>
      <c r="D11" s="352">
        <v>-1.940153631706</v>
      </c>
      <c r="E11" s="353">
        <v>0.21152916172</v>
      </c>
      <c r="F11" s="351">
        <v>2</v>
      </c>
      <c r="G11" s="352">
        <v>2</v>
      </c>
      <c r="H11" s="354">
        <v>0</v>
      </c>
      <c r="I11" s="351">
        <v>0.24056</v>
      </c>
      <c r="J11" s="352">
        <v>-1.7594399999999999</v>
      </c>
      <c r="K11" s="355">
        <v>0.12028</v>
      </c>
    </row>
    <row r="12" spans="1:11" ht="14.4" customHeight="1" thickBot="1" x14ac:dyDescent="0.35">
      <c r="A12" s="373" t="s">
        <v>213</v>
      </c>
      <c r="B12" s="351">
        <v>1.196238191592</v>
      </c>
      <c r="C12" s="351">
        <v>0.41699999999999998</v>
      </c>
      <c r="D12" s="352">
        <v>-0.77923819159200003</v>
      </c>
      <c r="E12" s="353">
        <v>0.348592782717</v>
      </c>
      <c r="F12" s="351">
        <v>0.52580867280200005</v>
      </c>
      <c r="G12" s="352">
        <v>0.52580867280200005</v>
      </c>
      <c r="H12" s="354">
        <v>0</v>
      </c>
      <c r="I12" s="351">
        <v>0.19919999999999999</v>
      </c>
      <c r="J12" s="352">
        <v>-0.32660867280200001</v>
      </c>
      <c r="K12" s="355">
        <v>0.37884502539300002</v>
      </c>
    </row>
    <row r="13" spans="1:11" ht="14.4" customHeight="1" thickBot="1" x14ac:dyDescent="0.35">
      <c r="A13" s="373" t="s">
        <v>214</v>
      </c>
      <c r="B13" s="351">
        <v>0.364067001999</v>
      </c>
      <c r="C13" s="351">
        <v>0</v>
      </c>
      <c r="D13" s="352">
        <v>-0.364067001999</v>
      </c>
      <c r="E13" s="353">
        <v>0</v>
      </c>
      <c r="F13" s="351">
        <v>0</v>
      </c>
      <c r="G13" s="352">
        <v>0</v>
      </c>
      <c r="H13" s="354">
        <v>0</v>
      </c>
      <c r="I13" s="351">
        <v>0</v>
      </c>
      <c r="J13" s="352">
        <v>0</v>
      </c>
      <c r="K13" s="355">
        <v>0</v>
      </c>
    </row>
    <row r="14" spans="1:11" ht="14.4" customHeight="1" thickBot="1" x14ac:dyDescent="0.35">
      <c r="A14" s="372" t="s">
        <v>215</v>
      </c>
      <c r="B14" s="356">
        <v>0</v>
      </c>
      <c r="C14" s="356">
        <v>0</v>
      </c>
      <c r="D14" s="357">
        <v>0</v>
      </c>
      <c r="E14" s="361" t="s">
        <v>205</v>
      </c>
      <c r="F14" s="356">
        <v>0</v>
      </c>
      <c r="G14" s="357">
        <v>0</v>
      </c>
      <c r="H14" s="359">
        <v>0</v>
      </c>
      <c r="I14" s="356">
        <v>1.5826</v>
      </c>
      <c r="J14" s="357">
        <v>1.5826</v>
      </c>
      <c r="K14" s="362" t="s">
        <v>216</v>
      </c>
    </row>
    <row r="15" spans="1:11" ht="14.4" customHeight="1" thickBot="1" x14ac:dyDescent="0.35">
      <c r="A15" s="373" t="s">
        <v>217</v>
      </c>
      <c r="B15" s="351">
        <v>0</v>
      </c>
      <c r="C15" s="351">
        <v>0</v>
      </c>
      <c r="D15" s="352">
        <v>0</v>
      </c>
      <c r="E15" s="363" t="s">
        <v>205</v>
      </c>
      <c r="F15" s="351">
        <v>0</v>
      </c>
      <c r="G15" s="352">
        <v>0</v>
      </c>
      <c r="H15" s="354">
        <v>0</v>
      </c>
      <c r="I15" s="351">
        <v>1.5826</v>
      </c>
      <c r="J15" s="352">
        <v>1.5826</v>
      </c>
      <c r="K15" s="364" t="s">
        <v>216</v>
      </c>
    </row>
    <row r="16" spans="1:11" ht="14.4" customHeight="1" thickBot="1" x14ac:dyDescent="0.35">
      <c r="A16" s="374" t="s">
        <v>218</v>
      </c>
      <c r="B16" s="356">
        <v>3.5093178678999998E-2</v>
      </c>
      <c r="C16" s="356">
        <v>-2.4299999989999999E-3</v>
      </c>
      <c r="D16" s="357">
        <v>-3.7523178678999999E-2</v>
      </c>
      <c r="E16" s="358">
        <v>-6.9244226125999994E-2</v>
      </c>
      <c r="F16" s="356">
        <v>0.99722885288399998</v>
      </c>
      <c r="G16" s="357">
        <v>0.99722885288399998</v>
      </c>
      <c r="H16" s="359">
        <v>0.84299999999899999</v>
      </c>
      <c r="I16" s="356">
        <v>6.2521199999999997</v>
      </c>
      <c r="J16" s="357">
        <v>5.2548911471149999</v>
      </c>
      <c r="K16" s="360">
        <v>0</v>
      </c>
    </row>
    <row r="17" spans="1:11" ht="14.4" customHeight="1" thickBot="1" x14ac:dyDescent="0.35">
      <c r="A17" s="371" t="s">
        <v>20</v>
      </c>
      <c r="B17" s="351">
        <v>0</v>
      </c>
      <c r="C17" s="351">
        <v>0</v>
      </c>
      <c r="D17" s="352">
        <v>0</v>
      </c>
      <c r="E17" s="353">
        <v>1</v>
      </c>
      <c r="F17" s="351">
        <v>0.99999999999900002</v>
      </c>
      <c r="G17" s="352">
        <v>0.99999999999900002</v>
      </c>
      <c r="H17" s="354">
        <v>0</v>
      </c>
      <c r="I17" s="351">
        <v>0</v>
      </c>
      <c r="J17" s="352">
        <v>-0.99999999999900002</v>
      </c>
      <c r="K17" s="355">
        <v>0</v>
      </c>
    </row>
    <row r="18" spans="1:11" ht="14.4" customHeight="1" thickBot="1" x14ac:dyDescent="0.35">
      <c r="A18" s="375" t="s">
        <v>219</v>
      </c>
      <c r="B18" s="351">
        <v>0</v>
      </c>
      <c r="C18" s="351">
        <v>0</v>
      </c>
      <c r="D18" s="352">
        <v>0</v>
      </c>
      <c r="E18" s="353">
        <v>1</v>
      </c>
      <c r="F18" s="351">
        <v>0.99999999999900002</v>
      </c>
      <c r="G18" s="352">
        <v>0.99999999999900002</v>
      </c>
      <c r="H18" s="354">
        <v>0</v>
      </c>
      <c r="I18" s="351">
        <v>0</v>
      </c>
      <c r="J18" s="352">
        <v>-0.99999999999900002</v>
      </c>
      <c r="K18" s="355">
        <v>0</v>
      </c>
    </row>
    <row r="19" spans="1:11" ht="14.4" customHeight="1" thickBot="1" x14ac:dyDescent="0.35">
      <c r="A19" s="373" t="s">
        <v>220</v>
      </c>
      <c r="B19" s="351">
        <v>0</v>
      </c>
      <c r="C19" s="351">
        <v>0</v>
      </c>
      <c r="D19" s="352">
        <v>0</v>
      </c>
      <c r="E19" s="353">
        <v>1</v>
      </c>
      <c r="F19" s="351">
        <v>0.99999999999900002</v>
      </c>
      <c r="G19" s="352">
        <v>0.99999999999900002</v>
      </c>
      <c r="H19" s="354">
        <v>0</v>
      </c>
      <c r="I19" s="351">
        <v>0</v>
      </c>
      <c r="J19" s="352">
        <v>-0.99999999999900002</v>
      </c>
      <c r="K19" s="355">
        <v>0</v>
      </c>
    </row>
    <row r="20" spans="1:11" ht="14.4" customHeight="1" thickBot="1" x14ac:dyDescent="0.35">
      <c r="A20" s="376" t="s">
        <v>21</v>
      </c>
      <c r="B20" s="356">
        <v>0</v>
      </c>
      <c r="C20" s="356">
        <v>0</v>
      </c>
      <c r="D20" s="357">
        <v>0</v>
      </c>
      <c r="E20" s="358">
        <v>1</v>
      </c>
      <c r="F20" s="356">
        <v>0</v>
      </c>
      <c r="G20" s="357">
        <v>0</v>
      </c>
      <c r="H20" s="359">
        <v>0.84299999999899999</v>
      </c>
      <c r="I20" s="356">
        <v>6.2220000000000004</v>
      </c>
      <c r="J20" s="357">
        <v>6.2220000000000004</v>
      </c>
      <c r="K20" s="362" t="s">
        <v>216</v>
      </c>
    </row>
    <row r="21" spans="1:11" ht="14.4" customHeight="1" thickBot="1" x14ac:dyDescent="0.35">
      <c r="A21" s="372" t="s">
        <v>221</v>
      </c>
      <c r="B21" s="356">
        <v>0</v>
      </c>
      <c r="C21" s="356">
        <v>0</v>
      </c>
      <c r="D21" s="357">
        <v>0</v>
      </c>
      <c r="E21" s="358">
        <v>1</v>
      </c>
      <c r="F21" s="356">
        <v>0</v>
      </c>
      <c r="G21" s="357">
        <v>0</v>
      </c>
      <c r="H21" s="359">
        <v>0.84299999999899999</v>
      </c>
      <c r="I21" s="356">
        <v>6.2220000000000004</v>
      </c>
      <c r="J21" s="357">
        <v>6.2220000000000004</v>
      </c>
      <c r="K21" s="362" t="s">
        <v>216</v>
      </c>
    </row>
    <row r="22" spans="1:11" ht="14.4" customHeight="1" thickBot="1" x14ac:dyDescent="0.35">
      <c r="A22" s="373" t="s">
        <v>222</v>
      </c>
      <c r="B22" s="351">
        <v>0</v>
      </c>
      <c r="C22" s="351">
        <v>0</v>
      </c>
      <c r="D22" s="352">
        <v>0</v>
      </c>
      <c r="E22" s="353">
        <v>1</v>
      </c>
      <c r="F22" s="351">
        <v>0</v>
      </c>
      <c r="G22" s="352">
        <v>0</v>
      </c>
      <c r="H22" s="354">
        <v>0.84299999999899999</v>
      </c>
      <c r="I22" s="351">
        <v>6.2220000000000004</v>
      </c>
      <c r="J22" s="352">
        <v>6.2220000000000004</v>
      </c>
      <c r="K22" s="364" t="s">
        <v>216</v>
      </c>
    </row>
    <row r="23" spans="1:11" ht="14.4" customHeight="1" thickBot="1" x14ac:dyDescent="0.35">
      <c r="A23" s="371" t="s">
        <v>22</v>
      </c>
      <c r="B23" s="351">
        <v>3.5093178678999998E-2</v>
      </c>
      <c r="C23" s="351">
        <v>-2.4299999989999999E-3</v>
      </c>
      <c r="D23" s="352">
        <v>-3.7523178678999999E-2</v>
      </c>
      <c r="E23" s="353">
        <v>-6.9244226125999994E-2</v>
      </c>
      <c r="F23" s="351">
        <v>-2.7711471149999998E-3</v>
      </c>
      <c r="G23" s="352">
        <v>-2.7711471149999998E-3</v>
      </c>
      <c r="H23" s="354">
        <v>0</v>
      </c>
      <c r="I23" s="351">
        <v>3.0120000000000001E-2</v>
      </c>
      <c r="J23" s="352">
        <v>3.2891147114999998E-2</v>
      </c>
      <c r="K23" s="355">
        <v>0</v>
      </c>
    </row>
    <row r="24" spans="1:11" ht="14.4" customHeight="1" thickBot="1" x14ac:dyDescent="0.35">
      <c r="A24" s="372" t="s">
        <v>223</v>
      </c>
      <c r="B24" s="356">
        <v>3.5093178678999998E-2</v>
      </c>
      <c r="C24" s="356">
        <v>-2.4299999989999999E-3</v>
      </c>
      <c r="D24" s="357">
        <v>-3.7523178678999999E-2</v>
      </c>
      <c r="E24" s="358">
        <v>-6.9244226125999994E-2</v>
      </c>
      <c r="F24" s="356">
        <v>-2.7711471149999998E-3</v>
      </c>
      <c r="G24" s="357">
        <v>-2.7711471149999998E-3</v>
      </c>
      <c r="H24" s="359">
        <v>0</v>
      </c>
      <c r="I24" s="356">
        <v>3.0120000000000001E-2</v>
      </c>
      <c r="J24" s="357">
        <v>3.2891147114999998E-2</v>
      </c>
      <c r="K24" s="360">
        <v>0</v>
      </c>
    </row>
    <row r="25" spans="1:11" ht="14.4" customHeight="1" thickBot="1" x14ac:dyDescent="0.35">
      <c r="A25" s="373" t="s">
        <v>224</v>
      </c>
      <c r="B25" s="351">
        <v>3.5093178678999998E-2</v>
      </c>
      <c r="C25" s="351">
        <v>-2.4299999989999999E-3</v>
      </c>
      <c r="D25" s="352">
        <v>-3.7523178678999999E-2</v>
      </c>
      <c r="E25" s="353">
        <v>-6.9244226125999994E-2</v>
      </c>
      <c r="F25" s="351">
        <v>-2.7711471149999998E-3</v>
      </c>
      <c r="G25" s="352">
        <v>-2.7711471149999998E-3</v>
      </c>
      <c r="H25" s="354">
        <v>0</v>
      </c>
      <c r="I25" s="351">
        <v>3.0120000000000001E-2</v>
      </c>
      <c r="J25" s="352">
        <v>3.2891147114999998E-2</v>
      </c>
      <c r="K25" s="355">
        <v>0</v>
      </c>
    </row>
    <row r="26" spans="1:11" ht="14.4" customHeight="1" thickBot="1" x14ac:dyDescent="0.35">
      <c r="A26" s="370" t="s">
        <v>23</v>
      </c>
      <c r="B26" s="351">
        <v>1766.1458638701799</v>
      </c>
      <c r="C26" s="351">
        <v>1887.9484</v>
      </c>
      <c r="D26" s="352">
        <v>121.80253612981799</v>
      </c>
      <c r="E26" s="353">
        <v>1.06896516229</v>
      </c>
      <c r="F26" s="351">
        <v>1781</v>
      </c>
      <c r="G26" s="352">
        <v>1781</v>
      </c>
      <c r="H26" s="354">
        <v>262</v>
      </c>
      <c r="I26" s="351">
        <v>2028.2174600000001</v>
      </c>
      <c r="J26" s="352">
        <v>247.21745999999999</v>
      </c>
      <c r="K26" s="355">
        <v>1.1388082313300001</v>
      </c>
    </row>
    <row r="27" spans="1:11" ht="14.4" customHeight="1" thickBot="1" x14ac:dyDescent="0.35">
      <c r="A27" s="376" t="s">
        <v>225</v>
      </c>
      <c r="B27" s="356">
        <v>1304.1458221610601</v>
      </c>
      <c r="C27" s="356">
        <v>1401.183</v>
      </c>
      <c r="D27" s="357">
        <v>97.037177838944004</v>
      </c>
      <c r="E27" s="358">
        <v>1.074406693017</v>
      </c>
      <c r="F27" s="356">
        <v>1310</v>
      </c>
      <c r="G27" s="357">
        <v>1310</v>
      </c>
      <c r="H27" s="359">
        <v>193.45699999999999</v>
      </c>
      <c r="I27" s="356">
        <v>1499.8340000000001</v>
      </c>
      <c r="J27" s="357">
        <v>189.83399999999901</v>
      </c>
      <c r="K27" s="360">
        <v>1.1449114503810001</v>
      </c>
    </row>
    <row r="28" spans="1:11" ht="14.4" customHeight="1" thickBot="1" x14ac:dyDescent="0.35">
      <c r="A28" s="372" t="s">
        <v>226</v>
      </c>
      <c r="B28" s="356">
        <v>1300.00011736334</v>
      </c>
      <c r="C28" s="356">
        <v>1401.5640000000001</v>
      </c>
      <c r="D28" s="357">
        <v>101.563882636659</v>
      </c>
      <c r="E28" s="358">
        <v>1.078126056513</v>
      </c>
      <c r="F28" s="356">
        <v>1306</v>
      </c>
      <c r="G28" s="357">
        <v>1306</v>
      </c>
      <c r="H28" s="359">
        <v>193.45699999999999</v>
      </c>
      <c r="I28" s="356">
        <v>1498.3340000000001</v>
      </c>
      <c r="J28" s="357">
        <v>192.33399999999901</v>
      </c>
      <c r="K28" s="360">
        <v>1.147269525267</v>
      </c>
    </row>
    <row r="29" spans="1:11" ht="14.4" customHeight="1" thickBot="1" x14ac:dyDescent="0.35">
      <c r="A29" s="373" t="s">
        <v>227</v>
      </c>
      <c r="B29" s="351">
        <v>1300.00011736334</v>
      </c>
      <c r="C29" s="351">
        <v>1401.5640000000001</v>
      </c>
      <c r="D29" s="352">
        <v>101.563882636659</v>
      </c>
      <c r="E29" s="353">
        <v>1.078126056513</v>
      </c>
      <c r="F29" s="351">
        <v>1306</v>
      </c>
      <c r="G29" s="352">
        <v>1306</v>
      </c>
      <c r="H29" s="354">
        <v>193.45699999999999</v>
      </c>
      <c r="I29" s="351">
        <v>1498.3340000000001</v>
      </c>
      <c r="J29" s="352">
        <v>192.33399999999901</v>
      </c>
      <c r="K29" s="355">
        <v>1.147269525267</v>
      </c>
    </row>
    <row r="30" spans="1:11" ht="14.4" customHeight="1" thickBot="1" x14ac:dyDescent="0.35">
      <c r="A30" s="372" t="s">
        <v>228</v>
      </c>
      <c r="B30" s="356">
        <v>4.145704797714</v>
      </c>
      <c r="C30" s="356">
        <v>-0.38100000000000001</v>
      </c>
      <c r="D30" s="357">
        <v>-4.5267047977140003</v>
      </c>
      <c r="E30" s="358">
        <v>-9.1902346787000003E-2</v>
      </c>
      <c r="F30" s="356">
        <v>4</v>
      </c>
      <c r="G30" s="357">
        <v>4</v>
      </c>
      <c r="H30" s="359">
        <v>0</v>
      </c>
      <c r="I30" s="356">
        <v>0</v>
      </c>
      <c r="J30" s="357">
        <v>-4</v>
      </c>
      <c r="K30" s="360">
        <v>0</v>
      </c>
    </row>
    <row r="31" spans="1:11" ht="14.4" customHeight="1" thickBot="1" x14ac:dyDescent="0.35">
      <c r="A31" s="373" t="s">
        <v>229</v>
      </c>
      <c r="B31" s="351">
        <v>4.145704797714</v>
      </c>
      <c r="C31" s="351">
        <v>-0.38100000000000001</v>
      </c>
      <c r="D31" s="352">
        <v>-4.5267047977140003</v>
      </c>
      <c r="E31" s="353">
        <v>-9.1902346787000003E-2</v>
      </c>
      <c r="F31" s="351">
        <v>4</v>
      </c>
      <c r="G31" s="352">
        <v>4</v>
      </c>
      <c r="H31" s="354">
        <v>0</v>
      </c>
      <c r="I31" s="351">
        <v>0</v>
      </c>
      <c r="J31" s="352">
        <v>-4</v>
      </c>
      <c r="K31" s="355">
        <v>0</v>
      </c>
    </row>
    <row r="32" spans="1:11" ht="14.4" customHeight="1" thickBot="1" x14ac:dyDescent="0.35">
      <c r="A32" s="375" t="s">
        <v>230</v>
      </c>
      <c r="B32" s="351">
        <v>0</v>
      </c>
      <c r="C32" s="351">
        <v>0</v>
      </c>
      <c r="D32" s="352">
        <v>0</v>
      </c>
      <c r="E32" s="353">
        <v>1</v>
      </c>
      <c r="F32" s="351">
        <v>0</v>
      </c>
      <c r="G32" s="352">
        <v>0</v>
      </c>
      <c r="H32" s="354">
        <v>0</v>
      </c>
      <c r="I32" s="351">
        <v>1.5</v>
      </c>
      <c r="J32" s="352">
        <v>1.5</v>
      </c>
      <c r="K32" s="364" t="s">
        <v>216</v>
      </c>
    </row>
    <row r="33" spans="1:11" ht="14.4" customHeight="1" thickBot="1" x14ac:dyDescent="0.35">
      <c r="A33" s="373" t="s">
        <v>231</v>
      </c>
      <c r="B33" s="351">
        <v>0</v>
      </c>
      <c r="C33" s="351">
        <v>0</v>
      </c>
      <c r="D33" s="352">
        <v>0</v>
      </c>
      <c r="E33" s="353">
        <v>1</v>
      </c>
      <c r="F33" s="351">
        <v>0</v>
      </c>
      <c r="G33" s="352">
        <v>0</v>
      </c>
      <c r="H33" s="354">
        <v>0</v>
      </c>
      <c r="I33" s="351">
        <v>1.5</v>
      </c>
      <c r="J33" s="352">
        <v>1.5</v>
      </c>
      <c r="K33" s="364" t="s">
        <v>216</v>
      </c>
    </row>
    <row r="34" spans="1:11" ht="14.4" customHeight="1" thickBot="1" x14ac:dyDescent="0.35">
      <c r="A34" s="371" t="s">
        <v>232</v>
      </c>
      <c r="B34" s="351">
        <v>442.00003990353599</v>
      </c>
      <c r="C34" s="351">
        <v>465.75099999999998</v>
      </c>
      <c r="D34" s="352">
        <v>23.750960096463999</v>
      </c>
      <c r="E34" s="353">
        <v>1.053735198986</v>
      </c>
      <c r="F34" s="351">
        <v>444.99999999999898</v>
      </c>
      <c r="G34" s="352">
        <v>444.99999999999898</v>
      </c>
      <c r="H34" s="354">
        <v>64.675499999999005</v>
      </c>
      <c r="I34" s="351">
        <v>498.41825999999998</v>
      </c>
      <c r="J34" s="352">
        <v>53.418259999999997</v>
      </c>
      <c r="K34" s="355">
        <v>1.1200410337069999</v>
      </c>
    </row>
    <row r="35" spans="1:11" ht="14.4" customHeight="1" thickBot="1" x14ac:dyDescent="0.35">
      <c r="A35" s="372" t="s">
        <v>233</v>
      </c>
      <c r="B35" s="356">
        <v>117.00001056270099</v>
      </c>
      <c r="C35" s="356">
        <v>126.145</v>
      </c>
      <c r="D35" s="357">
        <v>9.1449894372989995</v>
      </c>
      <c r="E35" s="358">
        <v>1.078162295826</v>
      </c>
      <c r="F35" s="356">
        <v>118</v>
      </c>
      <c r="G35" s="357">
        <v>118</v>
      </c>
      <c r="H35" s="359">
        <v>17.41</v>
      </c>
      <c r="I35" s="356">
        <v>134.98201</v>
      </c>
      <c r="J35" s="357">
        <v>16.982009999999999</v>
      </c>
      <c r="K35" s="360">
        <v>1.1439153389829999</v>
      </c>
    </row>
    <row r="36" spans="1:11" ht="14.4" customHeight="1" thickBot="1" x14ac:dyDescent="0.35">
      <c r="A36" s="373" t="s">
        <v>234</v>
      </c>
      <c r="B36" s="351">
        <v>117.00001056270099</v>
      </c>
      <c r="C36" s="351">
        <v>126.145</v>
      </c>
      <c r="D36" s="352">
        <v>9.1449894372989995</v>
      </c>
      <c r="E36" s="353">
        <v>1.078162295826</v>
      </c>
      <c r="F36" s="351">
        <v>118</v>
      </c>
      <c r="G36" s="352">
        <v>118</v>
      </c>
      <c r="H36" s="354">
        <v>17.41</v>
      </c>
      <c r="I36" s="351">
        <v>134.98201</v>
      </c>
      <c r="J36" s="352">
        <v>16.982009999999999</v>
      </c>
      <c r="K36" s="355">
        <v>1.1439153389829999</v>
      </c>
    </row>
    <row r="37" spans="1:11" ht="14.4" customHeight="1" thickBot="1" x14ac:dyDescent="0.35">
      <c r="A37" s="372" t="s">
        <v>235</v>
      </c>
      <c r="B37" s="356">
        <v>325.000029340835</v>
      </c>
      <c r="C37" s="356">
        <v>339.60599999999999</v>
      </c>
      <c r="D37" s="357">
        <v>14.605970659164001</v>
      </c>
      <c r="E37" s="358">
        <v>1.0449414441239999</v>
      </c>
      <c r="F37" s="356">
        <v>327</v>
      </c>
      <c r="G37" s="357">
        <v>327</v>
      </c>
      <c r="H37" s="359">
        <v>47.265499999999001</v>
      </c>
      <c r="I37" s="356">
        <v>363.43624999999997</v>
      </c>
      <c r="J37" s="357">
        <v>36.436250000000001</v>
      </c>
      <c r="K37" s="360">
        <v>1.111425840978</v>
      </c>
    </row>
    <row r="38" spans="1:11" ht="14.4" customHeight="1" thickBot="1" x14ac:dyDescent="0.35">
      <c r="A38" s="373" t="s">
        <v>236</v>
      </c>
      <c r="B38" s="351">
        <v>325.000029340835</v>
      </c>
      <c r="C38" s="351">
        <v>339.60599999999999</v>
      </c>
      <c r="D38" s="352">
        <v>14.605970659164001</v>
      </c>
      <c r="E38" s="353">
        <v>1.0449414441239999</v>
      </c>
      <c r="F38" s="351">
        <v>327</v>
      </c>
      <c r="G38" s="352">
        <v>327</v>
      </c>
      <c r="H38" s="354">
        <v>47.265499999999001</v>
      </c>
      <c r="I38" s="351">
        <v>363.43624999999997</v>
      </c>
      <c r="J38" s="352">
        <v>36.436250000000001</v>
      </c>
      <c r="K38" s="355">
        <v>1.111425840978</v>
      </c>
    </row>
    <row r="39" spans="1:11" ht="14.4" customHeight="1" thickBot="1" x14ac:dyDescent="0.35">
      <c r="A39" s="371" t="s">
        <v>237</v>
      </c>
      <c r="B39" s="351">
        <v>20.000001805589001</v>
      </c>
      <c r="C39" s="351">
        <v>21.014399999999998</v>
      </c>
      <c r="D39" s="352">
        <v>1.01439819441</v>
      </c>
      <c r="E39" s="353">
        <v>1.0507199051410001</v>
      </c>
      <c r="F39" s="351">
        <v>26</v>
      </c>
      <c r="G39" s="352">
        <v>26</v>
      </c>
      <c r="H39" s="354">
        <v>3.8674999999990001</v>
      </c>
      <c r="I39" s="351">
        <v>29.965199999999999</v>
      </c>
      <c r="J39" s="352">
        <v>3.9651999999990002</v>
      </c>
      <c r="K39" s="355">
        <v>1.1525076923069999</v>
      </c>
    </row>
    <row r="40" spans="1:11" ht="14.4" customHeight="1" thickBot="1" x14ac:dyDescent="0.35">
      <c r="A40" s="372" t="s">
        <v>238</v>
      </c>
      <c r="B40" s="356">
        <v>20.000001805589001</v>
      </c>
      <c r="C40" s="356">
        <v>21.014399999999998</v>
      </c>
      <c r="D40" s="357">
        <v>1.01439819441</v>
      </c>
      <c r="E40" s="358">
        <v>1.0507199051410001</v>
      </c>
      <c r="F40" s="356">
        <v>26</v>
      </c>
      <c r="G40" s="357">
        <v>26</v>
      </c>
      <c r="H40" s="359">
        <v>3.8674999999990001</v>
      </c>
      <c r="I40" s="356">
        <v>29.965199999999999</v>
      </c>
      <c r="J40" s="357">
        <v>3.9651999999990002</v>
      </c>
      <c r="K40" s="360">
        <v>1.1525076923069999</v>
      </c>
    </row>
    <row r="41" spans="1:11" ht="14.4" customHeight="1" thickBot="1" x14ac:dyDescent="0.35">
      <c r="A41" s="373" t="s">
        <v>239</v>
      </c>
      <c r="B41" s="351">
        <v>20.000001805589001</v>
      </c>
      <c r="C41" s="351">
        <v>21.014399999999998</v>
      </c>
      <c r="D41" s="352">
        <v>1.01439819441</v>
      </c>
      <c r="E41" s="353">
        <v>1.0507199051410001</v>
      </c>
      <c r="F41" s="351">
        <v>26</v>
      </c>
      <c r="G41" s="352">
        <v>26</v>
      </c>
      <c r="H41" s="354">
        <v>3.8674999999990001</v>
      </c>
      <c r="I41" s="351">
        <v>29.965199999999999</v>
      </c>
      <c r="J41" s="352">
        <v>3.9651999999990002</v>
      </c>
      <c r="K41" s="355">
        <v>1.1525076923069999</v>
      </c>
    </row>
    <row r="42" spans="1:11" ht="14.4" customHeight="1" thickBot="1" x14ac:dyDescent="0.35">
      <c r="A42" s="370" t="s">
        <v>240</v>
      </c>
      <c r="B42" s="351">
        <v>0</v>
      </c>
      <c r="C42" s="351">
        <v>6.95</v>
      </c>
      <c r="D42" s="352">
        <v>6.95</v>
      </c>
      <c r="E42" s="363" t="s">
        <v>216</v>
      </c>
      <c r="F42" s="351">
        <v>0</v>
      </c>
      <c r="G42" s="352">
        <v>0</v>
      </c>
      <c r="H42" s="354">
        <v>5.4499999999990001</v>
      </c>
      <c r="I42" s="351">
        <v>14.75</v>
      </c>
      <c r="J42" s="352">
        <v>14.75</v>
      </c>
      <c r="K42" s="364" t="s">
        <v>205</v>
      </c>
    </row>
    <row r="43" spans="1:11" ht="14.4" customHeight="1" thickBot="1" x14ac:dyDescent="0.35">
      <c r="A43" s="371" t="s">
        <v>241</v>
      </c>
      <c r="B43" s="351">
        <v>0</v>
      </c>
      <c r="C43" s="351">
        <v>6.95</v>
      </c>
      <c r="D43" s="352">
        <v>6.95</v>
      </c>
      <c r="E43" s="363" t="s">
        <v>216</v>
      </c>
      <c r="F43" s="351">
        <v>0</v>
      </c>
      <c r="G43" s="352">
        <v>0</v>
      </c>
      <c r="H43" s="354">
        <v>5.4499999999990001</v>
      </c>
      <c r="I43" s="351">
        <v>14.75</v>
      </c>
      <c r="J43" s="352">
        <v>14.75</v>
      </c>
      <c r="K43" s="364" t="s">
        <v>205</v>
      </c>
    </row>
    <row r="44" spans="1:11" ht="14.4" customHeight="1" thickBot="1" x14ac:dyDescent="0.35">
      <c r="A44" s="372" t="s">
        <v>242</v>
      </c>
      <c r="B44" s="356">
        <v>0</v>
      </c>
      <c r="C44" s="356">
        <v>6.95</v>
      </c>
      <c r="D44" s="357">
        <v>6.95</v>
      </c>
      <c r="E44" s="361" t="s">
        <v>216</v>
      </c>
      <c r="F44" s="356">
        <v>0</v>
      </c>
      <c r="G44" s="357">
        <v>0</v>
      </c>
      <c r="H44" s="359">
        <v>4.9499999999990001</v>
      </c>
      <c r="I44" s="356">
        <v>4.9499999999990001</v>
      </c>
      <c r="J44" s="357">
        <v>4.9499999999990001</v>
      </c>
      <c r="K44" s="362" t="s">
        <v>205</v>
      </c>
    </row>
    <row r="45" spans="1:11" ht="14.4" customHeight="1" thickBot="1" x14ac:dyDescent="0.35">
      <c r="A45" s="373" t="s">
        <v>243</v>
      </c>
      <c r="B45" s="351">
        <v>0</v>
      </c>
      <c r="C45" s="351">
        <v>6.95</v>
      </c>
      <c r="D45" s="352">
        <v>6.95</v>
      </c>
      <c r="E45" s="363" t="s">
        <v>216</v>
      </c>
      <c r="F45" s="351">
        <v>0</v>
      </c>
      <c r="G45" s="352">
        <v>0</v>
      </c>
      <c r="H45" s="354">
        <v>4.9499999999990001</v>
      </c>
      <c r="I45" s="351">
        <v>4.9499999999990001</v>
      </c>
      <c r="J45" s="352">
        <v>4.9499999999990001</v>
      </c>
      <c r="K45" s="364" t="s">
        <v>205</v>
      </c>
    </row>
    <row r="46" spans="1:11" ht="14.4" customHeight="1" thickBot="1" x14ac:dyDescent="0.35">
      <c r="A46" s="375" t="s">
        <v>244</v>
      </c>
      <c r="B46" s="351">
        <v>0</v>
      </c>
      <c r="C46" s="351">
        <v>0</v>
      </c>
      <c r="D46" s="352">
        <v>0</v>
      </c>
      <c r="E46" s="353">
        <v>1</v>
      </c>
      <c r="F46" s="351">
        <v>0</v>
      </c>
      <c r="G46" s="352">
        <v>0</v>
      </c>
      <c r="H46" s="354">
        <v>0.49999999999900002</v>
      </c>
      <c r="I46" s="351">
        <v>9.8000000000000007</v>
      </c>
      <c r="J46" s="352">
        <v>9.8000000000000007</v>
      </c>
      <c r="K46" s="364" t="s">
        <v>216</v>
      </c>
    </row>
    <row r="47" spans="1:11" ht="14.4" customHeight="1" thickBot="1" x14ac:dyDescent="0.35">
      <c r="A47" s="373" t="s">
        <v>245</v>
      </c>
      <c r="B47" s="351">
        <v>0</v>
      </c>
      <c r="C47" s="351">
        <v>0</v>
      </c>
      <c r="D47" s="352">
        <v>0</v>
      </c>
      <c r="E47" s="353">
        <v>1</v>
      </c>
      <c r="F47" s="351">
        <v>0</v>
      </c>
      <c r="G47" s="352">
        <v>0</v>
      </c>
      <c r="H47" s="354">
        <v>0.49999999999900002</v>
      </c>
      <c r="I47" s="351">
        <v>9.8000000000000007</v>
      </c>
      <c r="J47" s="352">
        <v>9.8000000000000007</v>
      </c>
      <c r="K47" s="364" t="s">
        <v>216</v>
      </c>
    </row>
    <row r="48" spans="1:11" ht="14.4" customHeight="1" thickBot="1" x14ac:dyDescent="0.35">
      <c r="A48" s="369" t="s">
        <v>246</v>
      </c>
      <c r="B48" s="351">
        <v>46.162853441007002</v>
      </c>
      <c r="C48" s="351">
        <v>26.43205</v>
      </c>
      <c r="D48" s="352">
        <v>-19.730803441007001</v>
      </c>
      <c r="E48" s="353">
        <v>0.57258267264100005</v>
      </c>
      <c r="F48" s="351">
        <v>48</v>
      </c>
      <c r="G48" s="352">
        <v>48</v>
      </c>
      <c r="H48" s="354">
        <v>4.7063899999999999</v>
      </c>
      <c r="I48" s="351">
        <v>60.269359999999999</v>
      </c>
      <c r="J48" s="352">
        <v>12.269360000000001</v>
      </c>
      <c r="K48" s="355">
        <v>1.255611666666</v>
      </c>
    </row>
    <row r="49" spans="1:11" ht="14.4" customHeight="1" thickBot="1" x14ac:dyDescent="0.35">
      <c r="A49" s="370" t="s">
        <v>247</v>
      </c>
      <c r="B49" s="351">
        <v>45.000004512088999</v>
      </c>
      <c r="C49" s="351">
        <v>26.43205</v>
      </c>
      <c r="D49" s="352">
        <v>-18.567954512088999</v>
      </c>
      <c r="E49" s="353">
        <v>0.58737882999299995</v>
      </c>
      <c r="F49" s="351">
        <v>48</v>
      </c>
      <c r="G49" s="352">
        <v>48</v>
      </c>
      <c r="H49" s="354">
        <v>4.7063899999999999</v>
      </c>
      <c r="I49" s="351">
        <v>58.769359999999999</v>
      </c>
      <c r="J49" s="352">
        <v>10.769360000000001</v>
      </c>
      <c r="K49" s="355">
        <v>1.224361666666</v>
      </c>
    </row>
    <row r="50" spans="1:11" ht="14.4" customHeight="1" thickBot="1" x14ac:dyDescent="0.35">
      <c r="A50" s="371" t="s">
        <v>248</v>
      </c>
      <c r="B50" s="351">
        <v>45.000004512088999</v>
      </c>
      <c r="C50" s="351">
        <v>26.43205</v>
      </c>
      <c r="D50" s="352">
        <v>-18.567954512088999</v>
      </c>
      <c r="E50" s="353">
        <v>0.58737882999299995</v>
      </c>
      <c r="F50" s="351">
        <v>48</v>
      </c>
      <c r="G50" s="352">
        <v>48</v>
      </c>
      <c r="H50" s="354">
        <v>4.7063899999999999</v>
      </c>
      <c r="I50" s="351">
        <v>58.769359999999999</v>
      </c>
      <c r="J50" s="352">
        <v>10.769360000000001</v>
      </c>
      <c r="K50" s="355">
        <v>1.224361666666</v>
      </c>
    </row>
    <row r="51" spans="1:11" ht="14.4" customHeight="1" thickBot="1" x14ac:dyDescent="0.35">
      <c r="A51" s="372" t="s">
        <v>249</v>
      </c>
      <c r="B51" s="356">
        <v>0</v>
      </c>
      <c r="C51" s="356">
        <v>0</v>
      </c>
      <c r="D51" s="357">
        <v>0</v>
      </c>
      <c r="E51" s="361" t="s">
        <v>205</v>
      </c>
      <c r="F51" s="356">
        <v>0</v>
      </c>
      <c r="G51" s="357">
        <v>0</v>
      </c>
      <c r="H51" s="359">
        <v>0</v>
      </c>
      <c r="I51" s="356">
        <v>0.59584000000000004</v>
      </c>
      <c r="J51" s="357">
        <v>0.59584000000000004</v>
      </c>
      <c r="K51" s="362" t="s">
        <v>216</v>
      </c>
    </row>
    <row r="52" spans="1:11" ht="14.4" customHeight="1" thickBot="1" x14ac:dyDescent="0.35">
      <c r="A52" s="373" t="s">
        <v>250</v>
      </c>
      <c r="B52" s="351">
        <v>0</v>
      </c>
      <c r="C52" s="351">
        <v>0</v>
      </c>
      <c r="D52" s="352">
        <v>0</v>
      </c>
      <c r="E52" s="363" t="s">
        <v>205</v>
      </c>
      <c r="F52" s="351">
        <v>0</v>
      </c>
      <c r="G52" s="352">
        <v>0</v>
      </c>
      <c r="H52" s="354">
        <v>0</v>
      </c>
      <c r="I52" s="351">
        <v>0.59584000000000004</v>
      </c>
      <c r="J52" s="352">
        <v>0.59584000000000004</v>
      </c>
      <c r="K52" s="364" t="s">
        <v>216</v>
      </c>
    </row>
    <row r="53" spans="1:11" ht="14.4" customHeight="1" thickBot="1" x14ac:dyDescent="0.35">
      <c r="A53" s="372" t="s">
        <v>251</v>
      </c>
      <c r="B53" s="356">
        <v>0</v>
      </c>
      <c r="C53" s="356">
        <v>0</v>
      </c>
      <c r="D53" s="357">
        <v>0</v>
      </c>
      <c r="E53" s="361" t="s">
        <v>205</v>
      </c>
      <c r="F53" s="356">
        <v>0</v>
      </c>
      <c r="G53" s="357">
        <v>0</v>
      </c>
      <c r="H53" s="359">
        <v>0</v>
      </c>
      <c r="I53" s="356">
        <v>0.39760000000000001</v>
      </c>
      <c r="J53" s="357">
        <v>0.39760000000000001</v>
      </c>
      <c r="K53" s="362" t="s">
        <v>216</v>
      </c>
    </row>
    <row r="54" spans="1:11" ht="14.4" customHeight="1" thickBot="1" x14ac:dyDescent="0.35">
      <c r="A54" s="373" t="s">
        <v>252</v>
      </c>
      <c r="B54" s="351">
        <v>0</v>
      </c>
      <c r="C54" s="351">
        <v>0</v>
      </c>
      <c r="D54" s="352">
        <v>0</v>
      </c>
      <c r="E54" s="363" t="s">
        <v>205</v>
      </c>
      <c r="F54" s="351">
        <v>0</v>
      </c>
      <c r="G54" s="352">
        <v>0</v>
      </c>
      <c r="H54" s="354">
        <v>0</v>
      </c>
      <c r="I54" s="351">
        <v>0.39760000000000001</v>
      </c>
      <c r="J54" s="352">
        <v>0.39760000000000001</v>
      </c>
      <c r="K54" s="364" t="s">
        <v>216</v>
      </c>
    </row>
    <row r="55" spans="1:11" ht="14.4" customHeight="1" thickBot="1" x14ac:dyDescent="0.35">
      <c r="A55" s="372" t="s">
        <v>253</v>
      </c>
      <c r="B55" s="356">
        <v>45.000004512088999</v>
      </c>
      <c r="C55" s="356">
        <v>23.608969999999999</v>
      </c>
      <c r="D55" s="357">
        <v>-21.391034512089</v>
      </c>
      <c r="E55" s="358">
        <v>0.52464372517199998</v>
      </c>
      <c r="F55" s="356">
        <v>48</v>
      </c>
      <c r="G55" s="357">
        <v>48</v>
      </c>
      <c r="H55" s="359">
        <v>4.7108499999999998</v>
      </c>
      <c r="I55" s="356">
        <v>56.968600000000002</v>
      </c>
      <c r="J55" s="357">
        <v>8.9686000000000003</v>
      </c>
      <c r="K55" s="360">
        <v>1.1868458333330001</v>
      </c>
    </row>
    <row r="56" spans="1:11" ht="14.4" customHeight="1" thickBot="1" x14ac:dyDescent="0.35">
      <c r="A56" s="373" t="s">
        <v>254</v>
      </c>
      <c r="B56" s="351">
        <v>22.00000220591</v>
      </c>
      <c r="C56" s="351">
        <v>10.86908</v>
      </c>
      <c r="D56" s="352">
        <v>-11.13092220591</v>
      </c>
      <c r="E56" s="353">
        <v>0.49404904137099998</v>
      </c>
      <c r="F56" s="351">
        <v>23</v>
      </c>
      <c r="G56" s="352">
        <v>23</v>
      </c>
      <c r="H56" s="354">
        <v>1.26834</v>
      </c>
      <c r="I56" s="351">
        <v>23.046009999999999</v>
      </c>
      <c r="J56" s="352">
        <v>4.6009999998999997E-2</v>
      </c>
      <c r="K56" s="355">
        <v>1.002000434782</v>
      </c>
    </row>
    <row r="57" spans="1:11" ht="14.4" customHeight="1" thickBot="1" x14ac:dyDescent="0.35">
      <c r="A57" s="373" t="s">
        <v>255</v>
      </c>
      <c r="B57" s="351">
        <v>23.000002306178999</v>
      </c>
      <c r="C57" s="351">
        <v>12.739890000000001</v>
      </c>
      <c r="D57" s="352">
        <v>-10.260112306179</v>
      </c>
      <c r="E57" s="353">
        <v>0.55390820532899998</v>
      </c>
      <c r="F57" s="351">
        <v>25</v>
      </c>
      <c r="G57" s="352">
        <v>25</v>
      </c>
      <c r="H57" s="354">
        <v>3.44251</v>
      </c>
      <c r="I57" s="351">
        <v>33.92259</v>
      </c>
      <c r="J57" s="352">
        <v>8.9225899999999996</v>
      </c>
      <c r="K57" s="355">
        <v>1.3569036000000001</v>
      </c>
    </row>
    <row r="58" spans="1:11" ht="14.4" customHeight="1" thickBot="1" x14ac:dyDescent="0.35">
      <c r="A58" s="372" t="s">
        <v>256</v>
      </c>
      <c r="B58" s="356">
        <v>0</v>
      </c>
      <c r="C58" s="356">
        <v>2.82308</v>
      </c>
      <c r="D58" s="357">
        <v>2.82308</v>
      </c>
      <c r="E58" s="361" t="s">
        <v>205</v>
      </c>
      <c r="F58" s="356">
        <v>0</v>
      </c>
      <c r="G58" s="357">
        <v>0</v>
      </c>
      <c r="H58" s="359">
        <v>-4.4600000000000004E-3</v>
      </c>
      <c r="I58" s="356">
        <v>0.80732000000000004</v>
      </c>
      <c r="J58" s="357">
        <v>0.80732000000000004</v>
      </c>
      <c r="K58" s="362" t="s">
        <v>205</v>
      </c>
    </row>
    <row r="59" spans="1:11" ht="14.4" customHeight="1" thickBot="1" x14ac:dyDescent="0.35">
      <c r="A59" s="373" t="s">
        <v>257</v>
      </c>
      <c r="B59" s="351">
        <v>0</v>
      </c>
      <c r="C59" s="351">
        <v>0.34787000000000001</v>
      </c>
      <c r="D59" s="352">
        <v>0.34787000000000001</v>
      </c>
      <c r="E59" s="363" t="s">
        <v>205</v>
      </c>
      <c r="F59" s="351">
        <v>0</v>
      </c>
      <c r="G59" s="352">
        <v>0</v>
      </c>
      <c r="H59" s="354">
        <v>0</v>
      </c>
      <c r="I59" s="351">
        <v>0.60794999999999999</v>
      </c>
      <c r="J59" s="352">
        <v>0.60794999999999999</v>
      </c>
      <c r="K59" s="364" t="s">
        <v>205</v>
      </c>
    </row>
    <row r="60" spans="1:11" ht="14.4" customHeight="1" thickBot="1" x14ac:dyDescent="0.35">
      <c r="A60" s="373" t="s">
        <v>258</v>
      </c>
      <c r="B60" s="351">
        <v>0</v>
      </c>
      <c r="C60" s="351">
        <v>2.4752100000000001</v>
      </c>
      <c r="D60" s="352">
        <v>2.4752100000000001</v>
      </c>
      <c r="E60" s="363" t="s">
        <v>205</v>
      </c>
      <c r="F60" s="351">
        <v>0</v>
      </c>
      <c r="G60" s="352">
        <v>0</v>
      </c>
      <c r="H60" s="354">
        <v>-4.4600000000000004E-3</v>
      </c>
      <c r="I60" s="351">
        <v>0.19936999999999999</v>
      </c>
      <c r="J60" s="352">
        <v>0.19936999999999999</v>
      </c>
      <c r="K60" s="364" t="s">
        <v>205</v>
      </c>
    </row>
    <row r="61" spans="1:11" ht="14.4" customHeight="1" thickBot="1" x14ac:dyDescent="0.35">
      <c r="A61" s="370" t="s">
        <v>259</v>
      </c>
      <c r="B61" s="351">
        <v>1.1628489289170001</v>
      </c>
      <c r="C61" s="351">
        <v>0</v>
      </c>
      <c r="D61" s="352">
        <v>-1.1628489289170001</v>
      </c>
      <c r="E61" s="353">
        <v>0</v>
      </c>
      <c r="F61" s="351">
        <v>0</v>
      </c>
      <c r="G61" s="352">
        <v>0</v>
      </c>
      <c r="H61" s="354">
        <v>0</v>
      </c>
      <c r="I61" s="351">
        <v>1.5</v>
      </c>
      <c r="J61" s="352">
        <v>1.5</v>
      </c>
      <c r="K61" s="364" t="s">
        <v>205</v>
      </c>
    </row>
    <row r="62" spans="1:11" ht="14.4" customHeight="1" thickBot="1" x14ac:dyDescent="0.35">
      <c r="A62" s="371" t="s">
        <v>260</v>
      </c>
      <c r="B62" s="351">
        <v>0</v>
      </c>
      <c r="C62" s="351">
        <v>0</v>
      </c>
      <c r="D62" s="352">
        <v>0</v>
      </c>
      <c r="E62" s="353">
        <v>1</v>
      </c>
      <c r="F62" s="351">
        <v>0</v>
      </c>
      <c r="G62" s="352">
        <v>0</v>
      </c>
      <c r="H62" s="354">
        <v>0</v>
      </c>
      <c r="I62" s="351">
        <v>1.5</v>
      </c>
      <c r="J62" s="352">
        <v>1.5</v>
      </c>
      <c r="K62" s="364" t="s">
        <v>216</v>
      </c>
    </row>
    <row r="63" spans="1:11" ht="14.4" customHeight="1" thickBot="1" x14ac:dyDescent="0.35">
      <c r="A63" s="372" t="s">
        <v>261</v>
      </c>
      <c r="B63" s="356">
        <v>0</v>
      </c>
      <c r="C63" s="356">
        <v>0</v>
      </c>
      <c r="D63" s="357">
        <v>0</v>
      </c>
      <c r="E63" s="358">
        <v>1</v>
      </c>
      <c r="F63" s="356">
        <v>0</v>
      </c>
      <c r="G63" s="357">
        <v>0</v>
      </c>
      <c r="H63" s="359">
        <v>0</v>
      </c>
      <c r="I63" s="356">
        <v>1.5</v>
      </c>
      <c r="J63" s="357">
        <v>1.5</v>
      </c>
      <c r="K63" s="362" t="s">
        <v>216</v>
      </c>
    </row>
    <row r="64" spans="1:11" ht="14.4" customHeight="1" thickBot="1" x14ac:dyDescent="0.35">
      <c r="A64" s="373" t="s">
        <v>262</v>
      </c>
      <c r="B64" s="351">
        <v>0</v>
      </c>
      <c r="C64" s="351">
        <v>0</v>
      </c>
      <c r="D64" s="352">
        <v>0</v>
      </c>
      <c r="E64" s="353">
        <v>1</v>
      </c>
      <c r="F64" s="351">
        <v>0</v>
      </c>
      <c r="G64" s="352">
        <v>0</v>
      </c>
      <c r="H64" s="354">
        <v>0</v>
      </c>
      <c r="I64" s="351">
        <v>1.5</v>
      </c>
      <c r="J64" s="352">
        <v>1.5</v>
      </c>
      <c r="K64" s="364" t="s">
        <v>216</v>
      </c>
    </row>
    <row r="65" spans="1:11" ht="14.4" customHeight="1" thickBot="1" x14ac:dyDescent="0.35">
      <c r="A65" s="376" t="s">
        <v>263</v>
      </c>
      <c r="B65" s="356">
        <v>1.1628489289170001</v>
      </c>
      <c r="C65" s="356">
        <v>0</v>
      </c>
      <c r="D65" s="357">
        <v>-1.1628489289170001</v>
      </c>
      <c r="E65" s="358">
        <v>0</v>
      </c>
      <c r="F65" s="356">
        <v>0</v>
      </c>
      <c r="G65" s="357">
        <v>0</v>
      </c>
      <c r="H65" s="359">
        <v>0</v>
      </c>
      <c r="I65" s="356">
        <v>0</v>
      </c>
      <c r="J65" s="357">
        <v>0</v>
      </c>
      <c r="K65" s="362" t="s">
        <v>205</v>
      </c>
    </row>
    <row r="66" spans="1:11" ht="14.4" customHeight="1" thickBot="1" x14ac:dyDescent="0.35">
      <c r="A66" s="372" t="s">
        <v>264</v>
      </c>
      <c r="B66" s="356">
        <v>1.1628489289170001</v>
      </c>
      <c r="C66" s="356">
        <v>0</v>
      </c>
      <c r="D66" s="357">
        <v>-1.1628489289170001</v>
      </c>
      <c r="E66" s="358">
        <v>0</v>
      </c>
      <c r="F66" s="356">
        <v>0</v>
      </c>
      <c r="G66" s="357">
        <v>0</v>
      </c>
      <c r="H66" s="359">
        <v>0</v>
      </c>
      <c r="I66" s="356">
        <v>0</v>
      </c>
      <c r="J66" s="357">
        <v>0</v>
      </c>
      <c r="K66" s="362" t="s">
        <v>205</v>
      </c>
    </row>
    <row r="67" spans="1:11" ht="14.4" customHeight="1" thickBot="1" x14ac:dyDescent="0.35">
      <c r="A67" s="373" t="s">
        <v>265</v>
      </c>
      <c r="B67" s="351">
        <v>1.1628489289170001</v>
      </c>
      <c r="C67" s="351">
        <v>0</v>
      </c>
      <c r="D67" s="352">
        <v>-1.1628489289170001</v>
      </c>
      <c r="E67" s="353">
        <v>0</v>
      </c>
      <c r="F67" s="351">
        <v>0</v>
      </c>
      <c r="G67" s="352">
        <v>0</v>
      </c>
      <c r="H67" s="354">
        <v>0</v>
      </c>
      <c r="I67" s="351">
        <v>0</v>
      </c>
      <c r="J67" s="352">
        <v>0</v>
      </c>
      <c r="K67" s="355">
        <v>0</v>
      </c>
    </row>
    <row r="68" spans="1:11" ht="14.4" customHeight="1" thickBot="1" x14ac:dyDescent="0.35">
      <c r="A68" s="369" t="s">
        <v>266</v>
      </c>
      <c r="B68" s="351">
        <v>296.33458124706999</v>
      </c>
      <c r="C68" s="351">
        <v>306.84820000000002</v>
      </c>
      <c r="D68" s="352">
        <v>10.513618752929</v>
      </c>
      <c r="E68" s="353">
        <v>1.0354788790039999</v>
      </c>
      <c r="F68" s="351">
        <v>278.85684610689401</v>
      </c>
      <c r="G68" s="352">
        <v>278.85684610689401</v>
      </c>
      <c r="H68" s="354">
        <v>40.23377</v>
      </c>
      <c r="I68" s="351">
        <v>321.21145000000001</v>
      </c>
      <c r="J68" s="352">
        <v>42.354603893106002</v>
      </c>
      <c r="K68" s="355">
        <v>1.151886548544</v>
      </c>
    </row>
    <row r="69" spans="1:11" ht="14.4" customHeight="1" thickBot="1" x14ac:dyDescent="0.35">
      <c r="A69" s="374" t="s">
        <v>267</v>
      </c>
      <c r="B69" s="356">
        <v>296.33458124706999</v>
      </c>
      <c r="C69" s="356">
        <v>306.84820000000002</v>
      </c>
      <c r="D69" s="357">
        <v>10.513618752929</v>
      </c>
      <c r="E69" s="358">
        <v>1.0354788790039999</v>
      </c>
      <c r="F69" s="356">
        <v>278.85684610689401</v>
      </c>
      <c r="G69" s="357">
        <v>278.85684610689401</v>
      </c>
      <c r="H69" s="359">
        <v>40.23377</v>
      </c>
      <c r="I69" s="356">
        <v>321.21145000000001</v>
      </c>
      <c r="J69" s="357">
        <v>42.354603893106002</v>
      </c>
      <c r="K69" s="360">
        <v>1.151886548544</v>
      </c>
    </row>
    <row r="70" spans="1:11" ht="14.4" customHeight="1" thickBot="1" x14ac:dyDescent="0.35">
      <c r="A70" s="376" t="s">
        <v>29</v>
      </c>
      <c r="B70" s="356">
        <v>296.33458124706999</v>
      </c>
      <c r="C70" s="356">
        <v>306.84820000000002</v>
      </c>
      <c r="D70" s="357">
        <v>10.513618752929</v>
      </c>
      <c r="E70" s="358">
        <v>1.0354788790039999</v>
      </c>
      <c r="F70" s="356">
        <v>278.85684610689401</v>
      </c>
      <c r="G70" s="357">
        <v>278.85684610689401</v>
      </c>
      <c r="H70" s="359">
        <v>40.23377</v>
      </c>
      <c r="I70" s="356">
        <v>321.21145000000001</v>
      </c>
      <c r="J70" s="357">
        <v>42.354603893106002</v>
      </c>
      <c r="K70" s="360">
        <v>1.151886548544</v>
      </c>
    </row>
    <row r="71" spans="1:11" ht="14.4" customHeight="1" thickBot="1" x14ac:dyDescent="0.35">
      <c r="A71" s="372" t="s">
        <v>268</v>
      </c>
      <c r="B71" s="356">
        <v>117.687631564019</v>
      </c>
      <c r="C71" s="356">
        <v>112.60208</v>
      </c>
      <c r="D71" s="357">
        <v>-5.0855515640190001</v>
      </c>
      <c r="E71" s="358">
        <v>0.95678771425300002</v>
      </c>
      <c r="F71" s="356">
        <v>119.44878591118599</v>
      </c>
      <c r="G71" s="357">
        <v>119.44878591118599</v>
      </c>
      <c r="H71" s="359">
        <v>6.7544599999999999</v>
      </c>
      <c r="I71" s="356">
        <v>122.49681</v>
      </c>
      <c r="J71" s="357">
        <v>3.0480240888129999</v>
      </c>
      <c r="K71" s="360">
        <v>1.0255174137230001</v>
      </c>
    </row>
    <row r="72" spans="1:11" ht="14.4" customHeight="1" thickBot="1" x14ac:dyDescent="0.35">
      <c r="A72" s="373" t="s">
        <v>269</v>
      </c>
      <c r="B72" s="351">
        <v>117.687631564019</v>
      </c>
      <c r="C72" s="351">
        <v>112.60208</v>
      </c>
      <c r="D72" s="352">
        <v>-5.0855515640190001</v>
      </c>
      <c r="E72" s="353">
        <v>0.95678771425300002</v>
      </c>
      <c r="F72" s="351">
        <v>119.44878591118599</v>
      </c>
      <c r="G72" s="352">
        <v>119.44878591118599</v>
      </c>
      <c r="H72" s="354">
        <v>6.7544599999999999</v>
      </c>
      <c r="I72" s="351">
        <v>122.49681</v>
      </c>
      <c r="J72" s="352">
        <v>3.0480240888129999</v>
      </c>
      <c r="K72" s="355">
        <v>1.0255174137230001</v>
      </c>
    </row>
    <row r="73" spans="1:11" ht="14.4" customHeight="1" thickBot="1" x14ac:dyDescent="0.35">
      <c r="A73" s="372" t="s">
        <v>270</v>
      </c>
      <c r="B73" s="356">
        <v>178.64694968305099</v>
      </c>
      <c r="C73" s="356">
        <v>194.24611999999999</v>
      </c>
      <c r="D73" s="357">
        <v>15.599170316947999</v>
      </c>
      <c r="E73" s="358">
        <v>1.087318425221</v>
      </c>
      <c r="F73" s="356">
        <v>159.40806019570701</v>
      </c>
      <c r="G73" s="357">
        <v>159.40806019570701</v>
      </c>
      <c r="H73" s="359">
        <v>33.479309999999998</v>
      </c>
      <c r="I73" s="356">
        <v>198.71464</v>
      </c>
      <c r="J73" s="357">
        <v>39.306579804291999</v>
      </c>
      <c r="K73" s="360">
        <v>1.24657837098</v>
      </c>
    </row>
    <row r="74" spans="1:11" ht="14.4" customHeight="1" thickBot="1" x14ac:dyDescent="0.35">
      <c r="A74" s="373" t="s">
        <v>271</v>
      </c>
      <c r="B74" s="351">
        <v>178.64694968305099</v>
      </c>
      <c r="C74" s="351">
        <v>194.24611999999999</v>
      </c>
      <c r="D74" s="352">
        <v>15.599170316947999</v>
      </c>
      <c r="E74" s="353">
        <v>1.087318425221</v>
      </c>
      <c r="F74" s="351">
        <v>159.40806019570701</v>
      </c>
      <c r="G74" s="352">
        <v>159.40806019570701</v>
      </c>
      <c r="H74" s="354">
        <v>33.479309999999998</v>
      </c>
      <c r="I74" s="351">
        <v>198.71464</v>
      </c>
      <c r="J74" s="352">
        <v>39.306579804291999</v>
      </c>
      <c r="K74" s="355">
        <v>1.24657837098</v>
      </c>
    </row>
    <row r="75" spans="1:11" ht="14.4" customHeight="1" thickBot="1" x14ac:dyDescent="0.35">
      <c r="A75" s="377"/>
      <c r="B75" s="351">
        <v>-2021.1602541099001</v>
      </c>
      <c r="C75" s="351">
        <v>-2176.24962</v>
      </c>
      <c r="D75" s="352">
        <v>-155.08936589010199</v>
      </c>
      <c r="E75" s="353">
        <v>1.0767328397510001</v>
      </c>
      <c r="F75" s="351">
        <v>-2015.37988363258</v>
      </c>
      <c r="G75" s="352">
        <v>-2015.37988363258</v>
      </c>
      <c r="H75" s="354">
        <v>-303.82038</v>
      </c>
      <c r="I75" s="351">
        <v>-2312.1840299999999</v>
      </c>
      <c r="J75" s="352">
        <v>-296.80414636741898</v>
      </c>
      <c r="K75" s="355">
        <v>1.147269578692</v>
      </c>
    </row>
    <row r="76" spans="1:11" ht="14.4" customHeight="1" thickBot="1" x14ac:dyDescent="0.35">
      <c r="A76" s="378" t="s">
        <v>41</v>
      </c>
      <c r="B76" s="365">
        <v>-2021.1602541099001</v>
      </c>
      <c r="C76" s="365">
        <v>-2176.24962</v>
      </c>
      <c r="D76" s="366">
        <v>-155.08936589010099</v>
      </c>
      <c r="E76" s="367">
        <v>-1.5333907024260001</v>
      </c>
      <c r="F76" s="365">
        <v>-2015.37988363258</v>
      </c>
      <c r="G76" s="366">
        <v>-2015.37988363258</v>
      </c>
      <c r="H76" s="365">
        <v>-303.82038</v>
      </c>
      <c r="I76" s="365">
        <v>-2312.1840299999999</v>
      </c>
      <c r="J76" s="366">
        <v>-296.80414636741801</v>
      </c>
      <c r="K76" s="368">
        <v>1.147269578692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11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88" customWidth="1"/>
    <col min="18" max="18" width="7.33203125" style="210" customWidth="1"/>
    <col min="19" max="19" width="8" style="188" customWidth="1"/>
    <col min="21" max="21" width="11.21875" bestFit="1" customWidth="1"/>
  </cols>
  <sheetData>
    <row r="1" spans="1:19" ht="18.600000000000001" thickBot="1" x14ac:dyDescent="0.4">
      <c r="A1" s="291" t="s">
        <v>80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</row>
    <row r="2" spans="1:19" ht="15" thickBot="1" x14ac:dyDescent="0.35">
      <c r="A2" s="189" t="s">
        <v>204</v>
      </c>
      <c r="B2" s="190"/>
    </row>
    <row r="3" spans="1:19" x14ac:dyDescent="0.3">
      <c r="A3" s="305" t="s">
        <v>136</v>
      </c>
      <c r="B3" s="306"/>
      <c r="C3" s="307" t="s">
        <v>125</v>
      </c>
      <c r="D3" s="308"/>
      <c r="E3" s="308"/>
      <c r="F3" s="309"/>
      <c r="G3" s="310" t="s">
        <v>126</v>
      </c>
      <c r="H3" s="311"/>
      <c r="I3" s="311"/>
      <c r="J3" s="312"/>
      <c r="K3" s="313" t="s">
        <v>135</v>
      </c>
      <c r="L3" s="314"/>
      <c r="M3" s="314"/>
      <c r="N3" s="314"/>
      <c r="O3" s="315"/>
      <c r="P3" s="311" t="s">
        <v>201</v>
      </c>
      <c r="Q3" s="311"/>
      <c r="R3" s="311"/>
      <c r="S3" s="312"/>
    </row>
    <row r="4" spans="1:19" ht="15" thickBot="1" x14ac:dyDescent="0.35">
      <c r="A4" s="324">
        <v>2017</v>
      </c>
      <c r="B4" s="325"/>
      <c r="C4" s="326" t="s">
        <v>200</v>
      </c>
      <c r="D4" s="328" t="s">
        <v>81</v>
      </c>
      <c r="E4" s="328" t="s">
        <v>49</v>
      </c>
      <c r="F4" s="303" t="s">
        <v>42</v>
      </c>
      <c r="G4" s="318" t="s">
        <v>127</v>
      </c>
      <c r="H4" s="320" t="s">
        <v>131</v>
      </c>
      <c r="I4" s="320" t="s">
        <v>199</v>
      </c>
      <c r="J4" s="322" t="s">
        <v>128</v>
      </c>
      <c r="K4" s="300" t="s">
        <v>198</v>
      </c>
      <c r="L4" s="301"/>
      <c r="M4" s="301"/>
      <c r="N4" s="302"/>
      <c r="O4" s="303" t="s">
        <v>197</v>
      </c>
      <c r="P4" s="292" t="s">
        <v>196</v>
      </c>
      <c r="Q4" s="292" t="s">
        <v>138</v>
      </c>
      <c r="R4" s="294" t="s">
        <v>49</v>
      </c>
      <c r="S4" s="296" t="s">
        <v>137</v>
      </c>
    </row>
    <row r="5" spans="1:19" s="245" customFormat="1" ht="19.2" customHeight="1" x14ac:dyDescent="0.3">
      <c r="A5" s="298" t="s">
        <v>195</v>
      </c>
      <c r="B5" s="299"/>
      <c r="C5" s="327"/>
      <c r="D5" s="329"/>
      <c r="E5" s="329"/>
      <c r="F5" s="304"/>
      <c r="G5" s="319"/>
      <c r="H5" s="321"/>
      <c r="I5" s="321"/>
      <c r="J5" s="323"/>
      <c r="K5" s="248" t="s">
        <v>129</v>
      </c>
      <c r="L5" s="247" t="s">
        <v>130</v>
      </c>
      <c r="M5" s="247" t="s">
        <v>194</v>
      </c>
      <c r="N5" s="246" t="s">
        <v>2</v>
      </c>
      <c r="O5" s="304"/>
      <c r="P5" s="293"/>
      <c r="Q5" s="293"/>
      <c r="R5" s="295"/>
      <c r="S5" s="297"/>
    </row>
    <row r="6" spans="1:19" ht="15" thickBot="1" x14ac:dyDescent="0.35">
      <c r="A6" s="316" t="s">
        <v>124</v>
      </c>
      <c r="B6" s="317"/>
      <c r="C6" s="244">
        <f ca="1">SUM(Tabulka[01 uv_sk])/2</f>
        <v>2.816666666666666</v>
      </c>
      <c r="D6" s="242"/>
      <c r="E6" s="242"/>
      <c r="F6" s="241"/>
      <c r="G6" s="243">
        <f ca="1">SUM(Tabulka[05 h_vram])/2</f>
        <v>5305.2000000000007</v>
      </c>
      <c r="H6" s="242">
        <f ca="1">SUM(Tabulka[06 h_naduv])/2</f>
        <v>0</v>
      </c>
      <c r="I6" s="242">
        <f ca="1">SUM(Tabulka[07 h_nadzk])/2</f>
        <v>0</v>
      </c>
      <c r="J6" s="241">
        <f ca="1">SUM(Tabulka[08 h_oon])/2</f>
        <v>0</v>
      </c>
      <c r="K6" s="243">
        <f ca="1">SUM(Tabulka[09 m_kl])/2</f>
        <v>0</v>
      </c>
      <c r="L6" s="242">
        <f ca="1">SUM(Tabulka[10 m_gr])/2</f>
        <v>0</v>
      </c>
      <c r="M6" s="242">
        <f ca="1">SUM(Tabulka[11 m_jo])/2</f>
        <v>205550</v>
      </c>
      <c r="N6" s="242">
        <f ca="1">SUM(Tabulka[12 m_oc])/2</f>
        <v>205550</v>
      </c>
      <c r="O6" s="241">
        <f ca="1">SUM(Tabulka[13 m_sk])/2</f>
        <v>1498334</v>
      </c>
      <c r="P6" s="240">
        <f ca="1">SUM(Tabulka[14_vzsk])/2</f>
        <v>3000</v>
      </c>
      <c r="Q6" s="240">
        <f ca="1">SUM(Tabulka[15_vzpl])/2</f>
        <v>0</v>
      </c>
      <c r="R6" s="239">
        <f ca="1">IF(Q6=0,0,P6/Q6)</f>
        <v>0</v>
      </c>
      <c r="S6" s="238">
        <f ca="1">Q6-P6</f>
        <v>-3000</v>
      </c>
    </row>
    <row r="7" spans="1:19" hidden="1" x14ac:dyDescent="0.3">
      <c r="A7" s="237" t="s">
        <v>193</v>
      </c>
      <c r="B7" s="236" t="s">
        <v>192</v>
      </c>
      <c r="C7" s="235" t="s">
        <v>191</v>
      </c>
      <c r="D7" s="234" t="s">
        <v>190</v>
      </c>
      <c r="E7" s="233" t="s">
        <v>189</v>
      </c>
      <c r="F7" s="232" t="s">
        <v>188</v>
      </c>
      <c r="G7" s="231" t="s">
        <v>187</v>
      </c>
      <c r="H7" s="229" t="s">
        <v>186</v>
      </c>
      <c r="I7" s="229" t="s">
        <v>185</v>
      </c>
      <c r="J7" s="228" t="s">
        <v>184</v>
      </c>
      <c r="K7" s="230" t="s">
        <v>183</v>
      </c>
      <c r="L7" s="229" t="s">
        <v>182</v>
      </c>
      <c r="M7" s="229" t="s">
        <v>181</v>
      </c>
      <c r="N7" s="228" t="s">
        <v>180</v>
      </c>
      <c r="O7" s="227" t="s">
        <v>179</v>
      </c>
      <c r="P7" s="226" t="s">
        <v>178</v>
      </c>
      <c r="Q7" s="225" t="s">
        <v>177</v>
      </c>
      <c r="R7" s="224" t="s">
        <v>176</v>
      </c>
      <c r="S7" s="223" t="s">
        <v>175</v>
      </c>
    </row>
    <row r="8" spans="1:19" x14ac:dyDescent="0.3">
      <c r="A8" s="220" t="s">
        <v>174</v>
      </c>
      <c r="B8" s="219"/>
      <c r="C8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2.1666666666666665</v>
      </c>
      <c r="D8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4056</v>
      </c>
      <c r="H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193434</v>
      </c>
      <c r="N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193434</v>
      </c>
      <c r="O8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1306185</v>
      </c>
      <c r="P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Q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22" t="str">
        <f ca="1">IF(Tabulka[[#This Row],[15_vzpl]]=0,"",Tabulka[[#This Row],[14_vzsk]]/Tabulka[[#This Row],[15_vzpl]])</f>
        <v/>
      </c>
      <c r="S8" s="221">
        <f ca="1">IF(Tabulka[[#This Row],[15_vzpl]]-Tabulka[[#This Row],[14_vzsk]]=0,"",Tabulka[[#This Row],[15_vzpl]]-Tabulka[[#This Row],[14_vzsk]])</f>
        <v>-3000</v>
      </c>
    </row>
    <row r="9" spans="1:19" x14ac:dyDescent="0.3">
      <c r="A9" s="220">
        <v>99</v>
      </c>
      <c r="B9" s="219" t="s">
        <v>287</v>
      </c>
      <c r="C9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9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1040</v>
      </c>
      <c r="H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195000</v>
      </c>
      <c r="P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Q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22" t="str">
        <f ca="1">IF(Tabulka[[#This Row],[15_vzpl]]=0,"",Tabulka[[#This Row],[14_vzsk]]/Tabulka[[#This Row],[15_vzpl]])</f>
        <v/>
      </c>
      <c r="S9" s="221">
        <f ca="1">IF(Tabulka[[#This Row],[15_vzpl]]-Tabulka[[#This Row],[14_vzsk]]=0,"",Tabulka[[#This Row],[15_vzpl]]-Tabulka[[#This Row],[14_vzsk]])</f>
        <v>-3000</v>
      </c>
    </row>
    <row r="10" spans="1:19" x14ac:dyDescent="0.3">
      <c r="A10" s="220">
        <v>100</v>
      </c>
      <c r="B10" s="219" t="s">
        <v>288</v>
      </c>
      <c r="C10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0.66666666666666663</v>
      </c>
      <c r="D10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1092</v>
      </c>
      <c r="H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7101</v>
      </c>
      <c r="N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7101</v>
      </c>
      <c r="O10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283750</v>
      </c>
      <c r="P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22" t="str">
        <f ca="1">IF(Tabulka[[#This Row],[15_vzpl]]=0,"",Tabulka[[#This Row],[14_vzsk]]/Tabulka[[#This Row],[15_vzpl]])</f>
        <v/>
      </c>
      <c r="S10" s="221" t="str">
        <f ca="1">IF(Tabulka[[#This Row],[15_vzpl]]-Tabulka[[#This Row],[14_vzsk]]=0,"",Tabulka[[#This Row],[15_vzpl]]-Tabulka[[#This Row],[14_vzsk]])</f>
        <v/>
      </c>
    </row>
    <row r="11" spans="1:19" x14ac:dyDescent="0.3">
      <c r="A11" s="220">
        <v>101</v>
      </c>
      <c r="B11" s="219" t="s">
        <v>289</v>
      </c>
      <c r="C11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1924</v>
      </c>
      <c r="H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186333</v>
      </c>
      <c r="N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186333</v>
      </c>
      <c r="O11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827435</v>
      </c>
      <c r="P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22" t="str">
        <f ca="1">IF(Tabulka[[#This Row],[15_vzpl]]=0,"",Tabulka[[#This Row],[14_vzsk]]/Tabulka[[#This Row],[15_vzpl]])</f>
        <v/>
      </c>
      <c r="S11" s="221" t="str">
        <f ca="1">IF(Tabulka[[#This Row],[15_vzpl]]-Tabulka[[#This Row],[14_vzsk]]=0,"",Tabulka[[#This Row],[15_vzpl]]-Tabulka[[#This Row],[14_vzsk]])</f>
        <v/>
      </c>
    </row>
    <row r="12" spans="1:19" x14ac:dyDescent="0.3">
      <c r="A12" s="220" t="s">
        <v>272</v>
      </c>
      <c r="B12" s="219"/>
      <c r="C12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2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95.6</v>
      </c>
      <c r="H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981</v>
      </c>
      <c r="N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981</v>
      </c>
      <c r="O12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30250</v>
      </c>
      <c r="P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22" t="str">
        <f ca="1">IF(Tabulka[[#This Row],[15_vzpl]]=0,"",Tabulka[[#This Row],[14_vzsk]]/Tabulka[[#This Row],[15_vzpl]])</f>
        <v/>
      </c>
      <c r="S12" s="221" t="str">
        <f ca="1">IF(Tabulka[[#This Row],[15_vzpl]]-Tabulka[[#This Row],[14_vzsk]]=0,"",Tabulka[[#This Row],[15_vzpl]]-Tabulka[[#This Row],[14_vzsk]])</f>
        <v/>
      </c>
    </row>
    <row r="13" spans="1:19" x14ac:dyDescent="0.3">
      <c r="A13" s="220">
        <v>526</v>
      </c>
      <c r="B13" s="219" t="s">
        <v>290</v>
      </c>
      <c r="C13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3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95.6</v>
      </c>
      <c r="H13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981</v>
      </c>
      <c r="N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981</v>
      </c>
      <c r="O13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30250</v>
      </c>
      <c r="P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2" t="str">
        <f ca="1">IF(Tabulka[[#This Row],[15_vzpl]]=0,"",Tabulka[[#This Row],[14_vzsk]]/Tabulka[[#This Row],[15_vzpl]])</f>
        <v/>
      </c>
      <c r="S13" s="221" t="str">
        <f ca="1">IF(Tabulka[[#This Row],[15_vzpl]]-Tabulka[[#This Row],[14_vzsk]]=0,"",Tabulka[[#This Row],[15_vzpl]]-Tabulka[[#This Row],[14_vzsk]])</f>
        <v/>
      </c>
    </row>
    <row r="14" spans="1:19" x14ac:dyDescent="0.3">
      <c r="A14" s="220" t="s">
        <v>273</v>
      </c>
      <c r="B14" s="219"/>
      <c r="C14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0.59999999999999987</v>
      </c>
      <c r="D14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1153.6000000000001</v>
      </c>
      <c r="H14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11135</v>
      </c>
      <c r="N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11135</v>
      </c>
      <c r="O14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161899</v>
      </c>
      <c r="P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2" t="str">
        <f ca="1">IF(Tabulka[[#This Row],[15_vzpl]]=0,"",Tabulka[[#This Row],[14_vzsk]]/Tabulka[[#This Row],[15_vzpl]])</f>
        <v/>
      </c>
      <c r="S14" s="221" t="str">
        <f ca="1">IF(Tabulka[[#This Row],[15_vzpl]]-Tabulka[[#This Row],[14_vzsk]]=0,"",Tabulka[[#This Row],[15_vzpl]]-Tabulka[[#This Row],[14_vzsk]])</f>
        <v/>
      </c>
    </row>
    <row r="15" spans="1:19" x14ac:dyDescent="0.3">
      <c r="A15" s="220">
        <v>30</v>
      </c>
      <c r="B15" s="219" t="s">
        <v>291</v>
      </c>
      <c r="C15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0.59999999999999987</v>
      </c>
      <c r="D15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1153.6000000000001</v>
      </c>
      <c r="H15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11135</v>
      </c>
      <c r="N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11135</v>
      </c>
      <c r="O15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161899</v>
      </c>
      <c r="P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2" t="str">
        <f ca="1">IF(Tabulka[[#This Row],[15_vzpl]]=0,"",Tabulka[[#This Row],[14_vzsk]]/Tabulka[[#This Row],[15_vzpl]])</f>
        <v/>
      </c>
      <c r="S15" s="221" t="str">
        <f ca="1">IF(Tabulka[[#This Row],[15_vzpl]]-Tabulka[[#This Row],[14_vzsk]]=0,"",Tabulka[[#This Row],[15_vzpl]]-Tabulka[[#This Row],[14_vzsk]])</f>
        <v/>
      </c>
    </row>
    <row r="16" spans="1:19" x14ac:dyDescent="0.3">
      <c r="A16" t="s">
        <v>203</v>
      </c>
    </row>
    <row r="17" spans="1:1" x14ac:dyDescent="0.3">
      <c r="A17" s="85" t="s">
        <v>108</v>
      </c>
    </row>
    <row r="18" spans="1:1" x14ac:dyDescent="0.3">
      <c r="A18" s="86" t="s">
        <v>173</v>
      </c>
    </row>
    <row r="19" spans="1:1" x14ac:dyDescent="0.3">
      <c r="A19" s="212" t="s">
        <v>172</v>
      </c>
    </row>
    <row r="20" spans="1:1" x14ac:dyDescent="0.3">
      <c r="A20" s="192" t="s">
        <v>134</v>
      </c>
    </row>
    <row r="21" spans="1:1" x14ac:dyDescent="0.3">
      <c r="A21" s="194" t="s">
        <v>139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5">
    <cfRule type="cellIs" dxfId="4" priority="3" operator="lessThan">
      <formula>0</formula>
    </cfRule>
  </conditionalFormatting>
  <conditionalFormatting sqref="R6:R15">
    <cfRule type="cellIs" dxfId="3" priority="4" operator="greaterThan">
      <formula>1</formula>
    </cfRule>
  </conditionalFormatting>
  <conditionalFormatting sqref="A8:S15">
    <cfRule type="expression" dxfId="2" priority="2">
      <formula>$B8=""</formula>
    </cfRule>
  </conditionalFormatting>
  <conditionalFormatting sqref="P8:S15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00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286</v>
      </c>
    </row>
    <row r="2" spans="1:19" x14ac:dyDescent="0.3">
      <c r="A2" s="189" t="s">
        <v>204</v>
      </c>
    </row>
    <row r="3" spans="1:19" x14ac:dyDescent="0.3">
      <c r="A3" s="258" t="s">
        <v>111</v>
      </c>
      <c r="B3" s="257" t="s">
        <v>171</v>
      </c>
      <c r="C3" t="s">
        <v>202</v>
      </c>
      <c r="D3" t="s">
        <v>193</v>
      </c>
      <c r="E3" t="s">
        <v>191</v>
      </c>
      <c r="F3" t="s">
        <v>190</v>
      </c>
      <c r="G3" t="s">
        <v>189</v>
      </c>
      <c r="H3" t="s">
        <v>188</v>
      </c>
      <c r="I3" t="s">
        <v>187</v>
      </c>
      <c r="J3" t="s">
        <v>186</v>
      </c>
      <c r="K3" t="s">
        <v>185</v>
      </c>
      <c r="L3" t="s">
        <v>184</v>
      </c>
      <c r="M3" t="s">
        <v>183</v>
      </c>
      <c r="N3" t="s">
        <v>182</v>
      </c>
      <c r="O3" t="s">
        <v>181</v>
      </c>
      <c r="P3" t="s">
        <v>180</v>
      </c>
      <c r="Q3" t="s">
        <v>179</v>
      </c>
      <c r="R3" t="s">
        <v>178</v>
      </c>
      <c r="S3" t="s">
        <v>177</v>
      </c>
    </row>
    <row r="4" spans="1:19" x14ac:dyDescent="0.3">
      <c r="A4" s="256" t="s">
        <v>112</v>
      </c>
      <c r="B4" s="255">
        <v>1</v>
      </c>
      <c r="C4" s="250">
        <v>1</v>
      </c>
      <c r="D4" s="250" t="s">
        <v>174</v>
      </c>
      <c r="E4" s="249">
        <v>2</v>
      </c>
      <c r="F4" s="249"/>
      <c r="G4" s="249"/>
      <c r="H4" s="249"/>
      <c r="I4" s="249">
        <v>352</v>
      </c>
      <c r="J4" s="249"/>
      <c r="K4" s="249"/>
      <c r="L4" s="249"/>
      <c r="M4" s="249"/>
      <c r="N4" s="249"/>
      <c r="O4" s="249"/>
      <c r="P4" s="249"/>
      <c r="Q4" s="249">
        <v>86805</v>
      </c>
      <c r="R4" s="249"/>
      <c r="S4" s="249"/>
    </row>
    <row r="5" spans="1:19" x14ac:dyDescent="0.3">
      <c r="A5" s="254" t="s">
        <v>113</v>
      </c>
      <c r="B5" s="253">
        <v>2</v>
      </c>
      <c r="C5">
        <v>1</v>
      </c>
      <c r="D5">
        <v>99</v>
      </c>
      <c r="E5">
        <v>1</v>
      </c>
      <c r="I5">
        <v>176</v>
      </c>
      <c r="Q5">
        <v>32500</v>
      </c>
    </row>
    <row r="6" spans="1:19" x14ac:dyDescent="0.3">
      <c r="A6" s="256" t="s">
        <v>114</v>
      </c>
      <c r="B6" s="255">
        <v>3</v>
      </c>
      <c r="C6">
        <v>1</v>
      </c>
      <c r="D6">
        <v>101</v>
      </c>
      <c r="E6">
        <v>1</v>
      </c>
      <c r="I6">
        <v>176</v>
      </c>
      <c r="Q6">
        <v>54305</v>
      </c>
    </row>
    <row r="7" spans="1:19" x14ac:dyDescent="0.3">
      <c r="A7" s="254" t="s">
        <v>115</v>
      </c>
      <c r="B7" s="253">
        <v>4</v>
      </c>
      <c r="C7">
        <v>1</v>
      </c>
      <c r="D7" t="s">
        <v>272</v>
      </c>
      <c r="E7">
        <v>0.05</v>
      </c>
      <c r="I7">
        <v>8.8000000000000007</v>
      </c>
      <c r="Q7">
        <v>2434</v>
      </c>
    </row>
    <row r="8" spans="1:19" x14ac:dyDescent="0.3">
      <c r="A8" s="256" t="s">
        <v>116</v>
      </c>
      <c r="B8" s="255">
        <v>5</v>
      </c>
      <c r="C8">
        <v>1</v>
      </c>
      <c r="D8">
        <v>526</v>
      </c>
      <c r="E8">
        <v>0.05</v>
      </c>
      <c r="I8">
        <v>8.8000000000000007</v>
      </c>
      <c r="Q8">
        <v>2434</v>
      </c>
    </row>
    <row r="9" spans="1:19" x14ac:dyDescent="0.3">
      <c r="A9" s="254" t="s">
        <v>117</v>
      </c>
      <c r="B9" s="253">
        <v>6</v>
      </c>
      <c r="C9">
        <v>1</v>
      </c>
      <c r="D9" t="s">
        <v>273</v>
      </c>
      <c r="E9">
        <v>0.6</v>
      </c>
      <c r="I9">
        <v>100</v>
      </c>
      <c r="Q9">
        <v>13131</v>
      </c>
    </row>
    <row r="10" spans="1:19" x14ac:dyDescent="0.3">
      <c r="A10" s="256" t="s">
        <v>118</v>
      </c>
      <c r="B10" s="255">
        <v>7</v>
      </c>
      <c r="C10">
        <v>1</v>
      </c>
      <c r="D10">
        <v>30</v>
      </c>
      <c r="E10">
        <v>0.6</v>
      </c>
      <c r="I10">
        <v>100</v>
      </c>
      <c r="Q10">
        <v>13131</v>
      </c>
    </row>
    <row r="11" spans="1:19" x14ac:dyDescent="0.3">
      <c r="A11" s="254" t="s">
        <v>119</v>
      </c>
      <c r="B11" s="253">
        <v>8</v>
      </c>
      <c r="C11" t="s">
        <v>274</v>
      </c>
      <c r="E11">
        <v>2.65</v>
      </c>
      <c r="I11">
        <v>460.8</v>
      </c>
      <c r="Q11">
        <v>102370</v>
      </c>
    </row>
    <row r="12" spans="1:19" x14ac:dyDescent="0.3">
      <c r="A12" s="256" t="s">
        <v>120</v>
      </c>
      <c r="B12" s="255">
        <v>9</v>
      </c>
      <c r="C12">
        <v>2</v>
      </c>
      <c r="D12" t="s">
        <v>174</v>
      </c>
      <c r="E12">
        <v>2</v>
      </c>
      <c r="I12">
        <v>320</v>
      </c>
      <c r="Q12">
        <v>86805</v>
      </c>
    </row>
    <row r="13" spans="1:19" x14ac:dyDescent="0.3">
      <c r="A13" s="254" t="s">
        <v>121</v>
      </c>
      <c r="B13" s="253">
        <v>10</v>
      </c>
      <c r="C13">
        <v>2</v>
      </c>
      <c r="D13">
        <v>99</v>
      </c>
      <c r="E13">
        <v>1</v>
      </c>
      <c r="I13">
        <v>160</v>
      </c>
      <c r="Q13">
        <v>32500</v>
      </c>
    </row>
    <row r="14" spans="1:19" x14ac:dyDescent="0.3">
      <c r="A14" s="256" t="s">
        <v>122</v>
      </c>
      <c r="B14" s="255">
        <v>11</v>
      </c>
      <c r="C14">
        <v>2</v>
      </c>
      <c r="D14">
        <v>101</v>
      </c>
      <c r="E14">
        <v>1</v>
      </c>
      <c r="I14">
        <v>160</v>
      </c>
      <c r="Q14">
        <v>54305</v>
      </c>
    </row>
    <row r="15" spans="1:19" x14ac:dyDescent="0.3">
      <c r="A15" s="254" t="s">
        <v>123</v>
      </c>
      <c r="B15" s="253">
        <v>12</v>
      </c>
      <c r="C15">
        <v>2</v>
      </c>
      <c r="D15" t="s">
        <v>272</v>
      </c>
      <c r="E15">
        <v>0.05</v>
      </c>
      <c r="I15">
        <v>8</v>
      </c>
      <c r="Q15">
        <v>2434</v>
      </c>
    </row>
    <row r="16" spans="1:19" x14ac:dyDescent="0.3">
      <c r="A16" s="252" t="s">
        <v>111</v>
      </c>
      <c r="B16" s="251">
        <v>2017</v>
      </c>
      <c r="C16">
        <v>2</v>
      </c>
      <c r="D16">
        <v>526</v>
      </c>
      <c r="E16">
        <v>0.05</v>
      </c>
      <c r="I16">
        <v>8</v>
      </c>
      <c r="Q16">
        <v>2434</v>
      </c>
    </row>
    <row r="17" spans="3:17" x14ac:dyDescent="0.3">
      <c r="C17">
        <v>2</v>
      </c>
      <c r="D17" t="s">
        <v>273</v>
      </c>
      <c r="E17">
        <v>0.6</v>
      </c>
      <c r="I17">
        <v>84</v>
      </c>
      <c r="Q17">
        <v>13025</v>
      </c>
    </row>
    <row r="18" spans="3:17" x14ac:dyDescent="0.3">
      <c r="C18">
        <v>2</v>
      </c>
      <c r="D18">
        <v>30</v>
      </c>
      <c r="E18">
        <v>0.6</v>
      </c>
      <c r="I18">
        <v>84</v>
      </c>
      <c r="Q18">
        <v>13025</v>
      </c>
    </row>
    <row r="19" spans="3:17" x14ac:dyDescent="0.3">
      <c r="C19" t="s">
        <v>275</v>
      </c>
      <c r="E19">
        <v>2.65</v>
      </c>
      <c r="I19">
        <v>412</v>
      </c>
      <c r="Q19">
        <v>102264</v>
      </c>
    </row>
    <row r="20" spans="3:17" x14ac:dyDescent="0.3">
      <c r="C20">
        <v>3</v>
      </c>
      <c r="D20" t="s">
        <v>174</v>
      </c>
      <c r="E20">
        <v>2</v>
      </c>
      <c r="I20">
        <v>368</v>
      </c>
      <c r="Q20">
        <v>86805</v>
      </c>
    </row>
    <row r="21" spans="3:17" x14ac:dyDescent="0.3">
      <c r="C21">
        <v>3</v>
      </c>
      <c r="D21">
        <v>99</v>
      </c>
      <c r="E21">
        <v>1</v>
      </c>
      <c r="I21">
        <v>184</v>
      </c>
      <c r="Q21">
        <v>32500</v>
      </c>
    </row>
    <row r="22" spans="3:17" x14ac:dyDescent="0.3">
      <c r="C22">
        <v>3</v>
      </c>
      <c r="D22">
        <v>101</v>
      </c>
      <c r="E22">
        <v>1</v>
      </c>
      <c r="I22">
        <v>184</v>
      </c>
      <c r="Q22">
        <v>54305</v>
      </c>
    </row>
    <row r="23" spans="3:17" x14ac:dyDescent="0.3">
      <c r="C23">
        <v>3</v>
      </c>
      <c r="D23" t="s">
        <v>272</v>
      </c>
      <c r="E23">
        <v>0.05</v>
      </c>
      <c r="I23">
        <v>9.2000000000000011</v>
      </c>
      <c r="Q23">
        <v>2434</v>
      </c>
    </row>
    <row r="24" spans="3:17" x14ac:dyDescent="0.3">
      <c r="C24">
        <v>3</v>
      </c>
      <c r="D24">
        <v>526</v>
      </c>
      <c r="E24">
        <v>0.05</v>
      </c>
      <c r="I24">
        <v>9.2000000000000011</v>
      </c>
      <c r="Q24">
        <v>2434</v>
      </c>
    </row>
    <row r="25" spans="3:17" x14ac:dyDescent="0.3">
      <c r="C25">
        <v>3</v>
      </c>
      <c r="D25" t="s">
        <v>273</v>
      </c>
      <c r="E25">
        <v>0.6</v>
      </c>
      <c r="I25">
        <v>109.6</v>
      </c>
      <c r="Q25">
        <v>13108</v>
      </c>
    </row>
    <row r="26" spans="3:17" x14ac:dyDescent="0.3">
      <c r="C26">
        <v>3</v>
      </c>
      <c r="D26">
        <v>30</v>
      </c>
      <c r="E26">
        <v>0.6</v>
      </c>
      <c r="I26">
        <v>109.6</v>
      </c>
      <c r="Q26">
        <v>13108</v>
      </c>
    </row>
    <row r="27" spans="3:17" x14ac:dyDescent="0.3">
      <c r="C27" t="s">
        <v>276</v>
      </c>
      <c r="E27">
        <v>2.65</v>
      </c>
      <c r="I27">
        <v>486.79999999999995</v>
      </c>
      <c r="Q27">
        <v>102347</v>
      </c>
    </row>
    <row r="28" spans="3:17" x14ac:dyDescent="0.3">
      <c r="C28">
        <v>4</v>
      </c>
      <c r="D28" t="s">
        <v>174</v>
      </c>
      <c r="E28">
        <v>2</v>
      </c>
      <c r="I28">
        <v>320</v>
      </c>
      <c r="Q28">
        <v>86805</v>
      </c>
    </row>
    <row r="29" spans="3:17" x14ac:dyDescent="0.3">
      <c r="C29">
        <v>4</v>
      </c>
      <c r="D29">
        <v>99</v>
      </c>
      <c r="E29">
        <v>1</v>
      </c>
      <c r="I29">
        <v>160</v>
      </c>
      <c r="Q29">
        <v>32500</v>
      </c>
    </row>
    <row r="30" spans="3:17" x14ac:dyDescent="0.3">
      <c r="C30">
        <v>4</v>
      </c>
      <c r="D30">
        <v>101</v>
      </c>
      <c r="E30">
        <v>1</v>
      </c>
      <c r="I30">
        <v>160</v>
      </c>
      <c r="Q30">
        <v>54305</v>
      </c>
    </row>
    <row r="31" spans="3:17" x14ac:dyDescent="0.3">
      <c r="C31">
        <v>4</v>
      </c>
      <c r="D31" t="s">
        <v>272</v>
      </c>
      <c r="E31">
        <v>0.05</v>
      </c>
      <c r="I31">
        <v>8</v>
      </c>
      <c r="Q31">
        <v>2434</v>
      </c>
    </row>
    <row r="32" spans="3:17" x14ac:dyDescent="0.3">
      <c r="C32">
        <v>4</v>
      </c>
      <c r="D32">
        <v>526</v>
      </c>
      <c r="E32">
        <v>0.05</v>
      </c>
      <c r="I32">
        <v>8</v>
      </c>
      <c r="Q32">
        <v>2434</v>
      </c>
    </row>
    <row r="33" spans="3:17" x14ac:dyDescent="0.3">
      <c r="C33">
        <v>4</v>
      </c>
      <c r="D33" t="s">
        <v>273</v>
      </c>
      <c r="E33">
        <v>0.6</v>
      </c>
      <c r="I33">
        <v>96</v>
      </c>
      <c r="Q33">
        <v>13101</v>
      </c>
    </row>
    <row r="34" spans="3:17" x14ac:dyDescent="0.3">
      <c r="C34">
        <v>4</v>
      </c>
      <c r="D34">
        <v>30</v>
      </c>
      <c r="E34">
        <v>0.6</v>
      </c>
      <c r="I34">
        <v>96</v>
      </c>
      <c r="Q34">
        <v>13101</v>
      </c>
    </row>
    <row r="35" spans="3:17" x14ac:dyDescent="0.3">
      <c r="C35" t="s">
        <v>277</v>
      </c>
      <c r="E35">
        <v>2.65</v>
      </c>
      <c r="I35">
        <v>424</v>
      </c>
      <c r="Q35">
        <v>102340</v>
      </c>
    </row>
    <row r="36" spans="3:17" x14ac:dyDescent="0.3">
      <c r="C36">
        <v>5</v>
      </c>
      <c r="D36" t="s">
        <v>174</v>
      </c>
      <c r="E36">
        <v>2</v>
      </c>
      <c r="I36">
        <v>368</v>
      </c>
      <c r="Q36">
        <v>86805</v>
      </c>
    </row>
    <row r="37" spans="3:17" x14ac:dyDescent="0.3">
      <c r="C37">
        <v>5</v>
      </c>
      <c r="D37">
        <v>99</v>
      </c>
      <c r="E37">
        <v>1</v>
      </c>
      <c r="I37">
        <v>184</v>
      </c>
      <c r="Q37">
        <v>32500</v>
      </c>
    </row>
    <row r="38" spans="3:17" x14ac:dyDescent="0.3">
      <c r="C38">
        <v>5</v>
      </c>
      <c r="D38">
        <v>101</v>
      </c>
      <c r="E38">
        <v>1</v>
      </c>
      <c r="I38">
        <v>184</v>
      </c>
      <c r="Q38">
        <v>54305</v>
      </c>
    </row>
    <row r="39" spans="3:17" x14ac:dyDescent="0.3">
      <c r="C39">
        <v>5</v>
      </c>
      <c r="D39" t="s">
        <v>272</v>
      </c>
      <c r="E39">
        <v>0.05</v>
      </c>
      <c r="I39">
        <v>9.2000000000000011</v>
      </c>
      <c r="Q39">
        <v>2434</v>
      </c>
    </row>
    <row r="40" spans="3:17" x14ac:dyDescent="0.3">
      <c r="C40">
        <v>5</v>
      </c>
      <c r="D40">
        <v>526</v>
      </c>
      <c r="E40">
        <v>0.05</v>
      </c>
      <c r="I40">
        <v>9.2000000000000011</v>
      </c>
      <c r="Q40">
        <v>2434</v>
      </c>
    </row>
    <row r="41" spans="3:17" x14ac:dyDescent="0.3">
      <c r="C41">
        <v>5</v>
      </c>
      <c r="D41" t="s">
        <v>273</v>
      </c>
      <c r="E41">
        <v>0.6</v>
      </c>
      <c r="I41">
        <v>106.4</v>
      </c>
      <c r="Q41">
        <v>13163</v>
      </c>
    </row>
    <row r="42" spans="3:17" x14ac:dyDescent="0.3">
      <c r="C42">
        <v>5</v>
      </c>
      <c r="D42">
        <v>30</v>
      </c>
      <c r="E42">
        <v>0.6</v>
      </c>
      <c r="I42">
        <v>106.4</v>
      </c>
      <c r="Q42">
        <v>13163</v>
      </c>
    </row>
    <row r="43" spans="3:17" x14ac:dyDescent="0.3">
      <c r="C43" t="s">
        <v>278</v>
      </c>
      <c r="E43">
        <v>2.65</v>
      </c>
      <c r="I43">
        <v>483.6</v>
      </c>
      <c r="Q43">
        <v>102402</v>
      </c>
    </row>
    <row r="44" spans="3:17" x14ac:dyDescent="0.3">
      <c r="C44">
        <v>6</v>
      </c>
      <c r="D44" t="s">
        <v>174</v>
      </c>
      <c r="E44">
        <v>2</v>
      </c>
      <c r="I44">
        <v>336</v>
      </c>
      <c r="Q44">
        <v>87841</v>
      </c>
    </row>
    <row r="45" spans="3:17" x14ac:dyDescent="0.3">
      <c r="C45">
        <v>6</v>
      </c>
      <c r="D45">
        <v>99</v>
      </c>
      <c r="E45">
        <v>1</v>
      </c>
      <c r="I45">
        <v>176</v>
      </c>
      <c r="Q45">
        <v>32500</v>
      </c>
    </row>
    <row r="46" spans="3:17" x14ac:dyDescent="0.3">
      <c r="C46">
        <v>6</v>
      </c>
      <c r="D46">
        <v>101</v>
      </c>
      <c r="E46">
        <v>1</v>
      </c>
      <c r="I46">
        <v>160</v>
      </c>
      <c r="Q46">
        <v>55341</v>
      </c>
    </row>
    <row r="47" spans="3:17" x14ac:dyDescent="0.3">
      <c r="C47">
        <v>6</v>
      </c>
      <c r="D47" t="s">
        <v>272</v>
      </c>
      <c r="E47">
        <v>0.05</v>
      </c>
      <c r="I47">
        <v>8.8000000000000007</v>
      </c>
      <c r="Q47">
        <v>2434</v>
      </c>
    </row>
    <row r="48" spans="3:17" x14ac:dyDescent="0.3">
      <c r="C48">
        <v>6</v>
      </c>
      <c r="D48">
        <v>526</v>
      </c>
      <c r="E48">
        <v>0.05</v>
      </c>
      <c r="I48">
        <v>8.8000000000000007</v>
      </c>
      <c r="Q48">
        <v>2434</v>
      </c>
    </row>
    <row r="49" spans="3:17" x14ac:dyDescent="0.3">
      <c r="C49">
        <v>6</v>
      </c>
      <c r="D49" t="s">
        <v>273</v>
      </c>
      <c r="E49">
        <v>0.6</v>
      </c>
      <c r="I49">
        <v>100</v>
      </c>
      <c r="Q49">
        <v>13156</v>
      </c>
    </row>
    <row r="50" spans="3:17" x14ac:dyDescent="0.3">
      <c r="C50">
        <v>6</v>
      </c>
      <c r="D50">
        <v>30</v>
      </c>
      <c r="E50">
        <v>0.6</v>
      </c>
      <c r="I50">
        <v>100</v>
      </c>
      <c r="Q50">
        <v>13156</v>
      </c>
    </row>
    <row r="51" spans="3:17" x14ac:dyDescent="0.3">
      <c r="C51" t="s">
        <v>279</v>
      </c>
      <c r="E51">
        <v>2.65</v>
      </c>
      <c r="I51">
        <v>444.8</v>
      </c>
      <c r="Q51">
        <v>103431</v>
      </c>
    </row>
    <row r="52" spans="3:17" x14ac:dyDescent="0.3">
      <c r="C52">
        <v>7</v>
      </c>
      <c r="D52" t="s">
        <v>174</v>
      </c>
      <c r="E52">
        <v>2</v>
      </c>
      <c r="I52">
        <v>280</v>
      </c>
      <c r="O52">
        <v>95890</v>
      </c>
      <c r="P52">
        <v>95890</v>
      </c>
      <c r="Q52">
        <v>182443</v>
      </c>
    </row>
    <row r="53" spans="3:17" x14ac:dyDescent="0.3">
      <c r="C53">
        <v>7</v>
      </c>
      <c r="D53">
        <v>100</v>
      </c>
      <c r="E53">
        <v>1</v>
      </c>
      <c r="I53">
        <v>168</v>
      </c>
      <c r="Q53">
        <v>42350</v>
      </c>
    </row>
    <row r="54" spans="3:17" x14ac:dyDescent="0.3">
      <c r="C54">
        <v>7</v>
      </c>
      <c r="D54">
        <v>101</v>
      </c>
      <c r="E54">
        <v>1</v>
      </c>
      <c r="I54">
        <v>112</v>
      </c>
      <c r="O54">
        <v>95890</v>
      </c>
      <c r="P54">
        <v>95890</v>
      </c>
      <c r="Q54">
        <v>140093</v>
      </c>
    </row>
    <row r="55" spans="3:17" x14ac:dyDescent="0.3">
      <c r="C55">
        <v>7</v>
      </c>
      <c r="D55" t="s">
        <v>272</v>
      </c>
      <c r="E55">
        <v>0.05</v>
      </c>
      <c r="I55">
        <v>4</v>
      </c>
      <c r="O55">
        <v>363</v>
      </c>
      <c r="P55">
        <v>363</v>
      </c>
      <c r="Q55">
        <v>2779</v>
      </c>
    </row>
    <row r="56" spans="3:17" x14ac:dyDescent="0.3">
      <c r="C56">
        <v>7</v>
      </c>
      <c r="D56">
        <v>526</v>
      </c>
      <c r="E56">
        <v>0.05</v>
      </c>
      <c r="I56">
        <v>4</v>
      </c>
      <c r="O56">
        <v>363</v>
      </c>
      <c r="P56">
        <v>363</v>
      </c>
      <c r="Q56">
        <v>2779</v>
      </c>
    </row>
    <row r="57" spans="3:17" x14ac:dyDescent="0.3">
      <c r="C57">
        <v>7</v>
      </c>
      <c r="D57" t="s">
        <v>273</v>
      </c>
      <c r="E57">
        <v>0.6</v>
      </c>
      <c r="I57">
        <v>84.8</v>
      </c>
      <c r="O57">
        <v>6338</v>
      </c>
      <c r="P57">
        <v>6338</v>
      </c>
      <c r="Q57">
        <v>19427</v>
      </c>
    </row>
    <row r="58" spans="3:17" x14ac:dyDescent="0.3">
      <c r="C58">
        <v>7</v>
      </c>
      <c r="D58">
        <v>30</v>
      </c>
      <c r="E58">
        <v>0.6</v>
      </c>
      <c r="I58">
        <v>84.8</v>
      </c>
      <c r="O58">
        <v>6338</v>
      </c>
      <c r="P58">
        <v>6338</v>
      </c>
      <c r="Q58">
        <v>19427</v>
      </c>
    </row>
    <row r="59" spans="3:17" x14ac:dyDescent="0.3">
      <c r="C59" t="s">
        <v>280</v>
      </c>
      <c r="E59">
        <v>2.65</v>
      </c>
      <c r="I59">
        <v>368.8</v>
      </c>
      <c r="O59">
        <v>102591</v>
      </c>
      <c r="P59">
        <v>102591</v>
      </c>
      <c r="Q59">
        <v>204649</v>
      </c>
    </row>
    <row r="60" spans="3:17" x14ac:dyDescent="0.3">
      <c r="C60">
        <v>8</v>
      </c>
      <c r="D60" t="s">
        <v>174</v>
      </c>
      <c r="E60">
        <v>2</v>
      </c>
      <c r="I60">
        <v>272</v>
      </c>
      <c r="O60">
        <v>750</v>
      </c>
      <c r="P60">
        <v>750</v>
      </c>
      <c r="Q60">
        <v>88626</v>
      </c>
    </row>
    <row r="61" spans="3:17" x14ac:dyDescent="0.3">
      <c r="C61">
        <v>8</v>
      </c>
      <c r="D61">
        <v>100</v>
      </c>
      <c r="E61">
        <v>1</v>
      </c>
      <c r="I61">
        <v>144</v>
      </c>
      <c r="Q61">
        <v>33050</v>
      </c>
    </row>
    <row r="62" spans="3:17" x14ac:dyDescent="0.3">
      <c r="C62">
        <v>8</v>
      </c>
      <c r="D62">
        <v>101</v>
      </c>
      <c r="E62">
        <v>1</v>
      </c>
      <c r="I62">
        <v>128</v>
      </c>
      <c r="O62">
        <v>750</v>
      </c>
      <c r="P62">
        <v>750</v>
      </c>
      <c r="Q62">
        <v>55576</v>
      </c>
    </row>
    <row r="63" spans="3:17" x14ac:dyDescent="0.3">
      <c r="C63">
        <v>8</v>
      </c>
      <c r="D63" t="s">
        <v>272</v>
      </c>
      <c r="E63">
        <v>0.05</v>
      </c>
      <c r="I63">
        <v>5.6000000000000005</v>
      </c>
      <c r="Q63">
        <v>2510</v>
      </c>
    </row>
    <row r="64" spans="3:17" x14ac:dyDescent="0.3">
      <c r="C64">
        <v>8</v>
      </c>
      <c r="D64">
        <v>526</v>
      </c>
      <c r="E64">
        <v>0.05</v>
      </c>
      <c r="I64">
        <v>5.6000000000000005</v>
      </c>
      <c r="Q64">
        <v>2510</v>
      </c>
    </row>
    <row r="65" spans="3:17" x14ac:dyDescent="0.3">
      <c r="C65">
        <v>8</v>
      </c>
      <c r="D65" t="s">
        <v>273</v>
      </c>
      <c r="E65">
        <v>0.6</v>
      </c>
      <c r="I65">
        <v>91.2</v>
      </c>
      <c r="Q65">
        <v>13300</v>
      </c>
    </row>
    <row r="66" spans="3:17" x14ac:dyDescent="0.3">
      <c r="C66">
        <v>8</v>
      </c>
      <c r="D66">
        <v>30</v>
      </c>
      <c r="E66">
        <v>0.6</v>
      </c>
      <c r="I66">
        <v>91.2</v>
      </c>
      <c r="Q66">
        <v>13300</v>
      </c>
    </row>
    <row r="67" spans="3:17" x14ac:dyDescent="0.3">
      <c r="C67" t="s">
        <v>281</v>
      </c>
      <c r="E67">
        <v>2.65</v>
      </c>
      <c r="I67">
        <v>368.8</v>
      </c>
      <c r="O67">
        <v>750</v>
      </c>
      <c r="P67">
        <v>750</v>
      </c>
      <c r="Q67">
        <v>104436</v>
      </c>
    </row>
    <row r="68" spans="3:17" x14ac:dyDescent="0.3">
      <c r="C68">
        <v>9</v>
      </c>
      <c r="D68" t="s">
        <v>174</v>
      </c>
      <c r="E68">
        <v>2.5</v>
      </c>
      <c r="I68">
        <v>300</v>
      </c>
      <c r="Q68">
        <v>99512</v>
      </c>
    </row>
    <row r="69" spans="3:17" x14ac:dyDescent="0.3">
      <c r="C69">
        <v>9</v>
      </c>
      <c r="D69">
        <v>100</v>
      </c>
      <c r="E69">
        <v>1.5</v>
      </c>
      <c r="I69">
        <v>132</v>
      </c>
      <c r="Q69">
        <v>44527</v>
      </c>
    </row>
    <row r="70" spans="3:17" x14ac:dyDescent="0.3">
      <c r="C70">
        <v>9</v>
      </c>
      <c r="D70">
        <v>101</v>
      </c>
      <c r="E70">
        <v>1</v>
      </c>
      <c r="I70">
        <v>168</v>
      </c>
      <c r="Q70">
        <v>54985</v>
      </c>
    </row>
    <row r="71" spans="3:17" x14ac:dyDescent="0.3">
      <c r="C71">
        <v>9</v>
      </c>
      <c r="D71" t="s">
        <v>272</v>
      </c>
      <c r="E71">
        <v>0.05</v>
      </c>
      <c r="I71">
        <v>8.4</v>
      </c>
      <c r="Q71">
        <v>2434</v>
      </c>
    </row>
    <row r="72" spans="3:17" x14ac:dyDescent="0.3">
      <c r="C72">
        <v>9</v>
      </c>
      <c r="D72">
        <v>526</v>
      </c>
      <c r="E72">
        <v>0.05</v>
      </c>
      <c r="I72">
        <v>8.4</v>
      </c>
      <c r="Q72">
        <v>2434</v>
      </c>
    </row>
    <row r="73" spans="3:17" x14ac:dyDescent="0.3">
      <c r="C73">
        <v>9</v>
      </c>
      <c r="D73" t="s">
        <v>273</v>
      </c>
      <c r="E73">
        <v>0.6</v>
      </c>
      <c r="I73">
        <v>88.8</v>
      </c>
      <c r="Q73">
        <v>13090</v>
      </c>
    </row>
    <row r="74" spans="3:17" x14ac:dyDescent="0.3">
      <c r="C74">
        <v>9</v>
      </c>
      <c r="D74">
        <v>30</v>
      </c>
      <c r="E74">
        <v>0.6</v>
      </c>
      <c r="I74">
        <v>88.8</v>
      </c>
      <c r="Q74">
        <v>13090</v>
      </c>
    </row>
    <row r="75" spans="3:17" x14ac:dyDescent="0.3">
      <c r="C75" t="s">
        <v>282</v>
      </c>
      <c r="E75">
        <v>3.15</v>
      </c>
      <c r="I75">
        <v>397.2</v>
      </c>
      <c r="Q75">
        <v>115036</v>
      </c>
    </row>
    <row r="76" spans="3:17" x14ac:dyDescent="0.3">
      <c r="C76">
        <v>10</v>
      </c>
      <c r="D76" t="s">
        <v>174</v>
      </c>
      <c r="E76">
        <v>2.5</v>
      </c>
      <c r="I76">
        <v>436</v>
      </c>
      <c r="O76">
        <v>750</v>
      </c>
      <c r="P76">
        <v>750</v>
      </c>
      <c r="Q76">
        <v>104772</v>
      </c>
    </row>
    <row r="77" spans="3:17" x14ac:dyDescent="0.3">
      <c r="C77">
        <v>10</v>
      </c>
      <c r="D77">
        <v>100</v>
      </c>
      <c r="E77">
        <v>1.5</v>
      </c>
      <c r="I77">
        <v>260</v>
      </c>
      <c r="Q77">
        <v>49787</v>
      </c>
    </row>
    <row r="78" spans="3:17" x14ac:dyDescent="0.3">
      <c r="C78">
        <v>10</v>
      </c>
      <c r="D78">
        <v>101</v>
      </c>
      <c r="E78">
        <v>1</v>
      </c>
      <c r="I78">
        <v>176</v>
      </c>
      <c r="O78">
        <v>750</v>
      </c>
      <c r="P78">
        <v>750</v>
      </c>
      <c r="Q78">
        <v>54985</v>
      </c>
    </row>
    <row r="79" spans="3:17" x14ac:dyDescent="0.3">
      <c r="C79">
        <v>10</v>
      </c>
      <c r="D79" t="s">
        <v>272</v>
      </c>
      <c r="E79">
        <v>0.05</v>
      </c>
      <c r="I79">
        <v>8.8000000000000007</v>
      </c>
      <c r="Q79">
        <v>2434</v>
      </c>
    </row>
    <row r="80" spans="3:17" x14ac:dyDescent="0.3">
      <c r="C80">
        <v>10</v>
      </c>
      <c r="D80">
        <v>526</v>
      </c>
      <c r="E80">
        <v>0.05</v>
      </c>
      <c r="I80">
        <v>8.8000000000000007</v>
      </c>
      <c r="Q80">
        <v>2434</v>
      </c>
    </row>
    <row r="81" spans="3:18" x14ac:dyDescent="0.3">
      <c r="C81">
        <v>10</v>
      </c>
      <c r="D81" t="s">
        <v>273</v>
      </c>
      <c r="E81">
        <v>0.6</v>
      </c>
      <c r="I81">
        <v>101.6</v>
      </c>
      <c r="Q81">
        <v>13168</v>
      </c>
    </row>
    <row r="82" spans="3:18" x14ac:dyDescent="0.3">
      <c r="C82">
        <v>10</v>
      </c>
      <c r="D82">
        <v>30</v>
      </c>
      <c r="E82">
        <v>0.6</v>
      </c>
      <c r="I82">
        <v>101.6</v>
      </c>
      <c r="Q82">
        <v>13168</v>
      </c>
    </row>
    <row r="83" spans="3:18" x14ac:dyDescent="0.3">
      <c r="C83" t="s">
        <v>283</v>
      </c>
      <c r="E83">
        <v>3.15</v>
      </c>
      <c r="I83">
        <v>546.4</v>
      </c>
      <c r="O83">
        <v>750</v>
      </c>
      <c r="P83">
        <v>750</v>
      </c>
      <c r="Q83">
        <v>120374</v>
      </c>
    </row>
    <row r="84" spans="3:18" x14ac:dyDescent="0.3">
      <c r="C84">
        <v>11</v>
      </c>
      <c r="D84" t="s">
        <v>174</v>
      </c>
      <c r="E84">
        <v>2.5</v>
      </c>
      <c r="I84">
        <v>328</v>
      </c>
      <c r="O84">
        <v>20927</v>
      </c>
      <c r="P84">
        <v>20927</v>
      </c>
      <c r="Q84">
        <v>127272</v>
      </c>
    </row>
    <row r="85" spans="3:18" x14ac:dyDescent="0.3">
      <c r="C85">
        <v>11</v>
      </c>
      <c r="D85">
        <v>100</v>
      </c>
      <c r="E85">
        <v>1.5</v>
      </c>
      <c r="I85">
        <v>156</v>
      </c>
      <c r="O85">
        <v>7101</v>
      </c>
      <c r="P85">
        <v>7101</v>
      </c>
      <c r="Q85">
        <v>64237</v>
      </c>
    </row>
    <row r="86" spans="3:18" x14ac:dyDescent="0.3">
      <c r="C86">
        <v>11</v>
      </c>
      <c r="D86">
        <v>101</v>
      </c>
      <c r="E86">
        <v>1</v>
      </c>
      <c r="I86">
        <v>172</v>
      </c>
      <c r="O86">
        <v>13826</v>
      </c>
      <c r="P86">
        <v>13826</v>
      </c>
      <c r="Q86">
        <v>63035</v>
      </c>
    </row>
    <row r="87" spans="3:18" x14ac:dyDescent="0.3">
      <c r="C87">
        <v>11</v>
      </c>
      <c r="D87" t="s">
        <v>272</v>
      </c>
      <c r="E87">
        <v>0.05</v>
      </c>
      <c r="I87">
        <v>8.8000000000000007</v>
      </c>
      <c r="O87">
        <v>618</v>
      </c>
      <c r="P87">
        <v>618</v>
      </c>
      <c r="Q87">
        <v>3052</v>
      </c>
    </row>
    <row r="88" spans="3:18" x14ac:dyDescent="0.3">
      <c r="C88">
        <v>11</v>
      </c>
      <c r="D88">
        <v>526</v>
      </c>
      <c r="E88">
        <v>0.05</v>
      </c>
      <c r="I88">
        <v>8.8000000000000007</v>
      </c>
      <c r="O88">
        <v>618</v>
      </c>
      <c r="P88">
        <v>618</v>
      </c>
      <c r="Q88">
        <v>3052</v>
      </c>
    </row>
    <row r="89" spans="3:18" x14ac:dyDescent="0.3">
      <c r="C89">
        <v>11</v>
      </c>
      <c r="D89" t="s">
        <v>273</v>
      </c>
      <c r="E89">
        <v>0.6</v>
      </c>
      <c r="I89">
        <v>100.8</v>
      </c>
      <c r="O89">
        <v>4797</v>
      </c>
      <c r="P89">
        <v>4797</v>
      </c>
      <c r="Q89">
        <v>14904</v>
      </c>
    </row>
    <row r="90" spans="3:18" x14ac:dyDescent="0.3">
      <c r="C90">
        <v>11</v>
      </c>
      <c r="D90">
        <v>30</v>
      </c>
      <c r="E90">
        <v>0.6</v>
      </c>
      <c r="I90">
        <v>100.8</v>
      </c>
      <c r="O90">
        <v>4797</v>
      </c>
      <c r="P90">
        <v>4797</v>
      </c>
      <c r="Q90">
        <v>14904</v>
      </c>
    </row>
    <row r="91" spans="3:18" x14ac:dyDescent="0.3">
      <c r="C91" t="s">
        <v>284</v>
      </c>
      <c r="E91">
        <v>3.15</v>
      </c>
      <c r="I91">
        <v>437.6</v>
      </c>
      <c r="O91">
        <v>26342</v>
      </c>
      <c r="P91">
        <v>26342</v>
      </c>
      <c r="Q91">
        <v>145228</v>
      </c>
    </row>
    <row r="92" spans="3:18" x14ac:dyDescent="0.3">
      <c r="C92">
        <v>12</v>
      </c>
      <c r="D92" t="s">
        <v>174</v>
      </c>
      <c r="E92">
        <v>2.5</v>
      </c>
      <c r="I92">
        <v>376</v>
      </c>
      <c r="O92">
        <v>75117</v>
      </c>
      <c r="P92">
        <v>75117</v>
      </c>
      <c r="Q92">
        <v>181694</v>
      </c>
      <c r="R92">
        <v>3000</v>
      </c>
    </row>
    <row r="93" spans="3:18" x14ac:dyDescent="0.3">
      <c r="C93">
        <v>12</v>
      </c>
      <c r="D93">
        <v>99</v>
      </c>
      <c r="R93">
        <v>3000</v>
      </c>
    </row>
    <row r="94" spans="3:18" x14ac:dyDescent="0.3">
      <c r="C94">
        <v>12</v>
      </c>
      <c r="D94">
        <v>100</v>
      </c>
      <c r="E94">
        <v>1.5</v>
      </c>
      <c r="I94">
        <v>232</v>
      </c>
      <c r="Q94">
        <v>49799</v>
      </c>
    </row>
    <row r="95" spans="3:18" x14ac:dyDescent="0.3">
      <c r="C95">
        <v>12</v>
      </c>
      <c r="D95">
        <v>101</v>
      </c>
      <c r="E95">
        <v>1</v>
      </c>
      <c r="I95">
        <v>144</v>
      </c>
      <c r="O95">
        <v>75117</v>
      </c>
      <c r="P95">
        <v>75117</v>
      </c>
      <c r="Q95">
        <v>131895</v>
      </c>
    </row>
    <row r="96" spans="3:18" x14ac:dyDescent="0.3">
      <c r="C96">
        <v>12</v>
      </c>
      <c r="D96" t="s">
        <v>272</v>
      </c>
      <c r="E96">
        <v>0.05</v>
      </c>
      <c r="I96">
        <v>8</v>
      </c>
      <c r="Q96">
        <v>2437</v>
      </c>
    </row>
    <row r="97" spans="3:18" x14ac:dyDescent="0.3">
      <c r="C97">
        <v>12</v>
      </c>
      <c r="D97">
        <v>526</v>
      </c>
      <c r="E97">
        <v>0.05</v>
      </c>
      <c r="I97">
        <v>8</v>
      </c>
      <c r="Q97">
        <v>2437</v>
      </c>
    </row>
    <row r="98" spans="3:18" x14ac:dyDescent="0.3">
      <c r="C98">
        <v>12</v>
      </c>
      <c r="D98" t="s">
        <v>273</v>
      </c>
      <c r="E98">
        <v>0.6</v>
      </c>
      <c r="I98">
        <v>90.4</v>
      </c>
      <c r="Q98">
        <v>9326</v>
      </c>
    </row>
    <row r="99" spans="3:18" x14ac:dyDescent="0.3">
      <c r="C99">
        <v>12</v>
      </c>
      <c r="D99">
        <v>30</v>
      </c>
      <c r="E99">
        <v>0.6</v>
      </c>
      <c r="I99">
        <v>90.4</v>
      </c>
      <c r="Q99">
        <v>9326</v>
      </c>
    </row>
    <row r="100" spans="3:18" x14ac:dyDescent="0.3">
      <c r="C100" t="s">
        <v>285</v>
      </c>
      <c r="E100">
        <v>3.15</v>
      </c>
      <c r="I100">
        <v>474.4</v>
      </c>
      <c r="O100">
        <v>75117</v>
      </c>
      <c r="P100">
        <v>75117</v>
      </c>
      <c r="Q100">
        <v>193457</v>
      </c>
      <c r="R100">
        <v>3000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1" customWidth="1" collapsed="1"/>
    <col min="2" max="2" width="7.77734375" style="78" hidden="1" customWidth="1" outlineLevel="1"/>
    <col min="3" max="4" width="5.44140625" style="101" hidden="1" customWidth="1"/>
    <col min="5" max="5" width="7.77734375" style="78" customWidth="1"/>
    <col min="6" max="6" width="7.77734375" style="78" hidden="1" customWidth="1"/>
    <col min="7" max="7" width="5.44140625" style="101" hidden="1" customWidth="1"/>
    <col min="8" max="8" width="7.77734375" style="78" customWidth="1" collapsed="1"/>
    <col min="9" max="9" width="7.77734375" style="176" hidden="1" customWidth="1" outlineLevel="1"/>
    <col min="10" max="10" width="7.77734375" style="176" customWidth="1" collapsed="1"/>
    <col min="11" max="12" width="7.77734375" style="78" hidden="1" customWidth="1"/>
    <col min="13" max="13" width="5.44140625" style="101" hidden="1" customWidth="1"/>
    <col min="14" max="14" width="7.77734375" style="78" customWidth="1"/>
    <col min="15" max="15" width="7.77734375" style="78" hidden="1" customWidth="1"/>
    <col min="16" max="16" width="5.44140625" style="101" hidden="1" customWidth="1"/>
    <col min="17" max="17" width="7.77734375" style="78" customWidth="1" collapsed="1"/>
    <col min="18" max="18" width="7.77734375" style="176" hidden="1" customWidth="1" outlineLevel="1"/>
    <col min="19" max="19" width="7.77734375" style="176" customWidth="1" collapsed="1"/>
    <col min="20" max="21" width="7.77734375" style="78" hidden="1" customWidth="1"/>
    <col min="22" max="22" width="5" style="101" hidden="1" customWidth="1"/>
    <col min="23" max="23" width="7.77734375" style="78" customWidth="1"/>
    <col min="24" max="24" width="7.77734375" style="78" hidden="1" customWidth="1"/>
    <col min="25" max="25" width="5" style="101" hidden="1" customWidth="1"/>
    <col min="26" max="26" width="7.77734375" style="78" customWidth="1" collapsed="1"/>
    <col min="27" max="27" width="7.77734375" style="176" hidden="1" customWidth="1" outlineLevel="1"/>
    <col min="28" max="28" width="7.77734375" style="176" customWidth="1" collapsed="1"/>
    <col min="29" max="16384" width="8.88671875" style="101"/>
  </cols>
  <sheetData>
    <row r="1" spans="1:28" ht="18.600000000000001" customHeight="1" thickBot="1" x14ac:dyDescent="0.4">
      <c r="A1" s="330" t="s">
        <v>294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</row>
    <row r="2" spans="1:28" ht="14.4" customHeight="1" thickBot="1" x14ac:dyDescent="0.35">
      <c r="A2" s="189" t="s">
        <v>204</v>
      </c>
      <c r="B2" s="83"/>
      <c r="C2" s="83"/>
      <c r="D2" s="83"/>
      <c r="E2" s="83"/>
      <c r="F2" s="83"/>
      <c r="G2" s="83"/>
      <c r="H2" s="83"/>
      <c r="I2" s="184"/>
      <c r="J2" s="184"/>
      <c r="K2" s="83"/>
      <c r="L2" s="83"/>
      <c r="M2" s="83"/>
      <c r="N2" s="83"/>
      <c r="O2" s="83"/>
      <c r="P2" s="83"/>
      <c r="Q2" s="83"/>
      <c r="R2" s="184"/>
      <c r="S2" s="184"/>
      <c r="T2" s="83"/>
      <c r="U2" s="83"/>
      <c r="V2" s="83"/>
      <c r="W2" s="83"/>
      <c r="X2" s="83"/>
      <c r="Y2" s="83"/>
      <c r="Z2" s="83"/>
      <c r="AA2" s="184"/>
      <c r="AB2" s="184"/>
    </row>
    <row r="3" spans="1:28" ht="14.4" customHeight="1" thickBot="1" x14ac:dyDescent="0.35">
      <c r="A3" s="177" t="s">
        <v>96</v>
      </c>
      <c r="B3" s="178">
        <f>SUBTOTAL(9,B6:B1048576)/4</f>
        <v>364.33</v>
      </c>
      <c r="C3" s="179">
        <f t="shared" ref="C3:Z3" si="0">SUBTOTAL(9,C6:C1048576)</f>
        <v>4</v>
      </c>
      <c r="D3" s="179"/>
      <c r="E3" s="179">
        <f>SUBTOTAL(9,E6:E1048576)/4</f>
        <v>0</v>
      </c>
      <c r="F3" s="179"/>
      <c r="G3" s="179">
        <f t="shared" si="0"/>
        <v>0</v>
      </c>
      <c r="H3" s="179">
        <f>SUBTOTAL(9,H6:H1048576)/4</f>
        <v>0</v>
      </c>
      <c r="I3" s="182">
        <f>IF(B3&lt;&gt;0,H3/B3,"")</f>
        <v>0</v>
      </c>
      <c r="J3" s="180" t="str">
        <f>IF(E3&lt;&gt;0,H3/E3,"")</f>
        <v/>
      </c>
      <c r="K3" s="181">
        <f t="shared" si="0"/>
        <v>0</v>
      </c>
      <c r="L3" s="181"/>
      <c r="M3" s="179">
        <f t="shared" si="0"/>
        <v>0</v>
      </c>
      <c r="N3" s="179">
        <f t="shared" si="0"/>
        <v>0</v>
      </c>
      <c r="O3" s="179"/>
      <c r="P3" s="179">
        <f t="shared" si="0"/>
        <v>0</v>
      </c>
      <c r="Q3" s="179">
        <f t="shared" si="0"/>
        <v>0</v>
      </c>
      <c r="R3" s="182" t="str">
        <f>IF(K3&lt;&gt;0,Q3/K3,"")</f>
        <v/>
      </c>
      <c r="S3" s="182" t="str">
        <f>IF(N3&lt;&gt;0,Q3/N3,"")</f>
        <v/>
      </c>
      <c r="T3" s="178">
        <f t="shared" si="0"/>
        <v>0</v>
      </c>
      <c r="U3" s="181"/>
      <c r="V3" s="179">
        <f t="shared" si="0"/>
        <v>0</v>
      </c>
      <c r="W3" s="179">
        <f t="shared" si="0"/>
        <v>0</v>
      </c>
      <c r="X3" s="179"/>
      <c r="Y3" s="179">
        <f t="shared" si="0"/>
        <v>0</v>
      </c>
      <c r="Z3" s="179">
        <f t="shared" si="0"/>
        <v>0</v>
      </c>
      <c r="AA3" s="182" t="str">
        <f>IF(T3&lt;&gt;0,Z3/T3,"")</f>
        <v/>
      </c>
      <c r="AB3" s="180" t="str">
        <f>IF(W3&lt;&gt;0,Z3/W3,"")</f>
        <v/>
      </c>
    </row>
    <row r="4" spans="1:28" ht="14.4" customHeight="1" x14ac:dyDescent="0.3">
      <c r="A4" s="331" t="s">
        <v>143</v>
      </c>
      <c r="B4" s="332" t="s">
        <v>73</v>
      </c>
      <c r="C4" s="333"/>
      <c r="D4" s="334"/>
      <c r="E4" s="333"/>
      <c r="F4" s="334"/>
      <c r="G4" s="333"/>
      <c r="H4" s="333"/>
      <c r="I4" s="334"/>
      <c r="J4" s="335"/>
      <c r="K4" s="332" t="s">
        <v>74</v>
      </c>
      <c r="L4" s="334"/>
      <c r="M4" s="333"/>
      <c r="N4" s="333"/>
      <c r="O4" s="334"/>
      <c r="P4" s="333"/>
      <c r="Q4" s="333"/>
      <c r="R4" s="334"/>
      <c r="S4" s="335"/>
      <c r="T4" s="332" t="s">
        <v>75</v>
      </c>
      <c r="U4" s="334"/>
      <c r="V4" s="333"/>
      <c r="W4" s="333"/>
      <c r="X4" s="334"/>
      <c r="Y4" s="333"/>
      <c r="Z4" s="333"/>
      <c r="AA4" s="334"/>
      <c r="AB4" s="335"/>
    </row>
    <row r="5" spans="1:28" ht="14.4" customHeight="1" thickBot="1" x14ac:dyDescent="0.35">
      <c r="A5" s="379"/>
      <c r="B5" s="380">
        <v>2015</v>
      </c>
      <c r="C5" s="381"/>
      <c r="D5" s="381"/>
      <c r="E5" s="381">
        <v>2016</v>
      </c>
      <c r="F5" s="381"/>
      <c r="G5" s="381"/>
      <c r="H5" s="381">
        <v>2017</v>
      </c>
      <c r="I5" s="382" t="s">
        <v>165</v>
      </c>
      <c r="J5" s="383" t="s">
        <v>1</v>
      </c>
      <c r="K5" s="380">
        <v>2015</v>
      </c>
      <c r="L5" s="381"/>
      <c r="M5" s="381"/>
      <c r="N5" s="381">
        <v>2016</v>
      </c>
      <c r="O5" s="381"/>
      <c r="P5" s="381"/>
      <c r="Q5" s="381">
        <v>2017</v>
      </c>
      <c r="R5" s="382" t="s">
        <v>165</v>
      </c>
      <c r="S5" s="383" t="s">
        <v>1</v>
      </c>
      <c r="T5" s="380">
        <v>2015</v>
      </c>
      <c r="U5" s="381"/>
      <c r="V5" s="381"/>
      <c r="W5" s="381">
        <v>2016</v>
      </c>
      <c r="X5" s="381"/>
      <c r="Y5" s="381"/>
      <c r="Z5" s="381">
        <v>2017</v>
      </c>
      <c r="AA5" s="382" t="s">
        <v>165</v>
      </c>
      <c r="AB5" s="383" t="s">
        <v>1</v>
      </c>
    </row>
    <row r="6" spans="1:28" ht="14.4" customHeight="1" x14ac:dyDescent="0.3">
      <c r="A6" s="384" t="s">
        <v>292</v>
      </c>
      <c r="B6" s="385">
        <v>364.33</v>
      </c>
      <c r="C6" s="386">
        <v>1</v>
      </c>
      <c r="D6" s="386"/>
      <c r="E6" s="385"/>
      <c r="F6" s="386"/>
      <c r="G6" s="386"/>
      <c r="H6" s="385"/>
      <c r="I6" s="386"/>
      <c r="J6" s="386"/>
      <c r="K6" s="385"/>
      <c r="L6" s="386"/>
      <c r="M6" s="386"/>
      <c r="N6" s="385"/>
      <c r="O6" s="386"/>
      <c r="P6" s="386"/>
      <c r="Q6" s="385"/>
      <c r="R6" s="386"/>
      <c r="S6" s="386"/>
      <c r="T6" s="385"/>
      <c r="U6" s="386"/>
      <c r="V6" s="386"/>
      <c r="W6" s="385"/>
      <c r="X6" s="386"/>
      <c r="Y6" s="386"/>
      <c r="Z6" s="385"/>
      <c r="AA6" s="386"/>
      <c r="AB6" s="387"/>
    </row>
    <row r="7" spans="1:28" ht="14.4" customHeight="1" thickBot="1" x14ac:dyDescent="0.35">
      <c r="A7" s="391" t="s">
        <v>293</v>
      </c>
      <c r="B7" s="388">
        <v>364.33</v>
      </c>
      <c r="C7" s="389">
        <v>1</v>
      </c>
      <c r="D7" s="389"/>
      <c r="E7" s="388"/>
      <c r="F7" s="389"/>
      <c r="G7" s="389"/>
      <c r="H7" s="388"/>
      <c r="I7" s="389"/>
      <c r="J7" s="389"/>
      <c r="K7" s="388"/>
      <c r="L7" s="389"/>
      <c r="M7" s="389"/>
      <c r="N7" s="388"/>
      <c r="O7" s="389"/>
      <c r="P7" s="389"/>
      <c r="Q7" s="388"/>
      <c r="R7" s="389"/>
      <c r="S7" s="389"/>
      <c r="T7" s="388"/>
      <c r="U7" s="389"/>
      <c r="V7" s="389"/>
      <c r="W7" s="388"/>
      <c r="X7" s="389"/>
      <c r="Y7" s="389"/>
      <c r="Z7" s="388"/>
      <c r="AA7" s="389"/>
      <c r="AB7" s="390"/>
    </row>
    <row r="8" spans="1:28" ht="14.4" customHeight="1" thickBot="1" x14ac:dyDescent="0.35"/>
    <row r="9" spans="1:28" ht="14.4" customHeight="1" x14ac:dyDescent="0.3">
      <c r="A9" s="384" t="s">
        <v>295</v>
      </c>
      <c r="B9" s="385">
        <v>364.33</v>
      </c>
      <c r="C9" s="386">
        <v>1</v>
      </c>
      <c r="D9" s="386"/>
      <c r="E9" s="385"/>
      <c r="F9" s="386"/>
      <c r="G9" s="386"/>
      <c r="H9" s="385"/>
      <c r="I9" s="386"/>
      <c r="J9" s="387"/>
    </row>
    <row r="10" spans="1:28" ht="14.4" customHeight="1" thickBot="1" x14ac:dyDescent="0.35">
      <c r="A10" s="391" t="s">
        <v>296</v>
      </c>
      <c r="B10" s="388">
        <v>364.33</v>
      </c>
      <c r="C10" s="389">
        <v>1</v>
      </c>
      <c r="D10" s="389"/>
      <c r="E10" s="388"/>
      <c r="F10" s="389"/>
      <c r="G10" s="389"/>
      <c r="H10" s="388"/>
      <c r="I10" s="389"/>
      <c r="J10" s="390"/>
    </row>
    <row r="11" spans="1:28" ht="14.4" customHeight="1" x14ac:dyDescent="0.3">
      <c r="A11" s="392" t="s">
        <v>203</v>
      </c>
    </row>
    <row r="12" spans="1:28" ht="14.4" customHeight="1" x14ac:dyDescent="0.3">
      <c r="A12" s="393" t="s">
        <v>297</v>
      </c>
    </row>
    <row r="13" spans="1:28" ht="14.4" customHeight="1" x14ac:dyDescent="0.3">
      <c r="A13" s="392" t="s">
        <v>298</v>
      </c>
    </row>
    <row r="14" spans="1:28" ht="14.4" customHeight="1" x14ac:dyDescent="0.3">
      <c r="A14" s="392" t="s">
        <v>299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3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2018-01-31T13:33:53Z</dcterms:modified>
</cp:coreProperties>
</file>