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nápek Martin\BP 2020\"/>
    </mc:Choice>
  </mc:AlternateContent>
  <bookViews>
    <workbookView xWindow="240" yWindow="75" windowWidth="19980" windowHeight="8070"/>
  </bookViews>
  <sheets>
    <sheet name="ZP MV 20.2.2020" sheetId="1" r:id="rId1"/>
    <sheet name="List2" sheetId="2" r:id="rId2"/>
    <sheet name="List3" sheetId="3" r:id="rId3"/>
  </sheets>
  <definedNames>
    <definedName name="_GoBack" localSheetId="0">'ZP MV 20.2.2020'!#REF!</definedName>
    <definedName name="_xlnm.Print_Area" localSheetId="0">'ZP MV 20.2.2020'!$A$1:$G$128</definedName>
  </definedNames>
  <calcPr calcId="152511"/>
</workbook>
</file>

<file path=xl/calcChain.xml><?xml version="1.0" encoding="utf-8"?>
<calcChain xmlns="http://schemas.openxmlformats.org/spreadsheetml/2006/main">
  <c r="B108" i="1" l="1"/>
  <c r="D9" i="1"/>
  <c r="D51" i="1"/>
  <c r="D50" i="1" l="1"/>
  <c r="F26" i="1" l="1"/>
  <c r="F19" i="1"/>
  <c r="C100" i="1"/>
  <c r="C101" i="1"/>
  <c r="D102" i="1"/>
  <c r="D105" i="1" s="1"/>
  <c r="D108" i="1" s="1"/>
  <c r="D103" i="1"/>
  <c r="E58" i="1" l="1"/>
  <c r="G56" i="1"/>
  <c r="G58" i="1" l="1"/>
  <c r="B68" i="1"/>
  <c r="C57" i="1" l="1"/>
  <c r="F25" i="1"/>
  <c r="F24" i="1"/>
  <c r="C80" i="1" l="1"/>
  <c r="C75" i="1"/>
  <c r="B67" i="1"/>
  <c r="B69" i="1" s="1"/>
  <c r="B43" i="1" l="1"/>
  <c r="F22" i="1" l="1"/>
  <c r="F20" i="1"/>
  <c r="F21" i="1"/>
  <c r="F23" i="1" l="1"/>
  <c r="F27" i="1" s="1"/>
  <c r="F28" i="1" s="1"/>
  <c r="D5" i="1" s="1"/>
  <c r="D8" i="1" s="1"/>
</calcChain>
</file>

<file path=xl/comments1.xml><?xml version="1.0" encoding="utf-8"?>
<comments xmlns="http://schemas.openxmlformats.org/spreadsheetml/2006/main">
  <authors>
    <author>Miklík David, Ing.</author>
    <author>00182</author>
  </authors>
  <commentLis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Miklík David, Ing.:</t>
        </r>
        <r>
          <rPr>
            <sz val="8"/>
            <color indexed="81"/>
            <rFont val="Tahoma"/>
            <family val="2"/>
            <charset val="238"/>
          </rPr>
          <t xml:space="preserve">
skutečná úhrada
</t>
        </r>
      </text>
    </comment>
    <comment ref="C58" authorId="1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dle Sefima
</t>
        </r>
      </text>
    </comment>
    <comment ref="C60" authorId="1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dle Sefima
</t>
        </r>
      </text>
    </comment>
    <comment ref="B107" authorId="1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vč. syn, syp a IZP
</t>
        </r>
      </text>
    </comment>
  </commentList>
</comments>
</file>

<file path=xl/sharedStrings.xml><?xml version="1.0" encoding="utf-8"?>
<sst xmlns="http://schemas.openxmlformats.org/spreadsheetml/2006/main" count="124" uniqueCount="103">
  <si>
    <t>FNOL</t>
  </si>
  <si>
    <t>Ambulance</t>
  </si>
  <si>
    <t>Nové kardio výkony</t>
  </si>
  <si>
    <t>KV/KS</t>
  </si>
  <si>
    <t>Stenty</t>
  </si>
  <si>
    <t>TAVI</t>
  </si>
  <si>
    <t>CL+par.16</t>
  </si>
  <si>
    <t>FNOL dle ZP</t>
  </si>
  <si>
    <t>Dodatek o úhradě dle Vyhlášky</t>
  </si>
  <si>
    <t>Robot</t>
  </si>
  <si>
    <t>limit</t>
  </si>
  <si>
    <t>rozdíl v kalkulaci FNOL cca + 2,5 mil. Kč</t>
  </si>
  <si>
    <t>Hospitalizace</t>
  </si>
  <si>
    <t xml:space="preserve">CL </t>
  </si>
  <si>
    <t>očekávaná skutečnost</t>
  </si>
  <si>
    <t>limity</t>
  </si>
  <si>
    <t>Záloha</t>
  </si>
  <si>
    <t>robot</t>
  </si>
  <si>
    <t>ISU celkem</t>
  </si>
  <si>
    <t>105,6% z 250 909 612</t>
  </si>
  <si>
    <t>8 154 562 - překročení po zohlednění IZP</t>
  </si>
  <si>
    <t>1) Vyúčtování zdravotní péče za rok 2017</t>
  </si>
  <si>
    <t>2) Úhrady 2018</t>
  </si>
  <si>
    <t>skutečnost dle vyúčtování  ZP MV ČR</t>
  </si>
  <si>
    <t>cca 800 tis. Kč - závažnější nedoslýchavost</t>
  </si>
  <si>
    <t>cca 300 tis. méně závažná nedoslýchavost</t>
  </si>
  <si>
    <t>1-2 výkony ročně pro pojištěnce ZP MV ČR</t>
  </si>
  <si>
    <t>záloha celkem</t>
  </si>
  <si>
    <t>Odhad úhrady bez nadprodukce</t>
  </si>
  <si>
    <t>Robot - balíček - pyeloplastika + resekce ledviny</t>
  </si>
  <si>
    <t>Globální URČ v ambulanci</t>
  </si>
  <si>
    <t>Globální URČ v hospitalizaci</t>
  </si>
  <si>
    <t>Nejvýraznější nárůt v A segmentu</t>
  </si>
  <si>
    <t>hemodialýza (odb. 128</t>
  </si>
  <si>
    <t>radioterapie (odb. 403)</t>
  </si>
  <si>
    <t xml:space="preserve">dále přes široké  spektrum dalších odborností </t>
  </si>
  <si>
    <t>Celkem</t>
  </si>
  <si>
    <t xml:space="preserve">prostata </t>
  </si>
  <si>
    <t>hysterektomie</t>
  </si>
  <si>
    <t>REÁLNÁ HODNOTA NADPRODUKCE cca</t>
  </si>
  <si>
    <t>Pozn. MAK</t>
  </si>
  <si>
    <t>26.2.2018 odesláno doplnění námitek (žádosti o zohlednění) k :</t>
  </si>
  <si>
    <t xml:space="preserve"> - CL - předány poklady k 120 mil. Kč (v 1. kole uhrazeno 116 mil. Kč)</t>
  </si>
  <si>
    <t xml:space="preserve"> - Ambulance : dialýza - 2,5 mil. Kč  + §16 - 6,65 mil. Kč (Imbruvica, Levact, Kyprolis, Imnovid, Opdivo, Adcteris) + nárůst  v odb. 403 (radioterapie)</t>
  </si>
  <si>
    <t>Jednání 1. kolo 24.1.2019 (ZP MV - Olomouc) - projednáno výše uvedené.</t>
  </si>
  <si>
    <r>
      <t xml:space="preserve">14.3. odpověď ZP MV, </t>
    </r>
    <r>
      <rPr>
        <b/>
        <sz val="12"/>
        <color rgb="FFFF0000"/>
        <rFont val="Calibri"/>
        <family val="2"/>
        <charset val="238"/>
        <scheme val="minor"/>
      </rPr>
      <t>(ne)</t>
    </r>
    <r>
      <rPr>
        <b/>
        <sz val="12"/>
        <rFont val="Calibri"/>
        <family val="2"/>
        <charset val="238"/>
        <scheme val="minor"/>
      </rPr>
      <t>zohledněno :</t>
    </r>
  </si>
  <si>
    <r>
      <rPr>
        <b/>
        <sz val="11"/>
        <color rgb="FFFF0000"/>
        <rFont val="Calibri"/>
        <family val="2"/>
        <charset val="238"/>
        <scheme val="minor"/>
      </rPr>
      <t xml:space="preserve"> - Ambulance - pouze 1,5 mil. Kč</t>
    </r>
    <r>
      <rPr>
        <sz val="11"/>
        <rFont val="Calibri"/>
        <family val="2"/>
        <charset val="238"/>
        <scheme val="minor"/>
      </rPr>
      <t xml:space="preserve"> (přitom pouze dialýza činila 2,5 mil. Kč; § 16 a ostatní naše námitky nijak nevypořádány) !!</t>
    </r>
  </si>
  <si>
    <r>
      <t xml:space="preserve"> - </t>
    </r>
    <r>
      <rPr>
        <b/>
        <sz val="11"/>
        <color rgb="FF00B050"/>
        <rFont val="Calibri"/>
        <family val="2"/>
        <charset val="238"/>
        <scheme val="minor"/>
      </rPr>
      <t>ISÚ - 6 mil. Kč - OK</t>
    </r>
  </si>
  <si>
    <t xml:space="preserve"> - Ostatní hospitalizace nezohledněno</t>
  </si>
  <si>
    <t>JEDNAT O NAVÝŠENÍ ÚHRADY alespoň na úroveň doplatku 15 mil. Kč</t>
  </si>
  <si>
    <t>MC</t>
  </si>
  <si>
    <t>Stav k 31.12.2018 (zahrnuty veškeré LP, které vstoupily i v 2018 do CL)</t>
  </si>
  <si>
    <t>Amb. paušál</t>
  </si>
  <si>
    <t>(AMB. bez NLS, NSS, Psych., Urgent, ÚPS, 09543, pitev, MS..)</t>
  </si>
  <si>
    <t>108,7% CM ref. obd.</t>
  </si>
  <si>
    <t>Hosp. paušál vč. sester (Izp = 1,039)</t>
  </si>
  <si>
    <t>Nárůst nad 100% roku 2016 + 633 CM (345 případů)</t>
  </si>
  <si>
    <t>DOPLATEK vč. CL, KV/KS, stenty</t>
  </si>
  <si>
    <t>MIN. NADPRODUKCE - CL, KV, KS, stenty</t>
  </si>
  <si>
    <t>POZOR NUTNO DÁLE JEDNAT MIN. O ČÁSTEČNÉM ZOHLEDNĚNÍ AMBULANCE - viz výše</t>
  </si>
  <si>
    <t>Doplatek</t>
  </si>
  <si>
    <t xml:space="preserve">HOSPITALIZACE </t>
  </si>
  <si>
    <t>Počet HOSP.</t>
  </si>
  <si>
    <t>SUMA CM</t>
  </si>
  <si>
    <r>
      <rPr>
        <b/>
        <sz val="12"/>
        <color rgb="FFC00000"/>
        <rFont val="Calibri"/>
        <family val="2"/>
        <charset val="238"/>
        <scheme val="minor"/>
      </rPr>
      <t>URČ + HOSP. ZP MV vývoj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</si>
  <si>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(zakalkulovány i par. 16, které v průběhu r. 2018 získaly úhradu)</t>
  </si>
  <si>
    <r>
      <t xml:space="preserve"> -</t>
    </r>
    <r>
      <rPr>
        <b/>
        <sz val="11"/>
        <color rgb="FFFF0000"/>
        <rFont val="Calibri"/>
        <family val="2"/>
        <charset val="238"/>
        <scheme val="minor"/>
      </rPr>
      <t xml:space="preserve"> CL + 2,5 mil. Kč </t>
    </r>
    <r>
      <rPr>
        <sz val="11"/>
        <rFont val="Calibri"/>
        <family val="2"/>
        <charset val="238"/>
        <scheme val="minor"/>
      </rPr>
      <t xml:space="preserve">- navýšení na úroveň jejich 1. kola vyúčtování (bez zohlednění našich námitek) - </t>
    </r>
    <r>
      <rPr>
        <b/>
        <sz val="11"/>
        <color rgb="FFFF0000"/>
        <rFont val="Calibri"/>
        <family val="2"/>
        <charset val="238"/>
        <scheme val="minor"/>
      </rPr>
      <t>schází nadále cca 1,5 mil. Kč !!</t>
    </r>
  </si>
  <si>
    <t>hodnota péče - původní vyúčtování</t>
  </si>
  <si>
    <t>doplatek - původní vyúčtování</t>
  </si>
  <si>
    <t>CELKEM návrh doplatku + 10 mil Kč</t>
  </si>
  <si>
    <t>prostata s lymfadenektomií</t>
  </si>
  <si>
    <t>prostata</t>
  </si>
  <si>
    <t>celkem dle provedených</t>
  </si>
  <si>
    <t>neuhrazeno</t>
  </si>
  <si>
    <t>10 resekce ledviny</t>
  </si>
  <si>
    <t>3 pyeloplastiky</t>
  </si>
  <si>
    <t>Dle FNOL hodnota nadprodukce 2017</t>
  </si>
  <si>
    <t>Nezohledněno</t>
  </si>
  <si>
    <t>SHRNUTÍ 2017 :</t>
  </si>
  <si>
    <t>SHRNUTÍ 2018 :</t>
  </si>
  <si>
    <t>Dle FNOL hodnota nadprodukce 2018</t>
  </si>
  <si>
    <t>(? předjednáno ředitelem a Tomášem a doc. Smolíkem cca 10 mil, Kč)</t>
  </si>
  <si>
    <t>Zohledněno v I. kole jednání</t>
  </si>
  <si>
    <t>Zohledněno ve II. kole jednání</t>
  </si>
  <si>
    <t>ZP MV ČR - podklady pro jednání 20. 2. 2020</t>
  </si>
  <si>
    <t>Celková úhrada z vyúčtování</t>
  </si>
  <si>
    <t>3) Předpoklad 2019</t>
  </si>
  <si>
    <t>CELKEM 55 výkonů (v 2018 - 56 výkonů)</t>
  </si>
  <si>
    <t>4) Problematika 2020</t>
  </si>
  <si>
    <t>MIN. NADPRODUKCE - CL</t>
  </si>
  <si>
    <t>DOPLATEK vč. CL</t>
  </si>
  <si>
    <t>sjednat alespoň zohlednění za robotický ZUM stejně jako rok 2019</t>
  </si>
  <si>
    <t>Celkový limit na robota mírně navýšit</t>
  </si>
  <si>
    <t>Předp. celkový doplatek nad zálohy, vč. nadprodukce</t>
  </si>
  <si>
    <t>Vyhláškový limit pro 2020 by měl být dostačující</t>
  </si>
  <si>
    <t>reálná potřeba 7 ks - postačí i shodný limit jako v 2019 (v 2019 provedeno 5 TAVI)</t>
  </si>
  <si>
    <t>potřebujeme smluvní garanci úhrady v roce 2020  (cca 16 mil. Kč/rok)</t>
  </si>
  <si>
    <r>
      <rPr>
        <b/>
        <sz val="12"/>
        <rFont val="Calibri"/>
        <family val="2"/>
        <charset val="238"/>
        <scheme val="minor"/>
      </rPr>
      <t>Centrové léky</t>
    </r>
    <r>
      <rPr>
        <sz val="12"/>
        <rFont val="Calibri"/>
        <family val="2"/>
        <charset val="238"/>
        <scheme val="minor"/>
      </rPr>
      <t xml:space="preserve"> : ROK 2019 - skutečnost 146 mil. Kč, limit pro rok 2019 pouze 133 mil. Kč</t>
    </r>
  </si>
  <si>
    <r>
      <t>Kochleární implantát  - úhrada ZÚM</t>
    </r>
    <r>
      <rPr>
        <sz val="12"/>
        <color theme="1"/>
        <rFont val="Calibri"/>
        <family val="2"/>
        <charset val="238"/>
        <scheme val="minor"/>
      </rPr>
      <t>     </t>
    </r>
  </si>
  <si>
    <t>Zákl. předp. doplatek bez nadprodukce</t>
  </si>
  <si>
    <t>15 za FNOL celkem</t>
  </si>
  <si>
    <r>
      <rPr>
        <b/>
        <sz val="11"/>
        <color theme="1"/>
        <rFont val="Calibri"/>
        <family val="2"/>
        <charset val="238"/>
        <scheme val="minor"/>
      </rPr>
      <t>MC - 4 ks</t>
    </r>
    <r>
      <rPr>
        <sz val="11"/>
        <color theme="1"/>
        <rFont val="Calibri"/>
        <family val="2"/>
        <charset val="238"/>
        <scheme val="minor"/>
      </rPr>
      <t xml:space="preserve"> dostačující  (1 x MC za 600 tis. Kč), rok 2019 - 2 ks;   </t>
    </r>
    <r>
      <rPr>
        <b/>
        <sz val="11"/>
        <color theme="1"/>
        <rFont val="Calibri"/>
        <family val="2"/>
        <charset val="238"/>
        <scheme val="minor"/>
      </rPr>
      <t>CCM kardiostimulátor max. 2 ks</t>
    </r>
    <r>
      <rPr>
        <sz val="11"/>
        <color theme="1"/>
        <rFont val="Calibri"/>
        <family val="2"/>
        <charset val="238"/>
        <scheme val="minor"/>
      </rPr>
      <t xml:space="preserve"> (1 x CCM za 720 tis. Kč), rok 2019 - 0 ks</t>
    </r>
  </si>
  <si>
    <t>KANUMA (§16)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</si>
</sst>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theme="6" tint="0.7999816888943144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6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 applyBorder="1"/>
    <xf numFmtId="0" fontId="1" fillId="0" borderId="0" xfId="0" applyFont="1"/>
    <xf numFmtId="3" fontId="0" fillId="0" borderId="0" xfId="0" applyNumberFormat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left" indent="15"/>
    </xf>
    <xf numFmtId="4" fontId="0" fillId="0" borderId="0" xfId="0" applyNumberFormat="1"/>
    <xf numFmtId="3" fontId="3" fillId="2" borderId="4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right" vertical="top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3" fontId="12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vertical="center" wrapText="1"/>
    </xf>
    <xf numFmtId="3" fontId="17" fillId="4" borderId="3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2" fillId="6" borderId="1" xfId="0" applyFont="1" applyFill="1" applyBorder="1" applyAlignment="1">
      <alignment horizontal="left" vertical="center" wrapText="1"/>
    </xf>
    <xf numFmtId="3" fontId="19" fillId="6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3" fontId="12" fillId="0" borderId="3" xfId="0" applyNumberFormat="1" applyFont="1" applyBorder="1" applyAlignment="1">
      <alignment horizontal="center" vertical="top" wrapText="1"/>
    </xf>
    <xf numFmtId="0" fontId="19" fillId="0" borderId="0" xfId="0" applyFont="1" applyBorder="1"/>
    <xf numFmtId="0" fontId="20" fillId="0" borderId="1" xfId="0" applyFont="1" applyFill="1" applyBorder="1" applyAlignment="1">
      <alignment horizontal="left" vertical="center" wrapText="1"/>
    </xf>
    <xf numFmtId="3" fontId="20" fillId="0" borderId="3" xfId="0" applyNumberFormat="1" applyFont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top" wrapText="1"/>
    </xf>
    <xf numFmtId="3" fontId="12" fillId="7" borderId="3" xfId="0" applyNumberFormat="1" applyFont="1" applyFill="1" applyBorder="1" applyAlignment="1">
      <alignment horizontal="center" vertical="top" wrapText="1"/>
    </xf>
    <xf numFmtId="0" fontId="21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3" fillId="0" borderId="0" xfId="0" applyFont="1" applyFill="1" applyBorder="1" applyAlignment="1">
      <alignment horizontal="right" vertical="top" wrapText="1"/>
    </xf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11" fillId="0" borderId="0" xfId="0" applyFont="1" applyAlignment="1"/>
    <xf numFmtId="0" fontId="21" fillId="0" borderId="0" xfId="0" applyFont="1" applyAlignment="1"/>
    <xf numFmtId="0" fontId="23" fillId="0" borderId="0" xfId="0" applyFont="1"/>
    <xf numFmtId="0" fontId="12" fillId="8" borderId="0" xfId="0" applyFont="1" applyFill="1" applyBorder="1" applyAlignment="1">
      <alignment horizontal="left" vertical="top" wrapText="1"/>
    </xf>
    <xf numFmtId="0" fontId="12" fillId="8" borderId="0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3" fontId="25" fillId="0" borderId="3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3" fontId="27" fillId="0" borderId="3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/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Fill="1"/>
    <xf numFmtId="3" fontId="2" fillId="0" borderId="0" xfId="0" applyNumberFormat="1" applyFont="1"/>
    <xf numFmtId="0" fontId="28" fillId="0" borderId="0" xfId="0" applyFont="1" applyFill="1"/>
    <xf numFmtId="3" fontId="28" fillId="0" borderId="0" xfId="0" applyNumberFormat="1" applyFont="1" applyFill="1"/>
    <xf numFmtId="14" fontId="28" fillId="0" borderId="0" xfId="0" applyNumberFormat="1" applyFont="1" applyFill="1"/>
    <xf numFmtId="0" fontId="29" fillId="0" borderId="0" xfId="0" applyFont="1" applyFill="1"/>
    <xf numFmtId="0" fontId="28" fillId="0" borderId="9" xfId="0" applyFont="1" applyFill="1" applyBorder="1"/>
    <xf numFmtId="3" fontId="28" fillId="0" borderId="9" xfId="0" applyNumberFormat="1" applyFont="1" applyFill="1" applyBorder="1"/>
    <xf numFmtId="14" fontId="28" fillId="0" borderId="9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0" fillId="0" borderId="0" xfId="0" applyFont="1" applyFill="1"/>
    <xf numFmtId="0" fontId="30" fillId="0" borderId="0" xfId="0" applyFont="1" applyBorder="1"/>
    <xf numFmtId="3" fontId="30" fillId="0" borderId="0" xfId="0" applyNumberFormat="1" applyFont="1" applyBorder="1"/>
    <xf numFmtId="3" fontId="0" fillId="0" borderId="10" xfId="0" applyNumberFormat="1" applyBorder="1"/>
    <xf numFmtId="0" fontId="3" fillId="0" borderId="4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top" wrapText="1"/>
    </xf>
    <xf numFmtId="3" fontId="0" fillId="0" borderId="4" xfId="0" applyNumberFormat="1" applyBorder="1" applyAlignment="1"/>
    <xf numFmtId="3" fontId="0" fillId="0" borderId="4" xfId="0" applyNumberFormat="1" applyBorder="1" applyAlignment="1">
      <alignment horizontal="center"/>
    </xf>
    <xf numFmtId="3" fontId="0" fillId="0" borderId="4" xfId="0" applyNumberFormat="1" applyBorder="1"/>
    <xf numFmtId="0" fontId="17" fillId="10" borderId="0" xfId="0" applyFont="1" applyFill="1" applyBorder="1" applyAlignment="1">
      <alignment vertical="center" wrapText="1"/>
    </xf>
    <xf numFmtId="3" fontId="17" fillId="10" borderId="0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3" fontId="31" fillId="3" borderId="0" xfId="0" applyNumberFormat="1" applyFont="1" applyFill="1" applyBorder="1"/>
    <xf numFmtId="0" fontId="32" fillId="0" borderId="0" xfId="0" applyFont="1" applyBorder="1"/>
    <xf numFmtId="3" fontId="33" fillId="11" borderId="0" xfId="0" applyNumberFormat="1" applyFont="1" applyFill="1" applyBorder="1"/>
    <xf numFmtId="0" fontId="34" fillId="0" borderId="0" xfId="0" applyFont="1"/>
    <xf numFmtId="0" fontId="19" fillId="0" borderId="0" xfId="0" applyFont="1"/>
    <xf numFmtId="0" fontId="17" fillId="4" borderId="0" xfId="0" applyFont="1" applyFill="1" applyBorder="1" applyAlignment="1">
      <alignment vertical="center" wrapText="1"/>
    </xf>
    <xf numFmtId="3" fontId="17" fillId="4" borderId="0" xfId="0" applyNumberFormat="1" applyFont="1" applyFill="1" applyBorder="1" applyAlignment="1">
      <alignment horizontal="center" vertical="center"/>
    </xf>
    <xf numFmtId="0" fontId="31" fillId="12" borderId="0" xfId="0" applyFont="1" applyFill="1"/>
    <xf numFmtId="3" fontId="31" fillId="12" borderId="0" xfId="0" applyNumberFormat="1" applyFont="1" applyFill="1"/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tabSelected="1" topLeftCell="A3" zoomScaleNormal="100" workbookViewId="0">
      <selection activeCell="K113" sqref="K113"/>
    </sheetView>
  </sheetViews>
  <sheetFormatPr defaultRowHeight="15" x14ac:dyDescent="0.25"/>
  <cols>
    <col min="1" max="1" width="55.85546875" customWidth="1"/>
    <col min="2" max="2" width="42.140625" customWidth="1"/>
    <col min="3" max="3" width="20.85546875" customWidth="1"/>
    <col min="4" max="4" width="24.85546875" customWidth="1"/>
    <col min="5" max="5" width="23.85546875" customWidth="1"/>
    <col min="6" max="6" width="18.140625" customWidth="1"/>
    <col min="7" max="7" width="30.140625" customWidth="1"/>
    <col min="8" max="8" width="9.140625" hidden="1" customWidth="1"/>
    <col min="10" max="10" width="21.5703125" customWidth="1"/>
    <col min="11" max="11" width="44.5703125" bestFit="1" customWidth="1"/>
    <col min="13" max="13" width="16.7109375" customWidth="1"/>
    <col min="14" max="14" width="14.28515625" bestFit="1" customWidth="1"/>
  </cols>
  <sheetData>
    <row r="1" spans="1:8" s="1" customFormat="1" ht="26.25" x14ac:dyDescent="0.4">
      <c r="A1" s="108" t="s">
        <v>84</v>
      </c>
      <c r="B1" s="108"/>
      <c r="C1" s="108"/>
      <c r="D1" s="108"/>
      <c r="E1" s="108"/>
      <c r="F1" s="108"/>
      <c r="G1" s="108"/>
      <c r="H1" s="3"/>
    </row>
    <row r="2" spans="1:8" s="1" customFormat="1" ht="15.75" thickBot="1" x14ac:dyDescent="0.3">
      <c r="A2" s="3"/>
      <c r="B2" s="3"/>
      <c r="C2" s="3"/>
      <c r="D2" s="3"/>
      <c r="E2" s="3"/>
      <c r="F2" s="3"/>
      <c r="G2" s="3"/>
      <c r="H2" s="3"/>
    </row>
    <row r="3" spans="1:8" s="2" customFormat="1" ht="19.5" thickBot="1" x14ac:dyDescent="0.35">
      <c r="A3" s="115" t="s">
        <v>21</v>
      </c>
      <c r="B3" s="116"/>
      <c r="C3" s="116"/>
      <c r="D3" s="116"/>
      <c r="E3" s="116"/>
      <c r="F3" s="116"/>
      <c r="G3" s="117"/>
    </row>
    <row r="4" spans="1:8" s="2" customFormat="1" ht="18.75" x14ac:dyDescent="0.3">
      <c r="A4" s="92"/>
      <c r="B4" s="92"/>
      <c r="C4" s="92"/>
      <c r="D4" s="92"/>
      <c r="E4" s="92"/>
      <c r="F4" s="92"/>
      <c r="G4" s="92"/>
    </row>
    <row r="5" spans="1:8" s="2" customFormat="1" ht="18.75" x14ac:dyDescent="0.3">
      <c r="A5" s="88" t="s">
        <v>78</v>
      </c>
      <c r="B5" s="85" t="s">
        <v>76</v>
      </c>
      <c r="C5" s="85"/>
      <c r="D5" s="86">
        <f>F28</f>
        <v>28990400</v>
      </c>
      <c r="E5" s="85"/>
      <c r="G5" s="92"/>
    </row>
    <row r="6" spans="1:8" s="2" customFormat="1" ht="18.75" x14ac:dyDescent="0.3">
      <c r="A6" s="85"/>
      <c r="B6" s="85" t="s">
        <v>82</v>
      </c>
      <c r="C6" s="85"/>
      <c r="D6" s="86">
        <v>-10000000</v>
      </c>
      <c r="E6" s="87">
        <v>43538</v>
      </c>
      <c r="G6" s="92"/>
    </row>
    <row r="7" spans="1:8" s="2" customFormat="1" ht="18.75" x14ac:dyDescent="0.3">
      <c r="A7" s="85"/>
      <c r="B7" s="89" t="s">
        <v>83</v>
      </c>
      <c r="C7" s="89"/>
      <c r="D7" s="90">
        <v>-4000000</v>
      </c>
      <c r="E7" s="91">
        <v>43798</v>
      </c>
      <c r="G7" s="92"/>
    </row>
    <row r="8" spans="1:8" s="2" customFormat="1" ht="18.75" x14ac:dyDescent="0.3">
      <c r="A8" s="38"/>
      <c r="B8" s="125" t="s">
        <v>77</v>
      </c>
      <c r="C8" s="125"/>
      <c r="D8" s="126">
        <f>SUM(D5:D7)</f>
        <v>14990400</v>
      </c>
      <c r="E8" s="38"/>
      <c r="G8" s="92"/>
    </row>
    <row r="9" spans="1:8" s="2" customFormat="1" ht="18.75" x14ac:dyDescent="0.3">
      <c r="A9" s="92"/>
      <c r="B9" s="93" t="s">
        <v>85</v>
      </c>
      <c r="C9" s="94"/>
      <c r="D9" s="95">
        <f>609059182.25-D6-D7</f>
        <v>623059182.25</v>
      </c>
      <c r="E9" s="92"/>
      <c r="F9" s="92"/>
      <c r="G9" s="92"/>
    </row>
    <row r="10" spans="1:8" s="2" customFormat="1" ht="18.75" hidden="1" x14ac:dyDescent="0.3">
      <c r="A10" s="92"/>
      <c r="B10" s="92"/>
      <c r="C10" s="92"/>
      <c r="D10" s="92"/>
      <c r="E10" s="92"/>
      <c r="F10" s="92"/>
      <c r="G10" s="92"/>
    </row>
    <row r="11" spans="1:8" s="2" customFormat="1" ht="18.75" hidden="1" x14ac:dyDescent="0.3">
      <c r="A11" s="92"/>
      <c r="B11" s="92"/>
      <c r="C11" s="92"/>
      <c r="D11" s="92"/>
      <c r="E11" s="92"/>
      <c r="F11" s="92"/>
      <c r="G11" s="92"/>
    </row>
    <row r="12" spans="1:8" s="2" customFormat="1" ht="18.75" hidden="1" x14ac:dyDescent="0.3">
      <c r="A12" s="92"/>
      <c r="B12" s="92"/>
      <c r="C12" s="92"/>
      <c r="D12" s="92"/>
      <c r="E12" s="92"/>
      <c r="F12" s="92"/>
      <c r="G12" s="92"/>
    </row>
    <row r="13" spans="1:8" s="2" customFormat="1" ht="18.75" hidden="1" x14ac:dyDescent="0.3">
      <c r="A13" s="92"/>
      <c r="B13" s="92"/>
      <c r="C13" s="92"/>
      <c r="D13" s="92"/>
      <c r="E13" s="92"/>
      <c r="F13" s="92"/>
      <c r="G13" s="92"/>
    </row>
    <row r="14" spans="1:8" s="2" customFormat="1" ht="18.75" hidden="1" x14ac:dyDescent="0.3">
      <c r="A14" s="92"/>
      <c r="B14" s="92"/>
      <c r="C14" s="92"/>
      <c r="D14" s="92"/>
      <c r="E14" s="92"/>
      <c r="F14" s="92"/>
      <c r="G14" s="92"/>
    </row>
    <row r="15" spans="1:8" s="2" customFormat="1" ht="18.75" hidden="1" x14ac:dyDescent="0.3">
      <c r="A15" s="92"/>
      <c r="B15" s="92"/>
      <c r="C15" s="92"/>
      <c r="D15" s="92"/>
      <c r="E15" s="92"/>
      <c r="F15" s="92"/>
      <c r="G15" s="92"/>
    </row>
    <row r="16" spans="1:8" s="2" customFormat="1" ht="18.75" hidden="1" x14ac:dyDescent="0.3">
      <c r="A16" s="92"/>
      <c r="B16" s="92"/>
      <c r="C16" s="92"/>
      <c r="D16" s="92"/>
      <c r="E16" s="92"/>
      <c r="F16" s="92"/>
      <c r="G16" s="92"/>
    </row>
    <row r="17" spans="1:8" s="2" customFormat="1" ht="9.75" hidden="1" customHeight="1" x14ac:dyDescent="0.3"/>
    <row r="18" spans="1:8" s="2" customFormat="1" ht="28.5" hidden="1" customHeight="1" x14ac:dyDescent="0.3">
      <c r="A18" s="18"/>
      <c r="B18" s="19"/>
      <c r="C18" s="11" t="s">
        <v>10</v>
      </c>
      <c r="D18" s="19"/>
      <c r="E18" s="21" t="s">
        <v>23</v>
      </c>
      <c r="F18" s="19"/>
      <c r="G18" s="20"/>
      <c r="H18" s="20"/>
    </row>
    <row r="19" spans="1:8" s="2" customFormat="1" ht="18" hidden="1" customHeight="1" x14ac:dyDescent="0.3">
      <c r="A19" s="9" t="s">
        <v>3</v>
      </c>
      <c r="B19" s="12">
        <v>211</v>
      </c>
      <c r="C19" s="13">
        <v>14000000</v>
      </c>
      <c r="D19" s="12" t="s">
        <v>0</v>
      </c>
      <c r="E19" s="13">
        <v>17268300</v>
      </c>
      <c r="F19" s="13">
        <f>E19-C19</f>
        <v>3268300</v>
      </c>
      <c r="G19" s="10"/>
      <c r="H19" s="7"/>
    </row>
    <row r="20" spans="1:8" s="2" customFormat="1" ht="18.75" hidden="1" customHeight="1" x14ac:dyDescent="0.3">
      <c r="A20" s="9" t="s">
        <v>4</v>
      </c>
      <c r="B20" s="12">
        <v>211</v>
      </c>
      <c r="C20" s="13">
        <v>6500000</v>
      </c>
      <c r="D20" s="12" t="s">
        <v>0</v>
      </c>
      <c r="E20" s="13">
        <v>7229423</v>
      </c>
      <c r="F20" s="13">
        <f t="shared" ref="F20:F21" si="0">E20-C20</f>
        <v>729423</v>
      </c>
      <c r="G20" s="10"/>
      <c r="H20" s="7"/>
    </row>
    <row r="21" spans="1:8" s="2" customFormat="1" ht="18.75" hidden="1" customHeight="1" x14ac:dyDescent="0.3">
      <c r="A21" s="9" t="s">
        <v>5</v>
      </c>
      <c r="B21" s="12">
        <v>211</v>
      </c>
      <c r="C21" s="13">
        <v>3000000</v>
      </c>
      <c r="D21" s="12" t="s">
        <v>0</v>
      </c>
      <c r="E21" s="13">
        <v>3562800</v>
      </c>
      <c r="F21" s="13">
        <f t="shared" si="0"/>
        <v>562800</v>
      </c>
      <c r="G21" s="10"/>
      <c r="H21" s="7"/>
    </row>
    <row r="22" spans="1:8" s="2" customFormat="1" ht="18.75" hidden="1" customHeight="1" x14ac:dyDescent="0.3">
      <c r="A22" s="9" t="s">
        <v>17</v>
      </c>
      <c r="B22" s="12">
        <v>211</v>
      </c>
      <c r="C22" s="13">
        <v>4500000</v>
      </c>
      <c r="D22" s="12"/>
      <c r="E22" s="13">
        <v>5959200</v>
      </c>
      <c r="F22" s="13">
        <f>E22-C22</f>
        <v>1459200</v>
      </c>
      <c r="G22" s="10"/>
      <c r="H22" s="10"/>
    </row>
    <row r="23" spans="1:8" s="2" customFormat="1" ht="18" hidden="1" customHeight="1" x14ac:dyDescent="0.3">
      <c r="A23" s="9" t="s">
        <v>18</v>
      </c>
      <c r="B23" s="12">
        <v>211</v>
      </c>
      <c r="C23" s="13"/>
      <c r="D23" s="12"/>
      <c r="E23" s="13"/>
      <c r="F23" s="13">
        <f>SUM(F19:F22)</f>
        <v>6019723</v>
      </c>
      <c r="G23" s="10"/>
      <c r="H23" s="10"/>
    </row>
    <row r="24" spans="1:8" s="2" customFormat="1" ht="18.75" hidden="1" customHeight="1" x14ac:dyDescent="0.3">
      <c r="A24" s="9" t="s">
        <v>1</v>
      </c>
      <c r="B24" s="12">
        <v>211</v>
      </c>
      <c r="C24" s="13">
        <v>147111876</v>
      </c>
      <c r="D24" s="12" t="s">
        <v>0</v>
      </c>
      <c r="E24" s="13">
        <v>159419738</v>
      </c>
      <c r="F24" s="13">
        <f>E24-C24-2600000</f>
        <v>9707862</v>
      </c>
      <c r="G24" s="24"/>
      <c r="H24" s="10"/>
    </row>
    <row r="25" spans="1:8" s="2" customFormat="1" ht="19.5" hidden="1" customHeight="1" x14ac:dyDescent="0.3">
      <c r="A25" s="9" t="s">
        <v>6</v>
      </c>
      <c r="B25" s="12">
        <v>211</v>
      </c>
      <c r="C25" s="13">
        <v>116000000</v>
      </c>
      <c r="D25" s="12" t="s">
        <v>7</v>
      </c>
      <c r="E25" s="13">
        <v>118508253</v>
      </c>
      <c r="F25" s="13">
        <f>E25-C25+2600000</f>
        <v>5108253</v>
      </c>
      <c r="G25" s="10" t="s">
        <v>11</v>
      </c>
      <c r="H25" s="7"/>
    </row>
    <row r="26" spans="1:8" s="2" customFormat="1" ht="19.5" hidden="1" customHeight="1" x14ac:dyDescent="0.3">
      <c r="A26" s="9" t="s">
        <v>12</v>
      </c>
      <c r="B26" s="12">
        <v>211</v>
      </c>
      <c r="C26" s="13">
        <v>280344912</v>
      </c>
      <c r="D26" s="12"/>
      <c r="E26" s="23" t="s">
        <v>19</v>
      </c>
      <c r="F26" s="13">
        <f>(250909612*5.6%)*1.092</f>
        <v>15343624.593023999</v>
      </c>
      <c r="G26" s="10" t="s">
        <v>20</v>
      </c>
      <c r="H26" s="7"/>
    </row>
    <row r="27" spans="1:8" s="2" customFormat="1" ht="18.75" hidden="1" customHeight="1" x14ac:dyDescent="0.3">
      <c r="A27" s="8" t="s">
        <v>36</v>
      </c>
      <c r="B27" s="14"/>
      <c r="C27" s="82"/>
      <c r="D27" s="14"/>
      <c r="E27" s="82"/>
      <c r="F27" s="28">
        <f>F23+F24+F25+8154562</f>
        <v>28990400</v>
      </c>
      <c r="G27" s="8"/>
      <c r="H27" s="8"/>
    </row>
    <row r="28" spans="1:8" s="2" customFormat="1" ht="17.25" hidden="1" customHeight="1" x14ac:dyDescent="0.3">
      <c r="A28" s="8"/>
      <c r="B28" s="14"/>
      <c r="C28" s="15"/>
      <c r="D28" s="109" t="s">
        <v>39</v>
      </c>
      <c r="E28" s="109"/>
      <c r="F28" s="31">
        <f>F27</f>
        <v>28990400</v>
      </c>
      <c r="G28" s="32" t="s">
        <v>40</v>
      </c>
      <c r="H28" s="8"/>
    </row>
    <row r="29" spans="1:8" s="38" customFormat="1" ht="18.75" hidden="1" x14ac:dyDescent="0.3">
      <c r="A29" s="39" t="s">
        <v>44</v>
      </c>
      <c r="B29" s="33"/>
      <c r="C29" s="34"/>
      <c r="D29" s="33"/>
      <c r="E29" s="35"/>
      <c r="F29" s="36"/>
      <c r="G29" s="37"/>
      <c r="H29" s="22"/>
    </row>
    <row r="30" spans="1:8" s="38" customFormat="1" ht="18.75" hidden="1" x14ac:dyDescent="0.3">
      <c r="A30" s="39" t="s">
        <v>41</v>
      </c>
      <c r="B30" s="33"/>
      <c r="C30" s="34"/>
      <c r="D30" s="33"/>
      <c r="E30" s="35"/>
      <c r="F30" s="36"/>
      <c r="G30" s="37"/>
      <c r="H30" s="22"/>
    </row>
    <row r="31" spans="1:8" s="38" customFormat="1" ht="18.75" hidden="1" x14ac:dyDescent="0.3">
      <c r="A31" s="39"/>
      <c r="B31" s="39" t="s">
        <v>42</v>
      </c>
      <c r="C31" s="34"/>
      <c r="D31" s="33"/>
      <c r="E31" s="35"/>
      <c r="F31" s="36"/>
      <c r="G31" s="37"/>
      <c r="H31" s="22"/>
    </row>
    <row r="32" spans="1:8" s="38" customFormat="1" ht="18.75" hidden="1" x14ac:dyDescent="0.3">
      <c r="A32" s="22"/>
      <c r="B32" s="39" t="s">
        <v>43</v>
      </c>
      <c r="C32" s="34"/>
      <c r="D32" s="33"/>
      <c r="E32" s="35"/>
      <c r="F32" s="36"/>
      <c r="G32" s="37"/>
      <c r="H32" s="22"/>
    </row>
    <row r="33" spans="1:21" s="38" customFormat="1" ht="18.75" hidden="1" x14ac:dyDescent="0.3">
      <c r="A33" s="22"/>
      <c r="B33" s="33"/>
      <c r="C33" s="34"/>
      <c r="D33" s="33"/>
      <c r="E33" s="35"/>
      <c r="F33" s="36"/>
      <c r="G33" s="37"/>
      <c r="H33" s="22"/>
    </row>
    <row r="34" spans="1:21" s="38" customFormat="1" ht="18.75" hidden="1" x14ac:dyDescent="0.3">
      <c r="A34" s="73" t="s">
        <v>45</v>
      </c>
      <c r="B34" s="74" t="s">
        <v>69</v>
      </c>
      <c r="C34" s="34"/>
      <c r="D34" s="33"/>
      <c r="E34" s="35"/>
      <c r="F34" s="36"/>
      <c r="G34" s="37"/>
      <c r="H34" s="22"/>
      <c r="M34" s="83"/>
    </row>
    <row r="35" spans="1:21" s="38" customFormat="1" ht="18.75" hidden="1" x14ac:dyDescent="0.3">
      <c r="A35" s="22"/>
      <c r="B35" s="22" t="s">
        <v>47</v>
      </c>
      <c r="C35" s="34"/>
      <c r="D35" s="33"/>
      <c r="E35" s="35"/>
      <c r="F35" s="36"/>
      <c r="G35" s="37"/>
      <c r="H35" s="22"/>
      <c r="M35" s="83"/>
    </row>
    <row r="36" spans="1:21" s="38" customFormat="1" ht="18.75" hidden="1" x14ac:dyDescent="0.3">
      <c r="A36" s="22"/>
      <c r="B36" s="40" t="s">
        <v>48</v>
      </c>
      <c r="C36" s="34"/>
      <c r="D36" s="33"/>
      <c r="E36" s="35"/>
      <c r="F36" s="36"/>
      <c r="G36" s="37"/>
      <c r="H36" s="22"/>
      <c r="M36" s="83"/>
    </row>
    <row r="37" spans="1:21" s="38" customFormat="1" ht="18.75" hidden="1" x14ac:dyDescent="0.3">
      <c r="A37" s="22"/>
      <c r="B37" s="39" t="s">
        <v>46</v>
      </c>
      <c r="C37" s="34"/>
      <c r="D37" s="33"/>
      <c r="E37" s="35"/>
      <c r="F37" s="36"/>
      <c r="G37" s="37"/>
      <c r="H37" s="22"/>
      <c r="O37" s="85"/>
      <c r="P37" s="85"/>
      <c r="Q37" s="85"/>
      <c r="R37" s="85"/>
      <c r="S37" s="85"/>
      <c r="T37" s="85"/>
      <c r="U37" s="85"/>
    </row>
    <row r="38" spans="1:21" s="38" customFormat="1" ht="18.75" hidden="1" x14ac:dyDescent="0.3">
      <c r="A38" s="22"/>
      <c r="B38" s="39" t="s">
        <v>66</v>
      </c>
      <c r="C38" s="34"/>
      <c r="D38" s="33"/>
      <c r="E38" s="35"/>
      <c r="F38" s="36"/>
      <c r="G38" s="37"/>
      <c r="H38" s="22"/>
      <c r="O38" s="85"/>
      <c r="P38" s="85"/>
      <c r="Q38" s="85"/>
      <c r="R38" s="85"/>
      <c r="S38" s="85"/>
      <c r="T38" s="85"/>
      <c r="U38" s="85"/>
    </row>
    <row r="39" spans="1:21" s="38" customFormat="1" ht="18.75" hidden="1" x14ac:dyDescent="0.3">
      <c r="A39" s="22"/>
      <c r="B39" s="42" t="s">
        <v>49</v>
      </c>
      <c r="C39" s="29"/>
      <c r="D39" s="43"/>
      <c r="E39" s="30"/>
      <c r="F39" s="36"/>
      <c r="G39" s="37"/>
      <c r="H39" s="22"/>
      <c r="O39" s="85" t="s">
        <v>81</v>
      </c>
      <c r="P39" s="85"/>
      <c r="Q39" s="85"/>
      <c r="R39" s="85"/>
      <c r="S39" s="85"/>
      <c r="T39" s="85"/>
      <c r="U39" s="85"/>
    </row>
    <row r="40" spans="1:21" s="38" customFormat="1" ht="18.75" hidden="1" x14ac:dyDescent="0.3">
      <c r="A40" s="22"/>
      <c r="B40" s="33"/>
      <c r="C40" s="34"/>
      <c r="D40" s="33"/>
      <c r="E40" s="35"/>
      <c r="F40" s="36"/>
      <c r="G40" s="37"/>
      <c r="H40" s="22"/>
    </row>
    <row r="41" spans="1:21" s="2" customFormat="1" ht="18.75" hidden="1" customHeight="1" x14ac:dyDescent="0.3">
      <c r="A41" s="9" t="s">
        <v>27</v>
      </c>
      <c r="B41" s="16">
        <v>573757200</v>
      </c>
      <c r="C41" s="15"/>
      <c r="D41" s="14"/>
      <c r="E41" s="15"/>
      <c r="F41" s="8"/>
      <c r="G41" s="8"/>
      <c r="H41" s="8"/>
      <c r="M41" s="84"/>
    </row>
    <row r="42" spans="1:21" s="77" customFormat="1" ht="12.75" hidden="1" x14ac:dyDescent="0.2">
      <c r="A42" s="75" t="s">
        <v>67</v>
      </c>
      <c r="B42" s="76">
        <v>609059182</v>
      </c>
    </row>
    <row r="43" spans="1:21" s="77" customFormat="1" ht="19.5" hidden="1" customHeight="1" x14ac:dyDescent="0.2">
      <c r="A43" s="75" t="s">
        <v>68</v>
      </c>
      <c r="B43" s="78">
        <f>B42-B41</f>
        <v>35301982</v>
      </c>
    </row>
    <row r="44" spans="1:21" s="4" customFormat="1" ht="13.5" customHeight="1" x14ac:dyDescent="0.25"/>
    <row r="45" spans="1:21" s="4" customFormat="1" ht="13.5" customHeight="1" thickBot="1" x14ac:dyDescent="0.3"/>
    <row r="46" spans="1:21" s="62" customFormat="1" ht="21.75" thickBot="1" x14ac:dyDescent="0.4">
      <c r="A46" s="112" t="s">
        <v>22</v>
      </c>
      <c r="B46" s="113"/>
      <c r="C46" s="113"/>
      <c r="D46" s="113"/>
      <c r="E46" s="113"/>
      <c r="F46" s="113"/>
      <c r="G46" s="114"/>
    </row>
    <row r="47" spans="1:21" s="62" customFormat="1" ht="21" x14ac:dyDescent="0.35">
      <c r="A47" s="70"/>
      <c r="B47" s="71"/>
    </row>
    <row r="48" spans="1:21" s="62" customFormat="1" ht="21" x14ac:dyDescent="0.35">
      <c r="A48" s="88" t="s">
        <v>79</v>
      </c>
      <c r="B48" s="85" t="s">
        <v>80</v>
      </c>
      <c r="C48" s="85"/>
      <c r="D48" s="86">
        <v>34000000</v>
      </c>
    </row>
    <row r="49" spans="1:14" s="62" customFormat="1" ht="21" x14ac:dyDescent="0.35">
      <c r="A49" s="85"/>
      <c r="B49" s="89" t="s">
        <v>82</v>
      </c>
      <c r="C49" s="89"/>
      <c r="D49" s="90">
        <v>-17224032</v>
      </c>
      <c r="E49" s="91">
        <v>43798</v>
      </c>
    </row>
    <row r="50" spans="1:14" s="62" customFormat="1" ht="21" x14ac:dyDescent="0.35">
      <c r="A50" s="85"/>
      <c r="B50" s="125" t="s">
        <v>77</v>
      </c>
      <c r="C50" s="125"/>
      <c r="D50" s="126">
        <f>SUM(D48:D49)</f>
        <v>16775968</v>
      </c>
      <c r="E50" s="4"/>
    </row>
    <row r="51" spans="1:14" s="62" customFormat="1" ht="21" x14ac:dyDescent="0.35">
      <c r="A51" s="70"/>
      <c r="B51" s="93" t="s">
        <v>85</v>
      </c>
      <c r="C51" s="94"/>
      <c r="D51" s="95">
        <f>667784380-D49</f>
        <v>685008412</v>
      </c>
    </row>
    <row r="52" spans="1:14" s="62" customFormat="1" ht="21" x14ac:dyDescent="0.35">
      <c r="A52" s="70"/>
      <c r="B52" s="71"/>
    </row>
    <row r="53" spans="1:14" s="62" customFormat="1" ht="21" hidden="1" x14ac:dyDescent="0.35">
      <c r="A53" s="70"/>
      <c r="B53" s="71"/>
    </row>
    <row r="54" spans="1:14" s="4" customFormat="1" ht="22.5" hidden="1" customHeight="1" x14ac:dyDescent="0.25">
      <c r="A54" s="9" t="s">
        <v>8</v>
      </c>
      <c r="B54" s="13" t="s">
        <v>15</v>
      </c>
      <c r="C54" s="16" t="s">
        <v>14</v>
      </c>
    </row>
    <row r="55" spans="1:14" s="47" customFormat="1" ht="20.25" hidden="1" customHeight="1" x14ac:dyDescent="0.25">
      <c r="A55" s="44" t="s">
        <v>9</v>
      </c>
      <c r="B55" s="45">
        <v>5000000</v>
      </c>
      <c r="C55" s="46">
        <v>4861000</v>
      </c>
      <c r="D55" s="47" t="s">
        <v>37</v>
      </c>
      <c r="E55" s="48">
        <v>114600</v>
      </c>
      <c r="F55" s="47" t="s">
        <v>38</v>
      </c>
      <c r="G55" s="48">
        <v>124200</v>
      </c>
    </row>
    <row r="56" spans="1:14" s="4" customFormat="1" ht="21" hidden="1" customHeight="1" x14ac:dyDescent="0.25">
      <c r="A56" s="9" t="s">
        <v>5</v>
      </c>
      <c r="B56" s="13">
        <v>3900000</v>
      </c>
      <c r="C56" s="16">
        <v>3562800</v>
      </c>
      <c r="D56" s="4" t="s">
        <v>70</v>
      </c>
      <c r="E56" s="79">
        <v>9</v>
      </c>
      <c r="F56" s="4">
        <v>6</v>
      </c>
      <c r="G56" s="67">
        <f>G55*F56</f>
        <v>745200</v>
      </c>
    </row>
    <row r="57" spans="1:14" s="4" customFormat="1" ht="19.5" hidden="1" customHeight="1" x14ac:dyDescent="0.25">
      <c r="A57" s="9" t="s">
        <v>50</v>
      </c>
      <c r="B57" s="13">
        <v>1200000</v>
      </c>
      <c r="C57" s="16">
        <f>593000*2</f>
        <v>1186000</v>
      </c>
      <c r="D57" s="4" t="s">
        <v>71</v>
      </c>
      <c r="E57" s="80">
        <v>28</v>
      </c>
    </row>
    <row r="58" spans="1:14" s="4" customFormat="1" ht="19.5" hidden="1" customHeight="1" x14ac:dyDescent="0.25">
      <c r="A58" s="9" t="s">
        <v>3</v>
      </c>
      <c r="B58" s="13">
        <v>17000000</v>
      </c>
      <c r="C58" s="16">
        <v>17643900</v>
      </c>
      <c r="E58" s="79">
        <f>(E57+E56)*E55</f>
        <v>4240200</v>
      </c>
      <c r="F58" s="4" t="s">
        <v>72</v>
      </c>
      <c r="G58" s="67">
        <f>E58+G56</f>
        <v>4985400</v>
      </c>
    </row>
    <row r="59" spans="1:14" s="4" customFormat="1" ht="19.5" hidden="1" customHeight="1" x14ac:dyDescent="0.3">
      <c r="A59" s="9" t="s">
        <v>4</v>
      </c>
      <c r="B59" s="13">
        <v>8000000</v>
      </c>
      <c r="C59" s="16">
        <v>8520563</v>
      </c>
      <c r="D59" s="81" t="s">
        <v>73</v>
      </c>
      <c r="E59" s="4" t="s">
        <v>74</v>
      </c>
      <c r="F59" s="4" t="s">
        <v>75</v>
      </c>
      <c r="J59" s="38"/>
      <c r="N59" s="38"/>
    </row>
    <row r="60" spans="1:14" s="4" customFormat="1" ht="21" hidden="1" customHeight="1" x14ac:dyDescent="0.25">
      <c r="A60" s="9" t="s">
        <v>13</v>
      </c>
      <c r="B60" s="13">
        <v>130000000</v>
      </c>
      <c r="C60" s="16">
        <v>136042424.15999991</v>
      </c>
      <c r="D60" s="4" t="s">
        <v>51</v>
      </c>
    </row>
    <row r="61" spans="1:14" s="4" customFormat="1" ht="19.5" hidden="1" customHeight="1" x14ac:dyDescent="0.25">
      <c r="A61" s="9" t="s">
        <v>52</v>
      </c>
      <c r="B61" s="13">
        <v>155675485</v>
      </c>
      <c r="C61" s="16">
        <v>168500000</v>
      </c>
      <c r="D61" s="4" t="s">
        <v>53</v>
      </c>
    </row>
    <row r="62" spans="1:14" s="4" customFormat="1" ht="19.5" hidden="1" customHeight="1" x14ac:dyDescent="0.25">
      <c r="A62" s="9"/>
      <c r="B62" s="13"/>
      <c r="C62" s="16"/>
    </row>
    <row r="63" spans="1:14" s="4" customFormat="1" ht="21.75" hidden="1" customHeight="1" x14ac:dyDescent="0.25">
      <c r="A63" s="9" t="s">
        <v>55</v>
      </c>
      <c r="B63" s="13">
        <v>305675043.5</v>
      </c>
      <c r="C63" s="16" t="s">
        <v>54</v>
      </c>
      <c r="D63" s="4" t="s">
        <v>56</v>
      </c>
    </row>
    <row r="64" spans="1:14" s="4" customFormat="1" hidden="1" x14ac:dyDescent="0.25"/>
    <row r="65" spans="1:6" s="57" customFormat="1" ht="18.75" hidden="1" customHeight="1" x14ac:dyDescent="0.25">
      <c r="A65" s="55" t="s">
        <v>16</v>
      </c>
      <c r="B65" s="56">
        <v>644596800</v>
      </c>
    </row>
    <row r="66" spans="1:6" s="57" customFormat="1" ht="19.5" hidden="1" customHeight="1" x14ac:dyDescent="0.25">
      <c r="A66" s="60" t="s">
        <v>28</v>
      </c>
      <c r="B66" s="61">
        <v>665000000</v>
      </c>
    </row>
    <row r="67" spans="1:6" s="4" customFormat="1" ht="19.5" hidden="1" customHeight="1" x14ac:dyDescent="0.25">
      <c r="A67" s="53" t="s">
        <v>60</v>
      </c>
      <c r="B67" s="54">
        <f>B66-B65</f>
        <v>20403200</v>
      </c>
    </row>
    <row r="68" spans="1:6" s="47" customFormat="1" ht="19.5" hidden="1" customHeight="1" x14ac:dyDescent="0.25">
      <c r="A68" s="58" t="s">
        <v>58</v>
      </c>
      <c r="B68" s="59">
        <f>C60-B60+C58-B58+C59-B59</f>
        <v>7206887.159999907</v>
      </c>
      <c r="C68" s="110" t="s">
        <v>59</v>
      </c>
      <c r="D68" s="111"/>
      <c r="E68" s="111"/>
      <c r="F68" s="111"/>
    </row>
    <row r="69" spans="1:6" s="52" customFormat="1" ht="19.5" hidden="1" customHeight="1" x14ac:dyDescent="0.25">
      <c r="A69" s="50" t="s">
        <v>57</v>
      </c>
      <c r="B69" s="51">
        <f>B67+B68</f>
        <v>27610087.159999907</v>
      </c>
      <c r="C69" s="110"/>
      <c r="D69" s="111"/>
      <c r="E69" s="111"/>
      <c r="F69" s="111"/>
    </row>
    <row r="70" spans="1:6" s="4" customFormat="1" hidden="1" x14ac:dyDescent="0.25">
      <c r="A70" s="22"/>
    </row>
    <row r="71" spans="1:6" s="57" customFormat="1" ht="15.75" hidden="1" x14ac:dyDescent="0.25">
      <c r="A71" s="41" t="s">
        <v>64</v>
      </c>
    </row>
    <row r="72" spans="1:6" s="63" customFormat="1" hidden="1" x14ac:dyDescent="0.25">
      <c r="A72" s="5" t="s">
        <v>30</v>
      </c>
      <c r="B72" s="64"/>
      <c r="C72" s="65"/>
      <c r="D72" s="65"/>
    </row>
    <row r="73" spans="1:6" s="4" customFormat="1" hidden="1" x14ac:dyDescent="0.25">
      <c r="A73" s="1">
        <v>2015</v>
      </c>
      <c r="B73" s="6">
        <v>28565</v>
      </c>
      <c r="C73" s="1"/>
      <c r="D73" s="1"/>
    </row>
    <row r="74" spans="1:6" s="4" customFormat="1" hidden="1" x14ac:dyDescent="0.25">
      <c r="A74">
        <v>2016</v>
      </c>
      <c r="B74" s="6">
        <v>30324</v>
      </c>
      <c r="C74"/>
      <c r="D74"/>
    </row>
    <row r="75" spans="1:6" s="4" customFormat="1" hidden="1" x14ac:dyDescent="0.25">
      <c r="A75" s="1">
        <v>2017</v>
      </c>
      <c r="B75" s="6">
        <v>30909</v>
      </c>
      <c r="C75" s="27">
        <f>B75/B73%</f>
        <v>108.20584631542098</v>
      </c>
      <c r="D75" s="1"/>
    </row>
    <row r="76" spans="1:6" s="4" customFormat="1" hidden="1" x14ac:dyDescent="0.25">
      <c r="A76" s="1">
        <v>2018</v>
      </c>
      <c r="B76" s="6">
        <v>31846</v>
      </c>
      <c r="C76" s="1"/>
      <c r="D76" s="1"/>
    </row>
    <row r="77" spans="1:6" s="4" customFormat="1" hidden="1" x14ac:dyDescent="0.25">
      <c r="A77" s="5" t="s">
        <v>31</v>
      </c>
      <c r="B77"/>
      <c r="C77"/>
      <c r="D77"/>
    </row>
    <row r="78" spans="1:6" s="4" customFormat="1" hidden="1" x14ac:dyDescent="0.25">
      <c r="A78" s="1">
        <v>2015</v>
      </c>
      <c r="B78" s="6">
        <v>5537</v>
      </c>
      <c r="C78"/>
      <c r="D78"/>
    </row>
    <row r="79" spans="1:6" s="4" customFormat="1" hidden="1" x14ac:dyDescent="0.25">
      <c r="A79" s="1">
        <v>2016</v>
      </c>
      <c r="B79" s="6">
        <v>5904</v>
      </c>
      <c r="C79"/>
      <c r="D79"/>
    </row>
    <row r="80" spans="1:6" s="4" customFormat="1" hidden="1" x14ac:dyDescent="0.25">
      <c r="A80" s="1">
        <v>2017</v>
      </c>
      <c r="B80" s="6">
        <v>6013</v>
      </c>
      <c r="C80" s="27">
        <f>B80/B78%</f>
        <v>108.59671302149179</v>
      </c>
      <c r="D80"/>
    </row>
    <row r="81" spans="1:7" s="4" customFormat="1" hidden="1" x14ac:dyDescent="0.25">
      <c r="A81" s="1">
        <v>2018</v>
      </c>
      <c r="B81" s="6">
        <v>6147</v>
      </c>
      <c r="C81"/>
      <c r="D81"/>
    </row>
    <row r="82" spans="1:7" s="4" customFormat="1" hidden="1" x14ac:dyDescent="0.25">
      <c r="A82" s="5" t="s">
        <v>32</v>
      </c>
      <c r="B82" s="1" t="s">
        <v>33</v>
      </c>
      <c r="C82"/>
      <c r="D82"/>
    </row>
    <row r="83" spans="1:7" s="4" customFormat="1" hidden="1" x14ac:dyDescent="0.25">
      <c r="A83"/>
      <c r="B83" s="6" t="s">
        <v>34</v>
      </c>
      <c r="C83" s="6"/>
      <c r="D83" s="6"/>
    </row>
    <row r="84" spans="1:7" s="4" customFormat="1" hidden="1" x14ac:dyDescent="0.25">
      <c r="A84"/>
      <c r="B84" s="1" t="s">
        <v>35</v>
      </c>
      <c r="C84"/>
      <c r="D84"/>
    </row>
    <row r="85" spans="1:7" s="4" customFormat="1" hidden="1" x14ac:dyDescent="0.25">
      <c r="A85" s="22"/>
    </row>
    <row r="86" spans="1:7" s="4" customFormat="1" hidden="1" x14ac:dyDescent="0.25">
      <c r="A86" s="49" t="s">
        <v>61</v>
      </c>
      <c r="B86" s="69" t="s">
        <v>62</v>
      </c>
      <c r="C86" s="69" t="s">
        <v>63</v>
      </c>
    </row>
    <row r="87" spans="1:7" s="4" customFormat="1" hidden="1" x14ac:dyDescent="0.25">
      <c r="A87" s="66">
        <v>2016</v>
      </c>
      <c r="B87" s="67">
        <v>6292</v>
      </c>
      <c r="C87" s="68">
        <v>8990.1494999999213</v>
      </c>
    </row>
    <row r="88" spans="1:7" s="4" customFormat="1" hidden="1" x14ac:dyDescent="0.25">
      <c r="A88" s="66">
        <v>2017</v>
      </c>
      <c r="B88" s="67">
        <v>6620</v>
      </c>
      <c r="C88" s="68">
        <v>9825.0653000001166</v>
      </c>
    </row>
    <row r="89" spans="1:7" s="4" customFormat="1" hidden="1" x14ac:dyDescent="0.25">
      <c r="A89" s="66">
        <v>2018</v>
      </c>
      <c r="B89" s="67">
        <v>6729</v>
      </c>
      <c r="C89" s="68">
        <v>10173.403300000158</v>
      </c>
    </row>
    <row r="90" spans="1:7" s="4" customFormat="1" hidden="1" x14ac:dyDescent="0.25">
      <c r="A90" s="22"/>
    </row>
    <row r="91" spans="1:7" s="4" customFormat="1" hidden="1" x14ac:dyDescent="0.25">
      <c r="A91" s="22"/>
    </row>
    <row r="92" spans="1:7" s="4" customFormat="1" hidden="1" x14ac:dyDescent="0.25">
      <c r="A92" s="22"/>
    </row>
    <row r="93" spans="1:7" s="4" customFormat="1" hidden="1" x14ac:dyDescent="0.25">
      <c r="A93" s="22"/>
    </row>
    <row r="94" spans="1:7" s="4" customFormat="1" ht="15.75" thickBot="1" x14ac:dyDescent="0.3">
      <c r="A94" s="22"/>
    </row>
    <row r="95" spans="1:7" s="4" customFormat="1" ht="21.75" thickBot="1" x14ac:dyDescent="0.4">
      <c r="A95" s="112" t="s">
        <v>86</v>
      </c>
      <c r="B95" s="113"/>
      <c r="C95" s="113"/>
      <c r="D95" s="113"/>
      <c r="E95" s="113"/>
      <c r="F95" s="113"/>
      <c r="G95" s="114"/>
    </row>
    <row r="96" spans="1:7" s="4" customFormat="1" x14ac:dyDescent="0.25">
      <c r="A96" s="22"/>
    </row>
    <row r="97" spans="1:7" s="4" customFormat="1" x14ac:dyDescent="0.25">
      <c r="A97"/>
      <c r="B97"/>
      <c r="C97"/>
      <c r="D97"/>
    </row>
    <row r="98" spans="1:7" s="4" customFormat="1" x14ac:dyDescent="0.25">
      <c r="A98" s="97" t="s">
        <v>8</v>
      </c>
      <c r="B98" s="98" t="s">
        <v>15</v>
      </c>
      <c r="C98" s="98" t="s">
        <v>14</v>
      </c>
      <c r="D98"/>
    </row>
    <row r="99" spans="1:7" s="4" customFormat="1" x14ac:dyDescent="0.25">
      <c r="A99" s="99" t="s">
        <v>9</v>
      </c>
      <c r="B99" s="100">
        <v>5500000</v>
      </c>
      <c r="C99" s="101">
        <v>5829617</v>
      </c>
      <c r="D99" t="s">
        <v>87</v>
      </c>
    </row>
    <row r="100" spans="1:7" s="4" customFormat="1" x14ac:dyDescent="0.25">
      <c r="A100" s="97" t="s">
        <v>5</v>
      </c>
      <c r="B100" s="98">
        <v>4500000</v>
      </c>
      <c r="C100" s="102">
        <f>5*646575</f>
        <v>3232875</v>
      </c>
      <c r="D100"/>
    </row>
    <row r="101" spans="1:7" s="4" customFormat="1" x14ac:dyDescent="0.25">
      <c r="A101" s="97" t="s">
        <v>50</v>
      </c>
      <c r="B101" s="98">
        <v>2400000</v>
      </c>
      <c r="C101" s="102">
        <f>2*593000</f>
        <v>1186000</v>
      </c>
      <c r="D101"/>
    </row>
    <row r="102" spans="1:7" s="4" customFormat="1" x14ac:dyDescent="0.25">
      <c r="A102" s="97" t="s">
        <v>13</v>
      </c>
      <c r="B102" s="98">
        <v>133000000</v>
      </c>
      <c r="C102" s="103">
        <v>146463795</v>
      </c>
      <c r="D102" s="6">
        <f>C102-B102</f>
        <v>13463795</v>
      </c>
    </row>
    <row r="103" spans="1:7" s="4" customFormat="1" x14ac:dyDescent="0.25">
      <c r="A103" s="97" t="s">
        <v>52</v>
      </c>
      <c r="B103" s="104">
        <v>168577751</v>
      </c>
      <c r="C103" s="103">
        <v>179471615</v>
      </c>
      <c r="D103" s="6">
        <f>C103-B103</f>
        <v>10893864</v>
      </c>
    </row>
    <row r="104" spans="1:7" s="4" customFormat="1" x14ac:dyDescent="0.25">
      <c r="A104" s="97" t="s">
        <v>55</v>
      </c>
      <c r="B104" s="104">
        <v>374933746</v>
      </c>
      <c r="C104" s="105">
        <v>415212147</v>
      </c>
      <c r="D104" s="96">
        <v>27967926.969999999</v>
      </c>
    </row>
    <row r="105" spans="1:7" s="4" customFormat="1" ht="18.75" x14ac:dyDescent="0.3">
      <c r="A105" s="22"/>
      <c r="D105" s="118">
        <f>SUM(D102:D104)+C99-B99</f>
        <v>52655202.969999999</v>
      </c>
    </row>
    <row r="106" spans="1:7" s="4" customFormat="1" ht="15.75" x14ac:dyDescent="0.25">
      <c r="A106" s="55" t="s">
        <v>16</v>
      </c>
      <c r="B106" s="56">
        <v>716772000</v>
      </c>
    </row>
    <row r="107" spans="1:7" s="4" customFormat="1" ht="15.75" x14ac:dyDescent="0.25">
      <c r="A107" s="60" t="s">
        <v>28</v>
      </c>
      <c r="B107" s="56">
        <v>728000000</v>
      </c>
    </row>
    <row r="108" spans="1:7" s="4" customFormat="1" ht="18.75" x14ac:dyDescent="0.3">
      <c r="A108" s="53" t="s">
        <v>99</v>
      </c>
      <c r="B108" s="54">
        <f>B107-B106</f>
        <v>11228000</v>
      </c>
      <c r="D108" s="120">
        <f>B108+D105</f>
        <v>63883202.969999999</v>
      </c>
      <c r="E108" s="119" t="s">
        <v>93</v>
      </c>
      <c r="F108" s="119"/>
      <c r="G108" s="119"/>
    </row>
    <row r="109" spans="1:7" s="4" customFormat="1" ht="15.75" hidden="1" x14ac:dyDescent="0.25">
      <c r="A109" s="58" t="s">
        <v>89</v>
      </c>
      <c r="B109" s="59"/>
    </row>
    <row r="110" spans="1:7" s="4" customFormat="1" ht="15.75" hidden="1" x14ac:dyDescent="0.25">
      <c r="A110" s="50" t="s">
        <v>90</v>
      </c>
      <c r="B110" s="51"/>
    </row>
    <row r="111" spans="1:7" s="4" customFormat="1" ht="15.75" hidden="1" x14ac:dyDescent="0.25">
      <c r="A111" s="123"/>
      <c r="B111" s="124"/>
    </row>
    <row r="112" spans="1:7" s="4" customFormat="1" ht="16.5" thickBot="1" x14ac:dyDescent="0.3">
      <c r="A112" s="106"/>
      <c r="B112" s="107"/>
    </row>
    <row r="113" spans="1:21" s="1" customFormat="1" ht="21.75" thickBot="1" x14ac:dyDescent="0.4">
      <c r="A113" s="127" t="s">
        <v>88</v>
      </c>
      <c r="B113" s="128"/>
      <c r="C113" s="128"/>
      <c r="D113" s="128"/>
      <c r="E113" s="128"/>
      <c r="F113" s="128"/>
      <c r="G113" s="129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1" customFormat="1" ht="18.75" x14ac:dyDescent="0.3">
      <c r="A114" s="2"/>
      <c r="B114" s="6"/>
    </row>
    <row r="115" spans="1:21" s="1" customFormat="1" ht="15.75" x14ac:dyDescent="0.25">
      <c r="A115" s="121" t="s">
        <v>97</v>
      </c>
      <c r="C115" s="6" t="s">
        <v>94</v>
      </c>
    </row>
    <row r="116" spans="1:21" s="1" customFormat="1" x14ac:dyDescent="0.25">
      <c r="A116" s="72" t="s">
        <v>65</v>
      </c>
      <c r="B116" s="6"/>
    </row>
    <row r="117" spans="1:21" s="1" customFormat="1" ht="18.75" x14ac:dyDescent="0.3">
      <c r="A117" s="2"/>
      <c r="B117" s="6"/>
    </row>
    <row r="118" spans="1:21" ht="15.75" x14ac:dyDescent="0.25">
      <c r="A118" s="122" t="s">
        <v>2</v>
      </c>
      <c r="B118" s="1" t="s">
        <v>101</v>
      </c>
      <c r="C118" s="1"/>
      <c r="D118" s="17"/>
      <c r="E118" s="17"/>
      <c r="G118" s="1"/>
    </row>
    <row r="119" spans="1:21" s="1" customFormat="1" ht="15.75" x14ac:dyDescent="0.25">
      <c r="A119" s="122" t="s">
        <v>5</v>
      </c>
      <c r="B119" s="1" t="s">
        <v>95</v>
      </c>
      <c r="D119" s="17"/>
      <c r="E119" s="17"/>
    </row>
    <row r="120" spans="1:21" s="1" customFormat="1" x14ac:dyDescent="0.25">
      <c r="A120" s="5"/>
      <c r="D120" s="17"/>
      <c r="E120" s="17"/>
    </row>
    <row r="121" spans="1:21" s="1" customFormat="1" ht="15.75" x14ac:dyDescent="0.25">
      <c r="A121" s="122" t="s">
        <v>29</v>
      </c>
      <c r="B121" s="1" t="s">
        <v>91</v>
      </c>
    </row>
    <row r="122" spans="1:21" s="1" customFormat="1" ht="15.75" x14ac:dyDescent="0.25">
      <c r="A122" s="122" t="s">
        <v>92</v>
      </c>
      <c r="B122" s="6">
        <v>6000000</v>
      </c>
    </row>
    <row r="123" spans="1:21" s="1" customFormat="1" x14ac:dyDescent="0.25">
      <c r="A123" s="5"/>
    </row>
    <row r="124" spans="1:21" s="1" customFormat="1" ht="15.75" x14ac:dyDescent="0.25">
      <c r="A124" s="122" t="s">
        <v>98</v>
      </c>
      <c r="B124" s="1" t="s">
        <v>24</v>
      </c>
      <c r="D124" s="26"/>
    </row>
    <row r="125" spans="1:21" x14ac:dyDescent="0.25">
      <c r="A125" s="26"/>
      <c r="B125" s="25" t="s">
        <v>25</v>
      </c>
      <c r="C125" s="1"/>
    </row>
    <row r="126" spans="1:21" ht="15.75" customHeight="1" x14ac:dyDescent="0.25">
      <c r="A126" s="26"/>
      <c r="B126" s="25" t="s">
        <v>26</v>
      </c>
      <c r="C126" s="1" t="s">
        <v>100</v>
      </c>
    </row>
    <row r="127" spans="1:21" x14ac:dyDescent="0.25">
      <c r="B127" s="1"/>
    </row>
    <row r="128" spans="1:21" ht="15.75" x14ac:dyDescent="0.25">
      <c r="A128" s="122" t="s">
        <v>102</v>
      </c>
      <c r="B128" s="1" t="s">
        <v>96</v>
      </c>
    </row>
    <row r="129" spans="2:5" x14ac:dyDescent="0.25">
      <c r="B129" s="1"/>
      <c r="E129" s="6"/>
    </row>
  </sheetData>
  <mergeCells count="7">
    <mergeCell ref="A1:G1"/>
    <mergeCell ref="A113:G113"/>
    <mergeCell ref="D28:E28"/>
    <mergeCell ref="C68:F69"/>
    <mergeCell ref="A46:G46"/>
    <mergeCell ref="A3:G3"/>
    <mergeCell ref="A95:G95"/>
  </mergeCells>
  <printOptions horizontalCentered="1"/>
  <pageMargins left="0.31496062992125984" right="3.937007874015748E-2" top="0.23622047244094491" bottom="0.15748031496062992" header="0.15748031496062992" footer="0"/>
  <pageSetup paperSize="9" scale="66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ZP MV 20.2.2020</vt:lpstr>
      <vt:lpstr>List2</vt:lpstr>
      <vt:lpstr>List3</vt:lpstr>
      <vt:lpstr>'ZP MV 20.2.2020'!Oblast_tisku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OINF</dc:creator>
  <cp:lastModifiedBy>Knápek Martin, Ing.</cp:lastModifiedBy>
  <cp:lastPrinted>2020-02-19T15:18:31Z</cp:lastPrinted>
  <dcterms:created xsi:type="dcterms:W3CDTF">2018-02-19T17:04:48Z</dcterms:created>
  <dcterms:modified xsi:type="dcterms:W3CDTF">2020-02-19T15:22:31Z</dcterms:modified>
</cp:coreProperties>
</file>