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 activeTab="1"/>
  </bookViews>
  <sheets>
    <sheet name="BP 2020 v.I dle HAZ - MAT." sheetId="1" r:id="rId1"/>
    <sheet name="BP 2020, SZM_HAZ" sheetId="6" r:id="rId2"/>
    <sheet name="BP 2020, Léky, ZM v.I-souhrn" sheetId="4" r:id="rId3"/>
    <sheet name="CL 2020 PLÁN - SOUHRN 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2" hidden="1">'BP 2020, Léky, ZM v.I-souhrn'!$D$6:$D$79</definedName>
    <definedName name="_xlnm._FilterDatabase" localSheetId="1" hidden="1">'BP 2020, SZM_HAZ'!$D$6:$D$79</definedName>
    <definedName name="_xlnm._FilterDatabase" localSheetId="3" hidden="1">'CL 2020 PLÁN - SOUHRN '!$W$6:$W$62</definedName>
    <definedName name="_palopasteviewcolwidth" localSheetId="0">14</definedName>
    <definedName name="_palopasteviewident" localSheetId="0">TRUE</definedName>
    <definedName name="_palopasteviewstyle" localSheetId="0">"Standard_Ice"</definedName>
    <definedName name="_palopasteviewzerosuppression" localSheetId="0">FALSE</definedName>
    <definedName name="_palopasteviewzerosuppressionalsocalculatednull" localSheetId="0">FALSE</definedName>
    <definedName name="_PO20143">'[1]301-KPR'!#REF!</definedName>
    <definedName name="aktRok">[2]nastavení!$D$16</definedName>
    <definedName name="AS2DocOpenMode" hidden="1">"AS2DocumentEdit"</definedName>
    <definedName name="AS2HasNoAutoHeaderFooter" hidden="1">" "</definedName>
    <definedName name="AV">'[1]301-KPR'!#REF!</definedName>
    <definedName name="AVA">'[1]301-KPR'!#REF!</definedName>
    <definedName name="ax">#REF!</definedName>
    <definedName name="ay">#REF!</definedName>
    <definedName name="CBU">'[1]301-KPR'!#REF!</definedName>
    <definedName name="cf" hidden="1">{#N/A,#N/A,FALSE,"Aging Summary";#N/A,#N/A,FALSE,"Ratio Analysis";#N/A,#N/A,FALSE,"Test 120 Day Accts";#N/A,#N/A,FALSE,"Tickmarks"}</definedName>
    <definedName name="CFrows">[3]Languages!$A$280:$E$319</definedName>
    <definedName name="Client2">#REF!</definedName>
    <definedName name="ClientID">#REF!</definedName>
    <definedName name="ClientID1">#REF!</definedName>
    <definedName name="ClientID2">#REF!</definedName>
    <definedName name="ClientIDI">#REF!</definedName>
    <definedName name="ClientN">#REF!</definedName>
    <definedName name="CSU">'[1]301-KPR'!#REF!</definedName>
    <definedName name="CUZK">'[1]301-KPR'!#REF!</definedName>
    <definedName name="_xlnm.Database">#REF!</definedName>
    <definedName name="Divider">#REF!</definedName>
    <definedName name="Excel_BuiltIn__FilterDatabase_2">#REF!</definedName>
    <definedName name="Excel_BuiltIn__FilterDatabase_2_1">#REF!</definedName>
    <definedName name="Excel_BuiltIn__FilterDatabase_9">#REF!</definedName>
    <definedName name="FNOL">'[1]301-KPR'!#REF!</definedName>
    <definedName name="GA">'[1]301-KPR'!#REF!</definedName>
    <definedName name="HeadDetCz">"Text 7"</definedName>
    <definedName name="HeadDetEn">"Text 8"</definedName>
    <definedName name="HeadingsCF">[4]Languages!$B$322:$D$334</definedName>
    <definedName name="HeadingsPL">[4]Languages!$B$238:$D$250</definedName>
    <definedName name="KPp">[2]nastavení!$B$45:$C$51</definedName>
    <definedName name="Lang">[4]MENU!$G$28</definedName>
    <definedName name="MARTINNN">#REF!</definedName>
    <definedName name="MDS">'[1]301-KPR'!#REF!</definedName>
    <definedName name="MK">'[1]301-KPR'!#REF!</definedName>
    <definedName name="MPO">'[1]301-KPR'!#REF!</definedName>
    <definedName name="MS">'[1]301-KPR'!#REF!</definedName>
    <definedName name="MSMT">'[1]301-KPR'!#REF!</definedName>
    <definedName name="MZdr">'[1]301-KPR'!#REF!</definedName>
    <definedName name="MZe">'[1]301-KPR'!#REF!</definedName>
    <definedName name="NKU">'[1]301-KPR'!#REF!</definedName>
    <definedName name="_xlnm.Print_Area" localSheetId="2">'BP 2020, Léky, ZM v.I-souhrn'!$D$1:$AH$80</definedName>
    <definedName name="_xlnm.Print_Area" localSheetId="1">'BP 2020, SZM_HAZ'!$D$5:$AJ$80</definedName>
    <definedName name="_xlnm.Print_Area" localSheetId="3">'CL 2020 PLÁN - SOUHRN '!$A$1:$U$166</definedName>
    <definedName name="procSankce">[2]nastavení!$C$21</definedName>
    <definedName name="Q">#REF!</definedName>
    <definedName name="refProcS">[2]nastavení!$E$19</definedName>
    <definedName name="refrok">[2]nastavení!$C$17</definedName>
    <definedName name="RRTV">'[1]301-KPR'!#REF!</definedName>
    <definedName name="SSHR">'[1]301-KPR'!#REF!</definedName>
    <definedName name="SUJB">'[1]301-KPR'!#REF!</definedName>
    <definedName name="TEST" hidden="1">{#N/A,#N/A,FALSE,"Aging Summary";#N/A,#N/A,FALSE,"Ratio Analysis";#N/A,#N/A,FALSE,"Test 120 Day Accts";#N/A,#N/A,FALSE,"Tickmarks"}</definedName>
    <definedName name="TESTII">#REF!</definedName>
    <definedName name="TESTIII">#REF!</definedName>
    <definedName name="TETS" hidden="1">{#N/A,#N/A,FALSE,"Aging Summary";#N/A,#N/A,FALSE,"Ratio Analysis";#N/A,#N/A,FALSE,"Test 120 Day Accts";#N/A,#N/A,FALSE,"Tickmarks"}</definedName>
    <definedName name="TextRefCopy1">#REF!</definedName>
    <definedName name="TextRefCopy2">#REF!</definedName>
    <definedName name="TextRefCopyRangeCount" hidden="1">1</definedName>
    <definedName name="tw" hidden="1">{#N/A,#N/A,FALSE,"Aging Summary";#N/A,#N/A,FALSE,"Ratio Analysis";#N/A,#N/A,FALSE,"Test 120 Day Accts";#N/A,#N/A,FALSE,"Tickmarks"}</definedName>
    <definedName name="UOHS">'[1]301-KPR'!#REF!</definedName>
    <definedName name="UPV">'[1]301-KPR'!#REF!</definedName>
    <definedName name="US">'[1]301-KPR'!#REF!</definedName>
    <definedName name="USIS">'[1]301-KPR'!#REF!</definedName>
    <definedName name="VVVV">#REF!</definedName>
    <definedName name="wrn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MESIC">[5]nastavení!$B$17</definedName>
    <definedName name="xxx">#REF!</definedName>
    <definedName name="Year">#REF!</definedName>
    <definedName name="YearEnd">#REF!</definedName>
    <definedName name="Years">#REF!</definedName>
    <definedName name="Years1">#REF!</definedName>
    <definedName name="ZAV">'[1]301-KPR'!#REF!</definedName>
    <definedName name="ZCBU">'[1]301-KPR'!#REF!</definedName>
    <definedName name="ZCSU">'[1]301-KPR'!#REF!</definedName>
    <definedName name="ZCUZK">'[1]301-KPR'!#REF!</definedName>
    <definedName name="ZGA">'[1]301-KPR'!#REF!</definedName>
    <definedName name="ZMDS">'[1]301-KPR'!#REF!</definedName>
    <definedName name="ZMK">'[1]301-KPR'!#REF!</definedName>
    <definedName name="ZMPO">'[1]301-KPR'!#REF!</definedName>
    <definedName name="ZMSMT">'[1]301-KPR'!#REF!</definedName>
    <definedName name="ZMZdr">'[1]301-KPR'!#REF!</definedName>
    <definedName name="ZMZe">'[1]301-KPR'!#REF!</definedName>
    <definedName name="ZNKU">'[1]301-KPR'!#REF!</definedName>
    <definedName name="ZP">[5]nastavení!$B$20:$B$30</definedName>
    <definedName name="ZRRTV">'[1]301-KPR'!#REF!</definedName>
    <definedName name="ZSSHR">'[1]301-KPR'!#REF!</definedName>
    <definedName name="ZSUJB">'[1]301-KPR'!#REF!</definedName>
    <definedName name="ZUOHS">'[1]301-KPR'!#REF!</definedName>
    <definedName name="ZUPV">'[1]301-KPR'!#REF!</definedName>
    <definedName name="ZUS">'[1]301-KPR'!#REF!</definedName>
    <definedName name="ZUSIS">'[1]301-KPR'!#REF!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8" i="6" l="1"/>
  <c r="AD34" i="6"/>
  <c r="AI80" i="6"/>
  <c r="AF81" i="6"/>
  <c r="AE81" i="6"/>
  <c r="AC81" i="6"/>
  <c r="Z81" i="6"/>
  <c r="Y81" i="6"/>
  <c r="W81" i="6"/>
  <c r="N81" i="6"/>
  <c r="M81" i="6"/>
  <c r="K81" i="6"/>
  <c r="H81" i="6"/>
  <c r="G81" i="6"/>
  <c r="E81" i="6"/>
  <c r="L80" i="6"/>
  <c r="AG79" i="6"/>
  <c r="AF79" i="6"/>
  <c r="AE79" i="6"/>
  <c r="AH79" i="6" s="1"/>
  <c r="AC79" i="6"/>
  <c r="AB79" i="6"/>
  <c r="Z79" i="6"/>
  <c r="AA79" i="6" s="1"/>
  <c r="Y79" i="6"/>
  <c r="W79" i="6"/>
  <c r="R79" i="6"/>
  <c r="Q79" i="6"/>
  <c r="N79" i="6"/>
  <c r="U79" i="6" s="1"/>
  <c r="M79" i="6"/>
  <c r="T79" i="6" s="1"/>
  <c r="K79" i="6"/>
  <c r="E79" i="6" s="1"/>
  <c r="AH78" i="6"/>
  <c r="AG78" i="6"/>
  <c r="AF78" i="6"/>
  <c r="AE78" i="6"/>
  <c r="AC78" i="6"/>
  <c r="Z78" i="6"/>
  <c r="AA78" i="6" s="1"/>
  <c r="Y78" i="6"/>
  <c r="AB78" i="6" s="1"/>
  <c r="W78" i="6"/>
  <c r="S78" i="6"/>
  <c r="Q78" i="6"/>
  <c r="O78" i="6"/>
  <c r="N78" i="6"/>
  <c r="U78" i="6" s="1"/>
  <c r="M78" i="6"/>
  <c r="R78" i="6" s="1"/>
  <c r="K78" i="6"/>
  <c r="H78" i="6"/>
  <c r="E78" i="6"/>
  <c r="AF77" i="6"/>
  <c r="AE77" i="6"/>
  <c r="AH77" i="6" s="1"/>
  <c r="AC77" i="6"/>
  <c r="Z77" i="6"/>
  <c r="AA77" i="6" s="1"/>
  <c r="Y77" i="6"/>
  <c r="AB77" i="6" s="1"/>
  <c r="W77" i="6"/>
  <c r="T77" i="6"/>
  <c r="S77" i="6"/>
  <c r="R77" i="6"/>
  <c r="Q77" i="6"/>
  <c r="P77" i="6"/>
  <c r="N77" i="6"/>
  <c r="O77" i="6" s="1"/>
  <c r="M77" i="6"/>
  <c r="K77" i="6"/>
  <c r="E77" i="6" s="1"/>
  <c r="G77" i="6"/>
  <c r="J77" i="6" s="1"/>
  <c r="AF76" i="6"/>
  <c r="AG76" i="6" s="1"/>
  <c r="AE76" i="6"/>
  <c r="AH76" i="6" s="1"/>
  <c r="AC76" i="6"/>
  <c r="AA76" i="6"/>
  <c r="Z76" i="6"/>
  <c r="Y76" i="6"/>
  <c r="AB76" i="6" s="1"/>
  <c r="W76" i="6"/>
  <c r="U76" i="6"/>
  <c r="Q76" i="6"/>
  <c r="N76" i="6"/>
  <c r="M76" i="6"/>
  <c r="T76" i="6" s="1"/>
  <c r="K76" i="6"/>
  <c r="E76" i="6" s="1"/>
  <c r="H76" i="6"/>
  <c r="AG75" i="6"/>
  <c r="AF75" i="6"/>
  <c r="AE75" i="6"/>
  <c r="AH75" i="6" s="1"/>
  <c r="AD75" i="6"/>
  <c r="AC75" i="6"/>
  <c r="Z75" i="6"/>
  <c r="Y75" i="6"/>
  <c r="AB75" i="6" s="1"/>
  <c r="W75" i="6"/>
  <c r="S75" i="6"/>
  <c r="Q75" i="6"/>
  <c r="O75" i="6"/>
  <c r="N75" i="6"/>
  <c r="U75" i="6" s="1"/>
  <c r="M75" i="6"/>
  <c r="R75" i="6" s="1"/>
  <c r="K75" i="6"/>
  <c r="E75" i="6"/>
  <c r="AF74" i="6"/>
  <c r="AE74" i="6"/>
  <c r="AH74" i="6" s="1"/>
  <c r="AC74" i="6"/>
  <c r="Z74" i="6"/>
  <c r="AA74" i="6" s="1"/>
  <c r="Y74" i="6"/>
  <c r="AB74" i="6" s="1"/>
  <c r="W74" i="6"/>
  <c r="T74" i="6"/>
  <c r="S74" i="6"/>
  <c r="R74" i="6"/>
  <c r="Q74" i="6"/>
  <c r="P74" i="6"/>
  <c r="N74" i="6"/>
  <c r="O74" i="6" s="1"/>
  <c r="M74" i="6"/>
  <c r="K74" i="6"/>
  <c r="E74" i="6" s="1"/>
  <c r="G74" i="6"/>
  <c r="J74" i="6" s="1"/>
  <c r="AF73" i="6"/>
  <c r="AG73" i="6" s="1"/>
  <c r="AE73" i="6"/>
  <c r="AH73" i="6" s="1"/>
  <c r="AC73" i="6"/>
  <c r="AA73" i="6"/>
  <c r="Z73" i="6"/>
  <c r="Y73" i="6"/>
  <c r="AB73" i="6" s="1"/>
  <c r="W73" i="6"/>
  <c r="U73" i="6"/>
  <c r="Q73" i="6"/>
  <c r="N73" i="6"/>
  <c r="M73" i="6"/>
  <c r="T73" i="6" s="1"/>
  <c r="K73" i="6"/>
  <c r="E73" i="6" s="1"/>
  <c r="H73" i="6"/>
  <c r="AG72" i="6"/>
  <c r="AF72" i="6"/>
  <c r="AE72" i="6"/>
  <c r="AH72" i="6" s="1"/>
  <c r="AC72" i="6"/>
  <c r="AB72" i="6"/>
  <c r="Z72" i="6"/>
  <c r="AA72" i="6" s="1"/>
  <c r="Y72" i="6"/>
  <c r="W72" i="6"/>
  <c r="E72" i="6" s="1"/>
  <c r="R72" i="6"/>
  <c r="Q72" i="6"/>
  <c r="N72" i="6"/>
  <c r="U72" i="6" s="1"/>
  <c r="M72" i="6"/>
  <c r="T72" i="6" s="1"/>
  <c r="K72" i="6"/>
  <c r="J72" i="6"/>
  <c r="AG71" i="6"/>
  <c r="AF71" i="6"/>
  <c r="AE71" i="6"/>
  <c r="AH71" i="6" s="1"/>
  <c r="AC71" i="6"/>
  <c r="AB71" i="6"/>
  <c r="AA71" i="6"/>
  <c r="Z71" i="6"/>
  <c r="Y71" i="6"/>
  <c r="W71" i="6"/>
  <c r="R71" i="6"/>
  <c r="Q71" i="6"/>
  <c r="N71" i="6"/>
  <c r="U71" i="6" s="1"/>
  <c r="M71" i="6"/>
  <c r="T71" i="6" s="1"/>
  <c r="K71" i="6"/>
  <c r="E71" i="6" s="1"/>
  <c r="AH70" i="6"/>
  <c r="AG70" i="6"/>
  <c r="AF70" i="6"/>
  <c r="AE70" i="6"/>
  <c r="AC70" i="6"/>
  <c r="Z70" i="6"/>
  <c r="Y70" i="6"/>
  <c r="AB70" i="6" s="1"/>
  <c r="W70" i="6"/>
  <c r="S70" i="6"/>
  <c r="R70" i="6"/>
  <c r="Q70" i="6"/>
  <c r="O70" i="6"/>
  <c r="N70" i="6"/>
  <c r="U70" i="6" s="1"/>
  <c r="M70" i="6"/>
  <c r="T70" i="6" s="1"/>
  <c r="K70" i="6"/>
  <c r="E70" i="6"/>
  <c r="AF69" i="6"/>
  <c r="AE69" i="6"/>
  <c r="AH69" i="6" s="1"/>
  <c r="AC69" i="6"/>
  <c r="Z69" i="6"/>
  <c r="AA69" i="6" s="1"/>
  <c r="Y69" i="6"/>
  <c r="AB69" i="6" s="1"/>
  <c r="W69" i="6"/>
  <c r="T69" i="6"/>
  <c r="S69" i="6"/>
  <c r="R69" i="6"/>
  <c r="Q69" i="6"/>
  <c r="P69" i="6"/>
  <c r="O69" i="6"/>
  <c r="N69" i="6"/>
  <c r="U69" i="6" s="1"/>
  <c r="M69" i="6"/>
  <c r="K69" i="6"/>
  <c r="E69" i="6" s="1"/>
  <c r="G69" i="6"/>
  <c r="J69" i="6" s="1"/>
  <c r="AF68" i="6"/>
  <c r="AG68" i="6" s="1"/>
  <c r="AE68" i="6"/>
  <c r="AH68" i="6" s="1"/>
  <c r="AC68" i="6"/>
  <c r="AA68" i="6"/>
  <c r="Z68" i="6"/>
  <c r="Y68" i="6"/>
  <c r="AB68" i="6" s="1"/>
  <c r="W68" i="6"/>
  <c r="U68" i="6"/>
  <c r="Q68" i="6"/>
  <c r="N68" i="6"/>
  <c r="M68" i="6"/>
  <c r="K68" i="6"/>
  <c r="E68" i="6" s="1"/>
  <c r="H68" i="6"/>
  <c r="AG67" i="6"/>
  <c r="AF67" i="6"/>
  <c r="AE67" i="6"/>
  <c r="AH67" i="6" s="1"/>
  <c r="AC67" i="6"/>
  <c r="AB67" i="6"/>
  <c r="AA67" i="6"/>
  <c r="Z67" i="6"/>
  <c r="Y67" i="6"/>
  <c r="W67" i="6"/>
  <c r="R67" i="6"/>
  <c r="Q67" i="6"/>
  <c r="N67" i="6"/>
  <c r="M67" i="6"/>
  <c r="T67" i="6" s="1"/>
  <c r="K67" i="6"/>
  <c r="AH66" i="6"/>
  <c r="AG66" i="6"/>
  <c r="AF66" i="6"/>
  <c r="AE66" i="6"/>
  <c r="AC66" i="6"/>
  <c r="Z66" i="6"/>
  <c r="Y66" i="6"/>
  <c r="W66" i="6"/>
  <c r="S66" i="6"/>
  <c r="R66" i="6"/>
  <c r="Q66" i="6"/>
  <c r="O66" i="6"/>
  <c r="N66" i="6"/>
  <c r="U66" i="6" s="1"/>
  <c r="M66" i="6"/>
  <c r="T66" i="6" s="1"/>
  <c r="K66" i="6"/>
  <c r="E66" i="6"/>
  <c r="AH65" i="6"/>
  <c r="AG65" i="6"/>
  <c r="AF65" i="6"/>
  <c r="AC65" i="6"/>
  <c r="AB65" i="6"/>
  <c r="AA65" i="6"/>
  <c r="Z65" i="6"/>
  <c r="W65" i="6"/>
  <c r="T65" i="6"/>
  <c r="S65" i="6"/>
  <c r="R65" i="6"/>
  <c r="Q65" i="6"/>
  <c r="P65" i="6"/>
  <c r="N65" i="6"/>
  <c r="K65" i="6"/>
  <c r="J65" i="6"/>
  <c r="AF64" i="6"/>
  <c r="AE64" i="6"/>
  <c r="AC64" i="6"/>
  <c r="Z64" i="6"/>
  <c r="AA64" i="6" s="1"/>
  <c r="Y64" i="6"/>
  <c r="AB64" i="6" s="1"/>
  <c r="W64" i="6"/>
  <c r="T64" i="6"/>
  <c r="S64" i="6"/>
  <c r="Q64" i="6"/>
  <c r="P64" i="6"/>
  <c r="O64" i="6"/>
  <c r="N64" i="6"/>
  <c r="U64" i="6" s="1"/>
  <c r="M64" i="6"/>
  <c r="R64" i="6" s="1"/>
  <c r="K64" i="6"/>
  <c r="E64" i="6" s="1"/>
  <c r="G64" i="6"/>
  <c r="J64" i="6" s="1"/>
  <c r="AE63" i="6"/>
  <c r="AC63" i="6"/>
  <c r="Z63" i="6"/>
  <c r="Y63" i="6"/>
  <c r="AB63" i="6" s="1"/>
  <c r="W63" i="6"/>
  <c r="T63" i="6"/>
  <c r="S63" i="6"/>
  <c r="Q63" i="6"/>
  <c r="P63" i="6"/>
  <c r="O63" i="6"/>
  <c r="N63" i="6"/>
  <c r="U63" i="6" s="1"/>
  <c r="M63" i="6"/>
  <c r="R63" i="6" s="1"/>
  <c r="K63" i="6"/>
  <c r="E63" i="6" s="1"/>
  <c r="G63" i="6"/>
  <c r="J63" i="6" s="1"/>
  <c r="AF62" i="6"/>
  <c r="AG62" i="6" s="1"/>
  <c r="AE62" i="6"/>
  <c r="AC62" i="6"/>
  <c r="AA62" i="6"/>
  <c r="Z62" i="6"/>
  <c r="Y62" i="6"/>
  <c r="AB62" i="6" s="1"/>
  <c r="W62" i="6"/>
  <c r="U62" i="6"/>
  <c r="Q62" i="6"/>
  <c r="N62" i="6"/>
  <c r="O62" i="6" s="1"/>
  <c r="M62" i="6"/>
  <c r="K62" i="6"/>
  <c r="E62" i="6" s="1"/>
  <c r="H62" i="6"/>
  <c r="AH61" i="6"/>
  <c r="AG61" i="6"/>
  <c r="AF61" i="6"/>
  <c r="AE61" i="6"/>
  <c r="AC61" i="6"/>
  <c r="AB61" i="6"/>
  <c r="AA61" i="6"/>
  <c r="Z61" i="6"/>
  <c r="Y61" i="6"/>
  <c r="W61" i="6"/>
  <c r="R61" i="6"/>
  <c r="Q61" i="6"/>
  <c r="N61" i="6"/>
  <c r="M61" i="6"/>
  <c r="T61" i="6" s="1"/>
  <c r="K61" i="6"/>
  <c r="AH60" i="6"/>
  <c r="AG60" i="6"/>
  <c r="AF60" i="6"/>
  <c r="AE60" i="6"/>
  <c r="AC60" i="6"/>
  <c r="Z60" i="6"/>
  <c r="AA60" i="6" s="1"/>
  <c r="Y60" i="6"/>
  <c r="AB60" i="6" s="1"/>
  <c r="W60" i="6"/>
  <c r="S60" i="6"/>
  <c r="R60" i="6"/>
  <c r="Q60" i="6"/>
  <c r="O60" i="6"/>
  <c r="N60" i="6"/>
  <c r="U60" i="6" s="1"/>
  <c r="M60" i="6"/>
  <c r="T60" i="6" s="1"/>
  <c r="K60" i="6"/>
  <c r="E60" i="6"/>
  <c r="AH59" i="6"/>
  <c r="AG59" i="6"/>
  <c r="AF59" i="6"/>
  <c r="AC59" i="6"/>
  <c r="Z59" i="6"/>
  <c r="AA59" i="6" s="1"/>
  <c r="Y59" i="6"/>
  <c r="AB59" i="6" s="1"/>
  <c r="W59" i="6"/>
  <c r="S59" i="6"/>
  <c r="R59" i="6"/>
  <c r="Q59" i="6"/>
  <c r="O59" i="6"/>
  <c r="N59" i="6"/>
  <c r="U59" i="6" s="1"/>
  <c r="M59" i="6"/>
  <c r="T59" i="6" s="1"/>
  <c r="K59" i="6"/>
  <c r="G59" i="6"/>
  <c r="E59" i="6"/>
  <c r="AH58" i="6"/>
  <c r="AG58" i="6"/>
  <c r="AF58" i="6"/>
  <c r="AC58" i="6"/>
  <c r="Z58" i="6"/>
  <c r="Y58" i="6"/>
  <c r="AB58" i="6" s="1"/>
  <c r="W58" i="6"/>
  <c r="S58" i="6"/>
  <c r="R58" i="6"/>
  <c r="Q58" i="6"/>
  <c r="O58" i="6"/>
  <c r="N58" i="6"/>
  <c r="U58" i="6" s="1"/>
  <c r="M58" i="6"/>
  <c r="T58" i="6" s="1"/>
  <c r="K58" i="6"/>
  <c r="G58" i="6"/>
  <c r="E58" i="6"/>
  <c r="AH57" i="6"/>
  <c r="AG57" i="6"/>
  <c r="AF57" i="6"/>
  <c r="AC57" i="6"/>
  <c r="AB57" i="6"/>
  <c r="Z57" i="6"/>
  <c r="AA57" i="6" s="1"/>
  <c r="Y57" i="6"/>
  <c r="W57" i="6"/>
  <c r="E57" i="6" s="1"/>
  <c r="S57" i="6"/>
  <c r="Q57" i="6"/>
  <c r="O57" i="6"/>
  <c r="N57" i="6"/>
  <c r="U57" i="6" s="1"/>
  <c r="M57" i="6"/>
  <c r="K57" i="6"/>
  <c r="J57" i="6"/>
  <c r="AG56" i="6"/>
  <c r="AF56" i="6"/>
  <c r="AH56" i="6" s="1"/>
  <c r="AC56" i="6"/>
  <c r="AA56" i="6"/>
  <c r="Z56" i="6"/>
  <c r="Y56" i="6"/>
  <c r="AB56" i="6" s="1"/>
  <c r="W56" i="6"/>
  <c r="U56" i="6"/>
  <c r="Q56" i="6"/>
  <c r="N56" i="6"/>
  <c r="M56" i="6"/>
  <c r="T56" i="6" s="1"/>
  <c r="K56" i="6"/>
  <c r="H56" i="6"/>
  <c r="J56" i="6" s="1"/>
  <c r="E56" i="6"/>
  <c r="AF55" i="6"/>
  <c r="AH55" i="6" s="1"/>
  <c r="AC55" i="6"/>
  <c r="Z55" i="6"/>
  <c r="AA55" i="6" s="1"/>
  <c r="Y55" i="6"/>
  <c r="AB55" i="6" s="1"/>
  <c r="W55" i="6"/>
  <c r="T55" i="6"/>
  <c r="S55" i="6"/>
  <c r="Q55" i="6"/>
  <c r="P55" i="6"/>
  <c r="O55" i="6"/>
  <c r="N55" i="6"/>
  <c r="U55" i="6" s="1"/>
  <c r="M55" i="6"/>
  <c r="R55" i="6" s="1"/>
  <c r="K55" i="6"/>
  <c r="J55" i="6"/>
  <c r="E55" i="6"/>
  <c r="AF54" i="6"/>
  <c r="AG54" i="6" s="1"/>
  <c r="AE54" i="6"/>
  <c r="AH54" i="6" s="1"/>
  <c r="AC54" i="6"/>
  <c r="Z54" i="6"/>
  <c r="AA54" i="6" s="1"/>
  <c r="Y54" i="6"/>
  <c r="AB54" i="6" s="1"/>
  <c r="W54" i="6"/>
  <c r="T54" i="6"/>
  <c r="S54" i="6"/>
  <c r="Q54" i="6"/>
  <c r="P54" i="6"/>
  <c r="O54" i="6"/>
  <c r="N54" i="6"/>
  <c r="U54" i="6" s="1"/>
  <c r="M54" i="6"/>
  <c r="R54" i="6" s="1"/>
  <c r="K54" i="6"/>
  <c r="J54" i="6"/>
  <c r="E54" i="6"/>
  <c r="AF53" i="6"/>
  <c r="AG53" i="6" s="1"/>
  <c r="AE53" i="6"/>
  <c r="AH53" i="6" s="1"/>
  <c r="AC53" i="6"/>
  <c r="Z53" i="6"/>
  <c r="AA53" i="6" s="1"/>
  <c r="Y53" i="6"/>
  <c r="AB53" i="6" s="1"/>
  <c r="W53" i="6"/>
  <c r="T53" i="6"/>
  <c r="Q53" i="6"/>
  <c r="P53" i="6"/>
  <c r="N53" i="6"/>
  <c r="U53" i="6" s="1"/>
  <c r="M53" i="6"/>
  <c r="S53" i="6" s="1"/>
  <c r="K53" i="6"/>
  <c r="J53" i="6"/>
  <c r="E53" i="6"/>
  <c r="AF52" i="6"/>
  <c r="AG52" i="6" s="1"/>
  <c r="AE52" i="6"/>
  <c r="AH52" i="6" s="1"/>
  <c r="AC52" i="6"/>
  <c r="Z52" i="6"/>
  <c r="AA52" i="6" s="1"/>
  <c r="Y52" i="6"/>
  <c r="AB52" i="6" s="1"/>
  <c r="W52" i="6"/>
  <c r="U52" i="6"/>
  <c r="T52" i="6"/>
  <c r="Q52" i="6"/>
  <c r="P52" i="6"/>
  <c r="N52" i="6"/>
  <c r="M52" i="6"/>
  <c r="S52" i="6" s="1"/>
  <c r="K52" i="6"/>
  <c r="E52" i="6" s="1"/>
  <c r="G52" i="6"/>
  <c r="AF51" i="6"/>
  <c r="AG51" i="6" s="1"/>
  <c r="AE51" i="6"/>
  <c r="AH51" i="6" s="1"/>
  <c r="AC51" i="6"/>
  <c r="AB51" i="6"/>
  <c r="AA51" i="6"/>
  <c r="Z51" i="6"/>
  <c r="Y51" i="6"/>
  <c r="W51" i="6"/>
  <c r="E51" i="6" s="1"/>
  <c r="U51" i="6"/>
  <c r="Q51" i="6"/>
  <c r="N51" i="6"/>
  <c r="O51" i="6" s="1"/>
  <c r="M51" i="6"/>
  <c r="T51" i="6" s="1"/>
  <c r="K51" i="6"/>
  <c r="H51" i="6"/>
  <c r="J51" i="6" s="1"/>
  <c r="AF50" i="6"/>
  <c r="AG50" i="6" s="1"/>
  <c r="AE50" i="6"/>
  <c r="AH50" i="6" s="1"/>
  <c r="AC50" i="6"/>
  <c r="AB50" i="6"/>
  <c r="AA50" i="6"/>
  <c r="Z50" i="6"/>
  <c r="Y50" i="6"/>
  <c r="W50" i="6"/>
  <c r="U50" i="6"/>
  <c r="Q50" i="6"/>
  <c r="N50" i="6"/>
  <c r="O50" i="6" s="1"/>
  <c r="M50" i="6"/>
  <c r="T50" i="6" s="1"/>
  <c r="K50" i="6"/>
  <c r="E50" i="6" s="1"/>
  <c r="H50" i="6"/>
  <c r="I50" i="6" s="1"/>
  <c r="G50" i="6"/>
  <c r="J50" i="6" s="1"/>
  <c r="AH49" i="6"/>
  <c r="AG49" i="6"/>
  <c r="AF49" i="6"/>
  <c r="AC49" i="6"/>
  <c r="AB49" i="6"/>
  <c r="AA49" i="6"/>
  <c r="Z49" i="6"/>
  <c r="Y49" i="6"/>
  <c r="W49" i="6"/>
  <c r="E49" i="6" s="1"/>
  <c r="U49" i="6"/>
  <c r="Q49" i="6"/>
  <c r="N49" i="6"/>
  <c r="O49" i="6" s="1"/>
  <c r="M49" i="6"/>
  <c r="T49" i="6" s="1"/>
  <c r="K49" i="6"/>
  <c r="J49" i="6"/>
  <c r="H49" i="6"/>
  <c r="I49" i="6" s="1"/>
  <c r="AF48" i="6"/>
  <c r="AG48" i="6" s="1"/>
  <c r="AE48" i="6"/>
  <c r="AH48" i="6" s="1"/>
  <c r="AC48" i="6"/>
  <c r="AB48" i="6"/>
  <c r="AA48" i="6"/>
  <c r="Z48" i="6"/>
  <c r="Y48" i="6"/>
  <c r="W48" i="6"/>
  <c r="U48" i="6"/>
  <c r="Q48" i="6"/>
  <c r="N48" i="6"/>
  <c r="O48" i="6" s="1"/>
  <c r="M48" i="6"/>
  <c r="T48" i="6" s="1"/>
  <c r="K48" i="6"/>
  <c r="J48" i="6"/>
  <c r="H48" i="6"/>
  <c r="I48" i="6" s="1"/>
  <c r="E48" i="6"/>
  <c r="AF47" i="6"/>
  <c r="AH47" i="6" s="1"/>
  <c r="AC47" i="6"/>
  <c r="Z47" i="6"/>
  <c r="AA47" i="6" s="1"/>
  <c r="Y47" i="6"/>
  <c r="AB47" i="6" s="1"/>
  <c r="W47" i="6"/>
  <c r="U47" i="6"/>
  <c r="T47" i="6"/>
  <c r="Q47" i="6"/>
  <c r="P47" i="6"/>
  <c r="N47" i="6"/>
  <c r="M47" i="6"/>
  <c r="S47" i="6" s="1"/>
  <c r="K47" i="6"/>
  <c r="E47" i="6" s="1"/>
  <c r="G47" i="6"/>
  <c r="AF46" i="6"/>
  <c r="AG46" i="6" s="1"/>
  <c r="AE46" i="6"/>
  <c r="AH46" i="6" s="1"/>
  <c r="AC46" i="6"/>
  <c r="AB46" i="6"/>
  <c r="AA46" i="6"/>
  <c r="Z46" i="6"/>
  <c r="Y46" i="6"/>
  <c r="W46" i="6"/>
  <c r="U46" i="6"/>
  <c r="Q46" i="6"/>
  <c r="N46" i="6"/>
  <c r="O46" i="6" s="1"/>
  <c r="M46" i="6"/>
  <c r="T46" i="6" s="1"/>
  <c r="K46" i="6"/>
  <c r="J46" i="6"/>
  <c r="H46" i="6"/>
  <c r="I46" i="6" s="1"/>
  <c r="E46" i="6"/>
  <c r="AF45" i="6"/>
  <c r="AH45" i="6" s="1"/>
  <c r="AC45" i="6"/>
  <c r="Z45" i="6"/>
  <c r="AA45" i="6" s="1"/>
  <c r="Y45" i="6"/>
  <c r="AB45" i="6" s="1"/>
  <c r="W45" i="6"/>
  <c r="U45" i="6"/>
  <c r="T45" i="6"/>
  <c r="S45" i="6"/>
  <c r="Q45" i="6"/>
  <c r="P45" i="6"/>
  <c r="O45" i="6"/>
  <c r="N45" i="6"/>
  <c r="M45" i="6"/>
  <c r="R45" i="6" s="1"/>
  <c r="K45" i="6"/>
  <c r="E45" i="6"/>
  <c r="AF44" i="6"/>
  <c r="AG44" i="6" s="1"/>
  <c r="AE44" i="6"/>
  <c r="AH44" i="6" s="1"/>
  <c r="AC44" i="6"/>
  <c r="Z44" i="6"/>
  <c r="AA44" i="6" s="1"/>
  <c r="Y44" i="6"/>
  <c r="AB44" i="6" s="1"/>
  <c r="W44" i="6"/>
  <c r="U44" i="6"/>
  <c r="T44" i="6"/>
  <c r="Q44" i="6"/>
  <c r="P44" i="6"/>
  <c r="N44" i="6"/>
  <c r="M44" i="6"/>
  <c r="S44" i="6" s="1"/>
  <c r="K44" i="6"/>
  <c r="E44" i="6"/>
  <c r="AF43" i="6"/>
  <c r="AH43" i="6" s="1"/>
  <c r="AC43" i="6"/>
  <c r="Z43" i="6"/>
  <c r="AA43" i="6" s="1"/>
  <c r="Y43" i="6"/>
  <c r="AB43" i="6" s="1"/>
  <c r="W43" i="6"/>
  <c r="T43" i="6"/>
  <c r="S43" i="6"/>
  <c r="R43" i="6"/>
  <c r="Q43" i="6"/>
  <c r="P43" i="6"/>
  <c r="O43" i="6"/>
  <c r="N43" i="6"/>
  <c r="U43" i="6" s="1"/>
  <c r="M43" i="6"/>
  <c r="K43" i="6"/>
  <c r="E43" i="6"/>
  <c r="AH42" i="6"/>
  <c r="AG42" i="6"/>
  <c r="AF42" i="6"/>
  <c r="AC42" i="6"/>
  <c r="AB42" i="6"/>
  <c r="Z42" i="6"/>
  <c r="Y42" i="6"/>
  <c r="AA42" i="6" s="1"/>
  <c r="W42" i="6"/>
  <c r="E42" i="6" s="1"/>
  <c r="S42" i="6"/>
  <c r="R42" i="6"/>
  <c r="Q42" i="6"/>
  <c r="N42" i="6"/>
  <c r="U42" i="6" s="1"/>
  <c r="M42" i="6"/>
  <c r="T42" i="6" s="1"/>
  <c r="K42" i="6"/>
  <c r="G42" i="6"/>
  <c r="AH41" i="6"/>
  <c r="AG41" i="6"/>
  <c r="AF41" i="6"/>
  <c r="AC41" i="6"/>
  <c r="AB41" i="6"/>
  <c r="Z41" i="6"/>
  <c r="Y41" i="6"/>
  <c r="AA41" i="6" s="1"/>
  <c r="W41" i="6"/>
  <c r="E41" i="6" s="1"/>
  <c r="S41" i="6"/>
  <c r="R41" i="6"/>
  <c r="Q41" i="6"/>
  <c r="N41" i="6"/>
  <c r="U41" i="6" s="1"/>
  <c r="M41" i="6"/>
  <c r="T41" i="6" s="1"/>
  <c r="K41" i="6"/>
  <c r="AH40" i="6"/>
  <c r="AG40" i="6"/>
  <c r="AF40" i="6"/>
  <c r="AE40" i="6"/>
  <c r="AC40" i="6"/>
  <c r="AB40" i="6"/>
  <c r="Z40" i="6"/>
  <c r="Y40" i="6"/>
  <c r="AA40" i="6" s="1"/>
  <c r="W40" i="6"/>
  <c r="E40" i="6" s="1"/>
  <c r="R40" i="6"/>
  <c r="Q40" i="6"/>
  <c r="N40" i="6"/>
  <c r="M40" i="6"/>
  <c r="T40" i="6" s="1"/>
  <c r="K40" i="6"/>
  <c r="J40" i="6"/>
  <c r="AG39" i="6"/>
  <c r="AF39" i="6"/>
  <c r="AH39" i="6" s="1"/>
  <c r="AD39" i="6"/>
  <c r="AC39" i="6"/>
  <c r="AB39" i="6"/>
  <c r="Z39" i="6"/>
  <c r="Y39" i="6"/>
  <c r="AA39" i="6" s="1"/>
  <c r="W39" i="6"/>
  <c r="E39" i="6" s="1"/>
  <c r="R39" i="6"/>
  <c r="Q39" i="6"/>
  <c r="N39" i="6"/>
  <c r="M39" i="6"/>
  <c r="T39" i="6" s="1"/>
  <c r="K39" i="6"/>
  <c r="G39" i="6"/>
  <c r="AH38" i="6"/>
  <c r="AG38" i="6"/>
  <c r="AF38" i="6"/>
  <c r="AC38" i="6"/>
  <c r="AB38" i="6"/>
  <c r="AA38" i="6"/>
  <c r="Z38" i="6"/>
  <c r="Y38" i="6"/>
  <c r="W38" i="6"/>
  <c r="E38" i="6" s="1"/>
  <c r="R38" i="6"/>
  <c r="Q38" i="6"/>
  <c r="N38" i="6"/>
  <c r="M38" i="6"/>
  <c r="T38" i="6" s="1"/>
  <c r="K38" i="6"/>
  <c r="G38" i="6"/>
  <c r="AH37" i="6"/>
  <c r="AG37" i="6"/>
  <c r="AF37" i="6"/>
  <c r="AD37" i="6"/>
  <c r="AC37" i="6"/>
  <c r="Z37" i="6"/>
  <c r="AA37" i="6" s="1"/>
  <c r="Y37" i="6"/>
  <c r="AB37" i="6" s="1"/>
  <c r="W37" i="6"/>
  <c r="E37" i="6" s="1"/>
  <c r="T37" i="6"/>
  <c r="S37" i="6"/>
  <c r="R37" i="6"/>
  <c r="Q37" i="6"/>
  <c r="P37" i="6"/>
  <c r="O37" i="6"/>
  <c r="N37" i="6"/>
  <c r="U37" i="6" s="1"/>
  <c r="M37" i="6"/>
  <c r="K37" i="6"/>
  <c r="AH36" i="6"/>
  <c r="AG36" i="6"/>
  <c r="AF36" i="6"/>
  <c r="AE36" i="6"/>
  <c r="AC36" i="6"/>
  <c r="AB36" i="6"/>
  <c r="Z36" i="6"/>
  <c r="AA36" i="6" s="1"/>
  <c r="W36" i="6"/>
  <c r="R36" i="6"/>
  <c r="Q36" i="6"/>
  <c r="N36" i="6"/>
  <c r="H36" i="6" s="1"/>
  <c r="I36" i="6" s="1"/>
  <c r="K36" i="6"/>
  <c r="E36" i="6" s="1"/>
  <c r="G36" i="6"/>
  <c r="AG35" i="6"/>
  <c r="AF35" i="6"/>
  <c r="AH35" i="6" s="1"/>
  <c r="AC35" i="6"/>
  <c r="AB35" i="6"/>
  <c r="AA35" i="6"/>
  <c r="Z35" i="6"/>
  <c r="Y35" i="6"/>
  <c r="W35" i="6"/>
  <c r="U35" i="6"/>
  <c r="Q35" i="6"/>
  <c r="N35" i="6"/>
  <c r="M35" i="6"/>
  <c r="K35" i="6"/>
  <c r="E35" i="6" s="1"/>
  <c r="H35" i="6"/>
  <c r="I35" i="6" s="1"/>
  <c r="G35" i="6"/>
  <c r="AG34" i="6"/>
  <c r="AF34" i="6"/>
  <c r="AH34" i="6" s="1"/>
  <c r="AC34" i="6"/>
  <c r="AB34" i="6"/>
  <c r="AA34" i="6"/>
  <c r="Z34" i="6"/>
  <c r="Y34" i="6"/>
  <c r="W34" i="6"/>
  <c r="E34" i="6" s="1"/>
  <c r="R34" i="6"/>
  <c r="Q34" i="6"/>
  <c r="N34" i="6"/>
  <c r="M34" i="6"/>
  <c r="T34" i="6" s="1"/>
  <c r="K34" i="6"/>
  <c r="F34" i="6"/>
  <c r="AH33" i="6"/>
  <c r="AG33" i="6"/>
  <c r="AF33" i="6"/>
  <c r="AC33" i="6"/>
  <c r="AB33" i="6"/>
  <c r="AA33" i="6"/>
  <c r="Z33" i="6"/>
  <c r="Y33" i="6"/>
  <c r="W33" i="6"/>
  <c r="E33" i="6" s="1"/>
  <c r="R33" i="6"/>
  <c r="Q33" i="6"/>
  <c r="N33" i="6"/>
  <c r="M33" i="6"/>
  <c r="T33" i="6" s="1"/>
  <c r="K33" i="6"/>
  <c r="I33" i="6"/>
  <c r="H33" i="6"/>
  <c r="J33" i="6" s="1"/>
  <c r="AF32" i="6"/>
  <c r="AH32" i="6" s="1"/>
  <c r="AC32" i="6"/>
  <c r="AB32" i="6"/>
  <c r="Z32" i="6"/>
  <c r="H32" i="6" s="1"/>
  <c r="I32" i="6" s="1"/>
  <c r="Y32" i="6"/>
  <c r="W32" i="6"/>
  <c r="U32" i="6"/>
  <c r="Q32" i="6"/>
  <c r="N32" i="6"/>
  <c r="M32" i="6"/>
  <c r="P32" i="6" s="1"/>
  <c r="K32" i="6"/>
  <c r="E32" i="6" s="1"/>
  <c r="G32" i="6"/>
  <c r="AF31" i="6"/>
  <c r="AH31" i="6" s="1"/>
  <c r="AC31" i="6"/>
  <c r="AB31" i="6"/>
  <c r="Z31" i="6"/>
  <c r="AA31" i="6" s="1"/>
  <c r="Y31" i="6"/>
  <c r="W31" i="6"/>
  <c r="U31" i="6"/>
  <c r="Q31" i="6"/>
  <c r="N31" i="6"/>
  <c r="M31" i="6"/>
  <c r="P31" i="6" s="1"/>
  <c r="K31" i="6"/>
  <c r="E31" i="6" s="1"/>
  <c r="G31" i="6"/>
  <c r="F31" i="6"/>
  <c r="AH30" i="6"/>
  <c r="AG30" i="6"/>
  <c r="AF30" i="6"/>
  <c r="AC30" i="6"/>
  <c r="AB30" i="6"/>
  <c r="AA30" i="6"/>
  <c r="Z30" i="6"/>
  <c r="Y30" i="6"/>
  <c r="W30" i="6"/>
  <c r="E30" i="6" s="1"/>
  <c r="R30" i="6"/>
  <c r="Q30" i="6"/>
  <c r="N30" i="6"/>
  <c r="O30" i="6" s="1"/>
  <c r="M30" i="6"/>
  <c r="K30" i="6"/>
  <c r="I30" i="6"/>
  <c r="H30" i="6"/>
  <c r="J30" i="6" s="1"/>
  <c r="G30" i="6"/>
  <c r="AH29" i="6"/>
  <c r="AG29" i="6"/>
  <c r="AF29" i="6"/>
  <c r="AC29" i="6"/>
  <c r="AB29" i="6"/>
  <c r="AA29" i="6"/>
  <c r="Z29" i="6"/>
  <c r="Y29" i="6"/>
  <c r="W29" i="6"/>
  <c r="Q29" i="6"/>
  <c r="N29" i="6"/>
  <c r="O29" i="6" s="1"/>
  <c r="M29" i="6"/>
  <c r="K29" i="6"/>
  <c r="G29" i="6"/>
  <c r="E29" i="6"/>
  <c r="AH28" i="6"/>
  <c r="AG28" i="6"/>
  <c r="AF28" i="6"/>
  <c r="AC28" i="6"/>
  <c r="AB28" i="6"/>
  <c r="Z28" i="6"/>
  <c r="Y28" i="6"/>
  <c r="AA28" i="6" s="1"/>
  <c r="W28" i="6"/>
  <c r="E28" i="6" s="1"/>
  <c r="R28" i="6"/>
  <c r="Q28" i="6"/>
  <c r="N28" i="6"/>
  <c r="O28" i="6" s="1"/>
  <c r="M28" i="6"/>
  <c r="S28" i="6" s="1"/>
  <c r="K28" i="6"/>
  <c r="G28" i="6"/>
  <c r="AH27" i="6"/>
  <c r="AG27" i="6"/>
  <c r="AF27" i="6"/>
  <c r="AE27" i="6"/>
  <c r="AC27" i="6"/>
  <c r="AB27" i="6"/>
  <c r="Z27" i="6"/>
  <c r="AA27" i="6" s="1"/>
  <c r="W27" i="6"/>
  <c r="R27" i="6"/>
  <c r="Q27" i="6"/>
  <c r="S27" i="6" s="1"/>
  <c r="N27" i="6"/>
  <c r="O27" i="6" s="1"/>
  <c r="K27" i="6"/>
  <c r="E27" i="6" s="1"/>
  <c r="H27" i="6"/>
  <c r="I27" i="6" s="1"/>
  <c r="G27" i="6"/>
  <c r="J27" i="6" s="1"/>
  <c r="AG26" i="6"/>
  <c r="AF26" i="6"/>
  <c r="AH26" i="6" s="1"/>
  <c r="AC26" i="6"/>
  <c r="AB26" i="6"/>
  <c r="AA26" i="6"/>
  <c r="Z26" i="6"/>
  <c r="H26" i="6" s="1"/>
  <c r="I26" i="6" s="1"/>
  <c r="Y26" i="6"/>
  <c r="W26" i="6"/>
  <c r="Q26" i="6"/>
  <c r="R26" i="6" s="1"/>
  <c r="P26" i="6"/>
  <c r="N26" i="6"/>
  <c r="O26" i="6" s="1"/>
  <c r="K26" i="6"/>
  <c r="E26" i="6" s="1"/>
  <c r="G26" i="6"/>
  <c r="AF25" i="6"/>
  <c r="AG25" i="6" s="1"/>
  <c r="AC25" i="6"/>
  <c r="Z25" i="6"/>
  <c r="AA25" i="6" s="1"/>
  <c r="Y25" i="6"/>
  <c r="AB25" i="6" s="1"/>
  <c r="W25" i="6"/>
  <c r="U25" i="6"/>
  <c r="T25" i="6"/>
  <c r="S25" i="6"/>
  <c r="Q25" i="6"/>
  <c r="P25" i="6"/>
  <c r="O25" i="6"/>
  <c r="N25" i="6"/>
  <c r="M25" i="6"/>
  <c r="R25" i="6" s="1"/>
  <c r="K25" i="6"/>
  <c r="E25" i="6" s="1"/>
  <c r="G25" i="6"/>
  <c r="AF24" i="6"/>
  <c r="AG24" i="6" s="1"/>
  <c r="AC24" i="6"/>
  <c r="Z24" i="6"/>
  <c r="AA24" i="6" s="1"/>
  <c r="Y24" i="6"/>
  <c r="AB24" i="6" s="1"/>
  <c r="W24" i="6"/>
  <c r="U24" i="6"/>
  <c r="T24" i="6"/>
  <c r="S24" i="6"/>
  <c r="Q24" i="6"/>
  <c r="P24" i="6"/>
  <c r="O24" i="6"/>
  <c r="N24" i="6"/>
  <c r="M24" i="6"/>
  <c r="R24" i="6" s="1"/>
  <c r="K24" i="6"/>
  <c r="E24" i="6" s="1"/>
  <c r="G24" i="6"/>
  <c r="AF23" i="6"/>
  <c r="AG23" i="6" s="1"/>
  <c r="AC23" i="6"/>
  <c r="Z23" i="6"/>
  <c r="AA23" i="6" s="1"/>
  <c r="Y23" i="6"/>
  <c r="AB23" i="6" s="1"/>
  <c r="W23" i="6"/>
  <c r="T23" i="6"/>
  <c r="S23" i="6"/>
  <c r="Q23" i="6"/>
  <c r="U23" i="6" s="1"/>
  <c r="P23" i="6"/>
  <c r="O23" i="6"/>
  <c r="N23" i="6"/>
  <c r="K23" i="6"/>
  <c r="G23" i="6"/>
  <c r="E23" i="6"/>
  <c r="AF22" i="6"/>
  <c r="AG22" i="6" s="1"/>
  <c r="AE22" i="6"/>
  <c r="AH22" i="6" s="1"/>
  <c r="AC22" i="6"/>
  <c r="Z22" i="6"/>
  <c r="AA22" i="6" s="1"/>
  <c r="Y22" i="6"/>
  <c r="AB22" i="6" s="1"/>
  <c r="W22" i="6"/>
  <c r="T22" i="6"/>
  <c r="Q22" i="6"/>
  <c r="U22" i="6" s="1"/>
  <c r="P22" i="6"/>
  <c r="O22" i="6"/>
  <c r="N22" i="6"/>
  <c r="K22" i="6"/>
  <c r="G22" i="6"/>
  <c r="E22" i="6"/>
  <c r="AF21" i="6"/>
  <c r="AH21" i="6" s="1"/>
  <c r="AC21" i="6"/>
  <c r="Z21" i="6"/>
  <c r="AB21" i="6" s="1"/>
  <c r="W21" i="6"/>
  <c r="E21" i="6" s="1"/>
  <c r="S21" i="6"/>
  <c r="R21" i="6"/>
  <c r="Q21" i="6"/>
  <c r="T21" i="6" s="1"/>
  <c r="N21" i="6"/>
  <c r="O21" i="6" s="1"/>
  <c r="K21" i="6"/>
  <c r="H21" i="6"/>
  <c r="I21" i="6" s="1"/>
  <c r="G21" i="6"/>
  <c r="J21" i="6" s="1"/>
  <c r="F21" i="6"/>
  <c r="AH20" i="6"/>
  <c r="AG20" i="6"/>
  <c r="AF20" i="6"/>
  <c r="AD20" i="6"/>
  <c r="AC20" i="6"/>
  <c r="Z20" i="6"/>
  <c r="AA20" i="6" s="1"/>
  <c r="Y20" i="6"/>
  <c r="AB20" i="6" s="1"/>
  <c r="W20" i="6"/>
  <c r="S20" i="6"/>
  <c r="R20" i="6"/>
  <c r="Q20" i="6"/>
  <c r="O20" i="6"/>
  <c r="N20" i="6"/>
  <c r="T20" i="6" s="1"/>
  <c r="K20" i="6"/>
  <c r="I20" i="6"/>
  <c r="H20" i="6"/>
  <c r="J20" i="6" s="1"/>
  <c r="G20" i="6"/>
  <c r="E20" i="6"/>
  <c r="AH19" i="6"/>
  <c r="AG19" i="6"/>
  <c r="AF19" i="6"/>
  <c r="AE19" i="6"/>
  <c r="AC19" i="6"/>
  <c r="Z19" i="6"/>
  <c r="AA19" i="6" s="1"/>
  <c r="Y19" i="6"/>
  <c r="AB19" i="6" s="1"/>
  <c r="W19" i="6"/>
  <c r="T19" i="6"/>
  <c r="S19" i="6"/>
  <c r="R19" i="6"/>
  <c r="Q19" i="6"/>
  <c r="P19" i="6"/>
  <c r="O19" i="6"/>
  <c r="N19" i="6"/>
  <c r="U19" i="6" s="1"/>
  <c r="M19" i="6"/>
  <c r="K19" i="6"/>
  <c r="G19" i="6"/>
  <c r="E19" i="6"/>
  <c r="AF18" i="6"/>
  <c r="AG18" i="6" s="1"/>
  <c r="AE18" i="6"/>
  <c r="AH18" i="6" s="1"/>
  <c r="AC18" i="6"/>
  <c r="Z18" i="6"/>
  <c r="AA18" i="6" s="1"/>
  <c r="Y18" i="6"/>
  <c r="AB18" i="6" s="1"/>
  <c r="W18" i="6"/>
  <c r="U18" i="6"/>
  <c r="T18" i="6"/>
  <c r="Q18" i="6"/>
  <c r="P18" i="6"/>
  <c r="N18" i="6"/>
  <c r="M18" i="6"/>
  <c r="S18" i="6" s="1"/>
  <c r="K18" i="6"/>
  <c r="E18" i="6" s="1"/>
  <c r="G18" i="6"/>
  <c r="AF17" i="6"/>
  <c r="AG17" i="6" s="1"/>
  <c r="AE17" i="6"/>
  <c r="AH17" i="6" s="1"/>
  <c r="AC17" i="6"/>
  <c r="AB17" i="6"/>
  <c r="AA17" i="6"/>
  <c r="Z17" i="6"/>
  <c r="Y17" i="6"/>
  <c r="W17" i="6"/>
  <c r="U17" i="6"/>
  <c r="Q17" i="6"/>
  <c r="N17" i="6"/>
  <c r="O17" i="6" s="1"/>
  <c r="M17" i="6"/>
  <c r="R17" i="6" s="1"/>
  <c r="K17" i="6"/>
  <c r="E17" i="6" s="1"/>
  <c r="H17" i="6"/>
  <c r="I17" i="6" s="1"/>
  <c r="G17" i="6"/>
  <c r="J17" i="6" s="1"/>
  <c r="AH16" i="6"/>
  <c r="AG16" i="6"/>
  <c r="AF16" i="6"/>
  <c r="AC16" i="6"/>
  <c r="AA16" i="6"/>
  <c r="Z16" i="6"/>
  <c r="AB16" i="6" s="1"/>
  <c r="W16" i="6"/>
  <c r="T16" i="6"/>
  <c r="Q16" i="6"/>
  <c r="U16" i="6" s="1"/>
  <c r="P16" i="6"/>
  <c r="O16" i="6"/>
  <c r="N16" i="6"/>
  <c r="K16" i="6"/>
  <c r="G16" i="6"/>
  <c r="E16" i="6"/>
  <c r="AF15" i="6"/>
  <c r="AH15" i="6" s="1"/>
  <c r="AC15" i="6"/>
  <c r="Z15" i="6"/>
  <c r="H15" i="6" s="1"/>
  <c r="Y15" i="6"/>
  <c r="AB15" i="6" s="1"/>
  <c r="W15" i="6"/>
  <c r="T15" i="6"/>
  <c r="S15" i="6"/>
  <c r="R15" i="6"/>
  <c r="Q15" i="6"/>
  <c r="P15" i="6"/>
  <c r="O15" i="6"/>
  <c r="N15" i="6"/>
  <c r="U15" i="6" s="1"/>
  <c r="K15" i="6"/>
  <c r="G15" i="6"/>
  <c r="E15" i="6"/>
  <c r="AH14" i="6"/>
  <c r="AF14" i="6"/>
  <c r="AE14" i="6"/>
  <c r="AG14" i="6" s="1"/>
  <c r="AC14" i="6"/>
  <c r="Z14" i="6"/>
  <c r="AA14" i="6" s="1"/>
  <c r="Y14" i="6"/>
  <c r="AB14" i="6" s="1"/>
  <c r="W14" i="6"/>
  <c r="T14" i="6"/>
  <c r="S14" i="6"/>
  <c r="R14" i="6"/>
  <c r="Q14" i="6"/>
  <c r="P14" i="6"/>
  <c r="O14" i="6"/>
  <c r="N14" i="6"/>
  <c r="U14" i="6" s="1"/>
  <c r="M14" i="6"/>
  <c r="K14" i="6"/>
  <c r="G14" i="6"/>
  <c r="E14" i="6"/>
  <c r="AF13" i="6"/>
  <c r="AH13" i="6" s="1"/>
  <c r="AC13" i="6"/>
  <c r="Z13" i="6"/>
  <c r="AA13" i="6" s="1"/>
  <c r="Y13" i="6"/>
  <c r="AB13" i="6" s="1"/>
  <c r="W13" i="6"/>
  <c r="T13" i="6"/>
  <c r="S13" i="6"/>
  <c r="R13" i="6"/>
  <c r="Q13" i="6"/>
  <c r="P13" i="6"/>
  <c r="O13" i="6"/>
  <c r="N13" i="6"/>
  <c r="U13" i="6" s="1"/>
  <c r="M13" i="6"/>
  <c r="K13" i="6"/>
  <c r="G13" i="6"/>
  <c r="E13" i="6"/>
  <c r="AF12" i="6"/>
  <c r="AH12" i="6" s="1"/>
  <c r="AC12" i="6"/>
  <c r="Z12" i="6"/>
  <c r="AA12" i="6" s="1"/>
  <c r="Y12" i="6"/>
  <c r="AB12" i="6" s="1"/>
  <c r="W12" i="6"/>
  <c r="T12" i="6"/>
  <c r="S12" i="6"/>
  <c r="R12" i="6"/>
  <c r="Q12" i="6"/>
  <c r="P12" i="6"/>
  <c r="O12" i="6"/>
  <c r="N12" i="6"/>
  <c r="U12" i="6" s="1"/>
  <c r="M12" i="6"/>
  <c r="K12" i="6"/>
  <c r="G12" i="6"/>
  <c r="E12" i="6"/>
  <c r="AF11" i="6"/>
  <c r="AH11" i="6" s="1"/>
  <c r="AC11" i="6"/>
  <c r="Z11" i="6"/>
  <c r="AA11" i="6" s="1"/>
  <c r="Y11" i="6"/>
  <c r="AB11" i="6" s="1"/>
  <c r="W11" i="6"/>
  <c r="T11" i="6"/>
  <c r="S11" i="6"/>
  <c r="R11" i="6"/>
  <c r="Q11" i="6"/>
  <c r="P11" i="6"/>
  <c r="O11" i="6"/>
  <c r="N11" i="6"/>
  <c r="U11" i="6" s="1"/>
  <c r="M11" i="6"/>
  <c r="K11" i="6"/>
  <c r="E11" i="6" s="1"/>
  <c r="G11" i="6"/>
  <c r="F11" i="6"/>
  <c r="AF10" i="6"/>
  <c r="AG10" i="6" s="1"/>
  <c r="AC10" i="6"/>
  <c r="Z10" i="6"/>
  <c r="AA10" i="6" s="1"/>
  <c r="Y10" i="6"/>
  <c r="AB10" i="6" s="1"/>
  <c r="W10" i="6"/>
  <c r="U10" i="6"/>
  <c r="T10" i="6"/>
  <c r="Q10" i="6"/>
  <c r="P10" i="6"/>
  <c r="N10" i="6"/>
  <c r="M10" i="6"/>
  <c r="M80" i="6" s="1"/>
  <c r="K10" i="6"/>
  <c r="E10" i="6" s="1"/>
  <c r="G10" i="6"/>
  <c r="AF9" i="6"/>
  <c r="AG9" i="6" s="1"/>
  <c r="AC9" i="6"/>
  <c r="Z9" i="6"/>
  <c r="AA9" i="6" s="1"/>
  <c r="X9" i="6"/>
  <c r="X80" i="6" s="1"/>
  <c r="W9" i="6"/>
  <c r="T9" i="6"/>
  <c r="Q9" i="6"/>
  <c r="U9" i="6" s="1"/>
  <c r="P9" i="6"/>
  <c r="O9" i="6"/>
  <c r="N9" i="6"/>
  <c r="K9" i="6"/>
  <c r="G9" i="6"/>
  <c r="E9" i="6"/>
  <c r="AF8" i="6"/>
  <c r="AG8" i="6" s="1"/>
  <c r="AE8" i="6"/>
  <c r="AH8" i="6" s="1"/>
  <c r="AD8" i="6"/>
  <c r="AD80" i="6" s="1"/>
  <c r="AC8" i="6"/>
  <c r="AB8" i="6"/>
  <c r="AA8" i="6"/>
  <c r="Z8" i="6"/>
  <c r="Y8" i="6"/>
  <c r="W8" i="6"/>
  <c r="Q8" i="6"/>
  <c r="R8" i="6" s="1"/>
  <c r="N8" i="6"/>
  <c r="P8" i="6" s="1"/>
  <c r="K8" i="6"/>
  <c r="E8" i="6" s="1"/>
  <c r="H8" i="6"/>
  <c r="I8" i="6" s="1"/>
  <c r="G8" i="6"/>
  <c r="J8" i="6" s="1"/>
  <c r="F8" i="6"/>
  <c r="AH7" i="6"/>
  <c r="AG7" i="6"/>
  <c r="AF7" i="6"/>
  <c r="AC7" i="6"/>
  <c r="AB7" i="6"/>
  <c r="AA7" i="6"/>
  <c r="Z7" i="6"/>
  <c r="W7" i="6"/>
  <c r="T7" i="6"/>
  <c r="Q7" i="6"/>
  <c r="S7" i="6" s="1"/>
  <c r="P7" i="6"/>
  <c r="N7" i="6"/>
  <c r="K7" i="6"/>
  <c r="J7" i="6"/>
  <c r="H7" i="6"/>
  <c r="G7" i="6"/>
  <c r="E7" i="6"/>
  <c r="J15" i="6" l="1"/>
  <c r="I15" i="6"/>
  <c r="J26" i="6"/>
  <c r="N80" i="6"/>
  <c r="R7" i="6"/>
  <c r="W80" i="6"/>
  <c r="AC80" i="6"/>
  <c r="O8" i="6"/>
  <c r="S8" i="6"/>
  <c r="Y80" i="6"/>
  <c r="H9" i="6"/>
  <c r="R9" i="6"/>
  <c r="AB9" i="6"/>
  <c r="AH9" i="6"/>
  <c r="R10" i="6"/>
  <c r="AH10" i="6"/>
  <c r="H11" i="6"/>
  <c r="AG11" i="6"/>
  <c r="H12" i="6"/>
  <c r="AG12" i="6"/>
  <c r="H13" i="6"/>
  <c r="AG13" i="6"/>
  <c r="H14" i="6"/>
  <c r="AA15" i="6"/>
  <c r="AG15" i="6"/>
  <c r="H16" i="6"/>
  <c r="R16" i="6"/>
  <c r="S17" i="6"/>
  <c r="R18" i="6"/>
  <c r="H19" i="6"/>
  <c r="U20" i="6"/>
  <c r="P21" i="6"/>
  <c r="AA21" i="6"/>
  <c r="AG21" i="6"/>
  <c r="H22" i="6"/>
  <c r="R22" i="6"/>
  <c r="H23" i="6"/>
  <c r="R23" i="6"/>
  <c r="AH23" i="6"/>
  <c r="AH24" i="6"/>
  <c r="AH25" i="6"/>
  <c r="S26" i="6"/>
  <c r="P27" i="6"/>
  <c r="T27" i="6"/>
  <c r="P28" i="6"/>
  <c r="T28" i="6"/>
  <c r="T30" i="6"/>
  <c r="P30" i="6"/>
  <c r="S30" i="6"/>
  <c r="U30" i="6"/>
  <c r="H31" i="6"/>
  <c r="I31" i="6" s="1"/>
  <c r="J32" i="6"/>
  <c r="O32" i="6"/>
  <c r="AA32" i="6"/>
  <c r="AG32" i="6"/>
  <c r="T35" i="6"/>
  <c r="P35" i="6"/>
  <c r="S35" i="6"/>
  <c r="R35" i="6"/>
  <c r="J36" i="6"/>
  <c r="T36" i="6"/>
  <c r="U38" i="6"/>
  <c r="H38" i="6"/>
  <c r="O38" i="6"/>
  <c r="U39" i="6"/>
  <c r="H39" i="6"/>
  <c r="O39" i="6"/>
  <c r="K80" i="6"/>
  <c r="I7" i="6"/>
  <c r="O7" i="6"/>
  <c r="Z80" i="6"/>
  <c r="AB80" i="6" s="1"/>
  <c r="AF80" i="6"/>
  <c r="F80" i="6"/>
  <c r="T8" i="6"/>
  <c r="S9" i="6"/>
  <c r="O10" i="6"/>
  <c r="S10" i="6"/>
  <c r="S16" i="6"/>
  <c r="P17" i="6"/>
  <c r="T17" i="6"/>
  <c r="O18" i="6"/>
  <c r="U21" i="6"/>
  <c r="S22" i="6"/>
  <c r="T26" i="6"/>
  <c r="U27" i="6"/>
  <c r="H28" i="6"/>
  <c r="U28" i="6"/>
  <c r="H29" i="6"/>
  <c r="T29" i="6"/>
  <c r="P29" i="6"/>
  <c r="S29" i="6"/>
  <c r="R29" i="6"/>
  <c r="U33" i="6"/>
  <c r="O33" i="6"/>
  <c r="U34" i="6"/>
  <c r="H34" i="6"/>
  <c r="O34" i="6"/>
  <c r="J35" i="6"/>
  <c r="O35" i="6"/>
  <c r="U8" i="6"/>
  <c r="AE84" i="6"/>
  <c r="AE80" i="6"/>
  <c r="U26" i="6"/>
  <c r="U29" i="6"/>
  <c r="S31" i="6"/>
  <c r="R31" i="6"/>
  <c r="T31" i="6"/>
  <c r="Q80" i="6"/>
  <c r="S80" i="6" s="1"/>
  <c r="U7" i="6"/>
  <c r="H10" i="6"/>
  <c r="I10" i="6" s="1"/>
  <c r="H18" i="6"/>
  <c r="I18" i="6" s="1"/>
  <c r="P20" i="6"/>
  <c r="H24" i="6"/>
  <c r="I24" i="6" s="1"/>
  <c r="H25" i="6"/>
  <c r="I25" i="6" s="1"/>
  <c r="J31" i="6"/>
  <c r="O31" i="6"/>
  <c r="AG31" i="6"/>
  <c r="AG80" i="6" s="1"/>
  <c r="S32" i="6"/>
  <c r="R32" i="6"/>
  <c r="T32" i="6"/>
  <c r="T80" i="6" s="1"/>
  <c r="U36" i="6"/>
  <c r="P36" i="6"/>
  <c r="O36" i="6"/>
  <c r="U40" i="6"/>
  <c r="H40" i="6"/>
  <c r="I40" i="6" s="1"/>
  <c r="O40" i="6"/>
  <c r="S33" i="6"/>
  <c r="S34" i="6"/>
  <c r="S36" i="6"/>
  <c r="S38" i="6"/>
  <c r="S39" i="6"/>
  <c r="S40" i="6"/>
  <c r="O41" i="6"/>
  <c r="O42" i="6"/>
  <c r="H44" i="6"/>
  <c r="H45" i="6"/>
  <c r="AG45" i="6"/>
  <c r="R46" i="6"/>
  <c r="H47" i="6"/>
  <c r="I47" i="6" s="1"/>
  <c r="AG47" i="6"/>
  <c r="R48" i="6"/>
  <c r="R49" i="6"/>
  <c r="R50" i="6"/>
  <c r="I51" i="6"/>
  <c r="R51" i="6"/>
  <c r="H52" i="6"/>
  <c r="I52" i="6" s="1"/>
  <c r="H53" i="6"/>
  <c r="I53" i="6" s="1"/>
  <c r="H54" i="6"/>
  <c r="I54" i="6" s="1"/>
  <c r="H55" i="6"/>
  <c r="I55" i="6" s="1"/>
  <c r="AG55" i="6"/>
  <c r="I56" i="6"/>
  <c r="R56" i="6"/>
  <c r="AA58" i="6"/>
  <c r="AA80" i="6" s="1"/>
  <c r="E61" i="6"/>
  <c r="E80" i="6" s="1"/>
  <c r="U65" i="6"/>
  <c r="O65" i="6"/>
  <c r="AB66" i="6"/>
  <c r="AA66" i="6"/>
  <c r="E67" i="6"/>
  <c r="T68" i="6"/>
  <c r="P68" i="6"/>
  <c r="G68" i="6"/>
  <c r="J68" i="6" s="1"/>
  <c r="S68" i="6"/>
  <c r="O68" i="6"/>
  <c r="R68" i="6"/>
  <c r="P33" i="6"/>
  <c r="P34" i="6"/>
  <c r="H37" i="6"/>
  <c r="P38" i="6"/>
  <c r="P39" i="6"/>
  <c r="P40" i="6"/>
  <c r="P41" i="6"/>
  <c r="P42" i="6"/>
  <c r="H43" i="6"/>
  <c r="AG43" i="6"/>
  <c r="R44" i="6"/>
  <c r="S46" i="6"/>
  <c r="R47" i="6"/>
  <c r="S48" i="6"/>
  <c r="S49" i="6"/>
  <c r="S50" i="6"/>
  <c r="S51" i="6"/>
  <c r="R52" i="6"/>
  <c r="R53" i="6"/>
  <c r="O56" i="6"/>
  <c r="S56" i="6"/>
  <c r="H57" i="6"/>
  <c r="I57" i="6" s="1"/>
  <c r="T57" i="6"/>
  <c r="P57" i="6"/>
  <c r="R57" i="6"/>
  <c r="T62" i="6"/>
  <c r="P62" i="6"/>
  <c r="G62" i="6"/>
  <c r="J62" i="6" s="1"/>
  <c r="S62" i="6"/>
  <c r="R62" i="6"/>
  <c r="AH63" i="6"/>
  <c r="AG63" i="6"/>
  <c r="H65" i="6"/>
  <c r="I65" i="6" s="1"/>
  <c r="H41" i="6"/>
  <c r="H42" i="6"/>
  <c r="O44" i="6"/>
  <c r="P46" i="6"/>
  <c r="O47" i="6"/>
  <c r="P48" i="6"/>
  <c r="P49" i="6"/>
  <c r="P50" i="6"/>
  <c r="P51" i="6"/>
  <c r="O52" i="6"/>
  <c r="O53" i="6"/>
  <c r="P56" i="6"/>
  <c r="U61" i="6"/>
  <c r="H61" i="6"/>
  <c r="O61" i="6"/>
  <c r="AH62" i="6"/>
  <c r="U67" i="6"/>
  <c r="H67" i="6"/>
  <c r="O67" i="6"/>
  <c r="I68" i="6"/>
  <c r="I62" i="6"/>
  <c r="AA63" i="6"/>
  <c r="H63" i="6"/>
  <c r="I63" i="6" s="1"/>
  <c r="AH64" i="6"/>
  <c r="AG64" i="6"/>
  <c r="P58" i="6"/>
  <c r="P59" i="6"/>
  <c r="G60" i="6"/>
  <c r="J60" i="6" s="1"/>
  <c r="P60" i="6"/>
  <c r="S61" i="6"/>
  <c r="H64" i="6"/>
  <c r="I64" i="6" s="1"/>
  <c r="G66" i="6"/>
  <c r="J66" i="6" s="1"/>
  <c r="P66" i="6"/>
  <c r="S67" i="6"/>
  <c r="H69" i="6"/>
  <c r="I69" i="6" s="1"/>
  <c r="G70" i="6"/>
  <c r="J70" i="6" s="1"/>
  <c r="P70" i="6"/>
  <c r="O71" i="6"/>
  <c r="S71" i="6"/>
  <c r="O72" i="6"/>
  <c r="S72" i="6"/>
  <c r="R73" i="6"/>
  <c r="H74" i="6"/>
  <c r="I74" i="6" s="1"/>
  <c r="U74" i="6"/>
  <c r="G75" i="6"/>
  <c r="J75" i="6" s="1"/>
  <c r="P75" i="6"/>
  <c r="T75" i="6"/>
  <c r="R76" i="6"/>
  <c r="H77" i="6"/>
  <c r="I77" i="6" s="1"/>
  <c r="U77" i="6"/>
  <c r="G78" i="6"/>
  <c r="J78" i="6" s="1"/>
  <c r="P78" i="6"/>
  <c r="T78" i="6"/>
  <c r="O79" i="6"/>
  <c r="S79" i="6"/>
  <c r="H58" i="6"/>
  <c r="H59" i="6"/>
  <c r="H60" i="6"/>
  <c r="I60" i="6" s="1"/>
  <c r="G61" i="6"/>
  <c r="J61" i="6" s="1"/>
  <c r="P61" i="6"/>
  <c r="H66" i="6"/>
  <c r="I66" i="6" s="1"/>
  <c r="G67" i="6"/>
  <c r="J67" i="6" s="1"/>
  <c r="P67" i="6"/>
  <c r="AG69" i="6"/>
  <c r="H70" i="6"/>
  <c r="I70" i="6" s="1"/>
  <c r="AA70" i="6"/>
  <c r="G71" i="6"/>
  <c r="J71" i="6" s="1"/>
  <c r="P71" i="6"/>
  <c r="P72" i="6"/>
  <c r="O73" i="6"/>
  <c r="S73" i="6"/>
  <c r="AG74" i="6"/>
  <c r="H75" i="6"/>
  <c r="I75" i="6" s="1"/>
  <c r="AA75" i="6"/>
  <c r="O76" i="6"/>
  <c r="S76" i="6"/>
  <c r="AG77" i="6"/>
  <c r="G79" i="6"/>
  <c r="J79" i="6" s="1"/>
  <c r="P79" i="6"/>
  <c r="H71" i="6"/>
  <c r="H72" i="6"/>
  <c r="I72" i="6" s="1"/>
  <c r="G73" i="6"/>
  <c r="J73" i="6" s="1"/>
  <c r="P73" i="6"/>
  <c r="G76" i="6"/>
  <c r="J76" i="6" s="1"/>
  <c r="P76" i="6"/>
  <c r="H79" i="6"/>
  <c r="I79" i="6" s="1"/>
  <c r="I67" i="6" l="1"/>
  <c r="I61" i="6"/>
  <c r="I42" i="6"/>
  <c r="J42" i="6"/>
  <c r="I37" i="6"/>
  <c r="J37" i="6"/>
  <c r="J45" i="6"/>
  <c r="I45" i="6"/>
  <c r="J38" i="6"/>
  <c r="I38" i="6"/>
  <c r="J22" i="6"/>
  <c r="I22" i="6"/>
  <c r="J14" i="6"/>
  <c r="I14" i="6"/>
  <c r="J12" i="6"/>
  <c r="I12" i="6"/>
  <c r="J9" i="6"/>
  <c r="I9" i="6"/>
  <c r="I80" i="6" s="1"/>
  <c r="H80" i="6"/>
  <c r="J10" i="6"/>
  <c r="I76" i="6"/>
  <c r="J41" i="6"/>
  <c r="I41" i="6"/>
  <c r="J44" i="6"/>
  <c r="I44" i="6"/>
  <c r="J28" i="6"/>
  <c r="I28" i="6"/>
  <c r="O80" i="6"/>
  <c r="J39" i="6"/>
  <c r="I39" i="6"/>
  <c r="J19" i="6"/>
  <c r="I19" i="6"/>
  <c r="J16" i="6"/>
  <c r="I16" i="6"/>
  <c r="J25" i="6"/>
  <c r="J24" i="6"/>
  <c r="I59" i="6"/>
  <c r="J59" i="6"/>
  <c r="I78" i="6"/>
  <c r="J43" i="6"/>
  <c r="I43" i="6"/>
  <c r="J52" i="6"/>
  <c r="G80" i="6"/>
  <c r="J23" i="6"/>
  <c r="I23" i="6"/>
  <c r="J13" i="6"/>
  <c r="I13" i="6"/>
  <c r="J11" i="6"/>
  <c r="I11" i="6"/>
  <c r="R80" i="6"/>
  <c r="I71" i="6"/>
  <c r="J58" i="6"/>
  <c r="I58" i="6"/>
  <c r="I73" i="6"/>
  <c r="J47" i="6"/>
  <c r="J34" i="6"/>
  <c r="I34" i="6"/>
  <c r="J29" i="6"/>
  <c r="I29" i="6"/>
  <c r="AH80" i="6"/>
  <c r="U80" i="6"/>
  <c r="P80" i="6"/>
  <c r="J18" i="6"/>
  <c r="AE51" i="4"/>
  <c r="AE36" i="4"/>
  <c r="AE27" i="4"/>
  <c r="AE22" i="4"/>
  <c r="J80" i="6" l="1"/>
  <c r="AE17" i="4"/>
  <c r="AE52" i="4"/>
  <c r="AE50" i="4" l="1"/>
  <c r="AE18" i="4"/>
  <c r="AE14" i="4"/>
  <c r="G52" i="4" l="1"/>
  <c r="G50" i="4"/>
  <c r="G47" i="4"/>
  <c r="G36" i="4"/>
  <c r="G27" i="4"/>
  <c r="G26" i="4"/>
  <c r="G23" i="4"/>
  <c r="G22" i="4"/>
  <c r="G19" i="4"/>
  <c r="G17" i="4"/>
  <c r="G16" i="4"/>
  <c r="G13" i="4"/>
  <c r="G12" i="4"/>
  <c r="G11" i="4"/>
  <c r="G8" i="4"/>
  <c r="AD75" i="4" l="1"/>
  <c r="AD39" i="4"/>
  <c r="AD37" i="4"/>
  <c r="AD8" i="4"/>
  <c r="AD34" i="4"/>
  <c r="AD20" i="4"/>
  <c r="AD80" i="4" l="1"/>
  <c r="F34" i="4"/>
  <c r="F31" i="4"/>
  <c r="F21" i="4"/>
  <c r="F11" i="4"/>
  <c r="X9" i="4"/>
  <c r="F8" i="4"/>
  <c r="X80" i="4" l="1"/>
  <c r="L80" i="4"/>
  <c r="F80" i="4"/>
  <c r="AE44" i="4" l="1"/>
  <c r="W65" i="4" l="1"/>
  <c r="Z65" i="4"/>
  <c r="AA65" i="4" s="1"/>
  <c r="AB65" i="4" l="1"/>
  <c r="AE19" i="4"/>
  <c r="G59" i="4"/>
  <c r="G58" i="4"/>
  <c r="G42" i="4"/>
  <c r="G39" i="4"/>
  <c r="G38" i="4"/>
  <c r="G35" i="4"/>
  <c r="G32" i="4"/>
  <c r="G31" i="4"/>
  <c r="G30" i="4"/>
  <c r="G29" i="4"/>
  <c r="G28" i="4"/>
  <c r="G25" i="4"/>
  <c r="G24" i="4"/>
  <c r="G21" i="4"/>
  <c r="G20" i="4"/>
  <c r="G18" i="4"/>
  <c r="G15" i="4"/>
  <c r="G14" i="4"/>
  <c r="G10" i="4"/>
  <c r="G9" i="4"/>
  <c r="G7" i="4" l="1"/>
  <c r="AE8" i="4" l="1"/>
  <c r="Q8" i="4" l="1"/>
  <c r="R8" i="4" s="1"/>
  <c r="Q9" i="4"/>
  <c r="R9" i="4" s="1"/>
  <c r="Q10" i="4"/>
  <c r="Q11" i="4"/>
  <c r="Q12" i="4"/>
  <c r="Q13" i="4"/>
  <c r="Q14" i="4"/>
  <c r="Q15" i="4"/>
  <c r="R15" i="4" s="1"/>
  <c r="Q16" i="4"/>
  <c r="R16" i="4" s="1"/>
  <c r="Q17" i="4"/>
  <c r="Q18" i="4"/>
  <c r="Q19" i="4"/>
  <c r="Q20" i="4"/>
  <c r="R20" i="4" s="1"/>
  <c r="Q21" i="4"/>
  <c r="S21" i="4" s="1"/>
  <c r="Q22" i="4"/>
  <c r="S22" i="4" s="1"/>
  <c r="Q23" i="4"/>
  <c r="Q24" i="4"/>
  <c r="Q25" i="4"/>
  <c r="Q26" i="4"/>
  <c r="S26" i="4" s="1"/>
  <c r="Q27" i="4"/>
  <c r="R27" i="4" s="1"/>
  <c r="Q28" i="4"/>
  <c r="Q29" i="4"/>
  <c r="Q30" i="4"/>
  <c r="Q31" i="4"/>
  <c r="Q32" i="4"/>
  <c r="Q33" i="4"/>
  <c r="Q34" i="4"/>
  <c r="Q35" i="4"/>
  <c r="Q36" i="4"/>
  <c r="R36" i="4" s="1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S65" i="4" s="1"/>
  <c r="R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7" i="4"/>
  <c r="S7" i="4" s="1"/>
  <c r="R26" i="4" l="1"/>
  <c r="R7" i="4"/>
  <c r="S9" i="4"/>
  <c r="R22" i="4"/>
  <c r="S36" i="4"/>
  <c r="R21" i="4"/>
  <c r="S20" i="4"/>
  <c r="S16" i="4"/>
  <c r="S8" i="4"/>
  <c r="S27" i="4"/>
  <c r="S15" i="4"/>
  <c r="Q80" i="4"/>
  <c r="AF50" i="4" l="1"/>
  <c r="AH50" i="4" s="1"/>
  <c r="AC50" i="4"/>
  <c r="Y50" i="4"/>
  <c r="AB50" i="4" s="1"/>
  <c r="Z50" i="4"/>
  <c r="W50" i="4"/>
  <c r="M50" i="4"/>
  <c r="N50" i="4"/>
  <c r="K50" i="4"/>
  <c r="HN87" i="1"/>
  <c r="HK87" i="1"/>
  <c r="HH87" i="1"/>
  <c r="HE87" i="1"/>
  <c r="HB87" i="1"/>
  <c r="GY87" i="1"/>
  <c r="GV87" i="1"/>
  <c r="GS87" i="1"/>
  <c r="GP87" i="1"/>
  <c r="GM87" i="1"/>
  <c r="GJ87" i="1"/>
  <c r="GG87" i="1"/>
  <c r="GD87" i="1"/>
  <c r="GA87" i="1"/>
  <c r="FX87" i="1"/>
  <c r="FU87" i="1"/>
  <c r="FR87" i="1"/>
  <c r="FO87" i="1"/>
  <c r="FL87" i="1"/>
  <c r="FI87" i="1"/>
  <c r="FF87" i="1"/>
  <c r="FC87" i="1"/>
  <c r="EZ87" i="1"/>
  <c r="EW87" i="1"/>
  <c r="ET87" i="1"/>
  <c r="EQ87" i="1"/>
  <c r="EN87" i="1"/>
  <c r="EK87" i="1"/>
  <c r="EH87" i="1"/>
  <c r="EE87" i="1"/>
  <c r="EB87" i="1"/>
  <c r="DY87" i="1"/>
  <c r="DV87" i="1"/>
  <c r="DS87" i="1"/>
  <c r="DP87" i="1"/>
  <c r="DM87" i="1"/>
  <c r="DJ87" i="1"/>
  <c r="DG87" i="1"/>
  <c r="DD87" i="1"/>
  <c r="DA87" i="1"/>
  <c r="CX87" i="1"/>
  <c r="CU87" i="1"/>
  <c r="CR87" i="1"/>
  <c r="CO87" i="1"/>
  <c r="CL87" i="1"/>
  <c r="CI87" i="1"/>
  <c r="CF87" i="1"/>
  <c r="CC87" i="1"/>
  <c r="BZ87" i="1"/>
  <c r="BW87" i="1"/>
  <c r="BT87" i="1"/>
  <c r="BQ87" i="1"/>
  <c r="BN87" i="1"/>
  <c r="BK87" i="1"/>
  <c r="BH87" i="1"/>
  <c r="BE87" i="1"/>
  <c r="BB87" i="1"/>
  <c r="AY87" i="1"/>
  <c r="AV87" i="1"/>
  <c r="AS87" i="1"/>
  <c r="AP87" i="1"/>
  <c r="AM87" i="1"/>
  <c r="AJ87" i="1"/>
  <c r="AG87" i="1"/>
  <c r="AD87" i="1"/>
  <c r="AA87" i="1"/>
  <c r="X87" i="1"/>
  <c r="U87" i="1"/>
  <c r="R87" i="1"/>
  <c r="O87" i="1"/>
  <c r="L87" i="1"/>
  <c r="I87" i="1"/>
  <c r="F87" i="1"/>
  <c r="AE81" i="4"/>
  <c r="AF81" i="4"/>
  <c r="AC81" i="4"/>
  <c r="Y81" i="4"/>
  <c r="W81" i="4"/>
  <c r="M81" i="4"/>
  <c r="N81" i="4"/>
  <c r="K81" i="4"/>
  <c r="G81" i="4"/>
  <c r="E81" i="4"/>
  <c r="AF7" i="4"/>
  <c r="AH7" i="4" s="1"/>
  <c r="AF8" i="4"/>
  <c r="AF9" i="4"/>
  <c r="AH9" i="4" s="1"/>
  <c r="AF10" i="4"/>
  <c r="AF11" i="4"/>
  <c r="AH11" i="4" s="1"/>
  <c r="AF12" i="4"/>
  <c r="AF13" i="4"/>
  <c r="AH13" i="4" s="1"/>
  <c r="AF14" i="4"/>
  <c r="AG14" i="4" s="1"/>
  <c r="AF15" i="4"/>
  <c r="AG15" i="4" s="1"/>
  <c r="AF16" i="4"/>
  <c r="AF17" i="4"/>
  <c r="AF18" i="4"/>
  <c r="AF19" i="4"/>
  <c r="AH19" i="4" s="1"/>
  <c r="AF20" i="4"/>
  <c r="AF21" i="4"/>
  <c r="AH21" i="4" s="1"/>
  <c r="AF22" i="4"/>
  <c r="AG22" i="4" s="1"/>
  <c r="AF23" i="4"/>
  <c r="AH23" i="4" s="1"/>
  <c r="AF24" i="4"/>
  <c r="AF25" i="4"/>
  <c r="AG25" i="4" s="1"/>
  <c r="AF26" i="4"/>
  <c r="AG26" i="4" s="1"/>
  <c r="AF27" i="4"/>
  <c r="AH27" i="4" s="1"/>
  <c r="AF28" i="4"/>
  <c r="AF29" i="4"/>
  <c r="AH29" i="4" s="1"/>
  <c r="AF30" i="4"/>
  <c r="AG30" i="4" s="1"/>
  <c r="AF31" i="4"/>
  <c r="AH31" i="4" s="1"/>
  <c r="AF32" i="4"/>
  <c r="AF33" i="4"/>
  <c r="AH33" i="4" s="1"/>
  <c r="AF34" i="4"/>
  <c r="AF35" i="4"/>
  <c r="AH35" i="4" s="1"/>
  <c r="AF36" i="4"/>
  <c r="AF37" i="4"/>
  <c r="AH37" i="4" s="1"/>
  <c r="AF38" i="4"/>
  <c r="AF39" i="4"/>
  <c r="AH39" i="4" s="1"/>
  <c r="AE40" i="4"/>
  <c r="AF40" i="4"/>
  <c r="AF41" i="4"/>
  <c r="AH41" i="4" s="1"/>
  <c r="AF42" i="4"/>
  <c r="AF43" i="4"/>
  <c r="AH43" i="4" s="1"/>
  <c r="AF44" i="4"/>
  <c r="AF45" i="4"/>
  <c r="AH45" i="4" s="1"/>
  <c r="AE46" i="4"/>
  <c r="AH46" i="4" s="1"/>
  <c r="AF46" i="4"/>
  <c r="AF47" i="4"/>
  <c r="AH47" i="4" s="1"/>
  <c r="AE48" i="4"/>
  <c r="AH48" i="4" s="1"/>
  <c r="AF48" i="4"/>
  <c r="AF49" i="4"/>
  <c r="AH49" i="4" s="1"/>
  <c r="AF51" i="4"/>
  <c r="AF52" i="4"/>
  <c r="AH52" i="4" s="1"/>
  <c r="AE53" i="4"/>
  <c r="AH53" i="4" s="1"/>
  <c r="AF53" i="4"/>
  <c r="AE54" i="4"/>
  <c r="AH54" i="4" s="1"/>
  <c r="AF54" i="4"/>
  <c r="AG54" i="4" s="1"/>
  <c r="AF55" i="4"/>
  <c r="AG55" i="4" s="1"/>
  <c r="AF56" i="4"/>
  <c r="AH56" i="4" s="1"/>
  <c r="AF57" i="4"/>
  <c r="AG57" i="4" s="1"/>
  <c r="AF58" i="4"/>
  <c r="AH58" i="4" s="1"/>
  <c r="AF59" i="4"/>
  <c r="AE60" i="4"/>
  <c r="AH60" i="4" s="1"/>
  <c r="AF60" i="4"/>
  <c r="AE61" i="4"/>
  <c r="AH61" i="4" s="1"/>
  <c r="AF61" i="4"/>
  <c r="AE62" i="4"/>
  <c r="AF62" i="4"/>
  <c r="AE63" i="4"/>
  <c r="AH63" i="4" s="1"/>
  <c r="AE64" i="4"/>
  <c r="AH64" i="4" s="1"/>
  <c r="AF64" i="4"/>
  <c r="AF65" i="4"/>
  <c r="AE66" i="4"/>
  <c r="AH66" i="4" s="1"/>
  <c r="AF66" i="4"/>
  <c r="AE67" i="4"/>
  <c r="AH67" i="4" s="1"/>
  <c r="AF67" i="4"/>
  <c r="AE68" i="4"/>
  <c r="AH68" i="4" s="1"/>
  <c r="AF68" i="4"/>
  <c r="AE69" i="4"/>
  <c r="AF69" i="4"/>
  <c r="AE70" i="4"/>
  <c r="AH70" i="4" s="1"/>
  <c r="AF70" i="4"/>
  <c r="AE71" i="4"/>
  <c r="AH71" i="4" s="1"/>
  <c r="AF71" i="4"/>
  <c r="AE72" i="4"/>
  <c r="AH72" i="4" s="1"/>
  <c r="AF72" i="4"/>
  <c r="AE73" i="4"/>
  <c r="AH73" i="4" s="1"/>
  <c r="AF73" i="4"/>
  <c r="AE74" i="4"/>
  <c r="AH74" i="4" s="1"/>
  <c r="AF74" i="4"/>
  <c r="AE75" i="4"/>
  <c r="AH75" i="4" s="1"/>
  <c r="AF75" i="4"/>
  <c r="AE76" i="4"/>
  <c r="AH76" i="4" s="1"/>
  <c r="AF76" i="4"/>
  <c r="AE77" i="4"/>
  <c r="AH77" i="4" s="1"/>
  <c r="AF77" i="4"/>
  <c r="AE78" i="4"/>
  <c r="AH78" i="4" s="1"/>
  <c r="AF78" i="4"/>
  <c r="AE79" i="4"/>
  <c r="AH79" i="4" s="1"/>
  <c r="AF79" i="4"/>
  <c r="Z7" i="4"/>
  <c r="AB7" i="4" s="1"/>
  <c r="Y8" i="4"/>
  <c r="AB8" i="4" s="1"/>
  <c r="Z8" i="4"/>
  <c r="Z9" i="4"/>
  <c r="AB9" i="4" s="1"/>
  <c r="Y10" i="4"/>
  <c r="AB10" i="4" s="1"/>
  <c r="Z10" i="4"/>
  <c r="Y11" i="4"/>
  <c r="AB11" i="4" s="1"/>
  <c r="Z11" i="4"/>
  <c r="Y12" i="4"/>
  <c r="AB12" i="4" s="1"/>
  <c r="Z12" i="4"/>
  <c r="Y13" i="4"/>
  <c r="AB13" i="4" s="1"/>
  <c r="Z13" i="4"/>
  <c r="Y14" i="4"/>
  <c r="AB14" i="4" s="1"/>
  <c r="Z14" i="4"/>
  <c r="Y15" i="4"/>
  <c r="AB15" i="4" s="1"/>
  <c r="Z15" i="4"/>
  <c r="Z16" i="4"/>
  <c r="Y17" i="4"/>
  <c r="AB17" i="4" s="1"/>
  <c r="Z17" i="4"/>
  <c r="Y18" i="4"/>
  <c r="AB18" i="4" s="1"/>
  <c r="Z18" i="4"/>
  <c r="Y19" i="4"/>
  <c r="AB19" i="4" s="1"/>
  <c r="Z19" i="4"/>
  <c r="Y20" i="4"/>
  <c r="Z21" i="4"/>
  <c r="Y22" i="4"/>
  <c r="Z22" i="4"/>
  <c r="Y23" i="4"/>
  <c r="Z23" i="4"/>
  <c r="Y24" i="4"/>
  <c r="AB24" i="4" s="1"/>
  <c r="Z24" i="4"/>
  <c r="Y25" i="4"/>
  <c r="AB25" i="4" s="1"/>
  <c r="Z25" i="4"/>
  <c r="Y26" i="4"/>
  <c r="AB26" i="4" s="1"/>
  <c r="Z26" i="4"/>
  <c r="Z27" i="4"/>
  <c r="Y28" i="4"/>
  <c r="AB28" i="4" s="1"/>
  <c r="Z28" i="4"/>
  <c r="Y29" i="4"/>
  <c r="AB29" i="4" s="1"/>
  <c r="Z29" i="4"/>
  <c r="Y30" i="4"/>
  <c r="AB30" i="4" s="1"/>
  <c r="Z30" i="4"/>
  <c r="Y31" i="4"/>
  <c r="AB31" i="4" s="1"/>
  <c r="Z31" i="4"/>
  <c r="Y32" i="4"/>
  <c r="AB32" i="4" s="1"/>
  <c r="Z32" i="4"/>
  <c r="Y33" i="4"/>
  <c r="AB33" i="4" s="1"/>
  <c r="Z33" i="4"/>
  <c r="Y34" i="4"/>
  <c r="AB34" i="4" s="1"/>
  <c r="Z34" i="4"/>
  <c r="Y35" i="4"/>
  <c r="AB35" i="4" s="1"/>
  <c r="Z35" i="4"/>
  <c r="Z36" i="4"/>
  <c r="Y37" i="4"/>
  <c r="AB37" i="4" s="1"/>
  <c r="Z37" i="4"/>
  <c r="Y38" i="4"/>
  <c r="AB38" i="4" s="1"/>
  <c r="Z38" i="4"/>
  <c r="Y39" i="4"/>
  <c r="AB39" i="4" s="1"/>
  <c r="Z39" i="4"/>
  <c r="Y40" i="4"/>
  <c r="AB40" i="4" s="1"/>
  <c r="Z40" i="4"/>
  <c r="Y41" i="4"/>
  <c r="AB41" i="4" s="1"/>
  <c r="Z41" i="4"/>
  <c r="Y42" i="4"/>
  <c r="AB42" i="4" s="1"/>
  <c r="Z42" i="4"/>
  <c r="Y43" i="4"/>
  <c r="AB43" i="4" s="1"/>
  <c r="Z43" i="4"/>
  <c r="Y44" i="4"/>
  <c r="AB44" i="4" s="1"/>
  <c r="Z44" i="4"/>
  <c r="Y45" i="4"/>
  <c r="AB45" i="4" s="1"/>
  <c r="Z45" i="4"/>
  <c r="Y46" i="4"/>
  <c r="AB46" i="4" s="1"/>
  <c r="Z46" i="4"/>
  <c r="Y47" i="4"/>
  <c r="AB47" i="4" s="1"/>
  <c r="Z47" i="4"/>
  <c r="Y48" i="4"/>
  <c r="AB48" i="4" s="1"/>
  <c r="Z48" i="4"/>
  <c r="Y49" i="4"/>
  <c r="AB49" i="4" s="1"/>
  <c r="Z49" i="4"/>
  <c r="Y51" i="4"/>
  <c r="AB51" i="4" s="1"/>
  <c r="Z51" i="4"/>
  <c r="Y52" i="4"/>
  <c r="AB52" i="4" s="1"/>
  <c r="Z52" i="4"/>
  <c r="Y53" i="4"/>
  <c r="AB53" i="4" s="1"/>
  <c r="Z53" i="4"/>
  <c r="Y54" i="4"/>
  <c r="AB54" i="4" s="1"/>
  <c r="Z54" i="4"/>
  <c r="Y55" i="4"/>
  <c r="AB55" i="4" s="1"/>
  <c r="Z55" i="4"/>
  <c r="Y56" i="4"/>
  <c r="AB56" i="4" s="1"/>
  <c r="Z56" i="4"/>
  <c r="Y57" i="4"/>
  <c r="AB57" i="4" s="1"/>
  <c r="Z57" i="4"/>
  <c r="Y58" i="4"/>
  <c r="AB58" i="4" s="1"/>
  <c r="Z58" i="4"/>
  <c r="Y59" i="4"/>
  <c r="AB59" i="4" s="1"/>
  <c r="Z59" i="4"/>
  <c r="Y60" i="4"/>
  <c r="AB60" i="4" s="1"/>
  <c r="Z60" i="4"/>
  <c r="Y61" i="4"/>
  <c r="AB61" i="4" s="1"/>
  <c r="Z61" i="4"/>
  <c r="Y62" i="4"/>
  <c r="AB62" i="4" s="1"/>
  <c r="Z62" i="4"/>
  <c r="Y63" i="4"/>
  <c r="AB63" i="4" s="1"/>
  <c r="Z63" i="4"/>
  <c r="Y64" i="4"/>
  <c r="AB64" i="4" s="1"/>
  <c r="Z64" i="4"/>
  <c r="Y66" i="4"/>
  <c r="AB66" i="4" s="1"/>
  <c r="Z66" i="4"/>
  <c r="Y67" i="4"/>
  <c r="AB67" i="4" s="1"/>
  <c r="Z67" i="4"/>
  <c r="Y68" i="4"/>
  <c r="AB68" i="4" s="1"/>
  <c r="Z68" i="4"/>
  <c r="Y69" i="4"/>
  <c r="AB69" i="4" s="1"/>
  <c r="Z69" i="4"/>
  <c r="Y70" i="4"/>
  <c r="AB70" i="4" s="1"/>
  <c r="Z70" i="4"/>
  <c r="Y71" i="4"/>
  <c r="AB71" i="4" s="1"/>
  <c r="Z71" i="4"/>
  <c r="Y72" i="4"/>
  <c r="AB72" i="4" s="1"/>
  <c r="Z72" i="4"/>
  <c r="Y73" i="4"/>
  <c r="AB73" i="4" s="1"/>
  <c r="Z73" i="4"/>
  <c r="Y74" i="4"/>
  <c r="AB74" i="4" s="1"/>
  <c r="Z74" i="4"/>
  <c r="Y75" i="4"/>
  <c r="AB75" i="4" s="1"/>
  <c r="Z75" i="4"/>
  <c r="Y76" i="4"/>
  <c r="AB76" i="4" s="1"/>
  <c r="Z76" i="4"/>
  <c r="Y77" i="4"/>
  <c r="AB77" i="4" s="1"/>
  <c r="Z77" i="4"/>
  <c r="Y78" i="4"/>
  <c r="AB78" i="4" s="1"/>
  <c r="Z78" i="4"/>
  <c r="Y79" i="4"/>
  <c r="AB79" i="4" s="1"/>
  <c r="Z79" i="4"/>
  <c r="N7" i="4"/>
  <c r="N8" i="4"/>
  <c r="N9" i="4"/>
  <c r="M10" i="4"/>
  <c r="N10" i="4"/>
  <c r="M11" i="4"/>
  <c r="N11" i="4"/>
  <c r="U11" i="4" s="1"/>
  <c r="M12" i="4"/>
  <c r="N12" i="4"/>
  <c r="M13" i="4"/>
  <c r="N13" i="4"/>
  <c r="U13" i="4" s="1"/>
  <c r="M14" i="4"/>
  <c r="N14" i="4"/>
  <c r="N15" i="4"/>
  <c r="N16" i="4"/>
  <c r="M17" i="4"/>
  <c r="N17" i="4"/>
  <c r="U17" i="4" s="1"/>
  <c r="M18" i="4"/>
  <c r="N18" i="4"/>
  <c r="M19" i="4"/>
  <c r="N19" i="4"/>
  <c r="U19" i="4" s="1"/>
  <c r="N20" i="4"/>
  <c r="N21" i="4"/>
  <c r="H21" i="4" s="1"/>
  <c r="N22" i="4"/>
  <c r="N23" i="4"/>
  <c r="U23" i="4" s="1"/>
  <c r="M24" i="4"/>
  <c r="N24" i="4"/>
  <c r="M25" i="4"/>
  <c r="N25" i="4"/>
  <c r="U25" i="4" s="1"/>
  <c r="N26" i="4"/>
  <c r="N27" i="4"/>
  <c r="M28" i="4"/>
  <c r="N28" i="4"/>
  <c r="M29" i="4"/>
  <c r="N29" i="4"/>
  <c r="U29" i="4" s="1"/>
  <c r="M30" i="4"/>
  <c r="N30" i="4"/>
  <c r="M31" i="4"/>
  <c r="N31" i="4"/>
  <c r="U31" i="4" s="1"/>
  <c r="M32" i="4"/>
  <c r="N32" i="4"/>
  <c r="M33" i="4"/>
  <c r="N33" i="4"/>
  <c r="U33" i="4" s="1"/>
  <c r="M34" i="4"/>
  <c r="N34" i="4"/>
  <c r="M35" i="4"/>
  <c r="N35" i="4"/>
  <c r="U35" i="4" s="1"/>
  <c r="N36" i="4"/>
  <c r="M37" i="4"/>
  <c r="N37" i="4"/>
  <c r="U37" i="4" s="1"/>
  <c r="M38" i="4"/>
  <c r="N38" i="4"/>
  <c r="M39" i="4"/>
  <c r="N39" i="4"/>
  <c r="U39" i="4" s="1"/>
  <c r="M40" i="4"/>
  <c r="J40" i="4" s="1"/>
  <c r="N40" i="4"/>
  <c r="U40" i="4" s="1"/>
  <c r="M41" i="4"/>
  <c r="N41" i="4"/>
  <c r="U41" i="4" s="1"/>
  <c r="M42" i="4"/>
  <c r="N42" i="4"/>
  <c r="U42" i="4" s="1"/>
  <c r="M43" i="4"/>
  <c r="N43" i="4"/>
  <c r="U43" i="4" s="1"/>
  <c r="M44" i="4"/>
  <c r="N44" i="4"/>
  <c r="M45" i="4"/>
  <c r="N45" i="4"/>
  <c r="U45" i="4" s="1"/>
  <c r="M46" i="4"/>
  <c r="J46" i="4" s="1"/>
  <c r="N46" i="4"/>
  <c r="M47" i="4"/>
  <c r="N47" i="4"/>
  <c r="U47" i="4" s="1"/>
  <c r="M48" i="4"/>
  <c r="N48" i="4"/>
  <c r="U48" i="4" s="1"/>
  <c r="M49" i="4"/>
  <c r="N49" i="4"/>
  <c r="U49" i="4" s="1"/>
  <c r="M51" i="4"/>
  <c r="N51" i="4"/>
  <c r="U51" i="4" s="1"/>
  <c r="M52" i="4"/>
  <c r="N52" i="4"/>
  <c r="U52" i="4" s="1"/>
  <c r="M53" i="4"/>
  <c r="J53" i="4" s="1"/>
  <c r="N53" i="4"/>
  <c r="U53" i="4" s="1"/>
  <c r="M54" i="4"/>
  <c r="N54" i="4"/>
  <c r="M55" i="4"/>
  <c r="J55" i="4" s="1"/>
  <c r="N55" i="4"/>
  <c r="U55" i="4" s="1"/>
  <c r="M56" i="4"/>
  <c r="N56" i="4"/>
  <c r="U56" i="4" s="1"/>
  <c r="M57" i="4"/>
  <c r="J57" i="4" s="1"/>
  <c r="N57" i="4"/>
  <c r="U57" i="4" s="1"/>
  <c r="M58" i="4"/>
  <c r="N58" i="4"/>
  <c r="M59" i="4"/>
  <c r="N59" i="4"/>
  <c r="U59" i="4" s="1"/>
  <c r="M60" i="4"/>
  <c r="N60" i="4"/>
  <c r="U60" i="4" s="1"/>
  <c r="M61" i="4"/>
  <c r="G61" i="4" s="1"/>
  <c r="J61" i="4" s="1"/>
  <c r="N61" i="4"/>
  <c r="U61" i="4" s="1"/>
  <c r="M62" i="4"/>
  <c r="N62" i="4"/>
  <c r="M63" i="4"/>
  <c r="G63" i="4" s="1"/>
  <c r="J63" i="4" s="1"/>
  <c r="N63" i="4"/>
  <c r="U63" i="4" s="1"/>
  <c r="M64" i="4"/>
  <c r="N64" i="4"/>
  <c r="U64" i="4" s="1"/>
  <c r="N65" i="4"/>
  <c r="M66" i="4"/>
  <c r="G66" i="4" s="1"/>
  <c r="J66" i="4" s="1"/>
  <c r="N66" i="4"/>
  <c r="M67" i="4"/>
  <c r="N67" i="4"/>
  <c r="U67" i="4" s="1"/>
  <c r="M68" i="4"/>
  <c r="G68" i="4" s="1"/>
  <c r="J68" i="4" s="1"/>
  <c r="N68" i="4"/>
  <c r="M69" i="4"/>
  <c r="N69" i="4"/>
  <c r="U69" i="4" s="1"/>
  <c r="M70" i="4"/>
  <c r="G70" i="4" s="1"/>
  <c r="J70" i="4" s="1"/>
  <c r="N70" i="4"/>
  <c r="M71" i="4"/>
  <c r="N71" i="4"/>
  <c r="U71" i="4" s="1"/>
  <c r="M72" i="4"/>
  <c r="N72" i="4"/>
  <c r="M73" i="4"/>
  <c r="N73" i="4"/>
  <c r="U73" i="4" s="1"/>
  <c r="M74" i="4"/>
  <c r="G74" i="4" s="1"/>
  <c r="J74" i="4" s="1"/>
  <c r="N74" i="4"/>
  <c r="M75" i="4"/>
  <c r="N75" i="4"/>
  <c r="U75" i="4" s="1"/>
  <c r="M76" i="4"/>
  <c r="G76" i="4" s="1"/>
  <c r="J76" i="4" s="1"/>
  <c r="N76" i="4"/>
  <c r="M77" i="4"/>
  <c r="N77" i="4"/>
  <c r="U77" i="4" s="1"/>
  <c r="M78" i="4"/>
  <c r="G78" i="4" s="1"/>
  <c r="J78" i="4" s="1"/>
  <c r="N78" i="4"/>
  <c r="M79" i="4"/>
  <c r="N79" i="4"/>
  <c r="U79" i="4" s="1"/>
  <c r="AE80" i="4"/>
  <c r="H23" i="4"/>
  <c r="H25" i="4"/>
  <c r="J49" i="4"/>
  <c r="G69" i="4"/>
  <c r="J69" i="4" s="1"/>
  <c r="AC79" i="4"/>
  <c r="W79" i="4"/>
  <c r="K79" i="4"/>
  <c r="AC78" i="4"/>
  <c r="W78" i="4"/>
  <c r="K78" i="4"/>
  <c r="AC77" i="4"/>
  <c r="W77" i="4"/>
  <c r="K77" i="4"/>
  <c r="AC76" i="4"/>
  <c r="W76" i="4"/>
  <c r="K76" i="4"/>
  <c r="AC75" i="4"/>
  <c r="W75" i="4"/>
  <c r="K75" i="4"/>
  <c r="AC74" i="4"/>
  <c r="W74" i="4"/>
  <c r="K74" i="4"/>
  <c r="AC73" i="4"/>
  <c r="W73" i="4"/>
  <c r="K73" i="4"/>
  <c r="AC72" i="4"/>
  <c r="W72" i="4"/>
  <c r="K72" i="4"/>
  <c r="AC71" i="4"/>
  <c r="W71" i="4"/>
  <c r="K71" i="4"/>
  <c r="AC70" i="4"/>
  <c r="W70" i="4"/>
  <c r="K70" i="4"/>
  <c r="AC69" i="4"/>
  <c r="W69" i="4"/>
  <c r="K69" i="4"/>
  <c r="AC68" i="4"/>
  <c r="W68" i="4"/>
  <c r="K68" i="4"/>
  <c r="AC67" i="4"/>
  <c r="W67" i="4"/>
  <c r="K67" i="4"/>
  <c r="AC66" i="4"/>
  <c r="W66" i="4"/>
  <c r="K66" i="4"/>
  <c r="AC65" i="4"/>
  <c r="K65" i="4"/>
  <c r="AC64" i="4"/>
  <c r="W64" i="4"/>
  <c r="K64" i="4"/>
  <c r="AC63" i="4"/>
  <c r="W63" i="4"/>
  <c r="K63" i="4"/>
  <c r="AC62" i="4"/>
  <c r="W62" i="4"/>
  <c r="K62" i="4"/>
  <c r="AC61" i="4"/>
  <c r="W61" i="4"/>
  <c r="K61" i="4"/>
  <c r="AC60" i="4"/>
  <c r="W60" i="4"/>
  <c r="K60" i="4"/>
  <c r="AC59" i="4"/>
  <c r="W59" i="4"/>
  <c r="K59" i="4"/>
  <c r="AC58" i="4"/>
  <c r="W58" i="4"/>
  <c r="K58" i="4"/>
  <c r="AC57" i="4"/>
  <c r="W57" i="4"/>
  <c r="K57" i="4"/>
  <c r="AC56" i="4"/>
  <c r="W56" i="4"/>
  <c r="K56" i="4"/>
  <c r="AC55" i="4"/>
  <c r="W55" i="4"/>
  <c r="K55" i="4"/>
  <c r="AC54" i="4"/>
  <c r="W54" i="4"/>
  <c r="K54" i="4"/>
  <c r="AC53" i="4"/>
  <c r="W53" i="4"/>
  <c r="K53" i="4"/>
  <c r="AC52" i="4"/>
  <c r="W52" i="4"/>
  <c r="K52" i="4"/>
  <c r="AC51" i="4"/>
  <c r="W51" i="4"/>
  <c r="K51" i="4"/>
  <c r="AC49" i="4"/>
  <c r="W49" i="4"/>
  <c r="K49" i="4"/>
  <c r="AC48" i="4"/>
  <c r="W48" i="4"/>
  <c r="K48" i="4"/>
  <c r="AC47" i="4"/>
  <c r="W47" i="4"/>
  <c r="K47" i="4"/>
  <c r="AC46" i="4"/>
  <c r="W46" i="4"/>
  <c r="K46" i="4"/>
  <c r="AC45" i="4"/>
  <c r="W45" i="4"/>
  <c r="K45" i="4"/>
  <c r="AC44" i="4"/>
  <c r="W44" i="4"/>
  <c r="K44" i="4"/>
  <c r="AC43" i="4"/>
  <c r="W43" i="4"/>
  <c r="K43" i="4"/>
  <c r="AC42" i="4"/>
  <c r="W42" i="4"/>
  <c r="K42" i="4"/>
  <c r="AC41" i="4"/>
  <c r="W41" i="4"/>
  <c r="K41" i="4"/>
  <c r="AC40" i="4"/>
  <c r="W40" i="4"/>
  <c r="K40" i="4"/>
  <c r="AC39" i="4"/>
  <c r="W39" i="4"/>
  <c r="K39" i="4"/>
  <c r="AC38" i="4"/>
  <c r="W38" i="4"/>
  <c r="K38" i="4"/>
  <c r="AC37" i="4"/>
  <c r="W37" i="4"/>
  <c r="K37" i="4"/>
  <c r="AC36" i="4"/>
  <c r="W36" i="4"/>
  <c r="K36" i="4"/>
  <c r="AC35" i="4"/>
  <c r="W35" i="4"/>
  <c r="K35" i="4"/>
  <c r="AC34" i="4"/>
  <c r="W34" i="4"/>
  <c r="K34" i="4"/>
  <c r="AC33" i="4"/>
  <c r="W33" i="4"/>
  <c r="K33" i="4"/>
  <c r="AC32" i="4"/>
  <c r="W32" i="4"/>
  <c r="K32" i="4"/>
  <c r="AC31" i="4"/>
  <c r="W31" i="4"/>
  <c r="K31" i="4"/>
  <c r="AC30" i="4"/>
  <c r="W30" i="4"/>
  <c r="K30" i="4"/>
  <c r="AC29" i="4"/>
  <c r="W29" i="4"/>
  <c r="K29" i="4"/>
  <c r="AC28" i="4"/>
  <c r="W28" i="4"/>
  <c r="K28" i="4"/>
  <c r="AC27" i="4"/>
  <c r="W27" i="4"/>
  <c r="K27" i="4"/>
  <c r="AC26" i="4"/>
  <c r="W26" i="4"/>
  <c r="K26" i="4"/>
  <c r="AC25" i="4"/>
  <c r="W25" i="4"/>
  <c r="K25" i="4"/>
  <c r="AC24" i="4"/>
  <c r="W24" i="4"/>
  <c r="K24" i="4"/>
  <c r="AC23" i="4"/>
  <c r="W23" i="4"/>
  <c r="K23" i="4"/>
  <c r="AC22" i="4"/>
  <c r="W22" i="4"/>
  <c r="K22" i="4"/>
  <c r="AC21" i="4"/>
  <c r="W21" i="4"/>
  <c r="K21" i="4"/>
  <c r="AC20" i="4"/>
  <c r="W20" i="4"/>
  <c r="K20" i="4"/>
  <c r="AC19" i="4"/>
  <c r="W19" i="4"/>
  <c r="K19" i="4"/>
  <c r="AC18" i="4"/>
  <c r="W18" i="4"/>
  <c r="K18" i="4"/>
  <c r="AC17" i="4"/>
  <c r="W17" i="4"/>
  <c r="K17" i="4"/>
  <c r="AC16" i="4"/>
  <c r="W16" i="4"/>
  <c r="K16" i="4"/>
  <c r="AC15" i="4"/>
  <c r="W15" i="4"/>
  <c r="K15" i="4"/>
  <c r="AC14" i="4"/>
  <c r="W14" i="4"/>
  <c r="K14" i="4"/>
  <c r="AC13" i="4"/>
  <c r="W13" i="4"/>
  <c r="K13" i="4"/>
  <c r="AC12" i="4"/>
  <c r="W12" i="4"/>
  <c r="K12" i="4"/>
  <c r="AC11" i="4"/>
  <c r="W11" i="4"/>
  <c r="K11" i="4"/>
  <c r="AC10" i="4"/>
  <c r="W10" i="4"/>
  <c r="K10" i="4"/>
  <c r="AC9" i="4"/>
  <c r="W9" i="4"/>
  <c r="K9" i="4"/>
  <c r="AC8" i="4"/>
  <c r="W8" i="4"/>
  <c r="K8" i="4"/>
  <c r="I3" i="1"/>
  <c r="L3" i="1" s="1"/>
  <c r="O3" i="1" s="1"/>
  <c r="R3" i="1" s="1"/>
  <c r="U3" i="1" s="1"/>
  <c r="X3" i="1" s="1"/>
  <c r="AA3" i="1" s="1"/>
  <c r="AD3" i="1" s="1"/>
  <c r="AG3" i="1" s="1"/>
  <c r="AJ3" i="1" s="1"/>
  <c r="AM3" i="1" s="1"/>
  <c r="AP3" i="1" s="1"/>
  <c r="AS3" i="1" s="1"/>
  <c r="AV3" i="1" s="1"/>
  <c r="AY3" i="1" s="1"/>
  <c r="BB3" i="1" s="1"/>
  <c r="BE3" i="1" s="1"/>
  <c r="BH3" i="1" s="1"/>
  <c r="BK3" i="1" s="1"/>
  <c r="BN3" i="1" s="1"/>
  <c r="BQ3" i="1" s="1"/>
  <c r="BT3" i="1" s="1"/>
  <c r="BW3" i="1" s="1"/>
  <c r="BZ3" i="1" s="1"/>
  <c r="CC3" i="1" s="1"/>
  <c r="CF3" i="1" s="1"/>
  <c r="CI3" i="1" s="1"/>
  <c r="CL3" i="1" s="1"/>
  <c r="CO3" i="1" s="1"/>
  <c r="CR3" i="1" s="1"/>
  <c r="CU3" i="1" s="1"/>
  <c r="CX3" i="1" s="1"/>
  <c r="DA3" i="1" s="1"/>
  <c r="DD3" i="1" s="1"/>
  <c r="DG3" i="1" s="1"/>
  <c r="DJ3" i="1" s="1"/>
  <c r="DM3" i="1" s="1"/>
  <c r="DP3" i="1" s="1"/>
  <c r="DS3" i="1" s="1"/>
  <c r="DV3" i="1" s="1"/>
  <c r="DY3" i="1" s="1"/>
  <c r="EB3" i="1" s="1"/>
  <c r="EE3" i="1" s="1"/>
  <c r="EH3" i="1" s="1"/>
  <c r="EK3" i="1" s="1"/>
  <c r="EN3" i="1" s="1"/>
  <c r="EQ3" i="1" s="1"/>
  <c r="ET3" i="1" s="1"/>
  <c r="EW3" i="1" s="1"/>
  <c r="EZ3" i="1" s="1"/>
  <c r="FC3" i="1" s="1"/>
  <c r="FF3" i="1" s="1"/>
  <c r="FI3" i="1" s="1"/>
  <c r="FL3" i="1" s="1"/>
  <c r="FO3" i="1" s="1"/>
  <c r="FR3" i="1" s="1"/>
  <c r="FU3" i="1" s="1"/>
  <c r="FX3" i="1" s="1"/>
  <c r="GA3" i="1" s="1"/>
  <c r="GD3" i="1" s="1"/>
  <c r="GG3" i="1" s="1"/>
  <c r="GJ3" i="1" s="1"/>
  <c r="GM3" i="1" s="1"/>
  <c r="GP3" i="1" s="1"/>
  <c r="GS3" i="1" s="1"/>
  <c r="GV3" i="1" s="1"/>
  <c r="GY3" i="1" s="1"/>
  <c r="HB3" i="1" s="1"/>
  <c r="HE3" i="1" s="1"/>
  <c r="HH3" i="1" s="1"/>
  <c r="HK3" i="1" s="1"/>
  <c r="HN3" i="1" s="1"/>
  <c r="AG17" i="4"/>
  <c r="AG18" i="4"/>
  <c r="AG21" i="4"/>
  <c r="AG29" i="4"/>
  <c r="AG33" i="4"/>
  <c r="AA36" i="4"/>
  <c r="AA38" i="4"/>
  <c r="AA42" i="4"/>
  <c r="O43" i="4"/>
  <c r="O45" i="4"/>
  <c r="AA46" i="4"/>
  <c r="O47" i="4"/>
  <c r="O49" i="4"/>
  <c r="AA53" i="4"/>
  <c r="AG53" i="4"/>
  <c r="AA55" i="4"/>
  <c r="AA57" i="4"/>
  <c r="AA59" i="4"/>
  <c r="AG59" i="4"/>
  <c r="AA61" i="4"/>
  <c r="AA63" i="4"/>
  <c r="AA66" i="4"/>
  <c r="AA68" i="4"/>
  <c r="AG68" i="4"/>
  <c r="AA70" i="4"/>
  <c r="AG70" i="4"/>
  <c r="AG72" i="4"/>
  <c r="AA74" i="4"/>
  <c r="AC7" i="4"/>
  <c r="W7" i="4"/>
  <c r="K7" i="4"/>
  <c r="HN5" i="1"/>
  <c r="HK5" i="1"/>
  <c r="HH5" i="1"/>
  <c r="HH88" i="1" s="1"/>
  <c r="HE5" i="1"/>
  <c r="HB5" i="1"/>
  <c r="GY5" i="1"/>
  <c r="HA5" i="1" s="1"/>
  <c r="GV5" i="1"/>
  <c r="GV88" i="1" s="1"/>
  <c r="GS5" i="1"/>
  <c r="GP5" i="1"/>
  <c r="GM5" i="1"/>
  <c r="GO5" i="1" s="1"/>
  <c r="GJ5" i="1"/>
  <c r="GJ88" i="1" s="1"/>
  <c r="GG5" i="1"/>
  <c r="GD5" i="1"/>
  <c r="GA5" i="1"/>
  <c r="GC5" i="1" s="1"/>
  <c r="FX5" i="1"/>
  <c r="FZ5" i="1" s="1"/>
  <c r="FU5" i="1"/>
  <c r="FR5" i="1"/>
  <c r="FO5" i="1"/>
  <c r="FL5" i="1"/>
  <c r="FL88" i="1" s="1"/>
  <c r="FI5" i="1"/>
  <c r="FF5" i="1"/>
  <c r="FC5" i="1"/>
  <c r="FE5" i="1" s="1"/>
  <c r="EZ5" i="1"/>
  <c r="FB5" i="1" s="1"/>
  <c r="EW5" i="1"/>
  <c r="ET5" i="1"/>
  <c r="EQ5" i="1"/>
  <c r="ES5" i="1" s="1"/>
  <c r="EN5" i="1"/>
  <c r="EP5" i="1" s="1"/>
  <c r="EK5" i="1"/>
  <c r="EH5" i="1"/>
  <c r="EI5" i="1" s="1"/>
  <c r="EE5" i="1"/>
  <c r="EB5" i="1"/>
  <c r="ED5" i="1" s="1"/>
  <c r="DY5" i="1"/>
  <c r="DV5" i="1"/>
  <c r="DW5" i="1" s="1"/>
  <c r="DS5" i="1"/>
  <c r="DU5" i="1" s="1"/>
  <c r="DP5" i="1"/>
  <c r="DR5" i="1" s="1"/>
  <c r="DM5" i="1"/>
  <c r="DJ5" i="1"/>
  <c r="DG5" i="1"/>
  <c r="DI5" i="1" s="1"/>
  <c r="DD5" i="1"/>
  <c r="DF5" i="1" s="1"/>
  <c r="DA5" i="1"/>
  <c r="CX5" i="1"/>
  <c r="CX88" i="1" s="1"/>
  <c r="CU5" i="1"/>
  <c r="CW5" i="1" s="1"/>
  <c r="CR5" i="1"/>
  <c r="CT5" i="1" s="1"/>
  <c r="CO5" i="1"/>
  <c r="CL5" i="1"/>
  <c r="CL88" i="1" s="1"/>
  <c r="CI5" i="1"/>
  <c r="CK5" i="1" s="1"/>
  <c r="CF5" i="1"/>
  <c r="CH5" i="1" s="1"/>
  <c r="CC5" i="1"/>
  <c r="BZ5" i="1"/>
  <c r="BZ88" i="1" s="1"/>
  <c r="BW5" i="1"/>
  <c r="BY5" i="1" s="1"/>
  <c r="BT5" i="1"/>
  <c r="BV5" i="1" s="1"/>
  <c r="BQ5" i="1"/>
  <c r="BN5" i="1"/>
  <c r="BN88" i="1" s="1"/>
  <c r="BK5" i="1"/>
  <c r="BM5" i="1" s="1"/>
  <c r="BH5" i="1"/>
  <c r="BJ5" i="1" s="1"/>
  <c r="BE5" i="1"/>
  <c r="BB5" i="1"/>
  <c r="BB88" i="1" s="1"/>
  <c r="AY5" i="1"/>
  <c r="BA5" i="1" s="1"/>
  <c r="AV5" i="1"/>
  <c r="AX5" i="1" s="1"/>
  <c r="AS5" i="1"/>
  <c r="AP5" i="1"/>
  <c r="AP88" i="1" s="1"/>
  <c r="AM5" i="1"/>
  <c r="AO5" i="1" s="1"/>
  <c r="AJ5" i="1"/>
  <c r="AL5" i="1" s="1"/>
  <c r="AG5" i="1"/>
  <c r="AD5" i="1"/>
  <c r="AD88" i="1" s="1"/>
  <c r="AA5" i="1"/>
  <c r="AC5" i="1" s="1"/>
  <c r="X5" i="1"/>
  <c r="Z5" i="1" s="1"/>
  <c r="U5" i="1"/>
  <c r="R5" i="1"/>
  <c r="R88" i="1" s="1"/>
  <c r="O5" i="1"/>
  <c r="Q5" i="1" s="1"/>
  <c r="L5" i="1"/>
  <c r="N5" i="1" s="1"/>
  <c r="I5" i="1"/>
  <c r="F5" i="1"/>
  <c r="F88" i="1" s="1"/>
  <c r="C5" i="1"/>
  <c r="D5" i="1" s="1"/>
  <c r="EO5" i="1" l="1"/>
  <c r="AG79" i="4"/>
  <c r="AG77" i="4"/>
  <c r="AG71" i="4"/>
  <c r="AG69" i="4"/>
  <c r="AG67" i="4"/>
  <c r="H35" i="4"/>
  <c r="H33" i="4"/>
  <c r="H31" i="4"/>
  <c r="H29" i="4"/>
  <c r="H27" i="4"/>
  <c r="H15" i="4"/>
  <c r="AA50" i="4"/>
  <c r="AA79" i="4"/>
  <c r="AA77" i="4"/>
  <c r="AA73" i="4"/>
  <c r="AA71" i="4"/>
  <c r="AA69" i="4"/>
  <c r="AA67" i="4"/>
  <c r="AA64" i="4"/>
  <c r="AA62" i="4"/>
  <c r="AA58" i="4"/>
  <c r="AA56" i="4"/>
  <c r="AA52" i="4"/>
  <c r="H49" i="4"/>
  <c r="AA45" i="4"/>
  <c r="AA41" i="4"/>
  <c r="H39" i="4"/>
  <c r="AA37" i="4"/>
  <c r="U65" i="4"/>
  <c r="T65" i="4"/>
  <c r="AH40" i="4"/>
  <c r="AE84" i="4"/>
  <c r="H19" i="4"/>
  <c r="AG27" i="4"/>
  <c r="E9" i="4"/>
  <c r="H65" i="4"/>
  <c r="I65" i="4" s="1"/>
  <c r="G75" i="4"/>
  <c r="J75" i="4" s="1"/>
  <c r="AG31" i="4"/>
  <c r="AG23" i="4"/>
  <c r="O79" i="4"/>
  <c r="AA49" i="4"/>
  <c r="G79" i="4"/>
  <c r="J79" i="4" s="1"/>
  <c r="G77" i="4"/>
  <c r="J77" i="4" s="1"/>
  <c r="G73" i="4"/>
  <c r="J73" i="4" s="1"/>
  <c r="G71" i="4"/>
  <c r="J71" i="4" s="1"/>
  <c r="AH62" i="4"/>
  <c r="AH25" i="4"/>
  <c r="O77" i="4"/>
  <c r="O73" i="4"/>
  <c r="O71" i="4"/>
  <c r="O69" i="4"/>
  <c r="AG61" i="4"/>
  <c r="O75" i="4"/>
  <c r="O65" i="4"/>
  <c r="AG52" i="4"/>
  <c r="AG19" i="4"/>
  <c r="G60" i="4"/>
  <c r="J60" i="4" s="1"/>
  <c r="GX5" i="1"/>
  <c r="H69" i="4"/>
  <c r="H9" i="4"/>
  <c r="AA39" i="4"/>
  <c r="E10" i="4"/>
  <c r="E14" i="4"/>
  <c r="E18" i="4"/>
  <c r="E22" i="4"/>
  <c r="O67" i="4"/>
  <c r="O58" i="4"/>
  <c r="H57" i="4"/>
  <c r="H7" i="4"/>
  <c r="GL5" i="1"/>
  <c r="H67" i="4"/>
  <c r="J48" i="4"/>
  <c r="H37" i="4"/>
  <c r="J37" i="4" s="1"/>
  <c r="H11" i="4"/>
  <c r="G67" i="4"/>
  <c r="J67" i="4" s="1"/>
  <c r="H47" i="4"/>
  <c r="J47" i="4" s="1"/>
  <c r="H43" i="4"/>
  <c r="J43" i="4" s="1"/>
  <c r="H13" i="4"/>
  <c r="I13" i="4" s="1"/>
  <c r="AH17" i="4"/>
  <c r="AH15" i="4"/>
  <c r="FM5" i="1"/>
  <c r="H45" i="4"/>
  <c r="H41" i="4"/>
  <c r="G62" i="4"/>
  <c r="J62" i="4" s="1"/>
  <c r="H59" i="4"/>
  <c r="J59" i="4" s="1"/>
  <c r="J54" i="4"/>
  <c r="H51" i="4"/>
  <c r="J51" i="4" s="1"/>
  <c r="J35" i="4"/>
  <c r="AB16" i="4"/>
  <c r="AH69" i="4"/>
  <c r="AH65" i="4"/>
  <c r="AH59" i="4"/>
  <c r="AH57" i="4"/>
  <c r="AH55" i="4"/>
  <c r="AH51" i="4"/>
  <c r="AH44" i="4"/>
  <c r="AH42" i="4"/>
  <c r="AH38" i="4"/>
  <c r="AH36" i="4"/>
  <c r="AH34" i="4"/>
  <c r="AH32" i="4"/>
  <c r="AH30" i="4"/>
  <c r="AH28" i="4"/>
  <c r="AH26" i="4"/>
  <c r="AH24" i="4"/>
  <c r="AH22" i="4"/>
  <c r="AH20" i="4"/>
  <c r="AH18" i="4"/>
  <c r="AH16" i="4"/>
  <c r="AH14" i="4"/>
  <c r="AH12" i="4"/>
  <c r="AH10" i="4"/>
  <c r="DQ5" i="1"/>
  <c r="O59" i="4"/>
  <c r="O51" i="4"/>
  <c r="FA5" i="1"/>
  <c r="GK5" i="1"/>
  <c r="HI5" i="1"/>
  <c r="O63" i="4"/>
  <c r="O61" i="4"/>
  <c r="O57" i="4"/>
  <c r="O55" i="4"/>
  <c r="O53" i="4"/>
  <c r="G64" i="4"/>
  <c r="J64" i="4" s="1"/>
  <c r="H61" i="4"/>
  <c r="H53" i="4"/>
  <c r="J29" i="4"/>
  <c r="E12" i="4"/>
  <c r="E16" i="4"/>
  <c r="E20" i="4"/>
  <c r="E24" i="4"/>
  <c r="E28" i="4"/>
  <c r="E32" i="4"/>
  <c r="E36" i="4"/>
  <c r="H63" i="4"/>
  <c r="H55" i="4"/>
  <c r="I55" i="4" s="1"/>
  <c r="I39" i="4"/>
  <c r="H17" i="4"/>
  <c r="H50" i="4"/>
  <c r="H78" i="4"/>
  <c r="U78" i="4"/>
  <c r="O76" i="4"/>
  <c r="U76" i="4"/>
  <c r="O74" i="4"/>
  <c r="U74" i="4"/>
  <c r="H72" i="4"/>
  <c r="J72" i="4" s="1"/>
  <c r="U72" i="4"/>
  <c r="O70" i="4"/>
  <c r="U70" i="4"/>
  <c r="O68" i="4"/>
  <c r="U68" i="4"/>
  <c r="H66" i="4"/>
  <c r="I66" i="4" s="1"/>
  <c r="U66" i="4"/>
  <c r="P64" i="4"/>
  <c r="T64" i="4"/>
  <c r="R64" i="4"/>
  <c r="S64" i="4"/>
  <c r="P62" i="4"/>
  <c r="R62" i="4"/>
  <c r="T62" i="4"/>
  <c r="S62" i="4"/>
  <c r="P60" i="4"/>
  <c r="T60" i="4"/>
  <c r="R60" i="4"/>
  <c r="S60" i="4"/>
  <c r="P58" i="4"/>
  <c r="R58" i="4"/>
  <c r="S58" i="4"/>
  <c r="T58" i="4"/>
  <c r="P56" i="4"/>
  <c r="T56" i="4"/>
  <c r="R56" i="4"/>
  <c r="S56" i="4"/>
  <c r="P54" i="4"/>
  <c r="R54" i="4"/>
  <c r="S54" i="4"/>
  <c r="T54" i="4"/>
  <c r="P52" i="4"/>
  <c r="T52" i="4"/>
  <c r="R52" i="4"/>
  <c r="S52" i="4"/>
  <c r="P49" i="4"/>
  <c r="S49" i="4"/>
  <c r="T49" i="4"/>
  <c r="R49" i="4"/>
  <c r="P47" i="4"/>
  <c r="R47" i="4"/>
  <c r="S47" i="4"/>
  <c r="T47" i="4"/>
  <c r="P45" i="4"/>
  <c r="S45" i="4"/>
  <c r="T45" i="4"/>
  <c r="R45" i="4"/>
  <c r="P43" i="4"/>
  <c r="R43" i="4"/>
  <c r="S43" i="4"/>
  <c r="T43" i="4"/>
  <c r="P41" i="4"/>
  <c r="S41" i="4"/>
  <c r="T41" i="4"/>
  <c r="R41" i="4"/>
  <c r="P39" i="4"/>
  <c r="T39" i="4"/>
  <c r="R39" i="4"/>
  <c r="S39" i="4"/>
  <c r="P37" i="4"/>
  <c r="S37" i="4"/>
  <c r="T37" i="4"/>
  <c r="R37" i="4"/>
  <c r="H34" i="4"/>
  <c r="U34" i="4"/>
  <c r="H32" i="4"/>
  <c r="U32" i="4"/>
  <c r="H30" i="4"/>
  <c r="J30" i="4" s="1"/>
  <c r="U30" i="4"/>
  <c r="H28" i="4"/>
  <c r="U28" i="4"/>
  <c r="T20" i="4"/>
  <c r="U20" i="4"/>
  <c r="P18" i="4"/>
  <c r="R18" i="4"/>
  <c r="S18" i="4"/>
  <c r="T18" i="4"/>
  <c r="U15" i="4"/>
  <c r="T15" i="4"/>
  <c r="P13" i="4"/>
  <c r="R13" i="4"/>
  <c r="T13" i="4"/>
  <c r="S13" i="4"/>
  <c r="P11" i="4"/>
  <c r="S11" i="4"/>
  <c r="T11" i="4"/>
  <c r="R11" i="4"/>
  <c r="H8" i="4"/>
  <c r="J8" i="4" s="1"/>
  <c r="U8" i="4"/>
  <c r="T8" i="4"/>
  <c r="P78" i="4"/>
  <c r="R78" i="4"/>
  <c r="S78" i="4"/>
  <c r="T78" i="4"/>
  <c r="P76" i="4"/>
  <c r="T76" i="4"/>
  <c r="R76" i="4"/>
  <c r="S76" i="4"/>
  <c r="P74" i="4"/>
  <c r="R74" i="4"/>
  <c r="S74" i="4"/>
  <c r="T74" i="4"/>
  <c r="P72" i="4"/>
  <c r="T72" i="4"/>
  <c r="R72" i="4"/>
  <c r="S72" i="4"/>
  <c r="P70" i="4"/>
  <c r="R70" i="4"/>
  <c r="S70" i="4"/>
  <c r="T70" i="4"/>
  <c r="P68" i="4"/>
  <c r="T68" i="4"/>
  <c r="R68" i="4"/>
  <c r="S68" i="4"/>
  <c r="P66" i="4"/>
  <c r="R66" i="4"/>
  <c r="S66" i="4"/>
  <c r="T66" i="4"/>
  <c r="H46" i="4"/>
  <c r="I46" i="4" s="1"/>
  <c r="U46" i="4"/>
  <c r="H44" i="4"/>
  <c r="U44" i="4"/>
  <c r="H38" i="4"/>
  <c r="J38" i="4" s="1"/>
  <c r="U38" i="4"/>
  <c r="U36" i="4"/>
  <c r="T36" i="4"/>
  <c r="R34" i="4"/>
  <c r="T34" i="4"/>
  <c r="S34" i="4"/>
  <c r="P32" i="4"/>
  <c r="T32" i="4"/>
  <c r="S32" i="4"/>
  <c r="R32" i="4"/>
  <c r="P30" i="4"/>
  <c r="R30" i="4"/>
  <c r="S30" i="4"/>
  <c r="T30" i="4"/>
  <c r="T28" i="4"/>
  <c r="R28" i="4"/>
  <c r="S28" i="4"/>
  <c r="P25" i="4"/>
  <c r="T25" i="4"/>
  <c r="S25" i="4"/>
  <c r="R25" i="4"/>
  <c r="R23" i="4"/>
  <c r="S23" i="4"/>
  <c r="T23" i="4"/>
  <c r="H14" i="4"/>
  <c r="J14" i="4" s="1"/>
  <c r="U14" i="4"/>
  <c r="H12" i="4"/>
  <c r="J12" i="4" s="1"/>
  <c r="U12" i="4"/>
  <c r="H10" i="4"/>
  <c r="J10" i="4" s="1"/>
  <c r="U10" i="4"/>
  <c r="U7" i="4"/>
  <c r="T7" i="4"/>
  <c r="O50" i="4"/>
  <c r="U50" i="4"/>
  <c r="E26" i="4"/>
  <c r="E34" i="4"/>
  <c r="P63" i="4"/>
  <c r="S63" i="4"/>
  <c r="R63" i="4"/>
  <c r="T63" i="4"/>
  <c r="P61" i="4"/>
  <c r="S61" i="4"/>
  <c r="T61" i="4"/>
  <c r="R61" i="4"/>
  <c r="P59" i="4"/>
  <c r="R59" i="4"/>
  <c r="S59" i="4"/>
  <c r="T59" i="4"/>
  <c r="P57" i="4"/>
  <c r="S57" i="4"/>
  <c r="T57" i="4"/>
  <c r="R57" i="4"/>
  <c r="P55" i="4"/>
  <c r="R55" i="4"/>
  <c r="S55" i="4"/>
  <c r="T55" i="4"/>
  <c r="P53" i="4"/>
  <c r="S53" i="4"/>
  <c r="T53" i="4"/>
  <c r="R53" i="4"/>
  <c r="P51" i="4"/>
  <c r="R51" i="4"/>
  <c r="S51" i="4"/>
  <c r="T51" i="4"/>
  <c r="P48" i="4"/>
  <c r="T48" i="4"/>
  <c r="R48" i="4"/>
  <c r="S48" i="4"/>
  <c r="P46" i="4"/>
  <c r="R46" i="4"/>
  <c r="S46" i="4"/>
  <c r="T46" i="4"/>
  <c r="P44" i="4"/>
  <c r="T44" i="4"/>
  <c r="R44" i="4"/>
  <c r="S44" i="4"/>
  <c r="P42" i="4"/>
  <c r="R42" i="4"/>
  <c r="S42" i="4"/>
  <c r="T42" i="4"/>
  <c r="P40" i="4"/>
  <c r="T40" i="4"/>
  <c r="S40" i="4"/>
  <c r="R40" i="4"/>
  <c r="P38" i="4"/>
  <c r="R38" i="4"/>
  <c r="S38" i="4"/>
  <c r="T38" i="4"/>
  <c r="T27" i="4"/>
  <c r="U27" i="4"/>
  <c r="H24" i="4"/>
  <c r="J24" i="4" s="1"/>
  <c r="U24" i="4"/>
  <c r="H22" i="4"/>
  <c r="J22" i="4" s="1"/>
  <c r="U22" i="4"/>
  <c r="T22" i="4"/>
  <c r="P19" i="4"/>
  <c r="R19" i="4"/>
  <c r="S19" i="4"/>
  <c r="T19" i="4"/>
  <c r="P17" i="4"/>
  <c r="S17" i="4"/>
  <c r="R17" i="4"/>
  <c r="T17" i="4"/>
  <c r="P14" i="4"/>
  <c r="T14" i="4"/>
  <c r="S14" i="4"/>
  <c r="R14" i="4"/>
  <c r="P12" i="4"/>
  <c r="R12" i="4"/>
  <c r="S12" i="4"/>
  <c r="T12" i="4"/>
  <c r="P10" i="4"/>
  <c r="T10" i="4"/>
  <c r="R10" i="4"/>
  <c r="S10" i="4"/>
  <c r="AH8" i="4"/>
  <c r="I50" i="4"/>
  <c r="R50" i="4"/>
  <c r="S50" i="4"/>
  <c r="T50" i="4"/>
  <c r="J34" i="4"/>
  <c r="P79" i="4"/>
  <c r="R79" i="4"/>
  <c r="S79" i="4"/>
  <c r="T79" i="4"/>
  <c r="P77" i="4"/>
  <c r="S77" i="4"/>
  <c r="T77" i="4"/>
  <c r="R77" i="4"/>
  <c r="P75" i="4"/>
  <c r="R75" i="4"/>
  <c r="S75" i="4"/>
  <c r="T75" i="4"/>
  <c r="P73" i="4"/>
  <c r="S73" i="4"/>
  <c r="T73" i="4"/>
  <c r="R73" i="4"/>
  <c r="P71" i="4"/>
  <c r="S71" i="4"/>
  <c r="R71" i="4"/>
  <c r="T71" i="4"/>
  <c r="P69" i="4"/>
  <c r="S69" i="4"/>
  <c r="T69" i="4"/>
  <c r="R69" i="4"/>
  <c r="P67" i="4"/>
  <c r="R67" i="4"/>
  <c r="S67" i="4"/>
  <c r="T67" i="4"/>
  <c r="H62" i="4"/>
  <c r="U62" i="4"/>
  <c r="H58" i="4"/>
  <c r="J58" i="4" s="1"/>
  <c r="U58" i="4"/>
  <c r="H54" i="4"/>
  <c r="U54" i="4"/>
  <c r="P35" i="4"/>
  <c r="S35" i="4"/>
  <c r="T35" i="4"/>
  <c r="R35" i="4"/>
  <c r="P33" i="4"/>
  <c r="S33" i="4"/>
  <c r="R33" i="4"/>
  <c r="T33" i="4"/>
  <c r="P31" i="4"/>
  <c r="T31" i="4"/>
  <c r="R31" i="4"/>
  <c r="S31" i="4"/>
  <c r="P29" i="4"/>
  <c r="S29" i="4"/>
  <c r="T29" i="4"/>
  <c r="R29" i="4"/>
  <c r="H26" i="4"/>
  <c r="J26" i="4" s="1"/>
  <c r="U26" i="4"/>
  <c r="T26" i="4"/>
  <c r="P24" i="4"/>
  <c r="R24" i="4"/>
  <c r="T24" i="4"/>
  <c r="S24" i="4"/>
  <c r="U21" i="4"/>
  <c r="T21" i="4"/>
  <c r="H18" i="4"/>
  <c r="J18" i="4" s="1"/>
  <c r="U18" i="4"/>
  <c r="H16" i="4"/>
  <c r="J16" i="4" s="1"/>
  <c r="U16" i="4"/>
  <c r="T16" i="4"/>
  <c r="U9" i="4"/>
  <c r="T9" i="4"/>
  <c r="O48" i="4"/>
  <c r="W80" i="4"/>
  <c r="E38" i="4"/>
  <c r="E41" i="4"/>
  <c r="E45" i="4"/>
  <c r="E49" i="4"/>
  <c r="E78" i="4"/>
  <c r="I69" i="4"/>
  <c r="J45" i="4"/>
  <c r="J21" i="4"/>
  <c r="P8" i="4"/>
  <c r="AB36" i="4"/>
  <c r="AB22" i="4"/>
  <c r="AG13" i="4"/>
  <c r="AG11" i="4"/>
  <c r="AG9" i="4"/>
  <c r="AG7" i="4"/>
  <c r="E39" i="4"/>
  <c r="E43" i="4"/>
  <c r="E47" i="4"/>
  <c r="E53" i="4"/>
  <c r="E76" i="4"/>
  <c r="J41" i="4"/>
  <c r="J33" i="4"/>
  <c r="J25" i="4"/>
  <c r="J17" i="4"/>
  <c r="I11" i="4"/>
  <c r="J9" i="4"/>
  <c r="P27" i="4"/>
  <c r="P23" i="4"/>
  <c r="P21" i="4"/>
  <c r="P15" i="4"/>
  <c r="P9" i="4"/>
  <c r="P7" i="4"/>
  <c r="AB27" i="4"/>
  <c r="AB23" i="4"/>
  <c r="AB21" i="4"/>
  <c r="AG12" i="4"/>
  <c r="AG10" i="4"/>
  <c r="AG8" i="4"/>
  <c r="E5" i="1"/>
  <c r="K5" i="1"/>
  <c r="I88" i="1"/>
  <c r="W5" i="1"/>
  <c r="U88" i="1"/>
  <c r="AI5" i="1"/>
  <c r="AG88" i="1"/>
  <c r="AU5" i="1"/>
  <c r="AS88" i="1"/>
  <c r="BG5" i="1"/>
  <c r="BE88" i="1"/>
  <c r="BS5" i="1"/>
  <c r="BQ88" i="1"/>
  <c r="CE5" i="1"/>
  <c r="CC88" i="1"/>
  <c r="CQ5" i="1"/>
  <c r="CO88" i="1"/>
  <c r="DC5" i="1"/>
  <c r="DA88" i="1"/>
  <c r="DX5" i="1"/>
  <c r="DV88" i="1"/>
  <c r="EC5" i="1"/>
  <c r="ER5" i="1"/>
  <c r="EQ88" i="1"/>
  <c r="FH5" i="1"/>
  <c r="FF88" i="1"/>
  <c r="FN5" i="1"/>
  <c r="FW5" i="1"/>
  <c r="FU88" i="1"/>
  <c r="GB5" i="1"/>
  <c r="GA88" i="1"/>
  <c r="GW5" i="1"/>
  <c r="HD5" i="1"/>
  <c r="HB88" i="1"/>
  <c r="HJ5" i="1"/>
  <c r="E8" i="4"/>
  <c r="E31" i="4"/>
  <c r="E54" i="4"/>
  <c r="E57" i="4"/>
  <c r="E61" i="4"/>
  <c r="E69" i="4"/>
  <c r="E73" i="4"/>
  <c r="J39" i="4"/>
  <c r="J31" i="4"/>
  <c r="J23" i="4"/>
  <c r="J15" i="4"/>
  <c r="I9" i="4"/>
  <c r="J7" i="4"/>
  <c r="P65" i="4"/>
  <c r="P36" i="4"/>
  <c r="P34" i="4"/>
  <c r="P28" i="4"/>
  <c r="P26" i="4"/>
  <c r="P22" i="4"/>
  <c r="P20" i="4"/>
  <c r="P16" i="4"/>
  <c r="X88" i="1"/>
  <c r="BT88" i="1"/>
  <c r="DP88" i="1"/>
  <c r="O10" i="4"/>
  <c r="O64" i="4"/>
  <c r="O60" i="4"/>
  <c r="O56" i="4"/>
  <c r="O52" i="4"/>
  <c r="O11" i="4"/>
  <c r="O9" i="4"/>
  <c r="O7" i="4"/>
  <c r="AA78" i="4"/>
  <c r="AA76" i="4"/>
  <c r="AA72" i="4"/>
  <c r="AA60" i="4"/>
  <c r="AA54" i="4"/>
  <c r="AA11" i="4"/>
  <c r="AA9" i="4"/>
  <c r="AA7" i="4"/>
  <c r="AG78" i="4"/>
  <c r="AG64" i="4"/>
  <c r="AG62" i="4"/>
  <c r="AJ88" i="1"/>
  <c r="CF88" i="1"/>
  <c r="EB88" i="1"/>
  <c r="FX88" i="1"/>
  <c r="O8" i="4"/>
  <c r="DL5" i="1"/>
  <c r="DJ88" i="1"/>
  <c r="EF5" i="1"/>
  <c r="EE88" i="1"/>
  <c r="EM5" i="1"/>
  <c r="EK88" i="1"/>
  <c r="FK5" i="1"/>
  <c r="FI88" i="1"/>
  <c r="FP5" i="1"/>
  <c r="FO88" i="1"/>
  <c r="GR5" i="1"/>
  <c r="GP88" i="1"/>
  <c r="HG5" i="1"/>
  <c r="HE88" i="1"/>
  <c r="HL5" i="1"/>
  <c r="HK88" i="1"/>
  <c r="G5" i="1"/>
  <c r="M5" i="1"/>
  <c r="S5" i="1"/>
  <c r="Y5" i="1"/>
  <c r="AE5" i="1"/>
  <c r="AK5" i="1"/>
  <c r="AQ5" i="1"/>
  <c r="AW5" i="1"/>
  <c r="BC5" i="1"/>
  <c r="BI5" i="1"/>
  <c r="BO5" i="1"/>
  <c r="BU5" i="1"/>
  <c r="CA5" i="1"/>
  <c r="CG5" i="1"/>
  <c r="CM5" i="1"/>
  <c r="CS5" i="1"/>
  <c r="CY5" i="1"/>
  <c r="DE5" i="1"/>
  <c r="DK5" i="1"/>
  <c r="DT5" i="1"/>
  <c r="DS88" i="1"/>
  <c r="EA5" i="1"/>
  <c r="DY88" i="1"/>
  <c r="EG5" i="1"/>
  <c r="EV5" i="1"/>
  <c r="ET88" i="1"/>
  <c r="FD5" i="1"/>
  <c r="FC88" i="1"/>
  <c r="FQ5" i="1"/>
  <c r="FY5" i="1"/>
  <c r="GF5" i="1"/>
  <c r="GD88" i="1"/>
  <c r="GU5" i="1"/>
  <c r="GS88" i="1"/>
  <c r="GZ5" i="1"/>
  <c r="GY88" i="1"/>
  <c r="HM5" i="1"/>
  <c r="E29" i="4"/>
  <c r="E51" i="4"/>
  <c r="E55" i="4"/>
  <c r="E59" i="4"/>
  <c r="E63" i="4"/>
  <c r="E67" i="4"/>
  <c r="E71" i="4"/>
  <c r="E75" i="4"/>
  <c r="J27" i="4"/>
  <c r="J19" i="4"/>
  <c r="J11" i="4"/>
  <c r="AV88" i="1"/>
  <c r="CR88" i="1"/>
  <c r="EN88" i="1"/>
  <c r="H5" i="1"/>
  <c r="P5" i="1"/>
  <c r="O88" i="1"/>
  <c r="T5" i="1"/>
  <c r="AB5" i="1"/>
  <c r="AA88" i="1"/>
  <c r="AF5" i="1"/>
  <c r="AN5" i="1"/>
  <c r="AM88" i="1"/>
  <c r="AR5" i="1"/>
  <c r="AZ5" i="1"/>
  <c r="AY88" i="1"/>
  <c r="BD5" i="1"/>
  <c r="BL5" i="1"/>
  <c r="BK88" i="1"/>
  <c r="BP5" i="1"/>
  <c r="BX5" i="1"/>
  <c r="BW88" i="1"/>
  <c r="CB5" i="1"/>
  <c r="CJ5" i="1"/>
  <c r="CI88" i="1"/>
  <c r="CN5" i="1"/>
  <c r="CV5" i="1"/>
  <c r="CU88" i="1"/>
  <c r="CZ5" i="1"/>
  <c r="DH5" i="1"/>
  <c r="DG88" i="1"/>
  <c r="DO5" i="1"/>
  <c r="DM88" i="1"/>
  <c r="EJ5" i="1"/>
  <c r="EH88" i="1"/>
  <c r="EY5" i="1"/>
  <c r="EW88" i="1"/>
  <c r="FT5" i="1"/>
  <c r="FR88" i="1"/>
  <c r="GI5" i="1"/>
  <c r="GG88" i="1"/>
  <c r="GN5" i="1"/>
  <c r="GM88" i="1"/>
  <c r="HP5" i="1"/>
  <c r="HN88" i="1"/>
  <c r="I10" i="4"/>
  <c r="H77" i="4"/>
  <c r="H75" i="4"/>
  <c r="I75" i="4" s="1"/>
  <c r="H73" i="4"/>
  <c r="H71" i="4"/>
  <c r="AA48" i="4"/>
  <c r="AA44" i="4"/>
  <c r="AA40" i="4"/>
  <c r="AA12" i="4"/>
  <c r="AA10" i="4"/>
  <c r="AA8" i="4"/>
  <c r="AG32" i="4"/>
  <c r="L88" i="1"/>
  <c r="BH88" i="1"/>
  <c r="DD88" i="1"/>
  <c r="EZ88" i="1"/>
  <c r="O12" i="4"/>
  <c r="E50" i="4"/>
  <c r="P50" i="4"/>
  <c r="AG28" i="4"/>
  <c r="AG24" i="4"/>
  <c r="AG20" i="4"/>
  <c r="AG16" i="4"/>
  <c r="J50" i="4"/>
  <c r="J65" i="4"/>
  <c r="M80" i="4"/>
  <c r="S80" i="4" s="1"/>
  <c r="AC80" i="4"/>
  <c r="O66" i="4"/>
  <c r="E11" i="4"/>
  <c r="E15" i="4"/>
  <c r="E19" i="4"/>
  <c r="E23" i="4"/>
  <c r="E27" i="4"/>
  <c r="E33" i="4"/>
  <c r="E37" i="4"/>
  <c r="E42" i="4"/>
  <c r="E46" i="4"/>
  <c r="E56" i="4"/>
  <c r="E60" i="4"/>
  <c r="E64" i="4"/>
  <c r="E68" i="4"/>
  <c r="E72" i="4"/>
  <c r="E77" i="4"/>
  <c r="Y80" i="4"/>
  <c r="H79" i="4"/>
  <c r="K80" i="4"/>
  <c r="O62" i="4"/>
  <c r="O54" i="4"/>
  <c r="O42" i="4"/>
  <c r="O78" i="4"/>
  <c r="E13" i="4"/>
  <c r="E17" i="4"/>
  <c r="E21" i="4"/>
  <c r="E25" i="4"/>
  <c r="E30" i="4"/>
  <c r="E35" i="4"/>
  <c r="E40" i="4"/>
  <c r="E44" i="4"/>
  <c r="E48" i="4"/>
  <c r="E52" i="4"/>
  <c r="E58" i="4"/>
  <c r="E62" i="4"/>
  <c r="E66" i="4"/>
  <c r="E70" i="4"/>
  <c r="E74" i="4"/>
  <c r="E79" i="4"/>
  <c r="AG73" i="4"/>
  <c r="AG65" i="4"/>
  <c r="AG63" i="4"/>
  <c r="AG34" i="4"/>
  <c r="AF80" i="4"/>
  <c r="AH80" i="4" s="1"/>
  <c r="AG75" i="4"/>
  <c r="AG66" i="4"/>
  <c r="AG60" i="4"/>
  <c r="AG58" i="4"/>
  <c r="AG76" i="4"/>
  <c r="AG74" i="4"/>
  <c r="AG56" i="4"/>
  <c r="AA75" i="4"/>
  <c r="N80" i="4"/>
  <c r="U80" i="4" s="1"/>
  <c r="O72" i="4"/>
  <c r="O46" i="4"/>
  <c r="O44" i="4"/>
  <c r="H76" i="4"/>
  <c r="H74" i="4"/>
  <c r="I74" i="4" s="1"/>
  <c r="H70" i="4"/>
  <c r="I70" i="4" s="1"/>
  <c r="H68" i="4"/>
  <c r="I68" i="4" s="1"/>
  <c r="H64" i="4"/>
  <c r="H60" i="4"/>
  <c r="I60" i="4" s="1"/>
  <c r="H56" i="4"/>
  <c r="J56" i="4" s="1"/>
  <c r="H52" i="4"/>
  <c r="J52" i="4" s="1"/>
  <c r="H48" i="4"/>
  <c r="H42" i="4"/>
  <c r="J42" i="4" s="1"/>
  <c r="H40" i="4"/>
  <c r="I40" i="4" s="1"/>
  <c r="H36" i="4"/>
  <c r="J36" i="4" s="1"/>
  <c r="I71" i="4"/>
  <c r="I62" i="4"/>
  <c r="AG43" i="4"/>
  <c r="O34" i="4"/>
  <c r="O23" i="4"/>
  <c r="I67" i="4"/>
  <c r="I63" i="4"/>
  <c r="I61" i="4"/>
  <c r="I59" i="4"/>
  <c r="AG48" i="4"/>
  <c r="AG44" i="4"/>
  <c r="O35" i="4"/>
  <c r="AA34" i="4"/>
  <c r="O28" i="4"/>
  <c r="O24" i="4"/>
  <c r="O20" i="4"/>
  <c r="O16" i="4"/>
  <c r="AG47" i="4"/>
  <c r="O33" i="4"/>
  <c r="O27" i="4"/>
  <c r="O15" i="4"/>
  <c r="AG49" i="4"/>
  <c r="AG45" i="4"/>
  <c r="AG41" i="4"/>
  <c r="I41" i="4"/>
  <c r="AG40" i="4"/>
  <c r="AG39" i="4"/>
  <c r="AG38" i="4"/>
  <c r="I38" i="4"/>
  <c r="AG37" i="4"/>
  <c r="AG36" i="4"/>
  <c r="O29" i="4"/>
  <c r="O25" i="4"/>
  <c r="O21" i="4"/>
  <c r="O17" i="4"/>
  <c r="O13" i="4"/>
  <c r="AG51" i="4"/>
  <c r="O31" i="4"/>
  <c r="O19" i="4"/>
  <c r="AA51" i="4"/>
  <c r="AG50" i="4"/>
  <c r="AA47" i="4"/>
  <c r="AG46" i="4"/>
  <c r="AA43" i="4"/>
  <c r="AG42" i="4"/>
  <c r="AG35" i="4"/>
  <c r="O30" i="4"/>
  <c r="O26" i="4"/>
  <c r="O22" i="4"/>
  <c r="O18" i="4"/>
  <c r="O14" i="4"/>
  <c r="O41" i="4"/>
  <c r="O40" i="4"/>
  <c r="O39" i="4"/>
  <c r="O38" i="4"/>
  <c r="O37" i="4"/>
  <c r="O36" i="4"/>
  <c r="AA33" i="4"/>
  <c r="AA31" i="4"/>
  <c r="AA30" i="4"/>
  <c r="AA29" i="4"/>
  <c r="AA28" i="4"/>
  <c r="AA27" i="4"/>
  <c r="AA26" i="4"/>
  <c r="AA25" i="4"/>
  <c r="AA24" i="4"/>
  <c r="AA23" i="4"/>
  <c r="AA22" i="4"/>
  <c r="AA21" i="4"/>
  <c r="AA19" i="4"/>
  <c r="AA18" i="4"/>
  <c r="AA17" i="4"/>
  <c r="AA16" i="4"/>
  <c r="AA15" i="4"/>
  <c r="AA14" i="4"/>
  <c r="AA13" i="4"/>
  <c r="O32" i="4"/>
  <c r="AA35" i="4"/>
  <c r="AA32" i="4"/>
  <c r="E7" i="4"/>
  <c r="J5" i="1"/>
  <c r="V5" i="1"/>
  <c r="AH5" i="1"/>
  <c r="AT5" i="1"/>
  <c r="BF5" i="1"/>
  <c r="BR5" i="1"/>
  <c r="CD5" i="1"/>
  <c r="CP5" i="1"/>
  <c r="DB5" i="1"/>
  <c r="DN5" i="1"/>
  <c r="DZ5" i="1"/>
  <c r="EL5" i="1"/>
  <c r="EX5" i="1"/>
  <c r="FJ5" i="1"/>
  <c r="FV5" i="1"/>
  <c r="GH5" i="1"/>
  <c r="GT5" i="1"/>
  <c r="HF5" i="1"/>
  <c r="EU5" i="1"/>
  <c r="FG5" i="1"/>
  <c r="FS5" i="1"/>
  <c r="GE5" i="1"/>
  <c r="GQ5" i="1"/>
  <c r="HC5" i="1"/>
  <c r="HO5" i="1"/>
  <c r="I12" i="4" l="1"/>
  <c r="G80" i="4"/>
  <c r="J28" i="4"/>
  <c r="J32" i="4"/>
  <c r="J13" i="4"/>
  <c r="I37" i="4"/>
  <c r="I35" i="4"/>
  <c r="I56" i="4"/>
  <c r="I72" i="4"/>
  <c r="I64" i="4"/>
  <c r="I58" i="4"/>
  <c r="I8" i="4"/>
  <c r="J44" i="4"/>
  <c r="R80" i="4"/>
  <c r="T80" i="4"/>
  <c r="P80" i="4"/>
  <c r="I42" i="4"/>
  <c r="AG80" i="4"/>
  <c r="E80" i="4"/>
  <c r="I36" i="4"/>
  <c r="I76" i="4"/>
  <c r="O80" i="4"/>
  <c r="I79" i="4"/>
  <c r="I78" i="4"/>
  <c r="I22" i="4"/>
  <c r="I29" i="4"/>
  <c r="I73" i="4"/>
  <c r="I18" i="4"/>
  <c r="I33" i="4"/>
  <c r="I25" i="4"/>
  <c r="I52" i="4"/>
  <c r="I15" i="4"/>
  <c r="I16" i="4"/>
  <c r="I43" i="4"/>
  <c r="I34" i="4"/>
  <c r="I77" i="4"/>
  <c r="I27" i="4"/>
  <c r="I47" i="4"/>
  <c r="I30" i="4"/>
  <c r="I21" i="4"/>
  <c r="I28" i="4"/>
  <c r="I23" i="4"/>
  <c r="I54" i="4"/>
  <c r="I57" i="4"/>
  <c r="I53" i="4"/>
  <c r="I32" i="4"/>
  <c r="I19" i="4"/>
  <c r="I14" i="4"/>
  <c r="I45" i="4"/>
  <c r="I48" i="4"/>
  <c r="I26" i="4"/>
  <c r="I49" i="4"/>
  <c r="I31" i="4"/>
  <c r="I17" i="4"/>
  <c r="I44" i="4"/>
  <c r="I24" i="4"/>
  <c r="I51" i="4"/>
  <c r="I7" i="4"/>
  <c r="HP77" i="1"/>
  <c r="HO77" i="1"/>
  <c r="HN77" i="1"/>
  <c r="HM77" i="1"/>
  <c r="HL77" i="1"/>
  <c r="HK77" i="1"/>
  <c r="HJ77" i="1"/>
  <c r="HI77" i="1"/>
  <c r="HH77" i="1"/>
  <c r="HG77" i="1"/>
  <c r="HF77" i="1"/>
  <c r="HE77" i="1"/>
  <c r="HD77" i="1"/>
  <c r="HC77" i="1"/>
  <c r="HB77" i="1"/>
  <c r="HA77" i="1"/>
  <c r="GZ77" i="1"/>
  <c r="GY77" i="1"/>
  <c r="GX77" i="1"/>
  <c r="GW77" i="1"/>
  <c r="GV77" i="1"/>
  <c r="GU77" i="1"/>
  <c r="GT77" i="1"/>
  <c r="GS77" i="1"/>
  <c r="GR77" i="1"/>
  <c r="GQ77" i="1"/>
  <c r="GP77" i="1"/>
  <c r="GO77" i="1"/>
  <c r="GN77" i="1"/>
  <c r="GM77" i="1"/>
  <c r="GL77" i="1"/>
  <c r="GK77" i="1"/>
  <c r="GJ77" i="1"/>
  <c r="GI77" i="1"/>
  <c r="GH77" i="1"/>
  <c r="GG77" i="1"/>
  <c r="GF77" i="1"/>
  <c r="GE77" i="1"/>
  <c r="GD77" i="1"/>
  <c r="GC77" i="1"/>
  <c r="GB77" i="1"/>
  <c r="GA77" i="1"/>
  <c r="FZ77" i="1"/>
  <c r="FY77" i="1"/>
  <c r="FX77" i="1"/>
  <c r="FW77" i="1"/>
  <c r="FV77" i="1"/>
  <c r="FU77" i="1"/>
  <c r="FT77" i="1"/>
  <c r="FS77" i="1"/>
  <c r="FR77" i="1"/>
  <c r="FQ77" i="1"/>
  <c r="FP77" i="1"/>
  <c r="FO77" i="1"/>
  <c r="FN77" i="1"/>
  <c r="FM77" i="1"/>
  <c r="FL77" i="1"/>
  <c r="FK77" i="1"/>
  <c r="FJ77" i="1"/>
  <c r="FI77" i="1"/>
  <c r="FH77" i="1"/>
  <c r="FG77" i="1"/>
  <c r="FF77" i="1"/>
  <c r="FE77" i="1"/>
  <c r="FD77" i="1"/>
  <c r="FC77" i="1"/>
  <c r="FB77" i="1"/>
  <c r="FA77" i="1"/>
  <c r="EZ77" i="1"/>
  <c r="EY77" i="1"/>
  <c r="EX77" i="1"/>
  <c r="EW77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U9" i="1" l="1"/>
  <c r="AU25" i="1"/>
  <c r="Z20" i="4" s="1"/>
  <c r="E9" i="1"/>
  <c r="E25" i="1"/>
  <c r="Z81" i="4" s="1"/>
  <c r="H81" i="4" l="1"/>
  <c r="Z80" i="4"/>
  <c r="AB80" i="4" s="1"/>
  <c r="AB20" i="4"/>
  <c r="AA20" i="4"/>
  <c r="AA80" i="4" s="1"/>
  <c r="H20" i="4"/>
  <c r="J20" i="4" l="1"/>
  <c r="H80" i="4"/>
  <c r="J80" i="4" s="1"/>
  <c r="I20" i="4"/>
  <c r="I80" i="4" s="1"/>
</calcChain>
</file>

<file path=xl/comments1.xml><?xml version="1.0" encoding="utf-8"?>
<comments xmlns="http://schemas.openxmlformats.org/spreadsheetml/2006/main">
  <authors>
    <author>Uživatel systému Windows</author>
  </authors>
  <commentList>
    <comment ref="AE14" authorId="0" shapeId="0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+robot Z512 hodnota z COG</t>
        </r>
      </text>
    </comment>
    <comment ref="AE18" authorId="0" shapeId="0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+robot Z512 z COG
</t>
        </r>
      </text>
    </comment>
    <comment ref="AE19" authorId="0" shapeId="0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+robot Z512 z COG
</t>
        </r>
      </text>
    </comment>
    <comment ref="AE50" authorId="0" shapeId="0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ponížení o hodnoty z COG na robota Z512,kliniky 08,12,13
</t>
        </r>
      </text>
    </comment>
    <comment ref="AD75" authorId="0" shapeId="0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NS:93,94,95
</t>
        </r>
      </text>
    </comment>
  </commentList>
</comments>
</file>

<file path=xl/comments2.xml><?xml version="1.0" encoding="utf-8"?>
<comments xmlns="http://schemas.openxmlformats.org/spreadsheetml/2006/main">
  <authors>
    <author>Uživatel systému Windows</author>
  </authors>
  <commentList>
    <comment ref="AE14" authorId="0" shapeId="0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+robot Z512 hodnota z COG</t>
        </r>
      </text>
    </comment>
    <comment ref="AE18" authorId="0" shapeId="0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+robot Z512 z COG
</t>
        </r>
      </text>
    </comment>
    <comment ref="AE19" authorId="0" shapeId="0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+robot Z512 z COG
</t>
        </r>
      </text>
    </comment>
    <comment ref="AE50" authorId="0" shapeId="0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ponížení o hodnoty z COG na robota Z512,kliniky 08,12,13
</t>
        </r>
      </text>
    </comment>
    <comment ref="AD75" authorId="0" shapeId="0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NS:93,94,95
</t>
        </r>
      </text>
    </comment>
  </commentList>
</comments>
</file>

<file path=xl/sharedStrings.xml><?xml version="1.0" encoding="utf-8"?>
<sst xmlns="http://schemas.openxmlformats.org/spreadsheetml/2006/main" count="1874" uniqueCount="585">
  <si>
    <t>PALO_SERVER/FNOL</t>
  </si>
  <si>
    <t>FINAL6</t>
  </si>
  <si>
    <t>Y2018</t>
  </si>
  <si>
    <t>A50119100</t>
  </si>
  <si>
    <t>A50119101</t>
  </si>
  <si>
    <t>A50119102</t>
  </si>
  <si>
    <t>ICOtotal</t>
  </si>
  <si>
    <t>Y</t>
  </si>
  <si>
    <t>Fakultní nemocnice Olomouc - útvary</t>
  </si>
  <si>
    <t>I. interní klinika - kardiologická</t>
  </si>
  <si>
    <t>II. interní klinika gastroenterologie a geriatrie</t>
  </si>
  <si>
    <t>III. interní klinika - nefrologická, revmatologická a endokrinologická</t>
  </si>
  <si>
    <t>I. chirurgická klinika</t>
  </si>
  <si>
    <t>II. chirurgická klinika - cévně-transplantační</t>
  </si>
  <si>
    <t>Neurochirurgická klinika</t>
  </si>
  <si>
    <t>Klinika anesteziologie, resuscitace a intenzivní medicíny</t>
  </si>
  <si>
    <t>Porodnicko-gynekologická klinika</t>
  </si>
  <si>
    <t>Novorozenecké oddělení</t>
  </si>
  <si>
    <t>Dětská klinika</t>
  </si>
  <si>
    <t>Ortopedická klinika</t>
  </si>
  <si>
    <t>Urologická klinika</t>
  </si>
  <si>
    <t>Otolaryngologická klinika</t>
  </si>
  <si>
    <t>Oční klinika</t>
  </si>
  <si>
    <t>Oddělení alergologie a kl. imun.</t>
  </si>
  <si>
    <t>Klinika plicních nemocí a tuberkulózy</t>
  </si>
  <si>
    <t>Neurologická klinika</t>
  </si>
  <si>
    <t>Klinika psychiatrie</t>
  </si>
  <si>
    <t>Klinika pracovního lékařství</t>
  </si>
  <si>
    <t>Klinika chorob kožních a pohlavních</t>
  </si>
  <si>
    <t>Onkologická klinika</t>
  </si>
  <si>
    <t>Klinika nukleární medicíny</t>
  </si>
  <si>
    <t>Klinika zubního lékařství</t>
  </si>
  <si>
    <t>Klinika ústní,čelistní a obličejové chirurgie</t>
  </si>
  <si>
    <t>Oddělení rehabilitace</t>
  </si>
  <si>
    <t>Klinika tělovýchovného lékařství a kardiovaskulární rehabilitace</t>
  </si>
  <si>
    <t>Ústav lékařské genetiky</t>
  </si>
  <si>
    <t>Oddělení plastické a estetické chirurgie</t>
  </si>
  <si>
    <t>Traumatologická klinika</t>
  </si>
  <si>
    <t>Hemato-onkologická klinika</t>
  </si>
  <si>
    <t>Oddělení klinické biochemie</t>
  </si>
  <si>
    <t>Radiologická klinika</t>
  </si>
  <si>
    <t>Transfuzní oddělení</t>
  </si>
  <si>
    <t>Oddělení klinické logopedie</t>
  </si>
  <si>
    <t>Ústav klinické a molekulární patologie</t>
  </si>
  <si>
    <t>Ústav soudního lékařství a medicínského práva</t>
  </si>
  <si>
    <t>Oddělení klinické psychologie</t>
  </si>
  <si>
    <t>Ústav mikrobiologie</t>
  </si>
  <si>
    <t>Ústav imunologie</t>
  </si>
  <si>
    <t>Ústav farmakologie</t>
  </si>
  <si>
    <t>Laboratoř experimentální medicíny</t>
  </si>
  <si>
    <t>Sociální oddělení</t>
  </si>
  <si>
    <t>Transplantační centrum</t>
  </si>
  <si>
    <t xml:space="preserve">Centrální operační sály </t>
  </si>
  <si>
    <t>Lékárna</t>
  </si>
  <si>
    <t>Kardiochirurgická klinika</t>
  </si>
  <si>
    <t>NTMC - Národní telemedicínské centrum</t>
  </si>
  <si>
    <t>Oddělení lékařské fyziky a radiační ochrany</t>
  </si>
  <si>
    <t>Oddělení nemocniční hygieny</t>
  </si>
  <si>
    <t>Oddělení centrální sterilizace</t>
  </si>
  <si>
    <t>Nutriční ambulance</t>
  </si>
  <si>
    <t>Oddělení intenzivní péče chirurgických oborů</t>
  </si>
  <si>
    <t>Oddělení urgentního příjmu</t>
  </si>
  <si>
    <t>Centrum CLINREC</t>
  </si>
  <si>
    <t>Klinická hodnocení</t>
  </si>
  <si>
    <t>Granty</t>
  </si>
  <si>
    <t>Institucionální podpora</t>
  </si>
  <si>
    <t>pomocná střediska</t>
  </si>
  <si>
    <t>Úsek ředitele</t>
  </si>
  <si>
    <t>Úsek léčebné péče</t>
  </si>
  <si>
    <t>Útvar ekonomiky a zdravotních pojišťoven</t>
  </si>
  <si>
    <t>Útvar hospodářsko technické správy</t>
  </si>
  <si>
    <t>Odbor investic</t>
  </si>
  <si>
    <t>Personální úsek</t>
  </si>
  <si>
    <t>Úsek informačních technologií</t>
  </si>
  <si>
    <t>Obchodní úsek</t>
  </si>
  <si>
    <t>Marketingové akce FNOL</t>
  </si>
  <si>
    <t>Údržby, provozy</t>
  </si>
  <si>
    <t>Stavby</t>
  </si>
  <si>
    <t>Transfery MZ ČR + refundace</t>
  </si>
  <si>
    <t>Pronájmy</t>
  </si>
  <si>
    <t>Nezařazeno</t>
  </si>
  <si>
    <t>CCtotalU</t>
  </si>
  <si>
    <t>CC0100U</t>
  </si>
  <si>
    <t>CC0200U</t>
  </si>
  <si>
    <t>CC0300U</t>
  </si>
  <si>
    <t>CC0400U</t>
  </si>
  <si>
    <t>CC0500U</t>
  </si>
  <si>
    <t>CC0600U</t>
  </si>
  <si>
    <t>CC0700U</t>
  </si>
  <si>
    <t>CC0800U</t>
  </si>
  <si>
    <t>CC0900U</t>
  </si>
  <si>
    <t>CC1000U</t>
  </si>
  <si>
    <t>CC1100U</t>
  </si>
  <si>
    <t>CC1200U</t>
  </si>
  <si>
    <t>CC1300U</t>
  </si>
  <si>
    <t>CC1400U</t>
  </si>
  <si>
    <t>CC1500U</t>
  </si>
  <si>
    <t>CC1600U</t>
  </si>
  <si>
    <t>CC1700U</t>
  </si>
  <si>
    <t>CC1800U</t>
  </si>
  <si>
    <t>CC1900U</t>
  </si>
  <si>
    <t>CC2000U</t>
  </si>
  <si>
    <t>CC2100U</t>
  </si>
  <si>
    <t>CC2200U</t>
  </si>
  <si>
    <t>CC2400U</t>
  </si>
  <si>
    <t>CC2500U</t>
  </si>
  <si>
    <t>CC2600U</t>
  </si>
  <si>
    <t>CC2700U</t>
  </si>
  <si>
    <t>CC2800U</t>
  </si>
  <si>
    <t>CC2900U</t>
  </si>
  <si>
    <t>CC3100U</t>
  </si>
  <si>
    <t>CC3200U</t>
  </si>
  <si>
    <t>CC3300U</t>
  </si>
  <si>
    <t>CC3400U</t>
  </si>
  <si>
    <t>CC3500U</t>
  </si>
  <si>
    <t>CC3600U</t>
  </si>
  <si>
    <t>CC3700U</t>
  </si>
  <si>
    <t>CC3800U</t>
  </si>
  <si>
    <t>CC3900U</t>
  </si>
  <si>
    <t>CC4000U</t>
  </si>
  <si>
    <t>CC4100U</t>
  </si>
  <si>
    <t>CC4300U</t>
  </si>
  <si>
    <t>CC4400U</t>
  </si>
  <si>
    <t>CC4500U</t>
  </si>
  <si>
    <t>CC4600U</t>
  </si>
  <si>
    <t>CC4700U</t>
  </si>
  <si>
    <t>CC4800U</t>
  </si>
  <si>
    <t>CC5000U</t>
  </si>
  <si>
    <t>CC5100U</t>
  </si>
  <si>
    <t>CC5300U</t>
  </si>
  <si>
    <t>CC5400U</t>
  </si>
  <si>
    <t>CC5600U</t>
  </si>
  <si>
    <t>CC5700U</t>
  </si>
  <si>
    <t>CC5900U</t>
  </si>
  <si>
    <t>CC6000U</t>
  </si>
  <si>
    <t>CC6200U</t>
  </si>
  <si>
    <t>CC8100U</t>
  </si>
  <si>
    <t>CC8500U</t>
  </si>
  <si>
    <t>CC8600U</t>
  </si>
  <si>
    <t>CC8700U</t>
  </si>
  <si>
    <t>CC8900U</t>
  </si>
  <si>
    <t>CC9001U</t>
  </si>
  <si>
    <t>CC9021U</t>
  </si>
  <si>
    <t>CC9041U</t>
  </si>
  <si>
    <t>CC9051U</t>
  </si>
  <si>
    <t>CC9061U</t>
  </si>
  <si>
    <t>CC9071U</t>
  </si>
  <si>
    <t>CC9081U</t>
  </si>
  <si>
    <t>CC9091U</t>
  </si>
  <si>
    <t>CC9100U</t>
  </si>
  <si>
    <t>CC9200U</t>
  </si>
  <si>
    <t>CC9700U</t>
  </si>
  <si>
    <t>CC9800U</t>
  </si>
  <si>
    <t>CC9900U</t>
  </si>
  <si>
    <t>CCtotalX</t>
  </si>
  <si>
    <t>A50113</t>
  </si>
  <si>
    <t>Léky a léčiva</t>
  </si>
  <si>
    <t>A50113001</t>
  </si>
  <si>
    <t>Léky - paušál (LEK)</t>
  </si>
  <si>
    <t>A50113002</t>
  </si>
  <si>
    <t>Léky - parenterální výživa (LEK)</t>
  </si>
  <si>
    <t>A50113004</t>
  </si>
  <si>
    <t>Léky - enter. a parent. výživa (výroba LEK-OPSL)</t>
  </si>
  <si>
    <t>A50113005</t>
  </si>
  <si>
    <t>Léky - radiofarmaka (KNM)</t>
  </si>
  <si>
    <t>A50113006</t>
  </si>
  <si>
    <t>Léky - enterální výživa (LEK)</t>
  </si>
  <si>
    <t>A50113007</t>
  </si>
  <si>
    <t>Léky - krev.deriváty ZUL (LEK)</t>
  </si>
  <si>
    <t>A50113008</t>
  </si>
  <si>
    <t>Léky - krev.deriváty ZUL (TO)</t>
  </si>
  <si>
    <t>A50113009</t>
  </si>
  <si>
    <t>Léky - RTG diagnostika ZUL (LEK)</t>
  </si>
  <si>
    <t>A50113010</t>
  </si>
  <si>
    <t>Léky - botox (LEK)</t>
  </si>
  <si>
    <t>A50113011</t>
  </si>
  <si>
    <t>Léky - hemofilici ZUL (TO)</t>
  </si>
  <si>
    <t>A50113012</t>
  </si>
  <si>
    <t>Léky - trombolýza (LEK)</t>
  </si>
  <si>
    <t>A50113013</t>
  </si>
  <si>
    <t>Léky - antibiotika (LEK)</t>
  </si>
  <si>
    <t>A50113014</t>
  </si>
  <si>
    <t>Léky - antimykotika (LEK)</t>
  </si>
  <si>
    <t>A50113015</t>
  </si>
  <si>
    <t>Léky - samoplátci (LEK)</t>
  </si>
  <si>
    <t>A50113016</t>
  </si>
  <si>
    <t>Léky - centra (LEK)</t>
  </si>
  <si>
    <t>A50113017</t>
  </si>
  <si>
    <t>Léky - dle §16 (LEK)</t>
  </si>
  <si>
    <t>A50113190</t>
  </si>
  <si>
    <t>Léky - medicinální plyny (sklad SVM)</t>
  </si>
  <si>
    <t>A50113300</t>
  </si>
  <si>
    <t>Léky - slevy (přeúčt. na 64910001)</t>
  </si>
  <si>
    <t>A50115</t>
  </si>
  <si>
    <t>Zdravotnické prostředky</t>
  </si>
  <si>
    <t>A50115001</t>
  </si>
  <si>
    <t>Kardiostimulátory (sk.Z517)</t>
  </si>
  <si>
    <t>A50115002</t>
  </si>
  <si>
    <t>Kardiovertery (Z516)</t>
  </si>
  <si>
    <t>A50115003</t>
  </si>
  <si>
    <t>TEP (Z518)</t>
  </si>
  <si>
    <t>A50115004</t>
  </si>
  <si>
    <t>IUTN - kovové (Z506)</t>
  </si>
  <si>
    <t>A50115005</t>
  </si>
  <si>
    <t>IUTN - neurostimulace (Z511)</t>
  </si>
  <si>
    <t>A50115006</t>
  </si>
  <si>
    <t>IUTN - neuromodulace-DBS (Z508)</t>
  </si>
  <si>
    <t>A50115007</t>
  </si>
  <si>
    <t>Implant.dentální-samoplátci (Z526)</t>
  </si>
  <si>
    <t>A50115008</t>
  </si>
  <si>
    <t>Implant. - plastická,estetická chirurgie (Z521)</t>
  </si>
  <si>
    <t>A50115009</t>
  </si>
  <si>
    <t>IUTN - chlopně - TAVI (Z524)</t>
  </si>
  <si>
    <t>A50115011</t>
  </si>
  <si>
    <t>IUTN - ostat.nákl.PZT (Z515)</t>
  </si>
  <si>
    <t>A50115013</t>
  </si>
  <si>
    <t>Bezelektrodové kardiostimulátory (Z548)</t>
  </si>
  <si>
    <t>A50115015</t>
  </si>
  <si>
    <t>IUTN - MitraClip (Z553)</t>
  </si>
  <si>
    <t>A50115016</t>
  </si>
  <si>
    <t>Kardiostimulátory CCM (Z555)</t>
  </si>
  <si>
    <t>A50115020</t>
  </si>
  <si>
    <t>Laboratorní diagnostika-LEK (Z501)</t>
  </si>
  <si>
    <t>A50115021</t>
  </si>
  <si>
    <t>Laboratorní diagnostika-skl.ZPr (Z501)</t>
  </si>
  <si>
    <t>A50115040</t>
  </si>
  <si>
    <t>Laboratorní materiál (Z505)</t>
  </si>
  <si>
    <t>A50115050</t>
  </si>
  <si>
    <t>Obvazový materiál (Z502)</t>
  </si>
  <si>
    <t>A50115060</t>
  </si>
  <si>
    <t>ZPr - ostatní (Z503)</t>
  </si>
  <si>
    <t>A50115061</t>
  </si>
  <si>
    <t>ZPr - ZUM robot (Z512)</t>
  </si>
  <si>
    <t>A50115062</t>
  </si>
  <si>
    <t>ZPr - materiál hemodialýza (Z525)</t>
  </si>
  <si>
    <t>A50115063</t>
  </si>
  <si>
    <t>ZPr - vaky, sety (Z528)</t>
  </si>
  <si>
    <t>A50115064</t>
  </si>
  <si>
    <t>ZPr - šicí materiál (Z529)</t>
  </si>
  <si>
    <t>A50115065</t>
  </si>
  <si>
    <t>ZPr - vpichovací materiál (Z530)</t>
  </si>
  <si>
    <t>A50115066</t>
  </si>
  <si>
    <t>ZPr - šicí materiál robot (Z531)</t>
  </si>
  <si>
    <t>A50115067</t>
  </si>
  <si>
    <t>ZPr - rukavice (Z532)</t>
  </si>
  <si>
    <t>A50115068</t>
  </si>
  <si>
    <t>ZPr - čidla ICP (Z522)</t>
  </si>
  <si>
    <t>A50115069</t>
  </si>
  <si>
    <t>ZPr - porty (Z534)</t>
  </si>
  <si>
    <t>A50115070</t>
  </si>
  <si>
    <t>ZPr - katetry ostatní (Z513)</t>
  </si>
  <si>
    <t>A50115071</t>
  </si>
  <si>
    <t>ZPr - katetry ablační (Z514)</t>
  </si>
  <si>
    <t>A50115072</t>
  </si>
  <si>
    <t>ZPr - katetry diagnostické (Z535)</t>
  </si>
  <si>
    <t>A50115073</t>
  </si>
  <si>
    <t>ZPr - katetry PCI (Z536)</t>
  </si>
  <si>
    <t>A50115074</t>
  </si>
  <si>
    <t>ZPr - katetry zaváděcí (Z537)</t>
  </si>
  <si>
    <t>A50115075</t>
  </si>
  <si>
    <t>ZPr - stenty (Z538)</t>
  </si>
  <si>
    <t>A50115076</t>
  </si>
  <si>
    <t>ZPr - stenty kovové (Z539)</t>
  </si>
  <si>
    <t>A50115077</t>
  </si>
  <si>
    <t>ZPr - stenty lékové (Z540)</t>
  </si>
  <si>
    <t>A50115079</t>
  </si>
  <si>
    <t>ZPr - internzivní péče (Z542)</t>
  </si>
  <si>
    <t>A50115080</t>
  </si>
  <si>
    <t>ZPr - staplery, extraktory, endoskop.mat. (Z523)</t>
  </si>
  <si>
    <t>A50115082</t>
  </si>
  <si>
    <t>ZPr - katetry extrakční (Z543)</t>
  </si>
  <si>
    <t>A50115083</t>
  </si>
  <si>
    <t>ZPr - embolizace (Z545)</t>
  </si>
  <si>
    <t>A50115085</t>
  </si>
  <si>
    <t>ZPr - samoplátci (Z547)</t>
  </si>
  <si>
    <t>A50115089</t>
  </si>
  <si>
    <t>ZPr - katetry PICC/MIDLINE (Z554)</t>
  </si>
  <si>
    <t>A50115090</t>
  </si>
  <si>
    <t>ZPr - zubolékařský materiál (Z509)</t>
  </si>
  <si>
    <t>A50115300</t>
  </si>
  <si>
    <t>ZPr. - slevy (přeúčt. na 64910002)</t>
  </si>
  <si>
    <t>A50115010</t>
  </si>
  <si>
    <t/>
  </si>
  <si>
    <t>A50115078</t>
  </si>
  <si>
    <t>A50115084</t>
  </si>
  <si>
    <t>A50115012</t>
  </si>
  <si>
    <t>Podkožní monitory (Z544)</t>
  </si>
  <si>
    <t>A50115014</t>
  </si>
  <si>
    <t>Mechanické srdeční podpory (Z552)</t>
  </si>
  <si>
    <t>A50117</t>
  </si>
  <si>
    <t>Všeobecný materiál</t>
  </si>
  <si>
    <t>A50117002</t>
  </si>
  <si>
    <t>Prací a čistící prostř.,drog.zboží (sk.V41)</t>
  </si>
  <si>
    <t>A50117003</t>
  </si>
  <si>
    <t>Desinfekční prostředky (ID-ř.733-LEK)</t>
  </si>
  <si>
    <t>A50117004</t>
  </si>
  <si>
    <t>Tiskopisy a kanc.potřeby (sk.V42, 43)</t>
  </si>
  <si>
    <t>A50117011</t>
  </si>
  <si>
    <t>Obalový mat. pro sterilizaci (sk.V20)</t>
  </si>
  <si>
    <t>A50117024</t>
  </si>
  <si>
    <t xml:space="preserve">Všeob.mat. - ostatní-vyjímky (V44) od 0,01 do 999,99 </t>
  </si>
  <si>
    <t>Jednorázové ochranné pomůcky (sk.T18A)</t>
  </si>
  <si>
    <t>Jednorázový operační materiál (sk.T18B)</t>
  </si>
  <si>
    <t>Jednorázové hygienické potřeby (sk.T18C)</t>
  </si>
  <si>
    <t>Skutečnost 2018</t>
  </si>
  <si>
    <t>Limity 2019</t>
  </si>
  <si>
    <t>Plán 2020</t>
  </si>
  <si>
    <t>Klinika</t>
  </si>
  <si>
    <t>Léky bez CL a § 16</t>
  </si>
  <si>
    <t>Sk. 2018</t>
  </si>
  <si>
    <t>limit 2019</t>
  </si>
  <si>
    <t>Rozdíl Plán 2020 x Limit 2019</t>
  </si>
  <si>
    <t>Rozdíl Plán 2020 x Limit 2020 v %</t>
  </si>
  <si>
    <t>CL</t>
  </si>
  <si>
    <t>§16</t>
  </si>
  <si>
    <t>ZM</t>
  </si>
  <si>
    <t>f</t>
  </si>
  <si>
    <t>i</t>
  </si>
  <si>
    <t>l</t>
  </si>
  <si>
    <t>o</t>
  </si>
  <si>
    <t>r</t>
  </si>
  <si>
    <t>u</t>
  </si>
  <si>
    <t>x</t>
  </si>
  <si>
    <t>aa</t>
  </si>
  <si>
    <t>ad</t>
  </si>
  <si>
    <t>AG</t>
  </si>
  <si>
    <t>Aj</t>
  </si>
  <si>
    <t>am</t>
  </si>
  <si>
    <t>AP</t>
  </si>
  <si>
    <t>AS</t>
  </si>
  <si>
    <t>AV</t>
  </si>
  <si>
    <t>AY</t>
  </si>
  <si>
    <t>BB</t>
  </si>
  <si>
    <t>BE</t>
  </si>
  <si>
    <t>BH</t>
  </si>
  <si>
    <t>BK</t>
  </si>
  <si>
    <t>BN</t>
  </si>
  <si>
    <t>BQ</t>
  </si>
  <si>
    <t>BT</t>
  </si>
  <si>
    <t>BW</t>
  </si>
  <si>
    <t>BZ</t>
  </si>
  <si>
    <t>CC</t>
  </si>
  <si>
    <t>CF</t>
  </si>
  <si>
    <t>CI</t>
  </si>
  <si>
    <t>CO</t>
  </si>
  <si>
    <t>CR</t>
  </si>
  <si>
    <t>CU</t>
  </si>
  <si>
    <t>CX</t>
  </si>
  <si>
    <t>DA</t>
  </si>
  <si>
    <t>DD</t>
  </si>
  <si>
    <t>DG</t>
  </si>
  <si>
    <t>DJ</t>
  </si>
  <si>
    <t>DM</t>
  </si>
  <si>
    <t>DP</t>
  </si>
  <si>
    <t>DS</t>
  </si>
  <si>
    <t>DV</t>
  </si>
  <si>
    <t>DY</t>
  </si>
  <si>
    <t>EB</t>
  </si>
  <si>
    <t>EH</t>
  </si>
  <si>
    <t>EK</t>
  </si>
  <si>
    <t>EN</t>
  </si>
  <si>
    <t>EQ</t>
  </si>
  <si>
    <t>ET</t>
  </si>
  <si>
    <t>EW</t>
  </si>
  <si>
    <t>EZ</t>
  </si>
  <si>
    <t>FC</t>
  </si>
  <si>
    <t>FF</t>
  </si>
  <si>
    <t>FI</t>
  </si>
  <si>
    <t>fl</t>
  </si>
  <si>
    <t>FO</t>
  </si>
  <si>
    <t>FR</t>
  </si>
  <si>
    <t>FU</t>
  </si>
  <si>
    <t>FX</t>
  </si>
  <si>
    <t>GA</t>
  </si>
  <si>
    <t>GD</t>
  </si>
  <si>
    <t>GG</t>
  </si>
  <si>
    <t>GJ</t>
  </si>
  <si>
    <t>GM</t>
  </si>
  <si>
    <t>GP</t>
  </si>
  <si>
    <t>GS</t>
  </si>
  <si>
    <t>GV</t>
  </si>
  <si>
    <t>GY</t>
  </si>
  <si>
    <t>HB</t>
  </si>
  <si>
    <t>HH</t>
  </si>
  <si>
    <t>HK</t>
  </si>
  <si>
    <t>HN</t>
  </si>
  <si>
    <t>HE</t>
  </si>
  <si>
    <t>CELKEM</t>
  </si>
  <si>
    <t>EE</t>
  </si>
  <si>
    <t>DLE KLINIK</t>
  </si>
  <si>
    <t>PŘEDP. 2020</t>
  </si>
  <si>
    <t>VYHLÁŠKA 2020</t>
  </si>
  <si>
    <t>Skutečnost 2017</t>
  </si>
  <si>
    <t>SKUTEČNOST 2018</t>
  </si>
  <si>
    <t>REÁLNÝ PŘEDPOKLAD  2019</t>
  </si>
  <si>
    <r>
      <t xml:space="preserve">Předp. dopad změny cen 2020 x 2019 dle APOTHÉKE                                      </t>
    </r>
    <r>
      <rPr>
        <i/>
        <sz val="10"/>
        <color rgb="FF00B050"/>
        <rFont val="Tahoma"/>
        <family val="2"/>
        <charset val="238"/>
      </rPr>
      <t>(dle spotřeby 2019)</t>
    </r>
  </si>
  <si>
    <t>REÁLNÝ MIN PŘEDPOKLAD 2020 po zohl.úspor</t>
  </si>
  <si>
    <t>VYHLÁŠKOVÝ LIMIT 2020</t>
  </si>
  <si>
    <t>PŘEDP. 2020 x VYHLÁŠKA</t>
  </si>
  <si>
    <t>PŘEDP. 2020 x SKUTEČNOST 2019</t>
  </si>
  <si>
    <t>PŘEDP. 2020x SKUTEČNOST 2018</t>
  </si>
  <si>
    <t>VYHLÁŠKA. 2020 x SKUTEČNOST 2019</t>
  </si>
  <si>
    <t>VYHLÁŠKA 2020 x SKUTEČNOST 2018</t>
  </si>
  <si>
    <t>FILTR TISK HELP</t>
  </si>
  <si>
    <t>v 2017 vykázáno jako CL</t>
  </si>
  <si>
    <t>veškeré léky, které byly v průběhu roku namslouvány jako CL (i ty které byly část roku v režimu §16</t>
  </si>
  <si>
    <t>Kč</t>
  </si>
  <si>
    <t>%</t>
  </si>
  <si>
    <t>01</t>
  </si>
  <si>
    <t>02</t>
  </si>
  <si>
    <t>II. interní klinika - gastro-enterologická a hepatologická</t>
  </si>
  <si>
    <t>03</t>
  </si>
  <si>
    <t>III. Interní klinika - nefrologická, revmatologická a endokrinologická</t>
  </si>
  <si>
    <t>04</t>
  </si>
  <si>
    <t>I. Chirurgická klinika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</si>
  <si>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</si>
  <si>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</si>
  <si>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</si>
  <si>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</si>
  <si>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</si>
  <si>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</si>
  <si>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</si>
  <si>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</si>
  <si>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</si>
  <si>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</si>
  <si>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</si>
  <si>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</si>
  <si>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</si>
  <si>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</si>
  <si>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</si>
  <si>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</si>
  <si>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</si>
  <si>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</si>
  <si>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</si>
  <si>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</si>
  <si>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</si>
  <si>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</si>
  <si>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</si>
  <si>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</si>
  <si>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</si>
  <si>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Oddělení geriatrie</t>
  </si>
  <si>
    <t>31</t>
  </si>
  <si>
    <t>Traumatologické oddělení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</si>
  <si>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</si>
  <si>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</si>
  <si>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</si>
  <si>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</si>
  <si>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</si>
  <si>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</si>
  <si>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</si>
  <si>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</si>
  <si>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</si>
  <si>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</si>
  <si>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43</t>
  </si>
  <si>
    <t>44</t>
  </si>
  <si>
    <t>LEM</t>
  </si>
  <si>
    <t>45</t>
  </si>
  <si>
    <t>46</t>
  </si>
  <si>
    <t>47</t>
  </si>
  <si>
    <t>48</t>
  </si>
  <si>
    <t>50</t>
  </si>
  <si>
    <t>51</t>
  </si>
  <si>
    <t>53</t>
  </si>
  <si>
    <t>REZERVA - pomocné středisko</t>
  </si>
  <si>
    <t>56</t>
  </si>
  <si>
    <t>57</t>
  </si>
  <si>
    <t>59</t>
  </si>
  <si>
    <t>60</t>
  </si>
  <si>
    <t>FNOL CELKEM</t>
  </si>
  <si>
    <t>Vyhláška meziročně</t>
  </si>
  <si>
    <t>DLE SOUHRNNÝCH DIAGNOSTICKÝCH SKUPIN</t>
  </si>
  <si>
    <t>KOEFICIENT - 2020 / 2018</t>
  </si>
  <si>
    <t>REÁLNÝ MIN PŘEDPOKLAD  2019</t>
  </si>
  <si>
    <t>Onkologie – solidní nádory</t>
  </si>
  <si>
    <t>Neurologie 1</t>
  </si>
  <si>
    <t>Neurologie 2</t>
  </si>
  <si>
    <t>Hematoonkologie</t>
  </si>
  <si>
    <t>Oběhový systém</t>
  </si>
  <si>
    <t>Revmatologie</t>
  </si>
  <si>
    <t>Oftalmologie</t>
  </si>
  <si>
    <t>Trávicí soustava</t>
  </si>
  <si>
    <t>Dermatologie</t>
  </si>
  <si>
    <t>Dýchací soustava IPF</t>
  </si>
  <si>
    <t>Dýchací soustava ASTMA CHOPN</t>
  </si>
  <si>
    <t>Infekce</t>
  </si>
  <si>
    <t>REPATHA, PRALUENT</t>
  </si>
  <si>
    <t>Hypolipidemika</t>
  </si>
  <si>
    <t>SYN, SYP</t>
  </si>
  <si>
    <t>Cystická fibróza</t>
  </si>
  <si>
    <t>Ostatní</t>
  </si>
  <si>
    <t>??? Ostatní</t>
  </si>
  <si>
    <t>Osteoporóza</t>
  </si>
  <si>
    <t>Imunitní systém</t>
  </si>
  <si>
    <t>Endokrinologie</t>
  </si>
  <si>
    <t>Metabolické vady</t>
  </si>
  <si>
    <t>DLE DIAGNOSTICKÝCH SKUPIN</t>
  </si>
  <si>
    <r>
      <rPr>
        <b/>
        <sz val="14"/>
        <color rgb="FFFF0000"/>
        <rFont val="Calibri"/>
        <family val="2"/>
        <charset val="238"/>
        <scheme val="minor"/>
      </rPr>
      <t>BEZ PŘEDP. ÚSPOR</t>
    </r>
    <r>
      <rPr>
        <b/>
        <sz val="14"/>
        <color theme="9" tint="-0.499984740745262"/>
        <rFont val="Calibri"/>
        <family val="2"/>
        <charset val="238"/>
        <scheme val="minor"/>
      </rPr>
      <t xml:space="preserve"> Z TITULU ZMĚNY CENY v ROCE 2019</t>
    </r>
  </si>
  <si>
    <t xml:space="preserve"> </t>
  </si>
  <si>
    <t>AKR</t>
  </si>
  <si>
    <t>AST</t>
  </si>
  <si>
    <t>BEC</t>
  </si>
  <si>
    <t xml:space="preserve">CF </t>
  </si>
  <si>
    <t>CRO</t>
  </si>
  <si>
    <t>CUL</t>
  </si>
  <si>
    <t>CVO</t>
  </si>
  <si>
    <t>DUL</t>
  </si>
  <si>
    <t>DUO</t>
  </si>
  <si>
    <t>Neurologie</t>
  </si>
  <si>
    <t>DUP</t>
  </si>
  <si>
    <t>GIS</t>
  </si>
  <si>
    <t>HEM</t>
  </si>
  <si>
    <t>HEP</t>
  </si>
  <si>
    <t>HON</t>
  </si>
  <si>
    <t>HYL</t>
  </si>
  <si>
    <t>IPF</t>
  </si>
  <si>
    <t xml:space="preserve">JA </t>
  </si>
  <si>
    <t>MEL</t>
  </si>
  <si>
    <t>MET</t>
  </si>
  <si>
    <t>NHC</t>
  </si>
  <si>
    <t>NHK</t>
  </si>
  <si>
    <t>NKO</t>
  </si>
  <si>
    <t>NLE</t>
  </si>
  <si>
    <t>NOV</t>
  </si>
  <si>
    <t>NPA</t>
  </si>
  <si>
    <t>NPL</t>
  </si>
  <si>
    <t>NPR</t>
  </si>
  <si>
    <t>NSZ</t>
  </si>
  <si>
    <t>NUK</t>
  </si>
  <si>
    <t>NUR</t>
  </si>
  <si>
    <t>NZA</t>
  </si>
  <si>
    <t>ODM</t>
  </si>
  <si>
    <t>OFT</t>
  </si>
  <si>
    <t>OPO</t>
  </si>
  <si>
    <t>PAH</t>
  </si>
  <si>
    <t>PAR</t>
  </si>
  <si>
    <t>PSO</t>
  </si>
  <si>
    <t>RA</t>
  </si>
  <si>
    <t>RLP</t>
  </si>
  <si>
    <t>RS</t>
  </si>
  <si>
    <t>SLE</t>
  </si>
  <si>
    <t>SAR</t>
  </si>
  <si>
    <t>SYN</t>
  </si>
  <si>
    <t>SYP</t>
  </si>
  <si>
    <t>VMT</t>
  </si>
  <si>
    <t>ZNP</t>
  </si>
  <si>
    <t>DLE ZDRAVOTNÍCH POJIŠŤOVEN</t>
  </si>
  <si>
    <r>
      <t xml:space="preserve">DLE ZP </t>
    </r>
    <r>
      <rPr>
        <b/>
        <sz val="16"/>
        <color rgb="FFFF0000"/>
        <rFont val="Tahoma"/>
        <family val="2"/>
        <charset val="238"/>
      </rPr>
      <t>(bez §16 v úhradě v referenci)</t>
    </r>
  </si>
  <si>
    <t xml:space="preserve"> Dle vyhlášky 2020</t>
  </si>
  <si>
    <t>VZP</t>
  </si>
  <si>
    <t>VoZP</t>
  </si>
  <si>
    <t>ČPZP</t>
  </si>
  <si>
    <t>OZP</t>
  </si>
  <si>
    <t>ZP Škoda</t>
  </si>
  <si>
    <t>ZP MV</t>
  </si>
  <si>
    <t>RBP</t>
  </si>
  <si>
    <t>PRAVDA</t>
  </si>
  <si>
    <t>ANO</t>
  </si>
  <si>
    <t>NE</t>
  </si>
  <si>
    <t>OK</t>
  </si>
  <si>
    <t>CHYBA</t>
  </si>
  <si>
    <t>Předp. dopad změny cen 2020 x 2019 dle APOTHÉKE                                      (dle spotřeby 2019)</t>
  </si>
  <si>
    <t>Vyhláška 2020</t>
  </si>
  <si>
    <t>Rozdíl Vyhláška 2020 x Limit 2019</t>
  </si>
  <si>
    <t>Rozdíl Vyhláška 2020 x Plán kliniky 2020</t>
  </si>
  <si>
    <t>Rozdíl Plán 2020 x Klinika 2020 v %</t>
  </si>
  <si>
    <t>PLÁN MAK</t>
  </si>
  <si>
    <t>CENTROVÉ LÉKY VÝVOJ 2017 -2018    -    MODELACE PŘEDPOKLADU 2019  -     LIMITY 2020 DLE VYHLÁŠKY</t>
  </si>
  <si>
    <t>OK kromě HOK</t>
  </si>
  <si>
    <t xml:space="preserve">OK </t>
  </si>
  <si>
    <t>ok</t>
  </si>
  <si>
    <t>Limity poč. roku 2019</t>
  </si>
  <si>
    <t>limit poč.roku 2019</t>
  </si>
  <si>
    <t>limit poč. roku 2019</t>
  </si>
  <si>
    <t>PLÁN 2020 dle HAZ</t>
  </si>
  <si>
    <t>Z 516 definbrilátory + 12.380 tis., Z 524 Tavi + 12,467 tis., Z 544 podkožní monitory + 2.555 tis.</t>
  </si>
  <si>
    <t>pozn. oproti limitu počátku roku 2019</t>
  </si>
  <si>
    <t>Z 513 katetry +1.474 tis., Z 523 Staplery +1.095 tis., Z 538 stenty +730 tis.</t>
  </si>
  <si>
    <t>Z 503 ostatní +500 tis., Z 523 Staplery +870 tis.</t>
  </si>
  <si>
    <t>limity poslední, bez posledního navýšení 19.12.2019</t>
  </si>
  <si>
    <t>bez robota, je na K47</t>
  </si>
  <si>
    <t>Z 506 náhrady +630 tis. Z 518 TEP +1.820 tis. Kč</t>
  </si>
  <si>
    <t>Z 515 ost. náhrady +1.534 tis.</t>
  </si>
  <si>
    <t>DIAGNOSTIKA +1.024 tis.</t>
  </si>
  <si>
    <t>DIAGNOSTIKA +3.000 tis.</t>
  </si>
  <si>
    <t>limit robota z URO, ORL, Por-gyn, + 12 výkonů ORL za 27.353,-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</si>
</sst>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;;;"/>
    <numFmt numFmtId="165" formatCode="0.000"/>
    <numFmt numFmtId="166" formatCode="0.0%"/>
    <numFmt numFmtId="167" formatCode="_-* #,##0_-;\-* #,##0_-;_-* &quot;-&quot;??_-;_-@_-"/>
  </numFmts>
  <fonts count="1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sz val="8"/>
      <color theme="0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i/>
      <sz val="12"/>
      <color rgb="FF00B05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0"/>
      <color theme="1"/>
      <name val="Tahoma"/>
      <family val="2"/>
    </font>
    <font>
      <b/>
      <sz val="18"/>
      <color theme="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4"/>
      <color rgb="FF7030A0"/>
      <name val="Tahoma"/>
      <family val="2"/>
      <charset val="238"/>
    </font>
    <font>
      <sz val="10"/>
      <color rgb="FFC00000"/>
      <name val="Tahoma"/>
      <family val="2"/>
    </font>
    <font>
      <sz val="10"/>
      <color rgb="FF0070C0"/>
      <name val="Tahoma"/>
      <family val="2"/>
    </font>
    <font>
      <b/>
      <sz val="14"/>
      <color rgb="FFFF0000"/>
      <name val="Calibri"/>
      <family val="2"/>
      <charset val="238"/>
      <scheme val="minor"/>
    </font>
    <font>
      <b/>
      <sz val="14"/>
      <color theme="9" tint="-0.499984740745262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b/>
      <sz val="12"/>
      <color rgb="FF8F45C7"/>
      <name val="Tahoma"/>
      <family val="2"/>
      <charset val="238"/>
    </font>
    <font>
      <b/>
      <sz val="11"/>
      <color rgb="FFC00000"/>
      <name val="Tahoma"/>
      <family val="2"/>
      <charset val="238"/>
    </font>
    <font>
      <b/>
      <sz val="11"/>
      <color rgb="FF0070C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rgb="FF00B050"/>
      <name val="Tahoma"/>
      <family val="2"/>
    </font>
    <font>
      <i/>
      <sz val="10"/>
      <color rgb="FF00B05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sz val="11"/>
      <color rgb="FFFFFF00"/>
      <name val="Tahoma"/>
      <family val="2"/>
      <charset val="238"/>
    </font>
    <font>
      <b/>
      <sz val="11"/>
      <color rgb="FF3FADFF"/>
      <name val="Tahoma"/>
      <family val="2"/>
      <charset val="238"/>
    </font>
    <font>
      <b/>
      <sz val="11"/>
      <color theme="5"/>
      <name val="Tahoma"/>
      <family val="2"/>
      <charset val="238"/>
    </font>
    <font>
      <i/>
      <sz val="8"/>
      <color rgb="FFC00000"/>
      <name val="Tahoma"/>
      <family val="2"/>
      <charset val="238"/>
    </font>
    <font>
      <i/>
      <sz val="8"/>
      <color rgb="FF0070C0"/>
      <name val="Tahoma"/>
      <family val="2"/>
      <charset val="238"/>
    </font>
    <font>
      <sz val="10"/>
      <color rgb="FFFFFF00"/>
      <name val="Tahoma"/>
      <family val="2"/>
      <charset val="238"/>
    </font>
    <font>
      <sz val="11"/>
      <color rgb="FFFFFF00"/>
      <name val="Tahoma"/>
      <family val="2"/>
      <charset val="238"/>
    </font>
    <font>
      <i/>
      <sz val="11"/>
      <color rgb="FFFFFF00"/>
      <name val="Tahoma"/>
      <family val="2"/>
      <charset val="238"/>
    </font>
    <font>
      <sz val="11"/>
      <color rgb="FF3FADFF"/>
      <name val="Tahoma"/>
      <family val="2"/>
    </font>
    <font>
      <i/>
      <sz val="11"/>
      <color rgb="FF3FADFF"/>
      <name val="Tahoma"/>
      <family val="2"/>
      <charset val="238"/>
    </font>
    <font>
      <sz val="11"/>
      <color theme="5"/>
      <name val="Tahoma"/>
      <family val="2"/>
    </font>
    <font>
      <i/>
      <sz val="11"/>
      <color theme="5"/>
      <name val="Tahoma"/>
      <family val="2"/>
      <charset val="238"/>
    </font>
    <font>
      <sz val="10"/>
      <name val="Arial"/>
      <family val="2"/>
      <charset val="238"/>
    </font>
    <font>
      <sz val="12"/>
      <color rgb="FFC0000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0"/>
      <color rgb="FF00B05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0"/>
      <color rgb="FF3FADFF"/>
      <name val="Arial"/>
      <family val="2"/>
      <charset val="238"/>
    </font>
    <font>
      <i/>
      <sz val="10"/>
      <color rgb="FF3FADFF"/>
      <name val="Arial"/>
      <family val="2"/>
      <charset val="238"/>
    </font>
    <font>
      <sz val="10"/>
      <color theme="5"/>
      <name val="Arial"/>
      <family val="2"/>
      <charset val="238"/>
    </font>
    <font>
      <i/>
      <sz val="10"/>
      <color theme="5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3FADFF"/>
      <name val="Arial"/>
      <family val="2"/>
      <charset val="238"/>
    </font>
    <font>
      <b/>
      <i/>
      <sz val="10"/>
      <color rgb="FF3FADFF"/>
      <name val="Arial"/>
      <family val="2"/>
      <charset val="238"/>
    </font>
    <font>
      <b/>
      <sz val="10"/>
      <color theme="5"/>
      <name val="Arial"/>
      <family val="2"/>
      <charset val="238"/>
    </font>
    <font>
      <b/>
      <i/>
      <sz val="10"/>
      <color theme="5"/>
      <name val="Arial"/>
      <family val="2"/>
      <charset val="238"/>
    </font>
    <font>
      <sz val="10"/>
      <color rgb="FF5DBAFF"/>
      <name val="Arial"/>
      <family val="2"/>
      <charset val="238"/>
    </font>
    <font>
      <i/>
      <sz val="10"/>
      <color rgb="FF5DBAFF"/>
      <name val="Arial"/>
      <family val="2"/>
      <charset val="238"/>
    </font>
    <font>
      <b/>
      <sz val="10"/>
      <color theme="1"/>
      <name val="Tahoma"/>
      <family val="2"/>
    </font>
    <font>
      <b/>
      <sz val="11"/>
      <name val="Arial"/>
      <family val="2"/>
      <charset val="238"/>
    </font>
    <font>
      <b/>
      <sz val="11"/>
      <color theme="1"/>
      <name val="Tahoma"/>
      <family val="2"/>
    </font>
    <font>
      <b/>
      <sz val="11"/>
      <color rgb="FFC00000"/>
      <name val="Tahoma"/>
      <family val="2"/>
    </font>
    <font>
      <b/>
      <sz val="11"/>
      <color rgb="FF0070C0"/>
      <name val="Tahoma"/>
      <family val="2"/>
    </font>
    <font>
      <b/>
      <sz val="11"/>
      <color theme="0"/>
      <name val="Tahoma"/>
      <family val="2"/>
    </font>
    <font>
      <b/>
      <sz val="11"/>
      <color rgb="FFFFFF00"/>
      <name val="Tahoma"/>
      <family val="2"/>
    </font>
    <font>
      <b/>
      <sz val="11"/>
      <color rgb="FFFFFF00"/>
      <name val="Arial"/>
      <family val="2"/>
      <charset val="238"/>
    </font>
    <font>
      <b/>
      <i/>
      <sz val="11"/>
      <color rgb="FFFFFF00"/>
      <name val="Arial"/>
      <family val="2"/>
      <charset val="238"/>
    </font>
    <font>
      <b/>
      <sz val="11"/>
      <color rgb="FF3FADFF"/>
      <name val="Arial"/>
      <family val="2"/>
      <charset val="238"/>
    </font>
    <font>
      <b/>
      <i/>
      <sz val="11"/>
      <color rgb="FF3FADFF"/>
      <name val="Arial"/>
      <family val="2"/>
      <charset val="238"/>
    </font>
    <font>
      <b/>
      <sz val="11"/>
      <color theme="5"/>
      <name val="Arial"/>
      <family val="2"/>
      <charset val="238"/>
    </font>
    <font>
      <b/>
      <i/>
      <sz val="11"/>
      <color theme="5"/>
      <name val="Arial"/>
      <family val="2"/>
      <charset val="238"/>
    </font>
    <font>
      <sz val="10"/>
      <color rgb="FF0070C0"/>
      <name val="Arial"/>
      <family val="2"/>
      <charset val="238"/>
    </font>
    <font>
      <i/>
      <sz val="10"/>
      <color rgb="FF0070C0"/>
      <name val="Arial"/>
      <family val="2"/>
      <charset val="238"/>
    </font>
    <font>
      <sz val="10"/>
      <color theme="5"/>
      <name val="Tahoma"/>
      <family val="2"/>
    </font>
    <font>
      <sz val="10"/>
      <color theme="1"/>
      <name val="Arial"/>
      <family val="2"/>
      <charset val="238"/>
    </font>
    <font>
      <b/>
      <i/>
      <sz val="11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4"/>
      <color theme="6" tint="-0.499984740745262"/>
      <name val="Tahoma"/>
      <family val="2"/>
      <charset val="238"/>
    </font>
    <font>
      <sz val="10"/>
      <color rgb="FFFFFF00"/>
      <name val="Tahoma"/>
      <family val="2"/>
    </font>
    <font>
      <b/>
      <sz val="12"/>
      <color theme="6" tint="-0.499984740745262"/>
      <name val="Tahoma"/>
      <family val="2"/>
      <charset val="238"/>
    </font>
    <font>
      <b/>
      <sz val="8"/>
      <name val="Tahoma"/>
      <family val="2"/>
      <charset val="238"/>
    </font>
    <font>
      <b/>
      <sz val="10"/>
      <color theme="5" tint="-0.249977111117893"/>
      <name val="Tahoma"/>
      <family val="2"/>
      <charset val="238"/>
    </font>
    <font>
      <b/>
      <sz val="10"/>
      <color theme="0"/>
      <name val="Tahoma"/>
      <family val="2"/>
    </font>
    <font>
      <b/>
      <sz val="9"/>
      <color rgb="FF00B05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color theme="5" tint="-0.249977111117893"/>
      <name val="Tahoma"/>
      <family val="2"/>
    </font>
    <font>
      <sz val="10"/>
      <color rgb="FFFF0000"/>
      <name val="Tahoma"/>
      <family val="2"/>
    </font>
    <font>
      <sz val="12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9"/>
      <color theme="6" tint="0.79998168889431442"/>
      <name val="Arial"/>
      <family val="2"/>
      <charset val="238"/>
    </font>
    <font>
      <sz val="10"/>
      <color rgb="FFFFFFCC"/>
      <name val="Tahoma"/>
      <family val="2"/>
      <charset val="238"/>
    </font>
    <font>
      <b/>
      <sz val="8"/>
      <color rgb="FF00B050"/>
      <name val="Tahoma"/>
      <family val="2"/>
    </font>
    <font>
      <b/>
      <sz val="12"/>
      <color theme="0"/>
      <name val="Tahoma"/>
      <family val="2"/>
      <charset val="238"/>
    </font>
    <font>
      <b/>
      <sz val="14"/>
      <color theme="9" tint="-0.499984740745262"/>
      <name val="Tahoma"/>
      <family val="2"/>
      <charset val="238"/>
    </font>
    <font>
      <b/>
      <sz val="12"/>
      <color theme="9" tint="-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b/>
      <sz val="16"/>
      <color rgb="FFFF0000"/>
      <name val="Tahoma"/>
      <family val="2"/>
      <charset val="238"/>
    </font>
    <font>
      <sz val="10"/>
      <name val="Tahoma"/>
      <family val="2"/>
      <charset val="238"/>
    </font>
    <font>
      <b/>
      <sz val="9"/>
      <color rgb="FF00B050"/>
      <name val="Tahoma"/>
      <family val="2"/>
    </font>
    <font>
      <b/>
      <sz val="11"/>
      <color rgb="FF7030A0"/>
      <name val="Calibri"/>
      <family val="2"/>
      <charset val="238"/>
      <scheme val="minor"/>
    </font>
    <font>
      <b/>
      <i/>
      <sz val="11"/>
      <color rgb="FF7030A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i/>
      <sz val="12"/>
      <color rgb="FF7030A0"/>
      <name val="Calibri"/>
      <family val="2"/>
      <charset val="238"/>
      <scheme val="minor"/>
    </font>
    <font>
      <b/>
      <sz val="11"/>
      <color rgb="FFAE0285"/>
      <name val="Calibri"/>
      <family val="2"/>
      <charset val="238"/>
      <scheme val="minor"/>
    </font>
    <font>
      <b/>
      <i/>
      <sz val="11"/>
      <color rgb="FFAE0285"/>
      <name val="Calibri"/>
      <family val="2"/>
      <charset val="238"/>
      <scheme val="minor"/>
    </font>
    <font>
      <b/>
      <i/>
      <sz val="12"/>
      <color rgb="FFAE0285"/>
      <name val="Calibri"/>
      <family val="2"/>
      <charset val="238"/>
      <scheme val="minor"/>
    </font>
    <font>
      <b/>
      <sz val="12"/>
      <color rgb="FFAE0285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2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6E7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B0FEE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</fills>
  <borders count="14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 style="thin">
        <color indexed="64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medium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rgb="FFC00000"/>
      </left>
      <right style="thick">
        <color rgb="FFC00000"/>
      </right>
      <top/>
      <bottom style="double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double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C00000"/>
      </left>
      <right style="thick">
        <color rgb="FFC00000"/>
      </right>
      <top style="double">
        <color indexed="64"/>
      </top>
      <bottom style="thick">
        <color rgb="FFC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 style="double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medium">
        <color indexed="64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auto="1"/>
      </right>
      <top style="thin">
        <color auto="1"/>
      </top>
      <bottom/>
      <diagonal/>
    </border>
    <border>
      <left style="thick">
        <color rgb="FFC00000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indexed="64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rgb="FFC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medium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rgb="FFC00000"/>
      </right>
      <top style="thin">
        <color indexed="64"/>
      </top>
      <bottom style="double">
        <color indexed="64"/>
      </bottom>
      <diagonal/>
    </border>
    <border>
      <left style="medium">
        <color rgb="FFC00000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rgb="FFC00000"/>
      </right>
      <top/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rgb="FFC00000"/>
      </right>
      <top/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C00000"/>
      </right>
      <top style="medium">
        <color indexed="64"/>
      </top>
      <bottom style="thin">
        <color indexed="64"/>
      </bottom>
      <diagonal/>
    </border>
    <border>
      <left style="double">
        <color rgb="FFAE0285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AE0285"/>
      </left>
      <right style="hair">
        <color indexed="64"/>
      </right>
      <top/>
      <bottom style="thin">
        <color indexed="64"/>
      </bottom>
      <diagonal/>
    </border>
    <border>
      <left style="double">
        <color rgb="FFAE0285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002060"/>
      </left>
      <right style="medium">
        <color rgb="FFC00000"/>
      </right>
      <top style="thin">
        <color auto="1"/>
      </top>
      <bottom style="double">
        <color indexed="64"/>
      </bottom>
      <diagonal/>
    </border>
    <border>
      <left style="double">
        <color rgb="FF002060"/>
      </left>
      <right style="medium">
        <color rgb="FFC00000"/>
      </right>
      <top/>
      <bottom style="thin">
        <color auto="1"/>
      </bottom>
      <diagonal/>
    </border>
    <border>
      <left style="double">
        <color rgb="FF002060"/>
      </left>
      <right style="medium">
        <color rgb="FFC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double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2" borderId="0">
      <alignment horizontal="left"/>
    </xf>
    <xf numFmtId="0" fontId="2" fillId="3" borderId="0">
      <alignment horizontal="left"/>
    </xf>
    <xf numFmtId="0" fontId="3" fillId="4" borderId="0">
      <alignment horizontal="left"/>
    </xf>
    <xf numFmtId="0" fontId="2" fillId="5" borderId="0">
      <alignment horizontal="left"/>
    </xf>
    <xf numFmtId="0" fontId="2" fillId="6" borderId="0">
      <alignment horizontal="left"/>
    </xf>
    <xf numFmtId="0" fontId="3" fillId="7" borderId="0">
      <alignment horizontal="left"/>
    </xf>
    <xf numFmtId="164" fontId="2" fillId="0" borderId="0">
      <alignment horizontal="left"/>
    </xf>
    <xf numFmtId="164" fontId="4" fillId="0" borderId="0">
      <alignment horizontal="left"/>
    </xf>
    <xf numFmtId="0" fontId="2" fillId="6" borderId="0"/>
    <xf numFmtId="164" fontId="2" fillId="0" borderId="0"/>
    <xf numFmtId="164" fontId="4" fillId="0" borderId="0"/>
    <xf numFmtId="49" fontId="2" fillId="2" borderId="0">
      <alignment horizontal="left"/>
    </xf>
    <xf numFmtId="49" fontId="2" fillId="3" borderId="0">
      <alignment horizontal="left"/>
    </xf>
    <xf numFmtId="49" fontId="3" fillId="4" borderId="0">
      <alignment horizontal="left"/>
    </xf>
    <xf numFmtId="3" fontId="5" fillId="8" borderId="1"/>
    <xf numFmtId="0" fontId="2" fillId="5" borderId="0">
      <alignment horizontal="left"/>
    </xf>
    <xf numFmtId="49" fontId="2" fillId="5" borderId="0">
      <alignment horizontal="left"/>
    </xf>
    <xf numFmtId="49" fontId="2" fillId="6" borderId="0">
      <alignment horizontal="left"/>
    </xf>
    <xf numFmtId="49" fontId="3" fillId="7" borderId="0">
      <alignment horizontal="left"/>
    </xf>
    <xf numFmtId="9" fontId="9" fillId="0" borderId="0" applyFont="0" applyFill="0" applyBorder="0" applyAlignment="0" applyProtection="0"/>
    <xf numFmtId="0" fontId="39" fillId="0" borderId="0"/>
    <xf numFmtId="0" fontId="9" fillId="0" borderId="0"/>
    <xf numFmtId="9" fontId="39" fillId="0" borderId="0" applyFont="0" applyFill="0" applyBorder="0" applyAlignment="0" applyProtection="0"/>
    <xf numFmtId="9" fontId="103" fillId="0" borderId="0" applyFont="0" applyFill="0" applyBorder="0" applyAlignment="0" applyProtection="0"/>
  </cellStyleXfs>
  <cellXfs count="452">
    <xf numFmtId="0" fontId="0" fillId="0" borderId="0" xfId="0"/>
    <xf numFmtId="0" fontId="2" fillId="6" borderId="0" xfId="9"/>
    <xf numFmtId="0" fontId="1" fillId="0" borderId="0" xfId="0" applyFont="1"/>
    <xf numFmtId="0" fontId="0" fillId="0" borderId="0" xfId="0" applyAlignment="1">
      <alignment horizontal="center" vertical="center"/>
    </xf>
    <xf numFmtId="0" fontId="6" fillId="3" borderId="5" xfId="2" applyFont="1" applyBorder="1" applyAlignment="1">
      <alignment wrapText="1"/>
    </xf>
    <xf numFmtId="164" fontId="6" fillId="0" borderId="0" xfId="7" applyFont="1" applyBorder="1" applyAlignment="1">
      <alignment wrapText="1"/>
    </xf>
    <xf numFmtId="164" fontId="6" fillId="0" borderId="6" xfId="7" applyFont="1" applyBorder="1" applyAlignment="1">
      <alignment wrapText="1"/>
    </xf>
    <xf numFmtId="3" fontId="5" fillId="8" borderId="7" xfId="15" applyBorder="1"/>
    <xf numFmtId="3" fontId="5" fillId="8" borderId="1" xfId="15" applyBorder="1"/>
    <xf numFmtId="3" fontId="5" fillId="8" borderId="8" xfId="15" applyBorder="1"/>
    <xf numFmtId="3" fontId="5" fillId="8" borderId="9" xfId="15" applyBorder="1"/>
    <xf numFmtId="3" fontId="5" fillId="8" borderId="10" xfId="15" applyBorder="1"/>
    <xf numFmtId="3" fontId="5" fillId="8" borderId="11" xfId="15" applyBorder="1"/>
    <xf numFmtId="3" fontId="8" fillId="8" borderId="12" xfId="15" applyFont="1" applyBorder="1"/>
    <xf numFmtId="3" fontId="8" fillId="8" borderId="13" xfId="15" applyFont="1" applyBorder="1"/>
    <xf numFmtId="3" fontId="8" fillId="8" borderId="14" xfId="15" applyFont="1" applyBorder="1"/>
    <xf numFmtId="3" fontId="8" fillId="8" borderId="15" xfId="15" applyFont="1" applyBorder="1"/>
    <xf numFmtId="3" fontId="8" fillId="8" borderId="16" xfId="15" applyFont="1" applyBorder="1"/>
    <xf numFmtId="3" fontId="8" fillId="8" borderId="17" xfId="15" applyFont="1" applyBorder="1"/>
    <xf numFmtId="3" fontId="5" fillId="8" borderId="18" xfId="15" applyBorder="1"/>
    <xf numFmtId="3" fontId="5" fillId="8" borderId="19" xfId="15" applyBorder="1"/>
    <xf numFmtId="3" fontId="5" fillId="8" borderId="20" xfId="15" applyBorder="1"/>
    <xf numFmtId="0" fontId="6" fillId="5" borderId="21" xfId="4" applyFont="1" applyBorder="1" applyAlignment="1">
      <alignment horizontal="left" indent="4"/>
    </xf>
    <xf numFmtId="0" fontId="2" fillId="5" borderId="22" xfId="4" applyBorder="1" applyAlignment="1">
      <alignment horizontal="left" indent="5"/>
    </xf>
    <xf numFmtId="0" fontId="2" fillId="5" borderId="23" xfId="4" applyBorder="1" applyAlignment="1">
      <alignment horizontal="left" indent="5"/>
    </xf>
    <xf numFmtId="0" fontId="6" fillId="5" borderId="2" xfId="4" applyFont="1" applyBorder="1" applyAlignment="1">
      <alignment horizontal="left" indent="4"/>
    </xf>
    <xf numFmtId="0" fontId="2" fillId="5" borderId="5" xfId="4" applyBorder="1" applyAlignment="1">
      <alignment horizontal="left" indent="5"/>
    </xf>
    <xf numFmtId="0" fontId="2" fillId="5" borderId="24" xfId="4" applyBorder="1" applyAlignment="1">
      <alignment horizontal="left" indent="5"/>
    </xf>
    <xf numFmtId="0" fontId="6" fillId="5" borderId="5" xfId="4" applyFont="1" applyBorder="1" applyAlignment="1">
      <alignment horizontal="left" indent="4"/>
    </xf>
    <xf numFmtId="0" fontId="6" fillId="10" borderId="5" xfId="1" applyFont="1" applyFill="1" applyBorder="1" applyAlignment="1">
      <alignment horizontal="center" wrapText="1"/>
    </xf>
    <xf numFmtId="0" fontId="6" fillId="10" borderId="0" xfId="1" applyFont="1" applyFill="1" applyBorder="1" applyAlignment="1">
      <alignment horizontal="center" wrapText="1"/>
    </xf>
    <xf numFmtId="0" fontId="6" fillId="10" borderId="6" xfId="1" applyFont="1" applyFill="1" applyBorder="1" applyAlignment="1">
      <alignment horizontal="center" wrapText="1"/>
    </xf>
    <xf numFmtId="0" fontId="10" fillId="5" borderId="22" xfId="4" applyFont="1" applyBorder="1" applyAlignment="1">
      <alignment horizontal="left" indent="5"/>
    </xf>
    <xf numFmtId="0" fontId="10" fillId="5" borderId="5" xfId="4" applyFont="1" applyBorder="1" applyAlignment="1">
      <alignment horizontal="left" indent="5"/>
    </xf>
    <xf numFmtId="3" fontId="11" fillId="8" borderId="7" xfId="15" applyFont="1" applyBorder="1"/>
    <xf numFmtId="3" fontId="11" fillId="8" borderId="1" xfId="15" applyFont="1" applyBorder="1"/>
    <xf numFmtId="3" fontId="11" fillId="8" borderId="8" xfId="15" applyFont="1" applyBorder="1"/>
    <xf numFmtId="0" fontId="12" fillId="0" borderId="0" xfId="0" applyFont="1"/>
    <xf numFmtId="0" fontId="0" fillId="0" borderId="0" xfId="0" applyAlignment="1">
      <alignment vertical="top"/>
    </xf>
    <xf numFmtId="3" fontId="0" fillId="0" borderId="0" xfId="0" applyNumberFormat="1"/>
    <xf numFmtId="0" fontId="6" fillId="5" borderId="0" xfId="16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5" borderId="0" xfId="16" applyFont="1" applyAlignment="1">
      <alignment horizontal="center"/>
    </xf>
    <xf numFmtId="0" fontId="0" fillId="0" borderId="0" xfId="0" applyAlignment="1">
      <alignment horizontal="center"/>
    </xf>
    <xf numFmtId="0" fontId="7" fillId="5" borderId="0" xfId="16" applyFont="1" applyAlignment="1">
      <alignment horizontal="center"/>
    </xf>
    <xf numFmtId="0" fontId="6" fillId="5" borderId="0" xfId="16" applyFont="1" applyAlignment="1">
      <alignment horizontal="left"/>
    </xf>
    <xf numFmtId="0" fontId="7" fillId="5" borderId="0" xfId="16" applyFont="1" applyAlignment="1">
      <alignment horizontal="left"/>
    </xf>
    <xf numFmtId="0" fontId="17" fillId="0" borderId="0" xfId="0" applyFont="1" applyAlignment="1">
      <alignment vertical="center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vertical="top"/>
    </xf>
    <xf numFmtId="3" fontId="17" fillId="0" borderId="0" xfId="0" applyNumberFormat="1" applyFont="1" applyAlignment="1">
      <alignment vertical="center"/>
    </xf>
    <xf numFmtId="3" fontId="0" fillId="12" borderId="25" xfId="0" applyNumberFormat="1" applyFill="1" applyBorder="1" applyAlignment="1">
      <alignment vertical="center"/>
    </xf>
    <xf numFmtId="0" fontId="1" fillId="0" borderId="2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9" fillId="0" borderId="0" xfId="0" applyFont="1"/>
    <xf numFmtId="0" fontId="19" fillId="0" borderId="28" xfId="0" applyFont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 wrapText="1"/>
    </xf>
    <xf numFmtId="0" fontId="19" fillId="0" borderId="30" xfId="0" applyFont="1" applyBorder="1" applyAlignment="1">
      <alignment horizontal="center" vertical="top" wrapText="1"/>
    </xf>
    <xf numFmtId="3" fontId="20" fillId="12" borderId="25" xfId="0" applyNumberFormat="1" applyFont="1" applyFill="1" applyBorder="1" applyAlignment="1">
      <alignment vertical="center"/>
    </xf>
    <xf numFmtId="3" fontId="20" fillId="0" borderId="0" xfId="0" applyNumberFormat="1" applyFont="1"/>
    <xf numFmtId="0" fontId="20" fillId="0" borderId="0" xfId="0" applyFont="1"/>
    <xf numFmtId="0" fontId="24" fillId="0" borderId="0" xfId="0" applyFont="1"/>
    <xf numFmtId="0" fontId="24" fillId="0" borderId="28" xfId="0" applyFont="1" applyBorder="1" applyAlignment="1">
      <alignment horizontal="center" vertical="top" wrapText="1"/>
    </xf>
    <xf numFmtId="0" fontId="24" fillId="0" borderId="29" xfId="0" applyFont="1" applyBorder="1" applyAlignment="1">
      <alignment horizontal="center" vertical="top" wrapText="1"/>
    </xf>
    <xf numFmtId="3" fontId="25" fillId="12" borderId="25" xfId="0" applyNumberFormat="1" applyFont="1" applyFill="1" applyBorder="1" applyAlignment="1">
      <alignment vertical="center"/>
    </xf>
    <xf numFmtId="3" fontId="25" fillId="0" borderId="0" xfId="0" applyNumberFormat="1" applyFont="1"/>
    <xf numFmtId="0" fontId="25" fillId="0" borderId="0" xfId="0" applyFont="1"/>
    <xf numFmtId="0" fontId="27" fillId="0" borderId="0" xfId="0" applyFont="1"/>
    <xf numFmtId="0" fontId="27" fillId="0" borderId="28" xfId="0" applyFont="1" applyBorder="1" applyAlignment="1">
      <alignment horizontal="center" vertical="top" wrapText="1"/>
    </xf>
    <xf numFmtId="0" fontId="27" fillId="0" borderId="29" xfId="0" applyFont="1" applyBorder="1" applyAlignment="1">
      <alignment horizontal="center" vertical="top" wrapText="1"/>
    </xf>
    <xf numFmtId="3" fontId="28" fillId="12" borderId="25" xfId="0" applyNumberFormat="1" applyFont="1" applyFill="1" applyBorder="1" applyAlignment="1">
      <alignment vertical="center"/>
    </xf>
    <xf numFmtId="3" fontId="28" fillId="0" borderId="0" xfId="0" applyNumberFormat="1" applyFont="1"/>
    <xf numFmtId="0" fontId="28" fillId="0" borderId="0" xfId="0" applyFont="1"/>
    <xf numFmtId="0" fontId="30" fillId="0" borderId="0" xfId="0" applyFont="1"/>
    <xf numFmtId="3" fontId="30" fillId="0" borderId="0" xfId="0" applyNumberFormat="1" applyFont="1"/>
    <xf numFmtId="0" fontId="31" fillId="0" borderId="31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center" vertical="top" wrapText="1"/>
    </xf>
    <xf numFmtId="0" fontId="0" fillId="12" borderId="37" xfId="0" applyFill="1" applyBorder="1" applyAlignment="1">
      <alignment horizontal="left" vertical="center" wrapText="1"/>
    </xf>
    <xf numFmtId="0" fontId="17" fillId="11" borderId="38" xfId="0" applyFont="1" applyFill="1" applyBorder="1" applyAlignment="1">
      <alignment horizontal="left" vertical="center" wrapText="1"/>
    </xf>
    <xf numFmtId="3" fontId="17" fillId="11" borderId="39" xfId="0" applyNumberFormat="1" applyFont="1" applyFill="1" applyBorder="1" applyAlignment="1">
      <alignment vertical="center"/>
    </xf>
    <xf numFmtId="3" fontId="17" fillId="11" borderId="40" xfId="0" applyNumberFormat="1" applyFont="1" applyFill="1" applyBorder="1" applyAlignment="1">
      <alignment vertical="center"/>
    </xf>
    <xf numFmtId="3" fontId="22" fillId="11" borderId="39" xfId="0" applyNumberFormat="1" applyFont="1" applyFill="1" applyBorder="1" applyAlignment="1">
      <alignment vertical="center"/>
    </xf>
    <xf numFmtId="3" fontId="22" fillId="11" borderId="40" xfId="0" applyNumberFormat="1" applyFont="1" applyFill="1" applyBorder="1" applyAlignment="1">
      <alignment vertical="center"/>
    </xf>
    <xf numFmtId="10" fontId="23" fillId="11" borderId="41" xfId="20" applyNumberFormat="1" applyFont="1" applyFill="1" applyBorder="1" applyAlignment="1">
      <alignment vertical="center"/>
    </xf>
    <xf numFmtId="3" fontId="15" fillId="11" borderId="39" xfId="0" applyNumberFormat="1" applyFont="1" applyFill="1" applyBorder="1" applyAlignment="1">
      <alignment vertical="center"/>
    </xf>
    <xf numFmtId="3" fontId="15" fillId="11" borderId="40" xfId="0" applyNumberFormat="1" applyFont="1" applyFill="1" applyBorder="1" applyAlignment="1">
      <alignment vertical="center"/>
    </xf>
    <xf numFmtId="10" fontId="18" fillId="11" borderId="42" xfId="20" applyNumberFormat="1" applyFont="1" applyFill="1" applyBorder="1" applyAlignment="1">
      <alignment vertical="center"/>
    </xf>
    <xf numFmtId="3" fontId="0" fillId="12" borderId="26" xfId="0" applyNumberFormat="1" applyFill="1" applyBorder="1" applyAlignment="1">
      <alignment vertical="center"/>
    </xf>
    <xf numFmtId="3" fontId="20" fillId="12" borderId="26" xfId="0" applyNumberFormat="1" applyFont="1" applyFill="1" applyBorder="1" applyAlignment="1">
      <alignment vertical="center"/>
    </xf>
    <xf numFmtId="10" fontId="21" fillId="12" borderId="27" xfId="20" applyNumberFormat="1" applyFont="1" applyFill="1" applyBorder="1" applyAlignment="1">
      <alignment vertical="center"/>
    </xf>
    <xf numFmtId="3" fontId="25" fillId="12" borderId="26" xfId="0" applyNumberFormat="1" applyFont="1" applyFill="1" applyBorder="1" applyAlignment="1">
      <alignment vertical="center"/>
    </xf>
    <xf numFmtId="3" fontId="28" fillId="12" borderId="26" xfId="0" applyNumberFormat="1" applyFont="1" applyFill="1" applyBorder="1" applyAlignment="1">
      <alignment vertical="center"/>
    </xf>
    <xf numFmtId="10" fontId="29" fillId="12" borderId="27" xfId="2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6" xfId="0" applyFont="1" applyBorder="1" applyAlignment="1">
      <alignment horizontal="left" vertical="center" wrapText="1"/>
    </xf>
    <xf numFmtId="3" fontId="1" fillId="0" borderId="23" xfId="0" applyNumberFormat="1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19" fillId="0" borderId="23" xfId="0" applyNumberFormat="1" applyFont="1" applyBorder="1" applyAlignment="1">
      <alignment vertical="center"/>
    </xf>
    <xf numFmtId="3" fontId="19" fillId="0" borderId="26" xfId="0" applyNumberFormat="1" applyFont="1" applyBorder="1" applyAlignment="1">
      <alignment vertical="center"/>
    </xf>
    <xf numFmtId="10" fontId="36" fillId="0" borderId="27" xfId="20" applyNumberFormat="1" applyFont="1" applyBorder="1" applyAlignment="1">
      <alignment vertical="center"/>
    </xf>
    <xf numFmtId="3" fontId="24" fillId="0" borderId="23" xfId="0" applyNumberFormat="1" applyFont="1" applyBorder="1" applyAlignment="1">
      <alignment vertical="center"/>
    </xf>
    <xf numFmtId="3" fontId="24" fillId="0" borderId="26" xfId="0" applyNumberFormat="1" applyFont="1" applyBorder="1" applyAlignment="1">
      <alignment vertical="center"/>
    </xf>
    <xf numFmtId="3" fontId="27" fillId="0" borderId="23" xfId="0" applyNumberFormat="1" applyFont="1" applyBorder="1" applyAlignment="1">
      <alignment vertical="center"/>
    </xf>
    <xf numFmtId="3" fontId="27" fillId="0" borderId="26" xfId="0" applyNumberFormat="1" applyFont="1" applyBorder="1" applyAlignment="1">
      <alignment vertical="center"/>
    </xf>
    <xf numFmtId="10" fontId="38" fillId="0" borderId="27" xfId="2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37" xfId="0" applyFont="1" applyBorder="1" applyAlignment="1">
      <alignment horizontal="left" vertical="center" wrapText="1"/>
    </xf>
    <xf numFmtId="3" fontId="1" fillId="0" borderId="25" xfId="0" applyNumberFormat="1" applyFont="1" applyBorder="1" applyAlignment="1">
      <alignment vertical="center"/>
    </xf>
    <xf numFmtId="3" fontId="19" fillId="0" borderId="25" xfId="0" applyNumberFormat="1" applyFont="1" applyBorder="1" applyAlignment="1">
      <alignment vertical="center"/>
    </xf>
    <xf numFmtId="3" fontId="24" fillId="0" borderId="25" xfId="0" applyNumberFormat="1" applyFont="1" applyBorder="1" applyAlignment="1">
      <alignment vertical="center"/>
    </xf>
    <xf numFmtId="3" fontId="27" fillId="0" borderId="25" xfId="0" applyNumberFormat="1" applyFont="1" applyBorder="1" applyAlignment="1">
      <alignment vertical="center"/>
    </xf>
    <xf numFmtId="0" fontId="41" fillId="0" borderId="0" xfId="21" applyFont="1"/>
    <xf numFmtId="0" fontId="39" fillId="0" borderId="0" xfId="21"/>
    <xf numFmtId="0" fontId="42" fillId="0" borderId="0" xfId="21" applyFont="1" applyAlignment="1">
      <alignment horizontal="center"/>
    </xf>
    <xf numFmtId="0" fontId="43" fillId="0" borderId="0" xfId="21" applyFont="1"/>
    <xf numFmtId="0" fontId="44" fillId="0" borderId="0" xfId="21" applyFont="1"/>
    <xf numFmtId="3" fontId="39" fillId="0" borderId="0" xfId="21" applyNumberFormat="1"/>
    <xf numFmtId="0" fontId="39" fillId="12" borderId="46" xfId="21" applyFill="1" applyBorder="1"/>
    <xf numFmtId="0" fontId="39" fillId="12" borderId="50" xfId="21" applyFill="1" applyBorder="1"/>
    <xf numFmtId="0" fontId="48" fillId="16" borderId="51" xfId="21" applyFont="1" applyFill="1" applyBorder="1" applyAlignment="1">
      <alignment horizontal="left" vertical="top" wrapText="1"/>
    </xf>
    <xf numFmtId="0" fontId="49" fillId="11" borderId="52" xfId="21" applyFont="1" applyFill="1" applyBorder="1" applyAlignment="1">
      <alignment horizontal="center" vertical="top" wrapText="1"/>
    </xf>
    <xf numFmtId="0" fontId="50" fillId="10" borderId="52" xfId="21" applyFont="1" applyFill="1" applyBorder="1" applyAlignment="1">
      <alignment horizontal="center" vertical="top" wrapText="1"/>
    </xf>
    <xf numFmtId="0" fontId="51" fillId="17" borderId="52" xfId="21" applyFont="1" applyFill="1" applyBorder="1" applyAlignment="1">
      <alignment horizontal="center" vertical="top" wrapText="1"/>
    </xf>
    <xf numFmtId="0" fontId="55" fillId="20" borderId="50" xfId="21" applyFont="1" applyFill="1" applyBorder="1" applyAlignment="1">
      <alignment horizontal="center" vertical="top" wrapText="1"/>
    </xf>
    <xf numFmtId="0" fontId="55" fillId="12" borderId="55" xfId="21" applyFont="1" applyFill="1" applyBorder="1" applyAlignment="1">
      <alignment horizontal="center" vertical="top" wrapText="1"/>
    </xf>
    <xf numFmtId="0" fontId="55" fillId="12" borderId="59" xfId="21" applyFont="1" applyFill="1" applyBorder="1" applyAlignment="1">
      <alignment horizontal="center" vertical="top" wrapText="1"/>
    </xf>
    <xf numFmtId="0" fontId="39" fillId="0" borderId="0" xfId="21" applyAlignment="1">
      <alignment vertical="top" wrapText="1"/>
    </xf>
    <xf numFmtId="0" fontId="48" fillId="16" borderId="62" xfId="21" applyFont="1" applyFill="1" applyBorder="1" applyAlignment="1">
      <alignment horizontal="left" vertical="top" wrapText="1"/>
    </xf>
    <xf numFmtId="0" fontId="58" fillId="11" borderId="63" xfId="21" applyFont="1" applyFill="1" applyBorder="1" applyAlignment="1">
      <alignment horizontal="center" vertical="top" wrapText="1"/>
    </xf>
    <xf numFmtId="0" fontId="59" fillId="10" borderId="63" xfId="21" applyFont="1" applyFill="1" applyBorder="1" applyAlignment="1">
      <alignment horizontal="center" vertical="top" wrapText="1"/>
    </xf>
    <xf numFmtId="0" fontId="39" fillId="17" borderId="63" xfId="21" applyFill="1" applyBorder="1" applyAlignment="1">
      <alignment vertical="top" wrapText="1"/>
    </xf>
    <xf numFmtId="0" fontId="60" fillId="20" borderId="61" xfId="21" applyFont="1" applyFill="1" applyBorder="1"/>
    <xf numFmtId="0" fontId="60" fillId="12" borderId="55" xfId="21" applyFont="1" applyFill="1" applyBorder="1"/>
    <xf numFmtId="0" fontId="61" fillId="21" borderId="66" xfId="21" applyFont="1" applyFill="1" applyBorder="1" applyAlignment="1">
      <alignment horizontal="center" vertical="top"/>
    </xf>
    <xf numFmtId="0" fontId="62" fillId="21" borderId="67" xfId="21" applyFont="1" applyFill="1" applyBorder="1" applyAlignment="1">
      <alignment horizontal="center" vertical="top"/>
    </xf>
    <xf numFmtId="0" fontId="63" fillId="22" borderId="68" xfId="21" applyFont="1" applyFill="1" applyBorder="1" applyAlignment="1">
      <alignment horizontal="center" vertical="top"/>
    </xf>
    <xf numFmtId="0" fontId="64" fillId="22" borderId="67" xfId="21" applyFont="1" applyFill="1" applyBorder="1" applyAlignment="1">
      <alignment horizontal="center" vertical="top"/>
    </xf>
    <xf numFmtId="0" fontId="65" fillId="23" borderId="68" xfId="21" applyFont="1" applyFill="1" applyBorder="1" applyAlignment="1">
      <alignment horizontal="center" vertical="top"/>
    </xf>
    <xf numFmtId="0" fontId="66" fillId="23" borderId="69" xfId="21" applyFont="1" applyFill="1" applyBorder="1" applyAlignment="1">
      <alignment horizontal="center" vertical="top"/>
    </xf>
    <xf numFmtId="0" fontId="60" fillId="12" borderId="59" xfId="21" applyFont="1" applyFill="1" applyBorder="1"/>
    <xf numFmtId="0" fontId="63" fillId="22" borderId="64" xfId="21" applyFont="1" applyFill="1" applyBorder="1" applyAlignment="1">
      <alignment horizontal="center" vertical="top"/>
    </xf>
    <xf numFmtId="0" fontId="67" fillId="0" borderId="36" xfId="22" applyFont="1" applyBorder="1"/>
    <xf numFmtId="0" fontId="67" fillId="0" borderId="24" xfId="22" applyFont="1" applyBorder="1"/>
    <xf numFmtId="165" fontId="67" fillId="0" borderId="23" xfId="22" applyNumberFormat="1" applyFont="1" applyBorder="1"/>
    <xf numFmtId="3" fontId="68" fillId="0" borderId="23" xfId="21" applyNumberFormat="1" applyFont="1" applyBorder="1"/>
    <xf numFmtId="3" fontId="69" fillId="0" borderId="23" xfId="21" applyNumberFormat="1" applyFont="1" applyBorder="1"/>
    <xf numFmtId="3" fontId="67" fillId="0" borderId="23" xfId="22" applyNumberFormat="1" applyFont="1" applyBorder="1"/>
    <xf numFmtId="3" fontId="70" fillId="0" borderId="24" xfId="22" applyNumberFormat="1" applyFont="1" applyBorder="1"/>
    <xf numFmtId="3" fontId="67" fillId="0" borderId="70" xfId="22" applyNumberFormat="1" applyFont="1" applyBorder="1"/>
    <xf numFmtId="3" fontId="71" fillId="24" borderId="71" xfId="21" applyNumberFormat="1" applyFont="1" applyFill="1" applyBorder="1"/>
    <xf numFmtId="3" fontId="71" fillId="12" borderId="55" xfId="21" applyNumberFormat="1" applyFont="1" applyFill="1" applyBorder="1"/>
    <xf numFmtId="3" fontId="67" fillId="0" borderId="72" xfId="22" applyNumberFormat="1" applyFont="1" applyBorder="1"/>
    <xf numFmtId="166" fontId="72" fillId="0" borderId="73" xfId="23" applyNumberFormat="1" applyFont="1" applyFill="1" applyBorder="1"/>
    <xf numFmtId="3" fontId="73" fillId="0" borderId="74" xfId="22" applyNumberFormat="1" applyFont="1" applyBorder="1"/>
    <xf numFmtId="166" fontId="74" fillId="0" borderId="75" xfId="23" applyNumberFormat="1" applyFont="1" applyBorder="1"/>
    <xf numFmtId="3" fontId="75" fillId="0" borderId="24" xfId="22" applyNumberFormat="1" applyFont="1" applyBorder="1"/>
    <xf numFmtId="166" fontId="76" fillId="0" borderId="76" xfId="23" applyNumberFormat="1" applyFont="1" applyBorder="1"/>
    <xf numFmtId="3" fontId="71" fillId="12" borderId="59" xfId="21" applyNumberFormat="1" applyFont="1" applyFill="1" applyBorder="1"/>
    <xf numFmtId="0" fontId="39" fillId="0" borderId="0" xfId="21" applyAlignment="1">
      <alignment horizontal="center"/>
    </xf>
    <xf numFmtId="0" fontId="67" fillId="0" borderId="37" xfId="22" applyFont="1" applyBorder="1"/>
    <xf numFmtId="0" fontId="67" fillId="0" borderId="43" xfId="22" applyFont="1" applyBorder="1"/>
    <xf numFmtId="3" fontId="68" fillId="0" borderId="25" xfId="21" applyNumberFormat="1" applyFont="1" applyBorder="1"/>
    <xf numFmtId="3" fontId="69" fillId="0" borderId="25" xfId="21" applyNumberFormat="1" applyFont="1" applyBorder="1"/>
    <xf numFmtId="3" fontId="67" fillId="0" borderId="25" xfId="22" applyNumberFormat="1" applyFont="1" applyBorder="1"/>
    <xf numFmtId="3" fontId="67" fillId="0" borderId="77" xfId="22" applyNumberFormat="1" applyFont="1" applyBorder="1"/>
    <xf numFmtId="3" fontId="71" fillId="24" borderId="44" xfId="21" applyNumberFormat="1" applyFont="1" applyFill="1" applyBorder="1"/>
    <xf numFmtId="3" fontId="67" fillId="0" borderId="78" xfId="22" applyNumberFormat="1" applyFont="1" applyBorder="1"/>
    <xf numFmtId="166" fontId="72" fillId="0" borderId="79" xfId="23" applyNumberFormat="1" applyFont="1" applyFill="1" applyBorder="1"/>
    <xf numFmtId="3" fontId="73" fillId="0" borderId="80" xfId="22" applyNumberFormat="1" applyFont="1" applyBorder="1"/>
    <xf numFmtId="166" fontId="74" fillId="0" borderId="45" xfId="23" applyNumberFormat="1" applyFont="1" applyBorder="1"/>
    <xf numFmtId="3" fontId="75" fillId="0" borderId="43" xfId="22" applyNumberFormat="1" applyFont="1" applyBorder="1"/>
    <xf numFmtId="166" fontId="76" fillId="0" borderId="81" xfId="23" applyNumberFormat="1" applyFont="1" applyBorder="1"/>
    <xf numFmtId="0" fontId="77" fillId="0" borderId="37" xfId="22" applyFont="1" applyBorder="1"/>
    <xf numFmtId="3" fontId="78" fillId="12" borderId="55" xfId="21" applyNumberFormat="1" applyFont="1" applyFill="1" applyBorder="1"/>
    <xf numFmtId="3" fontId="79" fillId="0" borderId="78" xfId="22" applyNumberFormat="1" applyFont="1" applyBorder="1"/>
    <xf numFmtId="166" fontId="80" fillId="0" borderId="79" xfId="23" applyNumberFormat="1" applyFont="1" applyFill="1" applyBorder="1"/>
    <xf numFmtId="3" fontId="81" fillId="0" borderId="80" xfId="22" applyNumberFormat="1" applyFont="1" applyBorder="1"/>
    <xf numFmtId="166" fontId="82" fillId="0" borderId="45" xfId="23" applyNumberFormat="1" applyFont="1" applyBorder="1"/>
    <xf numFmtId="3" fontId="83" fillId="0" borderId="43" xfId="22" applyNumberFormat="1" applyFont="1" applyBorder="1"/>
    <xf numFmtId="166" fontId="84" fillId="0" borderId="81" xfId="23" applyNumberFormat="1" applyFont="1" applyBorder="1"/>
    <xf numFmtId="3" fontId="78" fillId="12" borderId="59" xfId="21" applyNumberFormat="1" applyFont="1" applyFill="1" applyBorder="1"/>
    <xf numFmtId="3" fontId="67" fillId="0" borderId="43" xfId="22" applyNumberFormat="1" applyFont="1" applyBorder="1"/>
    <xf numFmtId="3" fontId="85" fillId="0" borderId="80" xfId="22" applyNumberFormat="1" applyFont="1" applyBorder="1"/>
    <xf numFmtId="166" fontId="86" fillId="0" borderId="45" xfId="23" applyNumberFormat="1" applyFont="1" applyBorder="1"/>
    <xf numFmtId="0" fontId="87" fillId="0" borderId="0" xfId="21" applyFont="1"/>
    <xf numFmtId="0" fontId="67" fillId="0" borderId="37" xfId="22" applyFont="1" applyBorder="1" applyAlignment="1">
      <alignment horizontal="left"/>
    </xf>
    <xf numFmtId="0" fontId="67" fillId="0" borderId="34" xfId="22" applyFont="1" applyBorder="1"/>
    <xf numFmtId="3" fontId="68" fillId="0" borderId="28" xfId="21" applyNumberFormat="1" applyFont="1" applyBorder="1"/>
    <xf numFmtId="3" fontId="69" fillId="0" borderId="28" xfId="21" applyNumberFormat="1" applyFont="1" applyBorder="1"/>
    <xf numFmtId="3" fontId="67" fillId="0" borderId="28" xfId="22" applyNumberFormat="1" applyFont="1" applyBorder="1"/>
    <xf numFmtId="3" fontId="70" fillId="0" borderId="82" xfId="22" applyNumberFormat="1" applyFont="1" applyBorder="1"/>
    <xf numFmtId="3" fontId="67" fillId="0" borderId="83" xfId="22" applyNumberFormat="1" applyFont="1" applyBorder="1"/>
    <xf numFmtId="3" fontId="71" fillId="24" borderId="84" xfId="21" applyNumberFormat="1" applyFont="1" applyFill="1" applyBorder="1"/>
    <xf numFmtId="3" fontId="67" fillId="0" borderId="85" xfId="22" applyNumberFormat="1" applyFont="1" applyBorder="1"/>
    <xf numFmtId="166" fontId="72" fillId="0" borderId="86" xfId="23" applyNumberFormat="1" applyFont="1" applyFill="1" applyBorder="1"/>
    <xf numFmtId="3" fontId="73" fillId="0" borderId="29" xfId="22" applyNumberFormat="1" applyFont="1" applyBorder="1"/>
    <xf numFmtId="166" fontId="74" fillId="0" borderId="87" xfId="23" applyNumberFormat="1" applyFont="1" applyBorder="1"/>
    <xf numFmtId="3" fontId="75" fillId="0" borderId="82" xfId="22" applyNumberFormat="1" applyFont="1" applyBorder="1"/>
    <xf numFmtId="166" fontId="76" fillId="0" borderId="30" xfId="23" applyNumberFormat="1" applyFont="1" applyBorder="1"/>
    <xf numFmtId="0" fontId="88" fillId="16" borderId="38" xfId="22" applyFont="1" applyFill="1" applyBorder="1"/>
    <xf numFmtId="0" fontId="89" fillId="16" borderId="88" xfId="21" applyFont="1" applyFill="1" applyBorder="1"/>
    <xf numFmtId="165" fontId="89" fillId="16" borderId="89" xfId="21" applyNumberFormat="1" applyFont="1" applyFill="1" applyBorder="1"/>
    <xf numFmtId="3" fontId="90" fillId="11" borderId="39" xfId="21" applyNumberFormat="1" applyFont="1" applyFill="1" applyBorder="1"/>
    <xf numFmtId="3" fontId="91" fillId="10" borderId="39" xfId="21" applyNumberFormat="1" applyFont="1" applyFill="1" applyBorder="1"/>
    <xf numFmtId="3" fontId="89" fillId="17" borderId="39" xfId="21" applyNumberFormat="1" applyFont="1" applyFill="1" applyBorder="1"/>
    <xf numFmtId="3" fontId="52" fillId="18" borderId="88" xfId="21" applyNumberFormat="1" applyFont="1" applyFill="1" applyBorder="1"/>
    <xf numFmtId="3" fontId="92" fillId="19" borderId="90" xfId="21" applyNumberFormat="1" applyFont="1" applyFill="1" applyBorder="1"/>
    <xf numFmtId="3" fontId="93" fillId="20" borderId="91" xfId="21" applyNumberFormat="1" applyFont="1" applyFill="1" applyBorder="1"/>
    <xf numFmtId="3" fontId="93" fillId="12" borderId="92" xfId="21" applyNumberFormat="1" applyFont="1" applyFill="1" applyBorder="1"/>
    <xf numFmtId="3" fontId="94" fillId="21" borderId="93" xfId="22" applyNumberFormat="1" applyFont="1" applyFill="1" applyBorder="1"/>
    <xf numFmtId="166" fontId="95" fillId="21" borderId="94" xfId="23" applyNumberFormat="1" applyFont="1" applyFill="1" applyBorder="1"/>
    <xf numFmtId="3" fontId="96" fillId="22" borderId="40" xfId="22" applyNumberFormat="1" applyFont="1" applyFill="1" applyBorder="1"/>
    <xf numFmtId="166" fontId="97" fillId="22" borderId="94" xfId="23" applyNumberFormat="1" applyFont="1" applyFill="1" applyBorder="1"/>
    <xf numFmtId="3" fontId="98" fillId="23" borderId="88" xfId="22" applyNumberFormat="1" applyFont="1" applyFill="1" applyBorder="1"/>
    <xf numFmtId="166" fontId="99" fillId="23" borderId="41" xfId="23" applyNumberFormat="1" applyFont="1" applyFill="1" applyBorder="1"/>
    <xf numFmtId="3" fontId="93" fillId="12" borderId="95" xfId="21" applyNumberFormat="1" applyFont="1" applyFill="1" applyBorder="1"/>
    <xf numFmtId="3" fontId="96" fillId="22" borderId="88" xfId="22" applyNumberFormat="1" applyFont="1" applyFill="1" applyBorder="1"/>
    <xf numFmtId="3" fontId="98" fillId="23" borderId="40" xfId="22" applyNumberFormat="1" applyFont="1" applyFill="1" applyBorder="1"/>
    <xf numFmtId="166" fontId="99" fillId="23" borderId="96" xfId="23" applyNumberFormat="1" applyFont="1" applyFill="1" applyBorder="1"/>
    <xf numFmtId="0" fontId="89" fillId="0" borderId="0" xfId="21" applyFont="1"/>
    <xf numFmtId="0" fontId="43" fillId="0" borderId="0" xfId="21" applyFont="1" applyAlignment="1">
      <alignment horizontal="center"/>
    </xf>
    <xf numFmtId="0" fontId="44" fillId="0" borderId="0" xfId="21" applyFont="1" applyAlignment="1">
      <alignment horizontal="center"/>
    </xf>
    <xf numFmtId="3" fontId="67" fillId="0" borderId="0" xfId="22" applyNumberFormat="1" applyFont="1"/>
    <xf numFmtId="166" fontId="72" fillId="0" borderId="0" xfId="23" applyNumberFormat="1" applyFont="1"/>
    <xf numFmtId="3" fontId="100" fillId="0" borderId="0" xfId="22" applyNumberFormat="1" applyFont="1"/>
    <xf numFmtId="166" fontId="101" fillId="0" borderId="0" xfId="23" applyNumberFormat="1" applyFont="1"/>
    <xf numFmtId="3" fontId="75" fillId="0" borderId="0" xfId="22" applyNumberFormat="1" applyFont="1"/>
    <xf numFmtId="166" fontId="76" fillId="0" borderId="0" xfId="23" applyNumberFormat="1" applyFont="1"/>
    <xf numFmtId="0" fontId="102" fillId="0" borderId="0" xfId="21" applyFont="1"/>
    <xf numFmtId="10" fontId="104" fillId="0" borderId="0" xfId="24" applyNumberFormat="1" applyFont="1"/>
    <xf numFmtId="0" fontId="105" fillId="0" borderId="0" xfId="21" applyFont="1"/>
    <xf numFmtId="0" fontId="106" fillId="0" borderId="0" xfId="21" applyFont="1" applyAlignment="1">
      <alignment horizontal="center"/>
    </xf>
    <xf numFmtId="0" fontId="107" fillId="0" borderId="0" xfId="21" applyFont="1"/>
    <xf numFmtId="0" fontId="93" fillId="0" borderId="0" xfId="21" applyFont="1"/>
    <xf numFmtId="0" fontId="110" fillId="0" borderId="97" xfId="21" applyFont="1" applyBorder="1" applyAlignment="1">
      <alignment horizontal="center" vertical="top" wrapText="1"/>
    </xf>
    <xf numFmtId="0" fontId="111" fillId="0" borderId="0" xfId="21" applyFont="1" applyAlignment="1">
      <alignment horizontal="center" vertical="top" wrapText="1"/>
    </xf>
    <xf numFmtId="0" fontId="67" fillId="0" borderId="98" xfId="22" applyFont="1" applyBorder="1"/>
    <xf numFmtId="0" fontId="67" fillId="0" borderId="99" xfId="22" applyFont="1" applyBorder="1"/>
    <xf numFmtId="165" fontId="112" fillId="25" borderId="75" xfId="22" applyNumberFormat="1" applyFont="1" applyFill="1" applyBorder="1"/>
    <xf numFmtId="3" fontId="70" fillId="25" borderId="24" xfId="22" applyNumberFormat="1" applyFont="1" applyFill="1" applyBorder="1"/>
    <xf numFmtId="3" fontId="113" fillId="12" borderId="55" xfId="21" applyNumberFormat="1" applyFont="1" applyFill="1" applyBorder="1"/>
    <xf numFmtId="2" fontId="114" fillId="0" borderId="97" xfId="21" applyNumberFormat="1" applyFont="1" applyBorder="1" applyAlignment="1">
      <alignment horizontal="left"/>
    </xf>
    <xf numFmtId="2" fontId="107" fillId="0" borderId="0" xfId="21" applyNumberFormat="1" applyFont="1" applyAlignment="1">
      <alignment horizontal="center"/>
    </xf>
    <xf numFmtId="0" fontId="115" fillId="0" borderId="0" xfId="21" applyFont="1"/>
    <xf numFmtId="0" fontId="67" fillId="0" borderId="100" xfId="22" applyFont="1" applyBorder="1"/>
    <xf numFmtId="0" fontId="67" fillId="0" borderId="45" xfId="22" applyFont="1" applyBorder="1"/>
    <xf numFmtId="0" fontId="117" fillId="0" borderId="100" xfId="22" applyFont="1" applyBorder="1"/>
    <xf numFmtId="0" fontId="67" fillId="0" borderId="45" xfId="22" applyFont="1" applyBorder="1" applyAlignment="1">
      <alignment horizontal="right"/>
    </xf>
    <xf numFmtId="165" fontId="118" fillId="26" borderId="75" xfId="22" applyNumberFormat="1" applyFont="1" applyFill="1" applyBorder="1"/>
    <xf numFmtId="2" fontId="119" fillId="0" borderId="0" xfId="21" applyNumberFormat="1" applyFont="1" applyAlignment="1">
      <alignment horizontal="center"/>
    </xf>
    <xf numFmtId="0" fontId="67" fillId="0" borderId="109" xfId="22" applyFont="1" applyBorder="1"/>
    <xf numFmtId="0" fontId="67" fillId="0" borderId="87" xfId="22" applyFont="1" applyBorder="1"/>
    <xf numFmtId="3" fontId="68" fillId="0" borderId="63" xfId="21" applyNumberFormat="1" applyFont="1" applyBorder="1"/>
    <xf numFmtId="3" fontId="69" fillId="0" borderId="63" xfId="21" applyNumberFormat="1" applyFont="1" applyBorder="1"/>
    <xf numFmtId="3" fontId="70" fillId="25" borderId="64" xfId="22" applyNumberFormat="1" applyFont="1" applyFill="1" applyBorder="1"/>
    <xf numFmtId="3" fontId="71" fillId="12" borderId="110" xfId="21" applyNumberFormat="1" applyFont="1" applyFill="1" applyBorder="1"/>
    <xf numFmtId="3" fontId="71" fillId="12" borderId="111" xfId="21" applyNumberFormat="1" applyFont="1" applyFill="1" applyBorder="1"/>
    <xf numFmtId="0" fontId="89" fillId="16" borderId="39" xfId="21" applyFont="1" applyFill="1" applyBorder="1"/>
    <xf numFmtId="165" fontId="120" fillId="18" borderId="39" xfId="21" applyNumberFormat="1" applyFont="1" applyFill="1" applyBorder="1"/>
    <xf numFmtId="3" fontId="52" fillId="25" borderId="88" xfId="21" applyNumberFormat="1" applyFont="1" applyFill="1" applyBorder="1"/>
    <xf numFmtId="3" fontId="92" fillId="19" borderId="112" xfId="21" applyNumberFormat="1" applyFont="1" applyFill="1" applyBorder="1"/>
    <xf numFmtId="3" fontId="71" fillId="12" borderId="95" xfId="21" applyNumberFormat="1" applyFont="1" applyFill="1" applyBorder="1"/>
    <xf numFmtId="2" fontId="121" fillId="0" borderId="0" xfId="21" applyNumberFormat="1" applyFont="1" applyAlignment="1">
      <alignment horizontal="center"/>
    </xf>
    <xf numFmtId="0" fontId="122" fillId="0" borderId="0" xfId="21" applyFont="1" applyAlignment="1">
      <alignment horizontal="center"/>
    </xf>
    <xf numFmtId="0" fontId="55" fillId="12" borderId="113" xfId="21" applyFont="1" applyFill="1" applyBorder="1" applyAlignment="1">
      <alignment horizontal="center" vertical="top" wrapText="1"/>
    </xf>
    <xf numFmtId="0" fontId="110" fillId="0" borderId="97" xfId="21" applyFont="1" applyBorder="1" applyAlignment="1">
      <alignment horizontal="center" vertical="top"/>
    </xf>
    <xf numFmtId="0" fontId="124" fillId="0" borderId="45" xfId="22" applyFont="1" applyBorder="1" applyAlignment="1">
      <alignment horizontal="right"/>
    </xf>
    <xf numFmtId="3" fontId="70" fillId="25" borderId="43" xfId="22" applyNumberFormat="1" applyFont="1" applyFill="1" applyBorder="1"/>
    <xf numFmtId="2" fontId="114" fillId="0" borderId="97" xfId="21" applyNumberFormat="1" applyFont="1" applyBorder="1" applyAlignment="1">
      <alignment horizontal="center"/>
    </xf>
    <xf numFmtId="3" fontId="76" fillId="0" borderId="0" xfId="23" applyNumberFormat="1" applyFont="1" applyAlignment="1">
      <alignment horizontal="center"/>
    </xf>
    <xf numFmtId="3" fontId="43" fillId="0" borderId="0" xfId="21" applyNumberFormat="1" applyFont="1"/>
    <xf numFmtId="0" fontId="77" fillId="0" borderId="100" xfId="22" applyFont="1" applyBorder="1" applyAlignment="1">
      <alignment horizontal="left"/>
    </xf>
    <xf numFmtId="0" fontId="77" fillId="0" borderId="45" xfId="22" applyFont="1" applyBorder="1" applyAlignment="1">
      <alignment horizontal="left"/>
    </xf>
    <xf numFmtId="3" fontId="116" fillId="0" borderId="23" xfId="21" applyNumberFormat="1" applyFont="1" applyBorder="1"/>
    <xf numFmtId="3" fontId="116" fillId="24" borderId="44" xfId="21" applyNumberFormat="1" applyFont="1" applyFill="1" applyBorder="1"/>
    <xf numFmtId="3" fontId="116" fillId="12" borderId="55" xfId="21" applyNumberFormat="1" applyFont="1" applyFill="1" applyBorder="1"/>
    <xf numFmtId="0" fontId="126" fillId="0" borderId="0" xfId="21" applyFont="1"/>
    <xf numFmtId="0" fontId="77" fillId="0" borderId="109" xfId="22" applyFont="1" applyBorder="1" applyAlignment="1">
      <alignment horizontal="left"/>
    </xf>
    <xf numFmtId="0" fontId="77" fillId="0" borderId="87" xfId="22" applyFont="1" applyBorder="1" applyAlignment="1">
      <alignment horizontal="left"/>
    </xf>
    <xf numFmtId="165" fontId="112" fillId="25" borderId="28" xfId="22" applyNumberFormat="1" applyFont="1" applyFill="1" applyBorder="1"/>
    <xf numFmtId="3" fontId="116" fillId="0" borderId="28" xfId="21" applyNumberFormat="1" applyFont="1" applyBorder="1"/>
    <xf numFmtId="3" fontId="70" fillId="25" borderId="114" xfId="22" applyNumberFormat="1" applyFont="1" applyFill="1" applyBorder="1"/>
    <xf numFmtId="3" fontId="116" fillId="24" borderId="115" xfId="21" applyNumberFormat="1" applyFont="1" applyFill="1" applyBorder="1"/>
    <xf numFmtId="165" fontId="127" fillId="18" borderId="39" xfId="21" applyNumberFormat="1" applyFont="1" applyFill="1" applyBorder="1"/>
    <xf numFmtId="3" fontId="102" fillId="0" borderId="0" xfId="21" applyNumberFormat="1" applyFont="1"/>
    <xf numFmtId="0" fontId="0" fillId="0" borderId="0" xfId="0" applyAlignment="1">
      <alignment horizontal="left" vertical="center"/>
    </xf>
    <xf numFmtId="0" fontId="128" fillId="0" borderId="28" xfId="0" applyFont="1" applyBorder="1" applyAlignment="1">
      <alignment horizontal="center" vertical="top" wrapText="1"/>
    </xf>
    <xf numFmtId="0" fontId="128" fillId="0" borderId="29" xfId="0" applyFont="1" applyBorder="1" applyAlignment="1">
      <alignment horizontal="center" vertical="top" wrapText="1"/>
    </xf>
    <xf numFmtId="3" fontId="128" fillId="0" borderId="23" xfId="0" applyNumberFormat="1" applyFont="1" applyBorder="1" applyAlignment="1">
      <alignment vertical="center"/>
    </xf>
    <xf numFmtId="3" fontId="128" fillId="0" borderId="26" xfId="0" applyNumberFormat="1" applyFont="1" applyBorder="1" applyAlignment="1">
      <alignment vertical="center"/>
    </xf>
    <xf numFmtId="3" fontId="130" fillId="11" borderId="39" xfId="0" applyNumberFormat="1" applyFont="1" applyFill="1" applyBorder="1" applyAlignment="1">
      <alignment vertical="center"/>
    </xf>
    <xf numFmtId="3" fontId="130" fillId="11" borderId="40" xfId="0" applyNumberFormat="1" applyFont="1" applyFill="1" applyBorder="1" applyAlignment="1">
      <alignment vertical="center"/>
    </xf>
    <xf numFmtId="0" fontId="128" fillId="0" borderId="119" xfId="0" applyFont="1" applyBorder="1" applyAlignment="1">
      <alignment horizontal="center" vertical="top" wrapText="1"/>
    </xf>
    <xf numFmtId="10" fontId="129" fillId="0" borderId="120" xfId="20" applyNumberFormat="1" applyFont="1" applyBorder="1" applyAlignment="1">
      <alignment vertical="center"/>
    </xf>
    <xf numFmtId="10" fontId="131" fillId="11" borderId="121" xfId="20" applyNumberFormat="1" applyFont="1" applyFill="1" applyBorder="1" applyAlignment="1">
      <alignment vertical="center"/>
    </xf>
    <xf numFmtId="0" fontId="1" fillId="0" borderId="119" xfId="0" applyFont="1" applyBorder="1" applyAlignment="1">
      <alignment horizontal="center" vertical="top" wrapText="1"/>
    </xf>
    <xf numFmtId="10" fontId="35" fillId="0" borderId="120" xfId="20" applyNumberFormat="1" applyFont="1" applyBorder="1" applyAlignment="1">
      <alignment vertical="center"/>
    </xf>
    <xf numFmtId="10" fontId="14" fillId="12" borderId="120" xfId="20" applyNumberFormat="1" applyFont="1" applyFill="1" applyBorder="1" applyAlignment="1">
      <alignment vertical="center"/>
    </xf>
    <xf numFmtId="10" fontId="18" fillId="11" borderId="121" xfId="20" applyNumberFormat="1" applyFont="1" applyFill="1" applyBorder="1" applyAlignment="1">
      <alignment vertical="center"/>
    </xf>
    <xf numFmtId="0" fontId="27" fillId="0" borderId="87" xfId="0" applyFont="1" applyBorder="1" applyAlignment="1">
      <alignment horizontal="center" vertical="top" wrapText="1"/>
    </xf>
    <xf numFmtId="3" fontId="27" fillId="0" borderId="75" xfId="0" applyNumberFormat="1" applyFont="1" applyBorder="1" applyAlignment="1">
      <alignment vertical="center"/>
    </xf>
    <xf numFmtId="3" fontId="28" fillId="12" borderId="45" xfId="0" applyNumberFormat="1" applyFont="1" applyFill="1" applyBorder="1" applyAlignment="1">
      <alignment vertical="center"/>
    </xf>
    <xf numFmtId="3" fontId="27" fillId="0" borderId="45" xfId="0" applyNumberFormat="1" applyFont="1" applyBorder="1" applyAlignment="1">
      <alignment vertical="center"/>
    </xf>
    <xf numFmtId="3" fontId="17" fillId="11" borderId="89" xfId="0" applyNumberFormat="1" applyFont="1" applyFill="1" applyBorder="1" applyAlignment="1">
      <alignment vertical="center"/>
    </xf>
    <xf numFmtId="0" fontId="24" fillId="0" borderId="124" xfId="0" applyFont="1" applyBorder="1" applyAlignment="1">
      <alignment horizontal="center" vertical="top" wrapText="1"/>
    </xf>
    <xf numFmtId="0" fontId="24" fillId="0" borderId="125" xfId="0" applyFont="1" applyBorder="1" applyAlignment="1">
      <alignment horizontal="center" vertical="top" wrapText="1"/>
    </xf>
    <xf numFmtId="3" fontId="24" fillId="0" borderId="126" xfId="0" applyNumberFormat="1" applyFont="1" applyBorder="1" applyAlignment="1">
      <alignment vertical="center"/>
    </xf>
    <xf numFmtId="10" fontId="37" fillId="0" borderId="127" xfId="20" applyNumberFormat="1" applyFont="1" applyBorder="1" applyAlignment="1">
      <alignment vertical="center"/>
    </xf>
    <xf numFmtId="3" fontId="25" fillId="12" borderId="128" xfId="0" applyNumberFormat="1" applyFont="1" applyFill="1" applyBorder="1" applyAlignment="1">
      <alignment vertical="center"/>
    </xf>
    <xf numFmtId="10" fontId="26" fillId="12" borderId="127" xfId="20" applyNumberFormat="1" applyFont="1" applyFill="1" applyBorder="1" applyAlignment="1">
      <alignment vertical="center"/>
    </xf>
    <xf numFmtId="3" fontId="24" fillId="0" borderId="128" xfId="0" applyNumberFormat="1" applyFont="1" applyBorder="1" applyAlignment="1">
      <alignment vertical="center"/>
    </xf>
    <xf numFmtId="3" fontId="15" fillId="11" borderId="129" xfId="0" applyNumberFormat="1" applyFont="1" applyFill="1" applyBorder="1" applyAlignment="1">
      <alignment vertical="center"/>
    </xf>
    <xf numFmtId="10" fontId="16" fillId="11" borderId="130" xfId="20" applyNumberFormat="1" applyFont="1" applyFill="1" applyBorder="1" applyAlignment="1">
      <alignment vertical="center"/>
    </xf>
    <xf numFmtId="0" fontId="19" fillId="0" borderId="124" xfId="0" applyFont="1" applyBorder="1" applyAlignment="1">
      <alignment horizontal="center" vertical="top" wrapText="1"/>
    </xf>
    <xf numFmtId="3" fontId="19" fillId="0" borderId="126" xfId="0" applyNumberFormat="1" applyFont="1" applyBorder="1" applyAlignment="1">
      <alignment vertical="center"/>
    </xf>
    <xf numFmtId="3" fontId="20" fillId="12" borderId="128" xfId="0" applyNumberFormat="1" applyFont="1" applyFill="1" applyBorder="1" applyAlignment="1">
      <alignment vertical="center"/>
    </xf>
    <xf numFmtId="3" fontId="19" fillId="0" borderId="128" xfId="0" applyNumberFormat="1" applyFont="1" applyBorder="1" applyAlignment="1">
      <alignment vertical="center"/>
    </xf>
    <xf numFmtId="3" fontId="22" fillId="11" borderId="129" xfId="0" applyNumberFormat="1" applyFont="1" applyFill="1" applyBorder="1" applyAlignment="1">
      <alignment vertical="center"/>
    </xf>
    <xf numFmtId="0" fontId="132" fillId="0" borderId="133" xfId="0" applyFont="1" applyBorder="1" applyAlignment="1">
      <alignment horizontal="center" vertical="top" wrapText="1"/>
    </xf>
    <xf numFmtId="3" fontId="132" fillId="0" borderId="134" xfId="0" applyNumberFormat="1" applyFont="1" applyBorder="1" applyAlignment="1">
      <alignment vertical="center"/>
    </xf>
    <xf numFmtId="3" fontId="135" fillId="11" borderId="135" xfId="0" applyNumberFormat="1" applyFont="1" applyFill="1" applyBorder="1" applyAlignment="1">
      <alignment vertical="center"/>
    </xf>
    <xf numFmtId="0" fontId="132" fillId="0" borderId="119" xfId="0" applyFont="1" applyBorder="1" applyAlignment="1">
      <alignment horizontal="center" vertical="top" wrapText="1"/>
    </xf>
    <xf numFmtId="10" fontId="133" fillId="0" borderId="120" xfId="20" applyNumberFormat="1" applyFont="1" applyBorder="1" applyAlignment="1">
      <alignment vertical="center"/>
    </xf>
    <xf numFmtId="10" fontId="134" fillId="11" borderId="136" xfId="20" applyNumberFormat="1" applyFont="1" applyFill="1" applyBorder="1" applyAlignment="1">
      <alignment vertical="center"/>
    </xf>
    <xf numFmtId="10" fontId="133" fillId="0" borderId="138" xfId="20" applyNumberFormat="1" applyFont="1" applyBorder="1" applyAlignment="1">
      <alignment vertical="center"/>
    </xf>
    <xf numFmtId="10" fontId="134" fillId="11" borderId="139" xfId="20" applyNumberFormat="1" applyFont="1" applyFill="1" applyBorder="1" applyAlignment="1">
      <alignment vertical="center"/>
    </xf>
    <xf numFmtId="0" fontId="132" fillId="28" borderId="137" xfId="0" applyFont="1" applyFill="1" applyBorder="1" applyAlignment="1">
      <alignment horizontal="center" vertical="top" wrapText="1"/>
    </xf>
    <xf numFmtId="0" fontId="27" fillId="17" borderId="0" xfId="0" applyFont="1" applyFill="1"/>
    <xf numFmtId="0" fontId="24" fillId="17" borderId="0" xfId="0" applyFont="1" applyFill="1"/>
    <xf numFmtId="0" fontId="19" fillId="17" borderId="0" xfId="0" applyFont="1" applyFill="1"/>
    <xf numFmtId="0" fontId="1" fillId="17" borderId="0" xfId="0" applyFont="1" applyFill="1"/>
    <xf numFmtId="167" fontId="27" fillId="29" borderId="25" xfId="0" applyNumberFormat="1" applyFont="1" applyFill="1" applyBorder="1" applyAlignment="1">
      <alignment vertical="center"/>
    </xf>
    <xf numFmtId="167" fontId="28" fillId="30" borderId="25" xfId="0" applyNumberFormat="1" applyFont="1" applyFill="1" applyBorder="1" applyAlignment="1">
      <alignment vertical="center"/>
    </xf>
    <xf numFmtId="3" fontId="136" fillId="12" borderId="25" xfId="0" applyNumberFormat="1" applyFont="1" applyFill="1" applyBorder="1" applyAlignment="1">
      <alignment vertical="center"/>
    </xf>
    <xf numFmtId="167" fontId="1" fillId="29" borderId="25" xfId="0" applyNumberFormat="1" applyFont="1" applyFill="1" applyBorder="1" applyAlignment="1">
      <alignment vertical="center"/>
    </xf>
    <xf numFmtId="167" fontId="0" fillId="30" borderId="25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0" fillId="12" borderId="0" xfId="0" applyNumberFormat="1" applyFill="1" applyBorder="1" applyAlignment="1">
      <alignment vertical="center"/>
    </xf>
    <xf numFmtId="3" fontId="0" fillId="12" borderId="43" xfId="0" applyNumberFormat="1" applyFill="1" applyBorder="1" applyAlignment="1">
      <alignment vertical="center"/>
    </xf>
    <xf numFmtId="3" fontId="1" fillId="0" borderId="43" xfId="0" applyNumberFormat="1" applyFont="1" applyBorder="1" applyAlignment="1">
      <alignment vertical="center"/>
    </xf>
    <xf numFmtId="0" fontId="1" fillId="0" borderId="21" xfId="0" applyFont="1" applyBorder="1" applyAlignment="1">
      <alignment horizontal="center" vertical="top" wrapText="1"/>
    </xf>
    <xf numFmtId="167" fontId="1" fillId="29" borderId="140" xfId="0" applyNumberFormat="1" applyFont="1" applyFill="1" applyBorder="1" applyAlignment="1">
      <alignment vertical="center"/>
    </xf>
    <xf numFmtId="0" fontId="19" fillId="0" borderId="87" xfId="0" applyFont="1" applyBorder="1" applyAlignment="1">
      <alignment horizontal="center" vertical="top" wrapText="1"/>
    </xf>
    <xf numFmtId="3" fontId="19" fillId="0" borderId="75" xfId="0" applyNumberFormat="1" applyFont="1" applyBorder="1" applyAlignment="1">
      <alignment vertical="center"/>
    </xf>
    <xf numFmtId="3" fontId="20" fillId="12" borderId="45" xfId="0" applyNumberFormat="1" applyFont="1" applyFill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3" fontId="19" fillId="0" borderId="45" xfId="0" applyNumberFormat="1" applyFont="1" applyBorder="1" applyAlignment="1">
      <alignment vertical="center"/>
    </xf>
    <xf numFmtId="3" fontId="22" fillId="11" borderId="89" xfId="0" applyNumberFormat="1" applyFont="1" applyFill="1" applyBorder="1" applyAlignment="1">
      <alignment vertical="center"/>
    </xf>
    <xf numFmtId="167" fontId="19" fillId="0" borderId="25" xfId="0" applyNumberFormat="1" applyFont="1" applyBorder="1" applyAlignment="1">
      <alignment vertical="center"/>
    </xf>
    <xf numFmtId="0" fontId="24" fillId="0" borderId="87" xfId="0" applyFont="1" applyBorder="1" applyAlignment="1">
      <alignment horizontal="center" vertical="top" wrapText="1"/>
    </xf>
    <xf numFmtId="3" fontId="24" fillId="0" borderId="0" xfId="0" applyNumberFormat="1" applyFont="1" applyBorder="1" applyAlignment="1">
      <alignment vertical="center"/>
    </xf>
    <xf numFmtId="3" fontId="25" fillId="12" borderId="45" xfId="0" applyNumberFormat="1" applyFont="1" applyFill="1" applyBorder="1" applyAlignment="1">
      <alignment vertical="center"/>
    </xf>
    <xf numFmtId="3" fontId="24" fillId="0" borderId="45" xfId="0" applyNumberFormat="1" applyFont="1" applyBorder="1" applyAlignment="1">
      <alignment vertical="center"/>
    </xf>
    <xf numFmtId="3" fontId="15" fillId="11" borderId="89" xfId="0" applyNumberFormat="1" applyFont="1" applyFill="1" applyBorder="1" applyAlignment="1">
      <alignment vertical="center"/>
    </xf>
    <xf numFmtId="3" fontId="27" fillId="0" borderId="0" xfId="0" applyNumberFormat="1" applyFont="1" applyBorder="1" applyAlignment="1">
      <alignment vertical="center"/>
    </xf>
    <xf numFmtId="167" fontId="27" fillId="29" borderId="140" xfId="0" applyNumberFormat="1" applyFont="1" applyFill="1" applyBorder="1" applyAlignment="1">
      <alignment vertical="center"/>
    </xf>
    <xf numFmtId="0" fontId="24" fillId="0" borderId="21" xfId="0" applyFont="1" applyBorder="1" applyAlignment="1">
      <alignment horizontal="center" vertical="top" wrapText="1"/>
    </xf>
    <xf numFmtId="167" fontId="24" fillId="0" borderId="140" xfId="0" applyNumberFormat="1" applyFont="1" applyBorder="1" applyAlignment="1">
      <alignment vertical="center"/>
    </xf>
    <xf numFmtId="167" fontId="28" fillId="0" borderId="0" xfId="0" applyNumberFormat="1" applyFont="1"/>
    <xf numFmtId="0" fontId="27" fillId="0" borderId="0" xfId="0" applyFont="1" applyFill="1"/>
    <xf numFmtId="0" fontId="27" fillId="0" borderId="119" xfId="0" applyFont="1" applyBorder="1" applyAlignment="1">
      <alignment horizontal="center" vertical="top" wrapText="1"/>
    </xf>
    <xf numFmtId="10" fontId="38" fillId="0" borderId="120" xfId="20" applyNumberFormat="1" applyFont="1" applyBorder="1" applyAlignment="1">
      <alignment vertical="center"/>
    </xf>
    <xf numFmtId="10" fontId="29" fillId="12" borderId="120" xfId="20" applyNumberFormat="1" applyFont="1" applyFill="1" applyBorder="1" applyAlignment="1">
      <alignment vertical="center"/>
    </xf>
    <xf numFmtId="3" fontId="19" fillId="17" borderId="142" xfId="0" applyNumberFormat="1" applyFont="1" applyFill="1" applyBorder="1" applyAlignment="1">
      <alignment horizontal="center" vertical="top" wrapText="1"/>
    </xf>
    <xf numFmtId="3" fontId="27" fillId="0" borderId="143" xfId="0" applyNumberFormat="1" applyFont="1" applyBorder="1" applyAlignment="1">
      <alignment vertical="center"/>
    </xf>
    <xf numFmtId="3" fontId="28" fillId="12" borderId="144" xfId="0" applyNumberFormat="1" applyFont="1" applyFill="1" applyBorder="1" applyAlignment="1">
      <alignment vertical="center"/>
    </xf>
    <xf numFmtId="3" fontId="27" fillId="0" borderId="144" xfId="0" applyNumberFormat="1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31" fillId="0" borderId="32" xfId="0" applyFont="1" applyBorder="1" applyAlignment="1">
      <alignment horizontal="center"/>
    </xf>
    <xf numFmtId="0" fontId="31" fillId="0" borderId="116" xfId="0" applyFont="1" applyBorder="1" applyAlignment="1">
      <alignment horizontal="center"/>
    </xf>
    <xf numFmtId="0" fontId="32" fillId="0" borderId="131" xfId="0" applyFont="1" applyBorder="1" applyAlignment="1">
      <alignment horizontal="center"/>
    </xf>
    <xf numFmtId="0" fontId="32" fillId="0" borderId="117" xfId="0" applyFont="1" applyBorder="1" applyAlignment="1">
      <alignment horizontal="center"/>
    </xf>
    <xf numFmtId="0" fontId="32" fillId="0" borderId="132" xfId="0" applyFont="1" applyBorder="1" applyAlignment="1">
      <alignment horizontal="center"/>
    </xf>
    <xf numFmtId="0" fontId="33" fillId="0" borderId="122" xfId="0" applyFont="1" applyBorder="1" applyAlignment="1">
      <alignment horizontal="center"/>
    </xf>
    <xf numFmtId="0" fontId="33" fillId="0" borderId="118" xfId="0" applyFont="1" applyBorder="1" applyAlignment="1">
      <alignment horizontal="center"/>
    </xf>
    <xf numFmtId="0" fontId="33" fillId="0" borderId="32" xfId="0" applyFont="1" applyBorder="1" applyAlignment="1">
      <alignment horizontal="center"/>
    </xf>
    <xf numFmtId="0" fontId="33" fillId="0" borderId="116" xfId="0" applyFont="1" applyBorder="1" applyAlignment="1">
      <alignment horizontal="center"/>
    </xf>
    <xf numFmtId="0" fontId="34" fillId="0" borderId="46" xfId="0" applyFont="1" applyBorder="1" applyAlignment="1">
      <alignment horizontal="center"/>
    </xf>
    <xf numFmtId="0" fontId="34" fillId="0" borderId="50" xfId="0" applyFont="1" applyBorder="1" applyAlignment="1">
      <alignment horizontal="center"/>
    </xf>
    <xf numFmtId="0" fontId="0" fillId="0" borderId="141" xfId="0" applyBorder="1" applyAlignment="1"/>
    <xf numFmtId="0" fontId="34" fillId="0" borderId="118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33" fillId="0" borderId="123" xfId="0" applyFont="1" applyBorder="1" applyAlignment="1">
      <alignment horizontal="center"/>
    </xf>
    <xf numFmtId="0" fontId="40" fillId="13" borderId="43" xfId="21" applyFont="1" applyFill="1" applyBorder="1" applyAlignment="1">
      <alignment horizontal="center"/>
    </xf>
    <xf numFmtId="0" fontId="40" fillId="13" borderId="44" xfId="21" applyFont="1" applyFill="1" applyBorder="1" applyAlignment="1">
      <alignment horizontal="center"/>
    </xf>
    <xf numFmtId="0" fontId="40" fillId="13" borderId="45" xfId="21" applyFont="1" applyFill="1" applyBorder="1" applyAlignment="1">
      <alignment horizontal="center"/>
    </xf>
    <xf numFmtId="0" fontId="42" fillId="12" borderId="0" xfId="21" applyFont="1" applyFill="1" applyAlignment="1">
      <alignment horizontal="center"/>
    </xf>
    <xf numFmtId="0" fontId="45" fillId="14" borderId="47" xfId="21" applyFont="1" applyFill="1" applyBorder="1" applyAlignment="1">
      <alignment horizontal="center"/>
    </xf>
    <xf numFmtId="0" fontId="46" fillId="14" borderId="48" xfId="21" applyFont="1" applyFill="1" applyBorder="1" applyAlignment="1">
      <alignment horizontal="center"/>
    </xf>
    <xf numFmtId="0" fontId="46" fillId="14" borderId="49" xfId="21" applyFont="1" applyFill="1" applyBorder="1" applyAlignment="1">
      <alignment horizontal="center"/>
    </xf>
    <xf numFmtId="0" fontId="47" fillId="15" borderId="48" xfId="21" applyFont="1" applyFill="1" applyBorder="1" applyAlignment="1">
      <alignment horizontal="center"/>
    </xf>
    <xf numFmtId="0" fontId="47" fillId="15" borderId="49" xfId="21" applyFont="1" applyFill="1" applyBorder="1" applyAlignment="1">
      <alignment horizontal="center"/>
    </xf>
    <xf numFmtId="0" fontId="48" fillId="16" borderId="46" xfId="21" applyFont="1" applyFill="1" applyBorder="1" applyAlignment="1">
      <alignment horizontal="left" vertical="top" wrapText="1"/>
    </xf>
    <xf numFmtId="0" fontId="48" fillId="16" borderId="50" xfId="21" applyFont="1" applyFill="1" applyBorder="1" applyAlignment="1">
      <alignment horizontal="left" vertical="top" wrapText="1"/>
    </xf>
    <xf numFmtId="0" fontId="48" fillId="16" borderId="60" xfId="21" applyFont="1" applyFill="1" applyBorder="1" applyAlignment="1">
      <alignment horizontal="left" vertical="top" wrapText="1"/>
    </xf>
    <xf numFmtId="0" fontId="48" fillId="16" borderId="61" xfId="21" applyFont="1" applyFill="1" applyBorder="1" applyAlignment="1">
      <alignment horizontal="left" vertical="top" wrapText="1"/>
    </xf>
    <xf numFmtId="0" fontId="52" fillId="18" borderId="53" xfId="21" applyFont="1" applyFill="1" applyBorder="1" applyAlignment="1">
      <alignment horizontal="center" vertical="top" wrapText="1"/>
    </xf>
    <xf numFmtId="0" fontId="52" fillId="18" borderId="64" xfId="21" applyFont="1" applyFill="1" applyBorder="1" applyAlignment="1">
      <alignment horizontal="center" vertical="top" wrapText="1"/>
    </xf>
    <xf numFmtId="0" fontId="54" fillId="19" borderId="54" xfId="21" applyFont="1" applyFill="1" applyBorder="1" applyAlignment="1">
      <alignment horizontal="center" vertical="top" wrapText="1"/>
    </xf>
    <xf numFmtId="0" fontId="54" fillId="19" borderId="65" xfId="21" applyFont="1" applyFill="1" applyBorder="1" applyAlignment="1">
      <alignment horizontal="center" vertical="top" wrapText="1"/>
    </xf>
    <xf numFmtId="0" fontId="55" fillId="21" borderId="56" xfId="21" applyFont="1" applyFill="1" applyBorder="1" applyAlignment="1">
      <alignment horizontal="center" vertical="top" wrapText="1"/>
    </xf>
    <xf numFmtId="0" fontId="55" fillId="21" borderId="57" xfId="21" applyFont="1" applyFill="1" applyBorder="1" applyAlignment="1">
      <alignment horizontal="center" vertical="top" wrapText="1"/>
    </xf>
    <xf numFmtId="0" fontId="56" fillId="22" borderId="57" xfId="21" applyFont="1" applyFill="1" applyBorder="1" applyAlignment="1">
      <alignment horizontal="center" vertical="top" wrapText="1"/>
    </xf>
    <xf numFmtId="0" fontId="57" fillId="23" borderId="57" xfId="21" applyFont="1" applyFill="1" applyBorder="1" applyAlignment="1">
      <alignment horizontal="center" vertical="top" wrapText="1"/>
    </xf>
    <xf numFmtId="0" fontId="57" fillId="23" borderId="58" xfId="21" applyFont="1" applyFill="1" applyBorder="1" applyAlignment="1">
      <alignment horizontal="center" vertical="top" wrapText="1"/>
    </xf>
    <xf numFmtId="0" fontId="39" fillId="0" borderId="0" xfId="21" applyAlignment="1">
      <alignment horizontal="center" vertical="top" wrapText="1"/>
    </xf>
    <xf numFmtId="0" fontId="106" fillId="25" borderId="0" xfId="21" applyFont="1" applyFill="1" applyAlignment="1">
      <alignment horizontal="center"/>
    </xf>
    <xf numFmtId="0" fontId="46" fillId="14" borderId="47" xfId="21" applyFont="1" applyFill="1" applyBorder="1" applyAlignment="1">
      <alignment horizontal="center"/>
    </xf>
    <xf numFmtId="0" fontId="108" fillId="16" borderId="46" xfId="21" applyFont="1" applyFill="1" applyBorder="1" applyAlignment="1">
      <alignment horizontal="left" vertical="top" wrapText="1"/>
    </xf>
    <xf numFmtId="0" fontId="108" fillId="16" borderId="51" xfId="21" applyFont="1" applyFill="1" applyBorder="1" applyAlignment="1">
      <alignment horizontal="left" vertical="top" wrapText="1"/>
    </xf>
    <xf numFmtId="0" fontId="108" fillId="16" borderId="60" xfId="21" applyFont="1" applyFill="1" applyBorder="1" applyAlignment="1">
      <alignment horizontal="left" vertical="top" wrapText="1"/>
    </xf>
    <xf numFmtId="0" fontId="108" fillId="16" borderId="62" xfId="21" applyFont="1" applyFill="1" applyBorder="1" applyAlignment="1">
      <alignment horizontal="left" vertical="top" wrapText="1"/>
    </xf>
    <xf numFmtId="0" fontId="109" fillId="25" borderId="52" xfId="21" applyFont="1" applyFill="1" applyBorder="1" applyAlignment="1">
      <alignment horizontal="center" vertical="center" textRotation="90" wrapText="1"/>
    </xf>
    <xf numFmtId="0" fontId="109" fillId="25" borderId="63" xfId="21" applyFont="1" applyFill="1" applyBorder="1" applyAlignment="1">
      <alignment horizontal="center" vertical="center" textRotation="90" wrapText="1"/>
    </xf>
    <xf numFmtId="166" fontId="74" fillId="0" borderId="103" xfId="23" applyNumberFormat="1" applyFont="1" applyBorder="1" applyAlignment="1">
      <alignment horizontal="right" vertical="center"/>
    </xf>
    <xf numFmtId="166" fontId="74" fillId="0" borderId="108" xfId="23" applyNumberFormat="1" applyFont="1" applyBorder="1" applyAlignment="1">
      <alignment horizontal="right" vertical="center"/>
    </xf>
    <xf numFmtId="3" fontId="75" fillId="0" borderId="104" xfId="22" applyNumberFormat="1" applyFont="1" applyBorder="1" applyAlignment="1">
      <alignment horizontal="right" vertical="center"/>
    </xf>
    <xf numFmtId="3" fontId="75" fillId="0" borderId="26" xfId="22" applyNumberFormat="1" applyFont="1" applyBorder="1" applyAlignment="1">
      <alignment horizontal="right" vertical="center"/>
    </xf>
    <xf numFmtId="166" fontId="76" fillId="0" borderId="105" xfId="23" applyNumberFormat="1" applyFont="1" applyBorder="1" applyAlignment="1">
      <alignment horizontal="right" vertical="center"/>
    </xf>
    <xf numFmtId="166" fontId="76" fillId="0" borderId="27" xfId="23" applyNumberFormat="1" applyFont="1" applyBorder="1" applyAlignment="1">
      <alignment horizontal="right" vertical="center"/>
    </xf>
    <xf numFmtId="0" fontId="122" fillId="25" borderId="0" xfId="21" applyFont="1" applyFill="1" applyAlignment="1">
      <alignment horizontal="center"/>
    </xf>
    <xf numFmtId="3" fontId="68" fillId="0" borderId="21" xfId="21" applyNumberFormat="1" applyFont="1" applyBorder="1" applyAlignment="1">
      <alignment vertical="center"/>
    </xf>
    <xf numFmtId="3" fontId="68" fillId="0" borderId="23" xfId="21" applyNumberFormat="1" applyFont="1" applyBorder="1" applyAlignment="1">
      <alignment vertical="center"/>
    </xf>
    <xf numFmtId="3" fontId="69" fillId="0" borderId="21" xfId="21" applyNumberFormat="1" applyFont="1" applyBorder="1" applyAlignment="1">
      <alignment horizontal="right" vertical="center"/>
    </xf>
    <xf numFmtId="3" fontId="69" fillId="0" borderId="23" xfId="21" applyNumberFormat="1" applyFont="1" applyBorder="1" applyAlignment="1">
      <alignment horizontal="right" vertical="center"/>
    </xf>
    <xf numFmtId="3" fontId="116" fillId="0" borderId="21" xfId="21" applyNumberFormat="1" applyFont="1" applyBorder="1" applyAlignment="1">
      <alignment horizontal="right" vertical="center"/>
    </xf>
    <xf numFmtId="3" fontId="116" fillId="0" borderId="23" xfId="21" applyNumberFormat="1" applyFont="1" applyBorder="1" applyAlignment="1">
      <alignment horizontal="right" vertical="center"/>
    </xf>
    <xf numFmtId="3" fontId="71" fillId="24" borderId="101" xfId="21" applyNumberFormat="1" applyFont="1" applyFill="1" applyBorder="1" applyAlignment="1">
      <alignment horizontal="right" vertical="center"/>
    </xf>
    <xf numFmtId="3" fontId="71" fillId="24" borderId="106" xfId="21" applyNumberFormat="1" applyFont="1" applyFill="1" applyBorder="1" applyAlignment="1">
      <alignment horizontal="right" vertical="center"/>
    </xf>
    <xf numFmtId="3" fontId="73" fillId="0" borderId="102" xfId="22" applyNumberFormat="1" applyFont="1" applyBorder="1" applyAlignment="1">
      <alignment horizontal="right" vertical="center"/>
    </xf>
    <xf numFmtId="3" fontId="73" fillId="0" borderId="107" xfId="22" applyNumberFormat="1" applyFont="1" applyBorder="1" applyAlignment="1">
      <alignment horizontal="right" vertical="center"/>
    </xf>
    <xf numFmtId="0" fontId="123" fillId="16" borderId="46" xfId="21" applyFont="1" applyFill="1" applyBorder="1" applyAlignment="1">
      <alignment horizontal="left" vertical="top" wrapText="1"/>
    </xf>
    <xf numFmtId="0" fontId="123" fillId="16" borderId="51" xfId="21" applyFont="1" applyFill="1" applyBorder="1" applyAlignment="1">
      <alignment horizontal="left" vertical="top" wrapText="1"/>
    </xf>
    <xf numFmtId="0" fontId="123" fillId="16" borderId="60" xfId="21" applyFont="1" applyFill="1" applyBorder="1" applyAlignment="1">
      <alignment horizontal="left" vertical="top" wrapText="1"/>
    </xf>
    <xf numFmtId="0" fontId="123" fillId="16" borderId="62" xfId="21" applyFont="1" applyFill="1" applyBorder="1" applyAlignment="1">
      <alignment horizontal="left" vertical="top" wrapText="1"/>
    </xf>
    <xf numFmtId="0" fontId="122" fillId="27" borderId="0" xfId="21" applyFont="1" applyFill="1" applyAlignment="1">
      <alignment horizontal="center"/>
    </xf>
    <xf numFmtId="0" fontId="123" fillId="27" borderId="46" xfId="21" applyFont="1" applyFill="1" applyBorder="1" applyAlignment="1">
      <alignment horizontal="left" vertical="top" wrapText="1"/>
    </xf>
    <xf numFmtId="0" fontId="123" fillId="27" borderId="51" xfId="21" applyFont="1" applyFill="1" applyBorder="1" applyAlignment="1">
      <alignment horizontal="left" vertical="top" wrapText="1"/>
    </xf>
    <xf numFmtId="0" fontId="123" fillId="27" borderId="60" xfId="21" applyFont="1" applyFill="1" applyBorder="1" applyAlignment="1">
      <alignment horizontal="left" vertical="top" wrapText="1"/>
    </xf>
    <xf numFmtId="0" fontId="123" fillId="27" borderId="62" xfId="21" applyFont="1" applyFill="1" applyBorder="1" applyAlignment="1">
      <alignment horizontal="left" vertical="top" wrapText="1"/>
    </xf>
  </cellXfs>
  <cellStyles count="25">
    <cellStyle name="___col1" xfId="1"/>
    <cellStyle name="___col2" xfId="2"/>
    <cellStyle name="___col3" xfId="3"/>
    <cellStyle name="___row1" xfId="4"/>
    <cellStyle name="___row2" xfId="5"/>
    <cellStyle name="___row3" xfId="6"/>
    <cellStyle name="__col2" xfId="7"/>
    <cellStyle name="__col3" xfId="8"/>
    <cellStyle name="__page" xfId="9"/>
    <cellStyle name="__row2" xfId="10"/>
    <cellStyle name="__row3" xfId="11"/>
    <cellStyle name="_col1" xfId="12"/>
    <cellStyle name="_col2" xfId="13"/>
    <cellStyle name="_col3" xfId="14"/>
    <cellStyle name="_data" xfId="15"/>
    <cellStyle name="_page" xfId="16"/>
    <cellStyle name="_row1" xfId="17"/>
    <cellStyle name="_row2" xfId="18"/>
    <cellStyle name="_row3" xfId="19"/>
    <cellStyle name="Normální" xfId="0" builtinId="0"/>
    <cellStyle name="Normální 2" xfId="21"/>
    <cellStyle name="Normální 5 2" xfId="22"/>
    <cellStyle name="Procenta" xfId="20" builtinId="5"/>
    <cellStyle name="Procenta 2" xfId="23"/>
    <cellStyle name="Procenta 3" xfId="24"/>
  </cellStyles>
  <dxfs count="3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E6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E0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kumenty\E_DATA\2001%20pr&#367;b&#283;h\Pril%204%20S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martin.knapek/AppData/Local/Microsoft/Windows/Temporary%20Internet%20Files/Content.IE5/15KC9LD5/DOKUMENTY%20SMN/Reporty%202013/11.LISTOPAD%202013/14.Preskripce%20anal&#253;za%20LISTOPAD%202013%20z%202011%20POJI&#352;&#356;OVN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0%20CZ%20Financial%20Statements%20Template%20v2b.0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Documents%20and%20Settings/jkuben/Local%20Settings/Temporary%20Internet%20Files/OLKB2/Vr&#225;&#357;a%20F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OI/Local%20Settings/Temporary%20Internet%20Files/Content.Outlook/1HJPTDYK/Anal&#253;za%20preskripce%20za%202010%201-1%20POJI&#352;&#356;OVNY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í"/>
      <sheetName val="HiMIS"/>
      <sheetName val="HIMIS 2008"/>
      <sheetName val="HIMIS 2009"/>
      <sheetName val="HIMIS 2010"/>
      <sheetName val="HIMIS 2011"/>
      <sheetName val="HIMIS 2012"/>
      <sheetName val="HIMIS 2013"/>
      <sheetName val="111"/>
      <sheetName val="201"/>
      <sheetName val="205"/>
      <sheetName val="207"/>
      <sheetName val="209"/>
      <sheetName val="211"/>
      <sheetName val="213"/>
      <sheetName val="217"/>
      <sheetName val="SMN celkem"/>
      <sheetName val="SMN CELKEM překročení dle ZP"/>
      <sheetName val="tabulka"/>
    </sheetNames>
    <sheetDataSet>
      <sheetData sheetId="0">
        <row r="16">
          <cell r="D16">
            <v>2013</v>
          </cell>
        </row>
        <row r="17">
          <cell r="C17">
            <v>2011</v>
          </cell>
        </row>
        <row r="19">
          <cell r="E19" t="str">
            <v>98%</v>
          </cell>
        </row>
        <row r="21">
          <cell r="C21">
            <v>0.4</v>
          </cell>
        </row>
        <row r="45">
          <cell r="B45">
            <v>111</v>
          </cell>
          <cell r="C45">
            <v>0.93</v>
          </cell>
        </row>
        <row r="46">
          <cell r="B46">
            <v>201</v>
          </cell>
          <cell r="C46">
            <v>1.07</v>
          </cell>
        </row>
        <row r="47">
          <cell r="B47">
            <v>205</v>
          </cell>
          <cell r="C47">
            <v>1.04</v>
          </cell>
        </row>
        <row r="48">
          <cell r="B48">
            <v>207</v>
          </cell>
          <cell r="C48">
            <v>0.96</v>
          </cell>
        </row>
        <row r="49">
          <cell r="B49">
            <v>209</v>
          </cell>
          <cell r="C49">
            <v>1</v>
          </cell>
        </row>
        <row r="50">
          <cell r="B50">
            <v>211</v>
          </cell>
          <cell r="C50">
            <v>1.05</v>
          </cell>
        </row>
        <row r="51">
          <cell r="B51">
            <v>213</v>
          </cell>
          <cell r="C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M6">
            <v>0</v>
          </cell>
        </row>
      </sheetData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o"/>
      <sheetName val="BS"/>
      <sheetName val="P&amp;L"/>
      <sheetName val="CF"/>
      <sheetName val="CF P"/>
      <sheetName val="CF P2"/>
      <sheetName val="Reconciliation"/>
      <sheetName val="TB"/>
      <sheetName val="TBLinks"/>
      <sheetName val="Tickmarks"/>
      <sheetName val="Languages"/>
      <sheetName val="Analytical review"/>
      <sheetName val="Cntr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80">
          <cell r="A280">
            <v>1</v>
          </cell>
          <cell r="B280" t="str">
            <v>Cash and cash equivalents at the beginning of the accounting period</v>
          </cell>
          <cell r="C280" t="str">
            <v>Stav peněžních prostředků a peněžních ekvivalentů na začátku účetního období</v>
          </cell>
          <cell r="D280" t="str">
            <v>Liquide middelen begin boekjaar</v>
          </cell>
          <cell r="E280" t="str">
            <v>Netto Finanzvermögen zum Jahresanfang</v>
          </cell>
        </row>
        <row r="281">
          <cell r="A281">
            <v>2</v>
          </cell>
          <cell r="B281" t="str">
            <v>Cash flows from ordinary activities</v>
          </cell>
          <cell r="C281" t="str">
            <v>Peněžní toky z hlavní výdělečné činnosti (provozní činnost)</v>
          </cell>
          <cell r="D281" t="str">
            <v>Kasstroom uit operationele activiteiten</v>
          </cell>
          <cell r="E281" t="str">
            <v>Geldflüsse aus der gewöhnlichen Geschäftstätigkeit</v>
          </cell>
        </row>
        <row r="282">
          <cell r="A282">
            <v>3</v>
          </cell>
          <cell r="B282" t="str">
            <v xml:space="preserve">Profit/(loss) from ordinary activities before tax </v>
          </cell>
          <cell r="C282" t="str">
            <v>Účetní zisk nebo ztráta z běžné činnosti před zdaněním</v>
          </cell>
          <cell r="D282" t="str">
            <v>Resultaat uit gewone bedrijfsuitoefening voor belastingen</v>
          </cell>
          <cell r="E282" t="str">
            <v>Ergebnis aus der gewöhnlichen Geschäftstätigkeit vor Steuern</v>
          </cell>
        </row>
        <row r="283">
          <cell r="A283">
            <v>4</v>
          </cell>
          <cell r="B283" t="str">
            <v>Adjustments for non-cash transactions</v>
          </cell>
          <cell r="C283" t="str">
            <v>Úpravy o nepeněžní operace</v>
          </cell>
          <cell r="D283" t="str">
            <v>Aanpassingen voor niet monetaire transacties</v>
          </cell>
          <cell r="E283" t="str">
            <v>Nicht geldwirksame Vorgänge</v>
          </cell>
        </row>
        <row r="284">
          <cell r="A284">
            <v>5</v>
          </cell>
          <cell r="B284" t="str">
            <v xml:space="preserve">Depreciation of fixed assets (+) excluding book value of fixed assets sold, amortization of goodwill </v>
          </cell>
          <cell r="C284" t="str">
            <v>Odpisy stálých aktiv (+) s výjimkou zůstatkové ceny prodaných stálých aktiv, a dále umořování opravné položky k nabytému majetku (+/-)</v>
          </cell>
          <cell r="D284" t="str">
            <v>Afschrijvingen op vaste activa, afschrijvingen op vorderingen, afschrijving van goodwill</v>
          </cell>
          <cell r="E284" t="str">
            <v>Abschreibungen auf das Anlagevermögen</v>
          </cell>
        </row>
        <row r="285">
          <cell r="A285">
            <v>6</v>
          </cell>
          <cell r="B285" t="str">
            <v>Change in provisions, reserves</v>
          </cell>
          <cell r="C285" t="str">
            <v>Změna stavu opravných položek, rezerv</v>
          </cell>
          <cell r="D285" t="str">
            <v>Wijzigingen in voorzieningen, reserves</v>
          </cell>
          <cell r="E285" t="str">
            <v>Veränderungen des Bestands bei Wertberichtigungen, Rückstellungen</v>
          </cell>
        </row>
        <row r="286">
          <cell r="A286">
            <v>7</v>
          </cell>
          <cell r="B286" t="str">
            <v>Profit/(loss) on sale of fixed assets</v>
          </cell>
          <cell r="C286" t="str">
            <v>Zisk (ztráta) z prodeje stálých aktiv (-/+)</v>
          </cell>
          <cell r="D286" t="str">
            <v>Resultaat op de verkoop van vaste activa</v>
          </cell>
          <cell r="E286" t="str">
            <v>Gewinn (Verlust) aus dem Verkauf von Anlagevermögen</v>
          </cell>
        </row>
        <row r="287">
          <cell r="A287">
            <v>8</v>
          </cell>
          <cell r="B287" t="str">
            <v>Revenues from dividends (-)</v>
          </cell>
          <cell r="C287" t="str">
            <v>Výnosy z dividend a podílů na zisku (-)</v>
          </cell>
          <cell r="D287" t="str">
            <v>Opbrengsten uit hoofde van dividenden en winstaandelen</v>
          </cell>
          <cell r="E287" t="str">
            <v>Erträge aus Dividenden</v>
          </cell>
        </row>
        <row r="288">
          <cell r="A288">
            <v>9</v>
          </cell>
          <cell r="B288" t="str">
            <v>Interest expense (+) excluding capitalized interest and interest income (-)</v>
          </cell>
          <cell r="C288" t="str">
            <v>Vyúčtované nákladové úroky (+) s výjimkou kapitalizovaných úroků a vyúčtované výnosové úroky (-)</v>
          </cell>
          <cell r="D288" t="str">
            <v>Rentelasten exclusief geactiveerde intrest en rentebaten</v>
          </cell>
          <cell r="E288" t="str">
            <v>Zinsaufwendungen</v>
          </cell>
        </row>
        <row r="289">
          <cell r="A289">
            <v>10</v>
          </cell>
          <cell r="B289" t="str">
            <v>Other non-cash transactions</v>
          </cell>
          <cell r="C289" t="str">
            <v>Případné úpravy o ostatní nepeněžní operace</v>
          </cell>
          <cell r="D289" t="str">
            <v>Overige niet monetaire transacties</v>
          </cell>
          <cell r="E289" t="str">
            <v>Andere nicht geldwirksame Vorgänge</v>
          </cell>
        </row>
        <row r="290">
          <cell r="A290">
            <v>11</v>
          </cell>
          <cell r="B290" t="str">
            <v xml:space="preserve">Net cash flow from operating activities before tax, movements in working capital and extraordinary items </v>
          </cell>
          <cell r="C290" t="str">
            <v>Čistý peněžní tok  z provozní činnosti před zdaněním, změnami pracovního kapitálu a mimořádnými položkami</v>
          </cell>
          <cell r="D290" t="str">
            <v>Netto-kasstroom uit gewone bedrijfsuitoefening voor belastingen, wijzigingen in het werkkapitaal en buitengewone posten</v>
          </cell>
          <cell r="E290" t="str">
            <v>Netto-Geldfluß aus gewöhnlicher Geschäftstätigkeit vor Steuern, Veränderung des Betriebkapitals</v>
          </cell>
        </row>
        <row r="291">
          <cell r="A291">
            <v>12</v>
          </cell>
          <cell r="B291" t="str">
            <v xml:space="preserve">Change in working capital </v>
          </cell>
          <cell r="C291" t="str">
            <v>Změny stavu nepeněžních složek pracovního kapitálu</v>
          </cell>
          <cell r="D291" t="str">
            <v>Wijzigingen in het werkkapitaal</v>
          </cell>
          <cell r="E291" t="str">
            <v>Veränderung des Betriebskapitals</v>
          </cell>
        </row>
        <row r="292">
          <cell r="A292">
            <v>13</v>
          </cell>
          <cell r="B292" t="str">
            <v>Change in receivables from operating activities</v>
          </cell>
          <cell r="C292" t="str">
            <v>Změna stavu pohledávek z provozní činnosti (+/-) aktivních účtů časového rozlišení a dohadných účtů aktivních</v>
          </cell>
          <cell r="D292" t="str">
            <v>Wijziging in de vorderingen uit operationele activiteiten</v>
          </cell>
          <cell r="E292" t="str">
            <v>Veränderung der Forderungen aus gewöhnlicher Geschäftstätigkeit</v>
          </cell>
        </row>
        <row r="293">
          <cell r="A293">
            <v>14</v>
          </cell>
          <cell r="B293" t="str">
            <v>Change in short-term payables from operating activities</v>
          </cell>
          <cell r="C293" t="str">
            <v>Změna stavu krátkodobých závazků z provozní činnosti (+/-) pasivních účtů časového rozlišení a dohadných účtů pasivních</v>
          </cell>
          <cell r="D293" t="str">
            <v>Wijziging in de kortlopende schulden uit operationele activiteiten</v>
          </cell>
          <cell r="E293" t="str">
            <v>Veränderung der kurzfristigen Verbindlichkeiten aus gewöhnlicher Geschäftstätigkeit</v>
          </cell>
        </row>
        <row r="294">
          <cell r="A294">
            <v>15</v>
          </cell>
          <cell r="B294" t="str">
            <v>Change in inventory</v>
          </cell>
          <cell r="C294" t="str">
            <v>Změna stavu zásob (+/-)</v>
          </cell>
          <cell r="D294" t="str">
            <v>Wijzigingen in de voorraden</v>
          </cell>
          <cell r="E294" t="str">
            <v>Veränderung der Vorräte</v>
          </cell>
        </row>
        <row r="295">
          <cell r="A295">
            <v>16</v>
          </cell>
          <cell r="B295" t="str">
            <v>Change in short-term investments</v>
          </cell>
          <cell r="C295" t="str">
            <v>Změna stavu krátkodobého finančního majetku nespadajícího do peněžních prostředků a ekvivalentů</v>
          </cell>
          <cell r="D295" t="str">
            <v>Wijzigingen in de kortlopende financiele activa</v>
          </cell>
          <cell r="E295" t="str">
            <v>Veränderung des kurzfristigen Finanzvermögens</v>
          </cell>
        </row>
        <row r="296">
          <cell r="A296">
            <v>17</v>
          </cell>
          <cell r="B296" t="str">
            <v>Net cash flow from operating activities before tax and extraordinary items</v>
          </cell>
          <cell r="C296" t="str">
            <v>Čistý peněžní tok z provozní činnosti před zdaněním a mimořádnými položkami</v>
          </cell>
          <cell r="D296" t="str">
            <v>Netto-kasstroom uit gewone bedrijfsuitoefening voor belastingen en buitengewone posten</v>
          </cell>
          <cell r="E296" t="str">
            <v>Netto-Geldfluß aus gewöhnlicher Geschäftstätigkeit vor Steuern und außerordentlichen Posten</v>
          </cell>
        </row>
        <row r="297">
          <cell r="A297">
            <v>18</v>
          </cell>
          <cell r="B297" t="str">
            <v xml:space="preserve">Interest paid (-), except interest capitalised </v>
          </cell>
          <cell r="C297" t="str">
            <v>Vyplacené úroky s výjimkou kapitalizovaných úroků (-)</v>
          </cell>
          <cell r="D297" t="str">
            <v>Betaalde rentelasten, uitgezonderd geactiveerde rente</v>
          </cell>
          <cell r="E297" t="str">
            <v>Zinszahlungen ohne kapitalisierten Zinsen</v>
          </cell>
        </row>
        <row r="298">
          <cell r="A298">
            <v>19</v>
          </cell>
          <cell r="B298" t="str">
            <v>Interest received (+)</v>
          </cell>
          <cell r="C298" t="str">
            <v>Přijaté úroky (+)</v>
          </cell>
          <cell r="D298" t="str">
            <v>Ontvangen rentebaten</v>
          </cell>
          <cell r="E298" t="str">
            <v>Zinserträge</v>
          </cell>
        </row>
        <row r="299">
          <cell r="A299">
            <v>20</v>
          </cell>
          <cell r="B299" t="str">
            <v>Income tax paid for operating activities, additional tax paid for previous periods (-)</v>
          </cell>
          <cell r="C299" t="str">
            <v>Zaplacená daň z příjmů za běžnou činnost a za doměrky daně za minulá období (-)</v>
          </cell>
          <cell r="D299" t="str">
            <v>Betaalde vennootschapsbelasting over gewone bedrijfsuitoefening en aanvullende belastingen inzake voorgaande perioden</v>
          </cell>
          <cell r="E299" t="str">
            <v>Bezahlte Einkommensteuer</v>
          </cell>
        </row>
        <row r="300">
          <cell r="A300">
            <v>21</v>
          </cell>
          <cell r="B300" t="str">
            <v>Receipts and expenditures relating to extraordinary activities, which create extraordinary profit or loss, including  income tax paid from extraordinary activities</v>
          </cell>
          <cell r="C300" t="str">
            <v>Příjmy a výdaje spojené s mimořádnými účetními případy, které tvoří mimořádný výsledek hospodaření včetně uhrazené splatné daně z příjmů z mimořádné činnosti</v>
          </cell>
          <cell r="D300" t="str">
            <v>Ontvangsten en uitgaven uit buitengewone activiteiten en belastingen buitengewoon resultaat</v>
          </cell>
          <cell r="E300" t="str">
            <v>Bezüge und Ausgaben aus außerordentlichen Geschäftstätigkeiten</v>
          </cell>
        </row>
        <row r="301">
          <cell r="A301">
            <v>22</v>
          </cell>
          <cell r="B301" t="str">
            <v>Net cash flow from operating activities</v>
          </cell>
          <cell r="C301" t="str">
            <v>Čistý peněžní tok z provozní činnosti</v>
          </cell>
          <cell r="D301" t="str">
            <v>Netto-kasstroom uit operationele activiteiten</v>
          </cell>
          <cell r="E301" t="str">
            <v>Netto-Geldfluß aus gewöhnlicher Geschäftstätigkeit</v>
          </cell>
        </row>
        <row r="302">
          <cell r="A302">
            <v>23</v>
          </cell>
          <cell r="B302" t="str">
            <v>Cash flows from investing activities</v>
          </cell>
          <cell r="C302" t="str">
            <v>Peněžní toky z investiční činnosti</v>
          </cell>
          <cell r="D302" t="str">
            <v>Kasstroom uit investeringsactiviteiten</v>
          </cell>
          <cell r="E302" t="str">
            <v>Geldfluß aus der Investitionstätigkeit</v>
          </cell>
        </row>
        <row r="303">
          <cell r="A303">
            <v>24</v>
          </cell>
          <cell r="B303" t="str">
            <v>Fixed assets expenditures</v>
          </cell>
          <cell r="C303" t="str">
            <v>Výdaje spojené s nabytím stálých aktiv</v>
          </cell>
          <cell r="D303" t="str">
            <v>Investeringen in vaste activa</v>
          </cell>
          <cell r="E303" t="str">
            <v>Zugänge im Anlagevermögen</v>
          </cell>
        </row>
        <row r="304">
          <cell r="A304">
            <v>25</v>
          </cell>
          <cell r="B304" t="str">
            <v>Receipts from fixed assets sold</v>
          </cell>
          <cell r="C304" t="str">
            <v>Příjmy z prodeje stálých aktiv</v>
          </cell>
          <cell r="D304" t="str">
            <v>Ontvangsten uit hoofde van verkoop van vaste activa</v>
          </cell>
          <cell r="E304" t="str">
            <v>Erlöse aus dem Verkauf vom Anlagevermögen</v>
          </cell>
        </row>
        <row r="305">
          <cell r="A305">
            <v>26</v>
          </cell>
          <cell r="B305" t="str">
            <v>Loans provided to related parties</v>
          </cell>
          <cell r="C305" t="str">
            <v>Půjčky a úvěry spřízněným osobám</v>
          </cell>
          <cell r="D305" t="str">
            <v>Verstrekte leningen aan gelieerde ondernemingen</v>
          </cell>
          <cell r="E305" t="str">
            <v>Kredite an verbundene Personen</v>
          </cell>
        </row>
        <row r="306">
          <cell r="A306">
            <v>27</v>
          </cell>
          <cell r="B306" t="str">
            <v>Net cash flow from investing activities</v>
          </cell>
          <cell r="C306" t="str">
            <v>Čistý peněžní tok vztahující se k investiční činnosti</v>
          </cell>
          <cell r="D306" t="str">
            <v>Netto-kasstroom uit investeringsactiviteiten</v>
          </cell>
          <cell r="E306" t="str">
            <v>Netto-Geldfluß aus der Investitionstätigkeit</v>
          </cell>
        </row>
        <row r="307">
          <cell r="A307">
            <v>28</v>
          </cell>
          <cell r="B307" t="str">
            <v>Cash flow from financial activities</v>
          </cell>
          <cell r="C307" t="str">
            <v>Peněžní toky z finančních činností</v>
          </cell>
          <cell r="D307" t="str">
            <v>Kasstroom uit financieringsactiviteiten</v>
          </cell>
          <cell r="E307" t="str">
            <v>Geldfluß aus der finanziellen Tätigkeit</v>
          </cell>
        </row>
        <row r="308">
          <cell r="A308">
            <v>29</v>
          </cell>
          <cell r="B308" t="str">
            <v xml:space="preserve">Change in long term or short term payables (+,-) </v>
          </cell>
          <cell r="C308" t="str">
            <v>Dopady změn dlouhodobých závazků popř. takových krátkodobých závazků, které spadají do oblasti finanční činnosti na peněžní prostředky a ekvivalenty</v>
          </cell>
          <cell r="D308" t="str">
            <v>Wijziging in de langlopende resp. kortlopende schulden</v>
          </cell>
          <cell r="E308" t="str">
            <v>Veränderung der langfristigen bzw. kurzfristigen Verbindlichkeiten</v>
          </cell>
        </row>
        <row r="309">
          <cell r="A309">
            <v>30</v>
          </cell>
          <cell r="B309" t="str">
            <v>Impact on cash due to change in equity</v>
          </cell>
          <cell r="C309" t="str">
            <v>Dopady změn vlastního kapitálu na peněžní prostředky a peněžní ekvivalenty</v>
          </cell>
          <cell r="D309" t="str">
            <v>Kasstroom uit hoofde van wijzigingen in het eigen vermogen</v>
          </cell>
          <cell r="E309" t="str">
            <v>Geldflüsse aus Veränderungen im Eigenkapital</v>
          </cell>
        </row>
        <row r="310">
          <cell r="A310">
            <v>31</v>
          </cell>
          <cell r="B310" t="str">
            <v>Increase of cash and cash equivavalents due to change in registered capital, reserve fund, including prepayments made for this increase (+)</v>
          </cell>
          <cell r="C310" t="str">
            <v>Zvýšení peněžních prostředků a peněžních ekvivalentů z titulu zvýšení základního kapitálu, emisního ážia, event. rezervního fondu, včetně složených záloh na toto zvýšení (+)</v>
          </cell>
          <cell r="D310" t="str">
            <v xml:space="preserve">Kasstroom uit hoofde van verhoging van het geregistreerde kapitaal, reservefonds alsmede vooruitbetalingen terzake </v>
          </cell>
          <cell r="E310" t="str">
            <v>Geldflüsse aus der Erhöhung des Grundkapitals</v>
          </cell>
        </row>
        <row r="311">
          <cell r="A311">
            <v>32</v>
          </cell>
          <cell r="B311" t="str">
            <v>Capital payments to partners and shareholders (-)</v>
          </cell>
          <cell r="C311" t="str">
            <v>Vyplacení podílu na vlastním kapitálu společníkům (-)</v>
          </cell>
          <cell r="D311" t="str">
            <v>Kapitaalbetalingen aan partners en aandeelhouders</v>
          </cell>
          <cell r="E311" t="str">
            <v>Auszahlung von Anteilen am Grundkapital</v>
          </cell>
        </row>
        <row r="312">
          <cell r="A312">
            <v>33</v>
          </cell>
          <cell r="B312" t="str">
            <v>Monetary gifts and grants into equity and other deposits of cash made by partners and shareholders (+)</v>
          </cell>
          <cell r="C312" t="str">
            <v>Další vklady peněžních prostředků společníků a akcionářů (+)</v>
          </cell>
          <cell r="D312" t="str">
            <v>Geldelijke giften in het eigen vermogen en andere stortingen door aandeelhouders</v>
          </cell>
          <cell r="E312" t="str">
            <v>Spenden und Zuschüsse zum Eigenkapital und weitere Einlagen von Gesellschaftern</v>
          </cell>
        </row>
        <row r="313">
          <cell r="A313">
            <v>34</v>
          </cell>
          <cell r="B313" t="str">
            <v>Reimbursement of loss by partners (+)</v>
          </cell>
          <cell r="C313" t="str">
            <v>Úhrada ztráty společníky (+)</v>
          </cell>
          <cell r="D313" t="str">
            <v>Aanvulling van verliezen door de partners</v>
          </cell>
          <cell r="E313" t="str">
            <v>Verlustausgleich durch die Gesellschafter</v>
          </cell>
        </row>
        <row r="314">
          <cell r="A314">
            <v>35</v>
          </cell>
          <cell r="B314" t="str">
            <v>Payments made from funds (-)</v>
          </cell>
          <cell r="C314" t="str">
            <v>Přímé platby na vrub fondů (-)</v>
          </cell>
          <cell r="D314" t="str">
            <v>Betalingen uit fondsen</v>
          </cell>
          <cell r="E314" t="str">
            <v>Zahlungen zu Lasten von Rücklagefonds</v>
          </cell>
        </row>
        <row r="315">
          <cell r="A315">
            <v>36</v>
          </cell>
          <cell r="B315" t="str">
            <v>Dividends and ownership interests paid, including withholding tax related to these claims and including financial clearance with partners (-)</v>
          </cell>
          <cell r="C315" t="str">
            <v>Vyplacené dividendy nebo podíly na zisku včetně zaplacené srážkové daně vztahující se k těmto nárokům a včetně finančního vypořádání se společníky veřejné obchodní společnosti a komplementáři u komanditních společností (-)</v>
          </cell>
          <cell r="D315" t="str">
            <v>Betaalde dividenden (inclusief bronbelasting)</v>
          </cell>
          <cell r="E315" t="str">
            <v>Ausgezahlte Dividenden oder Anteile am Jahresüberschuß einschießlich daraus folgenden Quellensteuern</v>
          </cell>
        </row>
        <row r="316">
          <cell r="A316">
            <v>37</v>
          </cell>
          <cell r="B316" t="str">
            <v xml:space="preserve">Dividends and ownership interests received, except companies where the main activity is investing activity (+)  </v>
          </cell>
          <cell r="C316" t="str">
            <v>Přijaté dividendy a podíly na zisku (+)</v>
          </cell>
          <cell r="D316" t="str">
            <v>Ontvangen dividenden</v>
          </cell>
          <cell r="E316" t="str">
            <v>Erhaltene Dividenden und Anteile am Jahresüberschuß</v>
          </cell>
        </row>
        <row r="317">
          <cell r="A317">
            <v>38</v>
          </cell>
          <cell r="B317" t="str">
            <v>Net cash flow from financing activities</v>
          </cell>
          <cell r="C317" t="str">
            <v>Čistý peněžní tok vztahující se k finanční činnosti</v>
          </cell>
          <cell r="D317" t="str">
            <v>Netto-kasstroom uit financieringsactiviteiten</v>
          </cell>
          <cell r="E317" t="str">
            <v>Netto-Geldfluß aus der finanziellen Tätigkeit</v>
          </cell>
        </row>
        <row r="318">
          <cell r="A318">
            <v>39</v>
          </cell>
          <cell r="B318" t="str">
            <v>Net increase or decrease of cash and cash equivalents</v>
          </cell>
          <cell r="C318" t="str">
            <v>Čisté zvýšení, resp. snížení peněžních prostředků</v>
          </cell>
          <cell r="D318" t="str">
            <v>Netto-toename (netto-afname) van liquide middelen</v>
          </cell>
          <cell r="E318" t="str">
            <v>Netto-Zunahme, bzw. Abnahme des Finanzvermögens</v>
          </cell>
        </row>
        <row r="319">
          <cell r="A319">
            <v>40</v>
          </cell>
          <cell r="B319" t="str">
            <v>Cash and cash equivalents at the end of the period</v>
          </cell>
          <cell r="C319" t="str">
            <v>Stav peněžních prostředků a peněžních ekvivalentů na konci období</v>
          </cell>
          <cell r="D319" t="str">
            <v>Liquide middelen per einde boekjaar</v>
          </cell>
          <cell r="E319" t="str">
            <v>Netto Finanzvermögen zum Jahresende</v>
          </cell>
        </row>
      </sheetData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ssets"/>
      <sheetName val="Liabilities"/>
      <sheetName val="Profit&amp;Loss"/>
      <sheetName val="Equity"/>
      <sheetName val="CashFlow"/>
      <sheetName val="Languages"/>
      <sheetName val="Analysis"/>
      <sheetName val="Tickmarks"/>
    </sheetNames>
    <sheetDataSet>
      <sheetData sheetId="0" refreshError="1">
        <row r="28">
          <cell r="G28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38">
          <cell r="B238" t="str">
            <v>Denotation</v>
          </cell>
          <cell r="C238" t="str">
            <v>Označení</v>
          </cell>
          <cell r="D238" t="str">
            <v>Bezeichnung</v>
          </cell>
        </row>
        <row r="239">
          <cell r="B239" t="str">
            <v>Item</v>
          </cell>
          <cell r="C239" t="str">
            <v>TEXT</v>
          </cell>
          <cell r="D239" t="str">
            <v>TEXT</v>
          </cell>
        </row>
        <row r="240">
          <cell r="B240" t="str">
            <v>Row</v>
          </cell>
          <cell r="C240" t="str">
            <v>Řád.</v>
          </cell>
          <cell r="D240" t="str">
            <v>Zeile</v>
          </cell>
        </row>
        <row r="241">
          <cell r="B241" t="str">
            <v>Accounting period</v>
          </cell>
          <cell r="C241" t="str">
            <v>Skutečnost v účetním období</v>
          </cell>
          <cell r="D241" t="str">
            <v>Geschäftsjahr</v>
          </cell>
        </row>
        <row r="242">
          <cell r="B242" t="str">
            <v xml:space="preserve">current </v>
          </cell>
          <cell r="C242" t="str">
            <v>sledovaném</v>
          </cell>
          <cell r="D242" t="str">
            <v>Laufendes Jahr</v>
          </cell>
        </row>
        <row r="243">
          <cell r="B243" t="str">
            <v>previous</v>
          </cell>
          <cell r="C243" t="str">
            <v>minulém</v>
          </cell>
          <cell r="D243" t="str">
            <v>Vorjahr</v>
          </cell>
        </row>
        <row r="245">
          <cell r="B245" t="str">
            <v xml:space="preserve">Date mailed:  </v>
          </cell>
          <cell r="C245" t="str">
            <v xml:space="preserve">Odesláno
dne:  </v>
          </cell>
          <cell r="D245" t="str">
            <v xml:space="preserve">Datum:  </v>
          </cell>
        </row>
        <row r="246">
          <cell r="B246" t="str">
            <v>Signature of the statutory representative:</v>
          </cell>
          <cell r="C246" t="str">
            <v>Podpis statutárního orgánu nebo fyzické osoby,
která je účetní jednotkou:</v>
          </cell>
          <cell r="D246" t="str">
            <v>Unterschrift des satzunsmäßigen Organs oder der physischen Person, die Rechnungseinheit ist:</v>
          </cell>
        </row>
        <row r="247">
          <cell r="B247" t="str">
            <v xml:space="preserve">Person responsible for
accounting
(name and signature):
 </v>
          </cell>
          <cell r="C247" t="str">
            <v xml:space="preserve">Osoba odpovědná
za účetnictví
(jméno a podpis):
 </v>
          </cell>
          <cell r="D247" t="str">
            <v xml:space="preserve">Für die Rechnung verantwortliche Person
 (Name und Unterschrift):
 </v>
          </cell>
        </row>
        <row r="248">
          <cell r="B248" t="str">
            <v xml:space="preserve">Person responsible for
preparation of 
the financial statements
(name and signature):
 </v>
          </cell>
          <cell r="C248" t="str">
            <v xml:space="preserve">Osoba odpovědná
za účetní závěrku
(jméno a podpis):
 </v>
          </cell>
          <cell r="D248" t="str">
            <v xml:space="preserve">Für den Rechnungsabschluss verantwortliche Person
 (Name und Unterschrift):
 </v>
          </cell>
        </row>
        <row r="322">
          <cell r="B322" t="str">
            <v>Denotation</v>
          </cell>
          <cell r="C322" t="str">
            <v>Označení</v>
          </cell>
          <cell r="D322" t="str">
            <v>Bezeichnung</v>
          </cell>
        </row>
        <row r="323">
          <cell r="B323" t="str">
            <v>Item</v>
          </cell>
          <cell r="C323" t="str">
            <v>TEXT</v>
          </cell>
          <cell r="D323" t="str">
            <v>TEXT</v>
          </cell>
        </row>
        <row r="324">
          <cell r="B324" t="str">
            <v>Accounting period</v>
          </cell>
          <cell r="C324" t="str">
            <v>Skutečnost v účetním období</v>
          </cell>
          <cell r="D324" t="str">
            <v>Geschäftsjahr</v>
          </cell>
        </row>
        <row r="325">
          <cell r="B325" t="str">
            <v xml:space="preserve">current </v>
          </cell>
          <cell r="C325" t="str">
            <v>sledovaném</v>
          </cell>
          <cell r="D325" t="str">
            <v>Laufendes Jahr</v>
          </cell>
        </row>
        <row r="326">
          <cell r="B326" t="str">
            <v>previous</v>
          </cell>
          <cell r="C326" t="str">
            <v>minulém</v>
          </cell>
          <cell r="D326" t="str">
            <v>Vorjahr</v>
          </cell>
        </row>
        <row r="329">
          <cell r="B329" t="str">
            <v xml:space="preserve">Date mailed:  </v>
          </cell>
          <cell r="C329" t="str">
            <v xml:space="preserve">Odesláno
dne:  </v>
          </cell>
          <cell r="D329" t="str">
            <v xml:space="preserve">Datum:  </v>
          </cell>
        </row>
        <row r="330">
          <cell r="B330" t="str">
            <v>Signature of the statutory representative:</v>
          </cell>
          <cell r="C330" t="str">
            <v>Podpis statutárního orgánu nebo fyzické osoby,
která je účetní jednotkou:</v>
          </cell>
          <cell r="D330" t="str">
            <v>Unterschrift des satzunsmäßigen Organs oder der physischen Person, die Rechnungseinheit ist:</v>
          </cell>
        </row>
        <row r="331">
          <cell r="B331" t="str">
            <v xml:space="preserve">Person responsible for
accounting
(name and signature):
 </v>
          </cell>
          <cell r="C331" t="str">
            <v xml:space="preserve">Osoba odpovědná
za účetnictví
(jméno a podpis):
 </v>
          </cell>
          <cell r="D331" t="str">
            <v xml:space="preserve">Für die Rechnung verantwortliche Person
 (Name und Unterschrift):
 </v>
          </cell>
        </row>
        <row r="332">
          <cell r="B332" t="str">
            <v xml:space="preserve">Person responsible for
preparation of 
the financial statements
(name and signature):
 </v>
          </cell>
          <cell r="C332" t="str">
            <v xml:space="preserve">Osoba odpovědná
za účetní závěrku
(jméno a podpis):
 </v>
          </cell>
          <cell r="D332" t="str">
            <v xml:space="preserve">Für den Rechnungsabschluss verantwortliche Person
 (Name und Unterschrift):
 </v>
          </cell>
        </row>
      </sheetData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5"/>
      <sheetName val="nastavení"/>
      <sheetName val="HiMIS měsíce"/>
      <sheetName val="HiMIS"/>
      <sheetName val="výsledek"/>
      <sheetName val="po měsících"/>
      <sheetName val="HiMIS_měsíce"/>
      <sheetName val="po_měsících"/>
      <sheetName val="Languages"/>
      <sheetName val="MENU"/>
    </sheetNames>
    <sheetDataSet>
      <sheetData sheetId="0" refreshError="1"/>
      <sheetData sheetId="1">
        <row r="17">
          <cell r="B17">
            <v>1</v>
          </cell>
        </row>
        <row r="20">
          <cell r="B20">
            <v>111</v>
          </cell>
        </row>
        <row r="21">
          <cell r="B21">
            <v>201</v>
          </cell>
        </row>
        <row r="22">
          <cell r="B22">
            <v>205</v>
          </cell>
        </row>
        <row r="23">
          <cell r="B23">
            <v>207</v>
          </cell>
        </row>
        <row r="24">
          <cell r="B24">
            <v>209</v>
          </cell>
        </row>
        <row r="25">
          <cell r="B25">
            <v>211</v>
          </cell>
        </row>
        <row r="26">
          <cell r="B26">
            <v>213</v>
          </cell>
        </row>
        <row r="27">
          <cell r="B27">
            <v>217</v>
          </cell>
        </row>
        <row r="28">
          <cell r="B28">
            <v>222</v>
          </cell>
        </row>
        <row r="29">
          <cell r="B29">
            <v>227</v>
          </cell>
        </row>
        <row r="30">
          <cell r="B30" t="str">
            <v>vše</v>
          </cell>
        </row>
      </sheetData>
      <sheetData sheetId="2">
        <row r="2">
          <cell r="J2">
            <v>0</v>
          </cell>
        </row>
      </sheetData>
      <sheetData sheetId="3" refreshError="1"/>
      <sheetData sheetId="4">
        <row r="5">
          <cell r="E5">
            <v>1391.25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88"/>
  <sheetViews>
    <sheetView workbookViewId="0">
      <pane ySplit="8" topLeftCell="A21" activePane="bottomLeft" state="frozen"/>
      <selection activeCell="B22" sqref="B22"/>
      <selection pane="bottomLeft" activeCell="E28" sqref="E28"/>
    </sheetView>
  </sheetViews>
  <sheetFormatPr defaultRowHeight="15" x14ac:dyDescent="0.25"/>
  <cols>
    <col min="1" max="1" width="20.42578125" customWidth="1"/>
    <col min="2" max="2" width="51.7109375" customWidth="1"/>
    <col min="3" max="224" width="16" customWidth="1"/>
  </cols>
  <sheetData>
    <row r="1" spans="1:224" x14ac:dyDescent="0.25">
      <c r="A1" s="1" t="s">
        <v>0</v>
      </c>
      <c r="B1" s="1"/>
    </row>
    <row r="2" spans="1:224" x14ac:dyDescent="0.25">
      <c r="A2" s="1" t="s">
        <v>1</v>
      </c>
      <c r="B2" s="1"/>
    </row>
    <row r="3" spans="1:224" s="48" customFormat="1" x14ac:dyDescent="0.25">
      <c r="A3" s="50" t="s">
        <v>6</v>
      </c>
      <c r="B3" s="47"/>
      <c r="F3" s="48">
        <v>1</v>
      </c>
      <c r="I3" s="48">
        <f>F3+1</f>
        <v>2</v>
      </c>
      <c r="L3" s="48">
        <f t="shared" ref="L3" si="0">I3+1</f>
        <v>3</v>
      </c>
      <c r="O3" s="48">
        <f t="shared" ref="O3" si="1">L3+1</f>
        <v>4</v>
      </c>
      <c r="R3" s="48">
        <f t="shared" ref="R3" si="2">O3+1</f>
        <v>5</v>
      </c>
      <c r="U3" s="48">
        <f t="shared" ref="U3" si="3">R3+1</f>
        <v>6</v>
      </c>
      <c r="X3" s="48">
        <f t="shared" ref="X3" si="4">U3+1</f>
        <v>7</v>
      </c>
      <c r="AA3" s="48">
        <f t="shared" ref="AA3" si="5">X3+1</f>
        <v>8</v>
      </c>
      <c r="AD3" s="48">
        <f t="shared" ref="AD3" si="6">AA3+1</f>
        <v>9</v>
      </c>
      <c r="AG3" s="48">
        <f t="shared" ref="AG3" si="7">AD3+1</f>
        <v>10</v>
      </c>
      <c r="AJ3" s="48">
        <f t="shared" ref="AJ3" si="8">AG3+1</f>
        <v>11</v>
      </c>
      <c r="AM3" s="48">
        <f t="shared" ref="AM3" si="9">AJ3+1</f>
        <v>12</v>
      </c>
      <c r="AP3" s="48">
        <f t="shared" ref="AP3" si="10">AM3+1</f>
        <v>13</v>
      </c>
      <c r="AS3" s="48">
        <f t="shared" ref="AS3" si="11">AP3+1</f>
        <v>14</v>
      </c>
      <c r="AV3" s="48">
        <f t="shared" ref="AV3" si="12">AS3+1</f>
        <v>15</v>
      </c>
      <c r="AY3" s="48">
        <f t="shared" ref="AY3" si="13">AV3+1</f>
        <v>16</v>
      </c>
      <c r="BB3" s="48">
        <f t="shared" ref="BB3" si="14">AY3+1</f>
        <v>17</v>
      </c>
      <c r="BE3" s="48">
        <f t="shared" ref="BE3" si="15">BB3+1</f>
        <v>18</v>
      </c>
      <c r="BH3" s="48">
        <f t="shared" ref="BH3" si="16">BE3+1</f>
        <v>19</v>
      </c>
      <c r="BK3" s="48">
        <f t="shared" ref="BK3" si="17">BH3+1</f>
        <v>20</v>
      </c>
      <c r="BN3" s="48">
        <f t="shared" ref="BN3" si="18">BK3+1</f>
        <v>21</v>
      </c>
      <c r="BQ3" s="48">
        <f t="shared" ref="BQ3" si="19">BN3+1</f>
        <v>22</v>
      </c>
      <c r="BT3" s="48">
        <f t="shared" ref="BT3" si="20">BQ3+1</f>
        <v>23</v>
      </c>
      <c r="BW3" s="48">
        <f t="shared" ref="BW3" si="21">BT3+1</f>
        <v>24</v>
      </c>
      <c r="BZ3" s="48">
        <f t="shared" ref="BZ3" si="22">BW3+1</f>
        <v>25</v>
      </c>
      <c r="CC3" s="48">
        <f t="shared" ref="CC3" si="23">BZ3+1</f>
        <v>26</v>
      </c>
      <c r="CF3" s="48">
        <f t="shared" ref="CF3" si="24">CC3+1</f>
        <v>27</v>
      </c>
      <c r="CI3" s="48">
        <f t="shared" ref="CI3" si="25">CF3+1</f>
        <v>28</v>
      </c>
      <c r="CL3" s="48">
        <f t="shared" ref="CL3" si="26">CI3+1</f>
        <v>29</v>
      </c>
      <c r="CO3" s="48">
        <f t="shared" ref="CO3" si="27">CL3+1</f>
        <v>30</v>
      </c>
      <c r="CR3" s="48">
        <f t="shared" ref="CR3" si="28">CO3+1</f>
        <v>31</v>
      </c>
      <c r="CU3" s="48">
        <f t="shared" ref="CU3" si="29">CR3+1</f>
        <v>32</v>
      </c>
      <c r="CX3" s="48">
        <f t="shared" ref="CX3" si="30">CU3+1</f>
        <v>33</v>
      </c>
      <c r="DA3" s="48">
        <f t="shared" ref="DA3" si="31">CX3+1</f>
        <v>34</v>
      </c>
      <c r="DD3" s="48">
        <f t="shared" ref="DD3" si="32">DA3+1</f>
        <v>35</v>
      </c>
      <c r="DG3" s="48">
        <f t="shared" ref="DG3" si="33">DD3+1</f>
        <v>36</v>
      </c>
      <c r="DJ3" s="48">
        <f t="shared" ref="DJ3" si="34">DG3+1</f>
        <v>37</v>
      </c>
      <c r="DM3" s="48">
        <f t="shared" ref="DM3" si="35">DJ3+1</f>
        <v>38</v>
      </c>
      <c r="DP3" s="48">
        <f t="shared" ref="DP3" si="36">DM3+1</f>
        <v>39</v>
      </c>
      <c r="DS3" s="48">
        <f t="shared" ref="DS3" si="37">DP3+1</f>
        <v>40</v>
      </c>
      <c r="DV3" s="48">
        <f t="shared" ref="DV3" si="38">DS3+1</f>
        <v>41</v>
      </c>
      <c r="DY3" s="48">
        <f t="shared" ref="DY3" si="39">DV3+1</f>
        <v>42</v>
      </c>
      <c r="EB3" s="48">
        <f t="shared" ref="EB3" si="40">DY3+1</f>
        <v>43</v>
      </c>
      <c r="EE3" s="48">
        <f t="shared" ref="EE3" si="41">EB3+1</f>
        <v>44</v>
      </c>
      <c r="EH3" s="48">
        <f t="shared" ref="EH3" si="42">EE3+1</f>
        <v>45</v>
      </c>
      <c r="EK3" s="48">
        <f t="shared" ref="EK3" si="43">EH3+1</f>
        <v>46</v>
      </c>
      <c r="EN3" s="48">
        <f t="shared" ref="EN3" si="44">EK3+1</f>
        <v>47</v>
      </c>
      <c r="EQ3" s="48">
        <f t="shared" ref="EQ3" si="45">EN3+1</f>
        <v>48</v>
      </c>
      <c r="ET3" s="48">
        <f t="shared" ref="ET3" si="46">EQ3+1</f>
        <v>49</v>
      </c>
      <c r="EW3" s="48">
        <f t="shared" ref="EW3" si="47">ET3+1</f>
        <v>50</v>
      </c>
      <c r="EZ3" s="48">
        <f t="shared" ref="EZ3" si="48">EW3+1</f>
        <v>51</v>
      </c>
      <c r="FC3" s="48">
        <f t="shared" ref="FC3" si="49">EZ3+1</f>
        <v>52</v>
      </c>
      <c r="FF3" s="48">
        <f t="shared" ref="FF3" si="50">FC3+1</f>
        <v>53</v>
      </c>
      <c r="FI3" s="48">
        <f t="shared" ref="FI3" si="51">FF3+1</f>
        <v>54</v>
      </c>
      <c r="FL3" s="48">
        <f t="shared" ref="FL3" si="52">FI3+1</f>
        <v>55</v>
      </c>
      <c r="FO3" s="48">
        <f t="shared" ref="FO3" si="53">FL3+1</f>
        <v>56</v>
      </c>
      <c r="FR3" s="48">
        <f t="shared" ref="FR3" si="54">FO3+1</f>
        <v>57</v>
      </c>
      <c r="FU3" s="48">
        <f t="shared" ref="FU3" si="55">FR3+1</f>
        <v>58</v>
      </c>
      <c r="FX3" s="48">
        <f t="shared" ref="FX3" si="56">FU3+1</f>
        <v>59</v>
      </c>
      <c r="GA3" s="48">
        <f t="shared" ref="GA3" si="57">FX3+1</f>
        <v>60</v>
      </c>
      <c r="GD3" s="48">
        <f t="shared" ref="GD3" si="58">GA3+1</f>
        <v>61</v>
      </c>
      <c r="GG3" s="48">
        <f t="shared" ref="GG3" si="59">GD3+1</f>
        <v>62</v>
      </c>
      <c r="GJ3" s="48">
        <f t="shared" ref="GJ3" si="60">GG3+1</f>
        <v>63</v>
      </c>
      <c r="GM3" s="48">
        <f t="shared" ref="GM3" si="61">GJ3+1</f>
        <v>64</v>
      </c>
      <c r="GP3" s="48">
        <f t="shared" ref="GP3" si="62">GM3+1</f>
        <v>65</v>
      </c>
      <c r="GS3" s="48">
        <f t="shared" ref="GS3" si="63">GP3+1</f>
        <v>66</v>
      </c>
      <c r="GV3" s="48">
        <f t="shared" ref="GV3" si="64">GS3+1</f>
        <v>67</v>
      </c>
      <c r="GY3" s="48">
        <f t="shared" ref="GY3" si="65">GV3+1</f>
        <v>68</v>
      </c>
      <c r="HB3" s="48">
        <f t="shared" ref="HB3" si="66">GY3+1</f>
        <v>69</v>
      </c>
      <c r="HE3" s="48">
        <f t="shared" ref="HE3" si="67">HB3+1</f>
        <v>70</v>
      </c>
      <c r="HH3" s="48">
        <f t="shared" ref="HH3" si="68">HE3+1</f>
        <v>71</v>
      </c>
      <c r="HK3" s="48">
        <f t="shared" ref="HK3" si="69">HH3+1</f>
        <v>72</v>
      </c>
      <c r="HN3" s="48">
        <f t="shared" ref="HN3" si="70">HK3+1</f>
        <v>73</v>
      </c>
    </row>
    <row r="4" spans="1:224" s="48" customFormat="1" x14ac:dyDescent="0.25">
      <c r="A4" s="51" t="s">
        <v>2</v>
      </c>
      <c r="B4" s="49"/>
      <c r="F4" s="48" t="s">
        <v>316</v>
      </c>
      <c r="I4" s="48" t="s">
        <v>317</v>
      </c>
      <c r="L4" s="48" t="s">
        <v>318</v>
      </c>
      <c r="O4" s="48" t="s">
        <v>319</v>
      </c>
      <c r="R4" s="48" t="s">
        <v>320</v>
      </c>
      <c r="U4" s="48" t="s">
        <v>321</v>
      </c>
      <c r="X4" s="48" t="s">
        <v>322</v>
      </c>
      <c r="AA4" s="48" t="s">
        <v>323</v>
      </c>
      <c r="AD4" s="48" t="s">
        <v>324</v>
      </c>
      <c r="AG4" s="48" t="s">
        <v>325</v>
      </c>
      <c r="AJ4" s="48" t="s">
        <v>326</v>
      </c>
      <c r="AM4" s="48" t="s">
        <v>327</v>
      </c>
      <c r="AP4" s="48" t="s">
        <v>328</v>
      </c>
      <c r="AS4" s="48" t="s">
        <v>329</v>
      </c>
      <c r="AV4" s="48" t="s">
        <v>330</v>
      </c>
      <c r="AY4" s="48" t="s">
        <v>331</v>
      </c>
      <c r="BB4" s="48" t="s">
        <v>332</v>
      </c>
      <c r="BE4" s="48" t="s">
        <v>333</v>
      </c>
      <c r="BH4" s="48" t="s">
        <v>334</v>
      </c>
      <c r="BK4" s="48" t="s">
        <v>335</v>
      </c>
      <c r="BN4" s="48" t="s">
        <v>336</v>
      </c>
      <c r="BQ4" s="48" t="s">
        <v>337</v>
      </c>
      <c r="BT4" s="48" t="s">
        <v>338</v>
      </c>
      <c r="BW4" s="48" t="s">
        <v>339</v>
      </c>
      <c r="BZ4" s="48" t="s">
        <v>340</v>
      </c>
      <c r="CC4" s="48" t="s">
        <v>341</v>
      </c>
      <c r="CF4" s="48" t="s">
        <v>342</v>
      </c>
      <c r="CI4" s="48" t="s">
        <v>343</v>
      </c>
      <c r="CL4" s="48" t="s">
        <v>313</v>
      </c>
      <c r="CO4" s="48" t="s">
        <v>344</v>
      </c>
      <c r="CR4" s="48" t="s">
        <v>345</v>
      </c>
      <c r="CU4" s="48" t="s">
        <v>346</v>
      </c>
      <c r="CX4" s="48" t="s">
        <v>347</v>
      </c>
      <c r="DA4" s="48" t="s">
        <v>348</v>
      </c>
      <c r="DD4" s="48" t="s">
        <v>349</v>
      </c>
      <c r="DG4" s="48" t="s">
        <v>350</v>
      </c>
      <c r="DJ4" s="48" t="s">
        <v>351</v>
      </c>
      <c r="DM4" s="48" t="s">
        <v>352</v>
      </c>
      <c r="DP4" s="48" t="s">
        <v>353</v>
      </c>
      <c r="DS4" s="48" t="s">
        <v>354</v>
      </c>
      <c r="DV4" s="48" t="s">
        <v>355</v>
      </c>
      <c r="DY4" s="48" t="s">
        <v>356</v>
      </c>
      <c r="EB4" s="48" t="s">
        <v>357</v>
      </c>
      <c r="EE4" s="48" t="s">
        <v>388</v>
      </c>
      <c r="EH4" s="48" t="s">
        <v>358</v>
      </c>
      <c r="EK4" s="48" t="s">
        <v>359</v>
      </c>
      <c r="EN4" s="48" t="s">
        <v>360</v>
      </c>
      <c r="EQ4" s="48" t="s">
        <v>361</v>
      </c>
      <c r="ET4" s="48" t="s">
        <v>362</v>
      </c>
      <c r="EW4" s="48" t="s">
        <v>363</v>
      </c>
      <c r="EZ4" s="48" t="s">
        <v>364</v>
      </c>
      <c r="FC4" s="48" t="s">
        <v>365</v>
      </c>
      <c r="FF4" s="48" t="s">
        <v>366</v>
      </c>
      <c r="FI4" s="48" t="s">
        <v>367</v>
      </c>
      <c r="FL4" s="48" t="s">
        <v>368</v>
      </c>
      <c r="FO4" s="48" t="s">
        <v>369</v>
      </c>
      <c r="FR4" s="48" t="s">
        <v>370</v>
      </c>
      <c r="FU4" s="48" t="s">
        <v>371</v>
      </c>
      <c r="FX4" s="48" t="s">
        <v>372</v>
      </c>
      <c r="GA4" s="48" t="s">
        <v>373</v>
      </c>
      <c r="GD4" s="48" t="s">
        <v>374</v>
      </c>
      <c r="GG4" s="48" t="s">
        <v>375</v>
      </c>
      <c r="GJ4" s="48" t="s">
        <v>376</v>
      </c>
      <c r="GM4" s="48" t="s">
        <v>377</v>
      </c>
      <c r="GP4" s="48" t="s">
        <v>378</v>
      </c>
      <c r="GS4" s="48" t="s">
        <v>379</v>
      </c>
      <c r="GV4" s="48" t="s">
        <v>380</v>
      </c>
      <c r="GY4" s="48" t="s">
        <v>381</v>
      </c>
      <c r="HB4" s="48" t="s">
        <v>382</v>
      </c>
      <c r="HE4" s="48" t="s">
        <v>386</v>
      </c>
      <c r="HH4" s="48" t="s">
        <v>383</v>
      </c>
      <c r="HK4" s="48" t="s">
        <v>384</v>
      </c>
      <c r="HN4" s="48" t="s">
        <v>385</v>
      </c>
    </row>
    <row r="5" spans="1:224" s="42" customFormat="1" ht="57" x14ac:dyDescent="0.25">
      <c r="A5" s="40" t="s">
        <v>7</v>
      </c>
      <c r="B5" s="40"/>
      <c r="C5" s="41" t="str">
        <f>C6</f>
        <v>Fakultní nemocnice Olomouc - útvary</v>
      </c>
      <c r="D5" s="41" t="str">
        <f>C5</f>
        <v>Fakultní nemocnice Olomouc - útvary</v>
      </c>
      <c r="E5" s="41" t="str">
        <f>C5</f>
        <v>Fakultní nemocnice Olomouc - útvary</v>
      </c>
      <c r="F5" s="41" t="str">
        <f t="shared" ref="F5" si="71">F6</f>
        <v>I. interní klinika - kardiologická</v>
      </c>
      <c r="G5" s="41" t="str">
        <f t="shared" ref="G5" si="72">F5</f>
        <v>I. interní klinika - kardiologická</v>
      </c>
      <c r="H5" s="41" t="str">
        <f t="shared" ref="H5" si="73">F5</f>
        <v>I. interní klinika - kardiologická</v>
      </c>
      <c r="I5" s="41" t="str">
        <f t="shared" ref="I5" si="74">I6</f>
        <v>II. interní klinika gastroenterologie a geriatrie</v>
      </c>
      <c r="J5" s="41" t="str">
        <f t="shared" ref="J5" si="75">I5</f>
        <v>II. interní klinika gastroenterologie a geriatrie</v>
      </c>
      <c r="K5" s="41" t="str">
        <f t="shared" ref="K5" si="76">I5</f>
        <v>II. interní klinika gastroenterologie a geriatrie</v>
      </c>
      <c r="L5" s="41" t="str">
        <f t="shared" ref="L5" si="77">L6</f>
        <v>III. interní klinika - nefrologická, revmatologická a endokrinologická</v>
      </c>
      <c r="M5" s="41" t="str">
        <f t="shared" ref="M5" si="78">L5</f>
        <v>III. interní klinika - nefrologická, revmatologická a endokrinologická</v>
      </c>
      <c r="N5" s="41" t="str">
        <f t="shared" ref="N5" si="79">L5</f>
        <v>III. interní klinika - nefrologická, revmatologická a endokrinologická</v>
      </c>
      <c r="O5" s="41" t="str">
        <f t="shared" ref="O5" si="80">O6</f>
        <v>I. chirurgická klinika</v>
      </c>
      <c r="P5" s="41" t="str">
        <f t="shared" ref="P5" si="81">O5</f>
        <v>I. chirurgická klinika</v>
      </c>
      <c r="Q5" s="41" t="str">
        <f t="shared" ref="Q5" si="82">O5</f>
        <v>I. chirurgická klinika</v>
      </c>
      <c r="R5" s="41" t="str">
        <f t="shared" ref="R5" si="83">R6</f>
        <v>II. chirurgická klinika - cévně-transplantační</v>
      </c>
      <c r="S5" s="41" t="str">
        <f t="shared" ref="S5" si="84">R5</f>
        <v>II. chirurgická klinika - cévně-transplantační</v>
      </c>
      <c r="T5" s="41" t="str">
        <f t="shared" ref="T5" si="85">R5</f>
        <v>II. chirurgická klinika - cévně-transplantační</v>
      </c>
      <c r="U5" s="41" t="str">
        <f t="shared" ref="U5" si="86">U6</f>
        <v>Neurochirurgická klinika</v>
      </c>
      <c r="V5" s="41" t="str">
        <f t="shared" ref="V5" si="87">U5</f>
        <v>Neurochirurgická klinika</v>
      </c>
      <c r="W5" s="41" t="str">
        <f t="shared" ref="W5" si="88">U5</f>
        <v>Neurochirurgická klinika</v>
      </c>
      <c r="X5" s="41" t="str">
        <f t="shared" ref="X5" si="89">X6</f>
        <v>Klinika anesteziologie, resuscitace a intenzivní medicíny</v>
      </c>
      <c r="Y5" s="41" t="str">
        <f t="shared" ref="Y5" si="90">X5</f>
        <v>Klinika anesteziologie, resuscitace a intenzivní medicíny</v>
      </c>
      <c r="Z5" s="41" t="str">
        <f t="shared" ref="Z5" si="91">X5</f>
        <v>Klinika anesteziologie, resuscitace a intenzivní medicíny</v>
      </c>
      <c r="AA5" s="41" t="str">
        <f t="shared" ref="AA5" si="92">AA6</f>
        <v>Porodnicko-gynekologická klinika</v>
      </c>
      <c r="AB5" s="41" t="str">
        <f t="shared" ref="AB5" si="93">AA5</f>
        <v>Porodnicko-gynekologická klinika</v>
      </c>
      <c r="AC5" s="41" t="str">
        <f t="shared" ref="AC5" si="94">AA5</f>
        <v>Porodnicko-gynekologická klinika</v>
      </c>
      <c r="AD5" s="41" t="str">
        <f t="shared" ref="AD5" si="95">AD6</f>
        <v>Novorozenecké oddělení</v>
      </c>
      <c r="AE5" s="41" t="str">
        <f t="shared" ref="AE5" si="96">AD5</f>
        <v>Novorozenecké oddělení</v>
      </c>
      <c r="AF5" s="41" t="str">
        <f t="shared" ref="AF5" si="97">AD5</f>
        <v>Novorozenecké oddělení</v>
      </c>
      <c r="AG5" s="41" t="str">
        <f t="shared" ref="AG5" si="98">AG6</f>
        <v>Dětská klinika</v>
      </c>
      <c r="AH5" s="41" t="str">
        <f t="shared" ref="AH5" si="99">AG5</f>
        <v>Dětská klinika</v>
      </c>
      <c r="AI5" s="41" t="str">
        <f t="shared" ref="AI5" si="100">AG5</f>
        <v>Dětská klinika</v>
      </c>
      <c r="AJ5" s="41" t="str">
        <f t="shared" ref="AJ5" si="101">AJ6</f>
        <v>Ortopedická klinika</v>
      </c>
      <c r="AK5" s="41" t="str">
        <f t="shared" ref="AK5" si="102">AJ5</f>
        <v>Ortopedická klinika</v>
      </c>
      <c r="AL5" s="41" t="str">
        <f t="shared" ref="AL5" si="103">AJ5</f>
        <v>Ortopedická klinika</v>
      </c>
      <c r="AM5" s="41" t="str">
        <f t="shared" ref="AM5" si="104">AM6</f>
        <v>Urologická klinika</v>
      </c>
      <c r="AN5" s="41" t="str">
        <f t="shared" ref="AN5" si="105">AM5</f>
        <v>Urologická klinika</v>
      </c>
      <c r="AO5" s="41" t="str">
        <f t="shared" ref="AO5" si="106">AM5</f>
        <v>Urologická klinika</v>
      </c>
      <c r="AP5" s="41" t="str">
        <f t="shared" ref="AP5" si="107">AP6</f>
        <v>Otolaryngologická klinika</v>
      </c>
      <c r="AQ5" s="41" t="str">
        <f t="shared" ref="AQ5" si="108">AP5</f>
        <v>Otolaryngologická klinika</v>
      </c>
      <c r="AR5" s="41" t="str">
        <f t="shared" ref="AR5" si="109">AP5</f>
        <v>Otolaryngologická klinika</v>
      </c>
      <c r="AS5" s="41" t="str">
        <f t="shared" ref="AS5" si="110">AS6</f>
        <v>Oční klinika</v>
      </c>
      <c r="AT5" s="41" t="str">
        <f t="shared" ref="AT5" si="111">AS5</f>
        <v>Oční klinika</v>
      </c>
      <c r="AU5" s="41" t="str">
        <f t="shared" ref="AU5" si="112">AS5</f>
        <v>Oční klinika</v>
      </c>
      <c r="AV5" s="41" t="str">
        <f t="shared" ref="AV5" si="113">AV6</f>
        <v>Oddělení alergologie a kl. imun.</v>
      </c>
      <c r="AW5" s="41" t="str">
        <f t="shared" ref="AW5" si="114">AV5</f>
        <v>Oddělení alergologie a kl. imun.</v>
      </c>
      <c r="AX5" s="41" t="str">
        <f t="shared" ref="AX5" si="115">AV5</f>
        <v>Oddělení alergologie a kl. imun.</v>
      </c>
      <c r="AY5" s="41" t="str">
        <f t="shared" ref="AY5" si="116">AY6</f>
        <v>Klinika plicních nemocí a tuberkulózy</v>
      </c>
      <c r="AZ5" s="41" t="str">
        <f t="shared" ref="AZ5" si="117">AY5</f>
        <v>Klinika plicních nemocí a tuberkulózy</v>
      </c>
      <c r="BA5" s="41" t="str">
        <f t="shared" ref="BA5" si="118">AY5</f>
        <v>Klinika plicních nemocí a tuberkulózy</v>
      </c>
      <c r="BB5" s="41" t="str">
        <f t="shared" ref="BB5" si="119">BB6</f>
        <v>Neurologická klinika</v>
      </c>
      <c r="BC5" s="41" t="str">
        <f t="shared" ref="BC5" si="120">BB5</f>
        <v>Neurologická klinika</v>
      </c>
      <c r="BD5" s="41" t="str">
        <f t="shared" ref="BD5" si="121">BB5</f>
        <v>Neurologická klinika</v>
      </c>
      <c r="BE5" s="41" t="str">
        <f t="shared" ref="BE5" si="122">BE6</f>
        <v>Klinika psychiatrie</v>
      </c>
      <c r="BF5" s="41" t="str">
        <f t="shared" ref="BF5" si="123">BE5</f>
        <v>Klinika psychiatrie</v>
      </c>
      <c r="BG5" s="41" t="str">
        <f t="shared" ref="BG5" si="124">BE5</f>
        <v>Klinika psychiatrie</v>
      </c>
      <c r="BH5" s="41" t="str">
        <f t="shared" ref="BH5" si="125">BH6</f>
        <v>Klinika pracovního lékařství</v>
      </c>
      <c r="BI5" s="41" t="str">
        <f t="shared" ref="BI5" si="126">BH5</f>
        <v>Klinika pracovního lékařství</v>
      </c>
      <c r="BJ5" s="41" t="str">
        <f t="shared" ref="BJ5" si="127">BH5</f>
        <v>Klinika pracovního lékařství</v>
      </c>
      <c r="BK5" s="41" t="str">
        <f t="shared" ref="BK5" si="128">BK6</f>
        <v>Klinika chorob kožních a pohlavních</v>
      </c>
      <c r="BL5" s="41" t="str">
        <f t="shared" ref="BL5" si="129">BK5</f>
        <v>Klinika chorob kožních a pohlavních</v>
      </c>
      <c r="BM5" s="41" t="str">
        <f t="shared" ref="BM5" si="130">BK5</f>
        <v>Klinika chorob kožních a pohlavních</v>
      </c>
      <c r="BN5" s="41" t="str">
        <f t="shared" ref="BN5" si="131">BN6</f>
        <v>Onkologická klinika</v>
      </c>
      <c r="BO5" s="41" t="str">
        <f t="shared" ref="BO5" si="132">BN5</f>
        <v>Onkologická klinika</v>
      </c>
      <c r="BP5" s="41" t="str">
        <f t="shared" ref="BP5" si="133">BN5</f>
        <v>Onkologická klinika</v>
      </c>
      <c r="BQ5" s="41" t="str">
        <f t="shared" ref="BQ5" si="134">BQ6</f>
        <v>Klinika nukleární medicíny</v>
      </c>
      <c r="BR5" s="41" t="str">
        <f t="shared" ref="BR5" si="135">BQ5</f>
        <v>Klinika nukleární medicíny</v>
      </c>
      <c r="BS5" s="41" t="str">
        <f t="shared" ref="BS5" si="136">BQ5</f>
        <v>Klinika nukleární medicíny</v>
      </c>
      <c r="BT5" s="41" t="str">
        <f t="shared" ref="BT5" si="137">BT6</f>
        <v>Klinika zubního lékařství</v>
      </c>
      <c r="BU5" s="41" t="str">
        <f t="shared" ref="BU5" si="138">BT5</f>
        <v>Klinika zubního lékařství</v>
      </c>
      <c r="BV5" s="41" t="str">
        <f t="shared" ref="BV5" si="139">BT5</f>
        <v>Klinika zubního lékařství</v>
      </c>
      <c r="BW5" s="41" t="str">
        <f t="shared" ref="BW5" si="140">BW6</f>
        <v>Klinika ústní,čelistní a obličejové chirurgie</v>
      </c>
      <c r="BX5" s="41" t="str">
        <f t="shared" ref="BX5" si="141">BW5</f>
        <v>Klinika ústní,čelistní a obličejové chirurgie</v>
      </c>
      <c r="BY5" s="41" t="str">
        <f t="shared" ref="BY5" si="142">BW5</f>
        <v>Klinika ústní,čelistní a obličejové chirurgie</v>
      </c>
      <c r="BZ5" s="41" t="str">
        <f t="shared" ref="BZ5" si="143">BZ6</f>
        <v>Oddělení rehabilitace</v>
      </c>
      <c r="CA5" s="41" t="str">
        <f t="shared" ref="CA5" si="144">BZ5</f>
        <v>Oddělení rehabilitace</v>
      </c>
      <c r="CB5" s="41" t="str">
        <f t="shared" ref="CB5" si="145">BZ5</f>
        <v>Oddělení rehabilitace</v>
      </c>
      <c r="CC5" s="41" t="str">
        <f t="shared" ref="CC5" si="146">CC6</f>
        <v>Klinika tělovýchovného lékařství a kardiovaskulární rehabilitace</v>
      </c>
      <c r="CD5" s="41" t="str">
        <f t="shared" ref="CD5" si="147">CC5</f>
        <v>Klinika tělovýchovného lékařství a kardiovaskulární rehabilitace</v>
      </c>
      <c r="CE5" s="41" t="str">
        <f t="shared" ref="CE5" si="148">CC5</f>
        <v>Klinika tělovýchovného lékařství a kardiovaskulární rehabilitace</v>
      </c>
      <c r="CF5" s="41" t="str">
        <f t="shared" ref="CF5" si="149">CF6</f>
        <v>Ústav lékařské genetiky</v>
      </c>
      <c r="CG5" s="41" t="str">
        <f t="shared" ref="CG5" si="150">CF5</f>
        <v>Ústav lékařské genetiky</v>
      </c>
      <c r="CH5" s="41" t="str">
        <f t="shared" ref="CH5" si="151">CF5</f>
        <v>Ústav lékařské genetiky</v>
      </c>
      <c r="CI5" s="41" t="str">
        <f t="shared" ref="CI5" si="152">CI6</f>
        <v>Oddělení plastické a estetické chirurgie</v>
      </c>
      <c r="CJ5" s="41" t="str">
        <f t="shared" ref="CJ5" si="153">CI5</f>
        <v>Oddělení plastické a estetické chirurgie</v>
      </c>
      <c r="CK5" s="41" t="str">
        <f t="shared" ref="CK5" si="154">CI5</f>
        <v>Oddělení plastické a estetické chirurgie</v>
      </c>
      <c r="CL5" s="41" t="str">
        <f t="shared" ref="CL5" si="155">CL6</f>
        <v>Traumatologická klinika</v>
      </c>
      <c r="CM5" s="41" t="str">
        <f t="shared" ref="CM5" si="156">CL5</f>
        <v>Traumatologická klinika</v>
      </c>
      <c r="CN5" s="41" t="str">
        <f t="shared" ref="CN5" si="157">CL5</f>
        <v>Traumatologická klinika</v>
      </c>
      <c r="CO5" s="41" t="str">
        <f t="shared" ref="CO5" si="158">CO6</f>
        <v>Hemato-onkologická klinika</v>
      </c>
      <c r="CP5" s="41" t="str">
        <f t="shared" ref="CP5" si="159">CO5</f>
        <v>Hemato-onkologická klinika</v>
      </c>
      <c r="CQ5" s="41" t="str">
        <f t="shared" ref="CQ5" si="160">CO5</f>
        <v>Hemato-onkologická klinika</v>
      </c>
      <c r="CR5" s="41" t="str">
        <f t="shared" ref="CR5" si="161">CR6</f>
        <v>Oddělení klinické biochemie</v>
      </c>
      <c r="CS5" s="41" t="str">
        <f t="shared" ref="CS5" si="162">CR5</f>
        <v>Oddělení klinické biochemie</v>
      </c>
      <c r="CT5" s="41" t="str">
        <f t="shared" ref="CT5" si="163">CR5</f>
        <v>Oddělení klinické biochemie</v>
      </c>
      <c r="CU5" s="41" t="str">
        <f t="shared" ref="CU5" si="164">CU6</f>
        <v>Radiologická klinika</v>
      </c>
      <c r="CV5" s="41" t="str">
        <f t="shared" ref="CV5" si="165">CU5</f>
        <v>Radiologická klinika</v>
      </c>
      <c r="CW5" s="41" t="str">
        <f t="shared" ref="CW5" si="166">CU5</f>
        <v>Radiologická klinika</v>
      </c>
      <c r="CX5" s="41" t="str">
        <f t="shared" ref="CX5" si="167">CX6</f>
        <v>Transfuzní oddělení</v>
      </c>
      <c r="CY5" s="41" t="str">
        <f t="shared" ref="CY5" si="168">CX5</f>
        <v>Transfuzní oddělení</v>
      </c>
      <c r="CZ5" s="41" t="str">
        <f t="shared" ref="CZ5" si="169">CX5</f>
        <v>Transfuzní oddělení</v>
      </c>
      <c r="DA5" s="41" t="str">
        <f t="shared" ref="DA5" si="170">DA6</f>
        <v>Oddělení klinické logopedie</v>
      </c>
      <c r="DB5" s="41" t="str">
        <f t="shared" ref="DB5" si="171">DA5</f>
        <v>Oddělení klinické logopedie</v>
      </c>
      <c r="DC5" s="41" t="str">
        <f t="shared" ref="DC5" si="172">DA5</f>
        <v>Oddělení klinické logopedie</v>
      </c>
      <c r="DD5" s="41" t="str">
        <f t="shared" ref="DD5" si="173">DD6</f>
        <v>Ústav klinické a molekulární patologie</v>
      </c>
      <c r="DE5" s="41" t="str">
        <f t="shared" ref="DE5" si="174">DD5</f>
        <v>Ústav klinické a molekulární patologie</v>
      </c>
      <c r="DF5" s="41" t="str">
        <f t="shared" ref="DF5" si="175">DD5</f>
        <v>Ústav klinické a molekulární patologie</v>
      </c>
      <c r="DG5" s="41" t="str">
        <f t="shared" ref="DG5" si="176">DG6</f>
        <v>Ústav soudního lékařství a medicínského práva</v>
      </c>
      <c r="DH5" s="41" t="str">
        <f t="shared" ref="DH5" si="177">DG5</f>
        <v>Ústav soudního lékařství a medicínského práva</v>
      </c>
      <c r="DI5" s="41" t="str">
        <f t="shared" ref="DI5" si="178">DG5</f>
        <v>Ústav soudního lékařství a medicínského práva</v>
      </c>
      <c r="DJ5" s="41" t="str">
        <f t="shared" ref="DJ5" si="179">DJ6</f>
        <v>Oddělení klinické psychologie</v>
      </c>
      <c r="DK5" s="41" t="str">
        <f t="shared" ref="DK5" si="180">DJ5</f>
        <v>Oddělení klinické psychologie</v>
      </c>
      <c r="DL5" s="41" t="str">
        <f t="shared" ref="DL5" si="181">DJ5</f>
        <v>Oddělení klinické psychologie</v>
      </c>
      <c r="DM5" s="41" t="str">
        <f t="shared" ref="DM5" si="182">DM6</f>
        <v>Ústav mikrobiologie</v>
      </c>
      <c r="DN5" s="41" t="str">
        <f t="shared" ref="DN5" si="183">DM5</f>
        <v>Ústav mikrobiologie</v>
      </c>
      <c r="DO5" s="41" t="str">
        <f t="shared" ref="DO5" si="184">DM5</f>
        <v>Ústav mikrobiologie</v>
      </c>
      <c r="DP5" s="41" t="str">
        <f t="shared" ref="DP5" si="185">DP6</f>
        <v>Ústav imunologie</v>
      </c>
      <c r="DQ5" s="41" t="str">
        <f t="shared" ref="DQ5" si="186">DP5</f>
        <v>Ústav imunologie</v>
      </c>
      <c r="DR5" s="41" t="str">
        <f t="shared" ref="DR5" si="187">DP5</f>
        <v>Ústav imunologie</v>
      </c>
      <c r="DS5" s="41" t="str">
        <f t="shared" ref="DS5" si="188">DS6</f>
        <v>Ústav farmakologie</v>
      </c>
      <c r="DT5" s="41" t="str">
        <f t="shared" ref="DT5" si="189">DS5</f>
        <v>Ústav farmakologie</v>
      </c>
      <c r="DU5" s="41" t="str">
        <f t="shared" ref="DU5" si="190">DS5</f>
        <v>Ústav farmakologie</v>
      </c>
      <c r="DV5" s="41" t="str">
        <f t="shared" ref="DV5" si="191">DV6</f>
        <v>Laboratoř experimentální medicíny</v>
      </c>
      <c r="DW5" s="41" t="str">
        <f t="shared" ref="DW5" si="192">DV5</f>
        <v>Laboratoř experimentální medicíny</v>
      </c>
      <c r="DX5" s="41" t="str">
        <f t="shared" ref="DX5" si="193">DV5</f>
        <v>Laboratoř experimentální medicíny</v>
      </c>
      <c r="DY5" s="41" t="str">
        <f t="shared" ref="DY5" si="194">DY6</f>
        <v>Sociální oddělení</v>
      </c>
      <c r="DZ5" s="41" t="str">
        <f t="shared" ref="DZ5" si="195">DY5</f>
        <v>Sociální oddělení</v>
      </c>
      <c r="EA5" s="41" t="str">
        <f t="shared" ref="EA5" si="196">DY5</f>
        <v>Sociální oddělení</v>
      </c>
      <c r="EB5" s="41" t="str">
        <f t="shared" ref="EB5" si="197">EB6</f>
        <v>Transplantační centrum</v>
      </c>
      <c r="EC5" s="41" t="str">
        <f t="shared" ref="EC5" si="198">EB5</f>
        <v>Transplantační centrum</v>
      </c>
      <c r="ED5" s="41" t="str">
        <f t="shared" ref="ED5" si="199">EB5</f>
        <v>Transplantační centrum</v>
      </c>
      <c r="EE5" s="41" t="str">
        <f t="shared" ref="EE5" si="200">EE6</f>
        <v xml:space="preserve">Centrální operační sály </v>
      </c>
      <c r="EF5" s="41" t="str">
        <f t="shared" ref="EF5" si="201">EE5</f>
        <v xml:space="preserve">Centrální operační sály </v>
      </c>
      <c r="EG5" s="41" t="str">
        <f t="shared" ref="EG5" si="202">EE5</f>
        <v xml:space="preserve">Centrální operační sály </v>
      </c>
      <c r="EH5" s="41" t="str">
        <f t="shared" ref="EH5" si="203">EH6</f>
        <v>Lékárna</v>
      </c>
      <c r="EI5" s="41" t="str">
        <f t="shared" ref="EI5" si="204">EH5</f>
        <v>Lékárna</v>
      </c>
      <c r="EJ5" s="41" t="str">
        <f t="shared" ref="EJ5" si="205">EH5</f>
        <v>Lékárna</v>
      </c>
      <c r="EK5" s="41" t="str">
        <f t="shared" ref="EK5" si="206">EK6</f>
        <v>Kardiochirurgická klinika</v>
      </c>
      <c r="EL5" s="41" t="str">
        <f t="shared" ref="EL5" si="207">EK5</f>
        <v>Kardiochirurgická klinika</v>
      </c>
      <c r="EM5" s="41" t="str">
        <f t="shared" ref="EM5" si="208">EK5</f>
        <v>Kardiochirurgická klinika</v>
      </c>
      <c r="EN5" s="41" t="str">
        <f t="shared" ref="EN5" si="209">EN6</f>
        <v>NTMC - Národní telemedicínské centrum</v>
      </c>
      <c r="EO5" s="41" t="str">
        <f t="shared" ref="EO5" si="210">EN5</f>
        <v>NTMC - Národní telemedicínské centrum</v>
      </c>
      <c r="EP5" s="41" t="str">
        <f t="shared" ref="EP5" si="211">EN5</f>
        <v>NTMC - Národní telemedicínské centrum</v>
      </c>
      <c r="EQ5" s="41" t="str">
        <f t="shared" ref="EQ5" si="212">EQ6</f>
        <v>Oddělení lékařské fyziky a radiační ochrany</v>
      </c>
      <c r="ER5" s="41" t="str">
        <f t="shared" ref="ER5" si="213">EQ5</f>
        <v>Oddělení lékařské fyziky a radiační ochrany</v>
      </c>
      <c r="ES5" s="41" t="str">
        <f t="shared" ref="ES5" si="214">EQ5</f>
        <v>Oddělení lékařské fyziky a radiační ochrany</v>
      </c>
      <c r="ET5" s="41" t="str">
        <f t="shared" ref="ET5" si="215">ET6</f>
        <v>Oddělení nemocniční hygieny</v>
      </c>
      <c r="EU5" s="41" t="str">
        <f t="shared" ref="EU5" si="216">ET5</f>
        <v>Oddělení nemocniční hygieny</v>
      </c>
      <c r="EV5" s="41" t="str">
        <f t="shared" ref="EV5" si="217">ET5</f>
        <v>Oddělení nemocniční hygieny</v>
      </c>
      <c r="EW5" s="41" t="str">
        <f t="shared" ref="EW5" si="218">EW6</f>
        <v>Oddělení centrální sterilizace</v>
      </c>
      <c r="EX5" s="41" t="str">
        <f t="shared" ref="EX5" si="219">EW5</f>
        <v>Oddělení centrální sterilizace</v>
      </c>
      <c r="EY5" s="41" t="str">
        <f t="shared" ref="EY5" si="220">EW5</f>
        <v>Oddělení centrální sterilizace</v>
      </c>
      <c r="EZ5" s="41" t="str">
        <f t="shared" ref="EZ5" si="221">EZ6</f>
        <v>Nutriční ambulance</v>
      </c>
      <c r="FA5" s="41" t="str">
        <f t="shared" ref="FA5" si="222">EZ5</f>
        <v>Nutriční ambulance</v>
      </c>
      <c r="FB5" s="41" t="str">
        <f t="shared" ref="FB5" si="223">EZ5</f>
        <v>Nutriční ambulance</v>
      </c>
      <c r="FC5" s="41" t="str">
        <f t="shared" ref="FC5" si="224">FC6</f>
        <v>Oddělení intenzivní péče chirurgických oborů</v>
      </c>
      <c r="FD5" s="41" t="str">
        <f t="shared" ref="FD5" si="225">FC5</f>
        <v>Oddělení intenzivní péče chirurgických oborů</v>
      </c>
      <c r="FE5" s="41" t="str">
        <f t="shared" ref="FE5" si="226">FC5</f>
        <v>Oddělení intenzivní péče chirurgických oborů</v>
      </c>
      <c r="FF5" s="41" t="str">
        <f t="shared" ref="FF5" si="227">FF6</f>
        <v>Oddělení urgentního příjmu</v>
      </c>
      <c r="FG5" s="41" t="str">
        <f t="shared" ref="FG5" si="228">FF5</f>
        <v>Oddělení urgentního příjmu</v>
      </c>
      <c r="FH5" s="41" t="str">
        <f t="shared" ref="FH5" si="229">FF5</f>
        <v>Oddělení urgentního příjmu</v>
      </c>
      <c r="FI5" s="41" t="str">
        <f t="shared" ref="FI5" si="230">FI6</f>
        <v>Centrum CLINREC</v>
      </c>
      <c r="FJ5" s="41" t="str">
        <f t="shared" ref="FJ5" si="231">FI5</f>
        <v>Centrum CLINREC</v>
      </c>
      <c r="FK5" s="41" t="str">
        <f t="shared" ref="FK5" si="232">FI5</f>
        <v>Centrum CLINREC</v>
      </c>
      <c r="FL5" s="41" t="str">
        <f t="shared" ref="FL5" si="233">FL6</f>
        <v>Klinická hodnocení</v>
      </c>
      <c r="FM5" s="41" t="str">
        <f t="shared" ref="FM5" si="234">FL5</f>
        <v>Klinická hodnocení</v>
      </c>
      <c r="FN5" s="41" t="str">
        <f t="shared" ref="FN5" si="235">FL5</f>
        <v>Klinická hodnocení</v>
      </c>
      <c r="FO5" s="41" t="str">
        <f t="shared" ref="FO5" si="236">FO6</f>
        <v>Granty</v>
      </c>
      <c r="FP5" s="41" t="str">
        <f t="shared" ref="FP5" si="237">FO5</f>
        <v>Granty</v>
      </c>
      <c r="FQ5" s="41" t="str">
        <f t="shared" ref="FQ5" si="238">FO5</f>
        <v>Granty</v>
      </c>
      <c r="FR5" s="41" t="str">
        <f t="shared" ref="FR5" si="239">FR6</f>
        <v>Granty</v>
      </c>
      <c r="FS5" s="41" t="str">
        <f t="shared" ref="FS5" si="240">FR5</f>
        <v>Granty</v>
      </c>
      <c r="FT5" s="41" t="str">
        <f t="shared" ref="FT5" si="241">FR5</f>
        <v>Granty</v>
      </c>
      <c r="FU5" s="41" t="str">
        <f t="shared" ref="FU5" si="242">FU6</f>
        <v>Institucionální podpora</v>
      </c>
      <c r="FV5" s="41" t="str">
        <f t="shared" ref="FV5" si="243">FU5</f>
        <v>Institucionální podpora</v>
      </c>
      <c r="FW5" s="41" t="str">
        <f t="shared" ref="FW5" si="244">FU5</f>
        <v>Institucionální podpora</v>
      </c>
      <c r="FX5" s="41" t="str">
        <f t="shared" ref="FX5" si="245">FX6</f>
        <v>pomocná střediska</v>
      </c>
      <c r="FY5" s="41" t="str">
        <f t="shared" ref="FY5" si="246">FX5</f>
        <v>pomocná střediska</v>
      </c>
      <c r="FZ5" s="41" t="str">
        <f t="shared" ref="FZ5" si="247">FX5</f>
        <v>pomocná střediska</v>
      </c>
      <c r="GA5" s="41" t="str">
        <f t="shared" ref="GA5" si="248">GA6</f>
        <v>Úsek ředitele</v>
      </c>
      <c r="GB5" s="41" t="str">
        <f t="shared" ref="GB5" si="249">GA5</f>
        <v>Úsek ředitele</v>
      </c>
      <c r="GC5" s="41" t="str">
        <f t="shared" ref="GC5" si="250">GA5</f>
        <v>Úsek ředitele</v>
      </c>
      <c r="GD5" s="41" t="str">
        <f t="shared" ref="GD5" si="251">GD6</f>
        <v>Úsek léčebné péče</v>
      </c>
      <c r="GE5" s="41" t="str">
        <f t="shared" ref="GE5" si="252">GD5</f>
        <v>Úsek léčebné péče</v>
      </c>
      <c r="GF5" s="41" t="str">
        <f t="shared" ref="GF5" si="253">GD5</f>
        <v>Úsek léčebné péče</v>
      </c>
      <c r="GG5" s="41" t="str">
        <f t="shared" ref="GG5" si="254">GG6</f>
        <v>Útvar ekonomiky a zdravotních pojišťoven</v>
      </c>
      <c r="GH5" s="41" t="str">
        <f t="shared" ref="GH5" si="255">GG5</f>
        <v>Útvar ekonomiky a zdravotních pojišťoven</v>
      </c>
      <c r="GI5" s="41" t="str">
        <f t="shared" ref="GI5" si="256">GG5</f>
        <v>Útvar ekonomiky a zdravotních pojišťoven</v>
      </c>
      <c r="GJ5" s="41" t="str">
        <f t="shared" ref="GJ5" si="257">GJ6</f>
        <v>Útvar hospodářsko technické správy</v>
      </c>
      <c r="GK5" s="41" t="str">
        <f t="shared" ref="GK5" si="258">GJ5</f>
        <v>Útvar hospodářsko technické správy</v>
      </c>
      <c r="GL5" s="41" t="str">
        <f t="shared" ref="GL5" si="259">GJ5</f>
        <v>Útvar hospodářsko technické správy</v>
      </c>
      <c r="GM5" s="41" t="str">
        <f t="shared" ref="GM5" si="260">GM6</f>
        <v>Odbor investic</v>
      </c>
      <c r="GN5" s="41" t="str">
        <f t="shared" ref="GN5" si="261">GM5</f>
        <v>Odbor investic</v>
      </c>
      <c r="GO5" s="41" t="str">
        <f t="shared" ref="GO5" si="262">GM5</f>
        <v>Odbor investic</v>
      </c>
      <c r="GP5" s="41" t="str">
        <f t="shared" ref="GP5" si="263">GP6</f>
        <v>Personální úsek</v>
      </c>
      <c r="GQ5" s="41" t="str">
        <f t="shared" ref="GQ5" si="264">GP5</f>
        <v>Personální úsek</v>
      </c>
      <c r="GR5" s="41" t="str">
        <f t="shared" ref="GR5" si="265">GP5</f>
        <v>Personální úsek</v>
      </c>
      <c r="GS5" s="41" t="str">
        <f t="shared" ref="GS5" si="266">GS6</f>
        <v>Úsek informačních technologií</v>
      </c>
      <c r="GT5" s="41" t="str">
        <f t="shared" ref="GT5" si="267">GS5</f>
        <v>Úsek informačních technologií</v>
      </c>
      <c r="GU5" s="41" t="str">
        <f t="shared" ref="GU5" si="268">GS5</f>
        <v>Úsek informačních technologií</v>
      </c>
      <c r="GV5" s="41" t="str">
        <f t="shared" ref="GV5" si="269">GV6</f>
        <v>Obchodní úsek</v>
      </c>
      <c r="GW5" s="41" t="str">
        <f t="shared" ref="GW5" si="270">GV5</f>
        <v>Obchodní úsek</v>
      </c>
      <c r="GX5" s="41" t="str">
        <f t="shared" ref="GX5" si="271">GV5</f>
        <v>Obchodní úsek</v>
      </c>
      <c r="GY5" s="41" t="str">
        <f t="shared" ref="GY5" si="272">GY6</f>
        <v>Marketingové akce FNOL</v>
      </c>
      <c r="GZ5" s="41" t="str">
        <f t="shared" ref="GZ5" si="273">GY5</f>
        <v>Marketingové akce FNOL</v>
      </c>
      <c r="HA5" s="41" t="str">
        <f t="shared" ref="HA5" si="274">GY5</f>
        <v>Marketingové akce FNOL</v>
      </c>
      <c r="HB5" s="41" t="str">
        <f t="shared" ref="HB5" si="275">HB6</f>
        <v>Údržby, provozy</v>
      </c>
      <c r="HC5" s="41" t="str">
        <f t="shared" ref="HC5" si="276">HB5</f>
        <v>Údržby, provozy</v>
      </c>
      <c r="HD5" s="41" t="str">
        <f t="shared" ref="HD5" si="277">HB5</f>
        <v>Údržby, provozy</v>
      </c>
      <c r="HE5" s="41" t="str">
        <f t="shared" ref="HE5" si="278">HE6</f>
        <v>Stavby</v>
      </c>
      <c r="HF5" s="41" t="str">
        <f t="shared" ref="HF5" si="279">HE5</f>
        <v>Stavby</v>
      </c>
      <c r="HG5" s="41" t="str">
        <f t="shared" ref="HG5" si="280">HE5</f>
        <v>Stavby</v>
      </c>
      <c r="HH5" s="41" t="str">
        <f t="shared" ref="HH5" si="281">HH6</f>
        <v>Transfery MZ ČR + refundace</v>
      </c>
      <c r="HI5" s="41" t="str">
        <f t="shared" ref="HI5" si="282">HH5</f>
        <v>Transfery MZ ČR + refundace</v>
      </c>
      <c r="HJ5" s="41" t="str">
        <f t="shared" ref="HJ5" si="283">HH5</f>
        <v>Transfery MZ ČR + refundace</v>
      </c>
      <c r="HK5" s="41" t="str">
        <f t="shared" ref="HK5" si="284">HK6</f>
        <v>Pronájmy</v>
      </c>
      <c r="HL5" s="41" t="str">
        <f t="shared" ref="HL5" si="285">HK5</f>
        <v>Pronájmy</v>
      </c>
      <c r="HM5" s="41" t="str">
        <f t="shared" ref="HM5" si="286">HK5</f>
        <v>Pronájmy</v>
      </c>
      <c r="HN5" s="41" t="str">
        <f t="shared" ref="HN5" si="287">HN6</f>
        <v>Nezařazeno</v>
      </c>
      <c r="HO5" s="41" t="str">
        <f t="shared" ref="HO5" si="288">HN5</f>
        <v>Nezařazeno</v>
      </c>
      <c r="HP5" s="41" t="str">
        <f t="shared" ref="HP5" si="289">HN5</f>
        <v>Nezařazeno</v>
      </c>
    </row>
    <row r="6" spans="1:224" s="3" customFormat="1" ht="45.75" customHeight="1" x14ac:dyDescent="0.25">
      <c r="C6" s="376" t="s">
        <v>8</v>
      </c>
      <c r="D6" s="377"/>
      <c r="E6" s="378"/>
      <c r="F6" s="376" t="s">
        <v>9</v>
      </c>
      <c r="G6" s="377"/>
      <c r="H6" s="378"/>
      <c r="I6" s="376" t="s">
        <v>10</v>
      </c>
      <c r="J6" s="377"/>
      <c r="K6" s="378"/>
      <c r="L6" s="376" t="s">
        <v>11</v>
      </c>
      <c r="M6" s="377"/>
      <c r="N6" s="378"/>
      <c r="O6" s="376" t="s">
        <v>12</v>
      </c>
      <c r="P6" s="377"/>
      <c r="Q6" s="378"/>
      <c r="R6" s="376" t="s">
        <v>13</v>
      </c>
      <c r="S6" s="377"/>
      <c r="T6" s="378"/>
      <c r="U6" s="376" t="s">
        <v>14</v>
      </c>
      <c r="V6" s="377"/>
      <c r="W6" s="378"/>
      <c r="X6" s="376" t="s">
        <v>15</v>
      </c>
      <c r="Y6" s="377"/>
      <c r="Z6" s="378"/>
      <c r="AA6" s="376" t="s">
        <v>16</v>
      </c>
      <c r="AB6" s="377"/>
      <c r="AC6" s="378"/>
      <c r="AD6" s="376" t="s">
        <v>17</v>
      </c>
      <c r="AE6" s="377"/>
      <c r="AF6" s="378"/>
      <c r="AG6" s="376" t="s">
        <v>18</v>
      </c>
      <c r="AH6" s="377"/>
      <c r="AI6" s="378"/>
      <c r="AJ6" s="376" t="s">
        <v>19</v>
      </c>
      <c r="AK6" s="377"/>
      <c r="AL6" s="378"/>
      <c r="AM6" s="376" t="s">
        <v>20</v>
      </c>
      <c r="AN6" s="377"/>
      <c r="AO6" s="378"/>
      <c r="AP6" s="376" t="s">
        <v>21</v>
      </c>
      <c r="AQ6" s="377"/>
      <c r="AR6" s="378"/>
      <c r="AS6" s="376" t="s">
        <v>22</v>
      </c>
      <c r="AT6" s="377"/>
      <c r="AU6" s="378"/>
      <c r="AV6" s="376" t="s">
        <v>23</v>
      </c>
      <c r="AW6" s="377"/>
      <c r="AX6" s="378"/>
      <c r="AY6" s="376" t="s">
        <v>24</v>
      </c>
      <c r="AZ6" s="377"/>
      <c r="BA6" s="378"/>
      <c r="BB6" s="376" t="s">
        <v>25</v>
      </c>
      <c r="BC6" s="377"/>
      <c r="BD6" s="378"/>
      <c r="BE6" s="376" t="s">
        <v>26</v>
      </c>
      <c r="BF6" s="377"/>
      <c r="BG6" s="378"/>
      <c r="BH6" s="376" t="s">
        <v>27</v>
      </c>
      <c r="BI6" s="377"/>
      <c r="BJ6" s="378"/>
      <c r="BK6" s="376" t="s">
        <v>28</v>
      </c>
      <c r="BL6" s="377"/>
      <c r="BM6" s="378"/>
      <c r="BN6" s="376" t="s">
        <v>29</v>
      </c>
      <c r="BO6" s="377"/>
      <c r="BP6" s="378"/>
      <c r="BQ6" s="376" t="s">
        <v>30</v>
      </c>
      <c r="BR6" s="377"/>
      <c r="BS6" s="378"/>
      <c r="BT6" s="376" t="s">
        <v>31</v>
      </c>
      <c r="BU6" s="377"/>
      <c r="BV6" s="378"/>
      <c r="BW6" s="376" t="s">
        <v>32</v>
      </c>
      <c r="BX6" s="377"/>
      <c r="BY6" s="378"/>
      <c r="BZ6" s="376" t="s">
        <v>33</v>
      </c>
      <c r="CA6" s="377"/>
      <c r="CB6" s="378"/>
      <c r="CC6" s="376" t="s">
        <v>34</v>
      </c>
      <c r="CD6" s="377"/>
      <c r="CE6" s="378"/>
      <c r="CF6" s="376" t="s">
        <v>35</v>
      </c>
      <c r="CG6" s="377"/>
      <c r="CH6" s="378"/>
      <c r="CI6" s="376" t="s">
        <v>36</v>
      </c>
      <c r="CJ6" s="377"/>
      <c r="CK6" s="378"/>
      <c r="CL6" s="376" t="s">
        <v>37</v>
      </c>
      <c r="CM6" s="377"/>
      <c r="CN6" s="378"/>
      <c r="CO6" s="376" t="s">
        <v>38</v>
      </c>
      <c r="CP6" s="377"/>
      <c r="CQ6" s="378"/>
      <c r="CR6" s="376" t="s">
        <v>39</v>
      </c>
      <c r="CS6" s="377"/>
      <c r="CT6" s="378"/>
      <c r="CU6" s="376" t="s">
        <v>40</v>
      </c>
      <c r="CV6" s="377"/>
      <c r="CW6" s="378"/>
      <c r="CX6" s="376" t="s">
        <v>41</v>
      </c>
      <c r="CY6" s="377"/>
      <c r="CZ6" s="378"/>
      <c r="DA6" s="376" t="s">
        <v>42</v>
      </c>
      <c r="DB6" s="377"/>
      <c r="DC6" s="378"/>
      <c r="DD6" s="376" t="s">
        <v>43</v>
      </c>
      <c r="DE6" s="377"/>
      <c r="DF6" s="378"/>
      <c r="DG6" s="376" t="s">
        <v>44</v>
      </c>
      <c r="DH6" s="377"/>
      <c r="DI6" s="378"/>
      <c r="DJ6" s="376" t="s">
        <v>45</v>
      </c>
      <c r="DK6" s="377"/>
      <c r="DL6" s="378"/>
      <c r="DM6" s="376" t="s">
        <v>46</v>
      </c>
      <c r="DN6" s="377"/>
      <c r="DO6" s="378"/>
      <c r="DP6" s="376" t="s">
        <v>47</v>
      </c>
      <c r="DQ6" s="377"/>
      <c r="DR6" s="378"/>
      <c r="DS6" s="376" t="s">
        <v>48</v>
      </c>
      <c r="DT6" s="377"/>
      <c r="DU6" s="378"/>
      <c r="DV6" s="376" t="s">
        <v>49</v>
      </c>
      <c r="DW6" s="377"/>
      <c r="DX6" s="378"/>
      <c r="DY6" s="376" t="s">
        <v>50</v>
      </c>
      <c r="DZ6" s="377"/>
      <c r="EA6" s="378"/>
      <c r="EB6" s="376" t="s">
        <v>51</v>
      </c>
      <c r="EC6" s="377"/>
      <c r="ED6" s="378"/>
      <c r="EE6" s="376" t="s">
        <v>52</v>
      </c>
      <c r="EF6" s="377"/>
      <c r="EG6" s="378"/>
      <c r="EH6" s="376" t="s">
        <v>53</v>
      </c>
      <c r="EI6" s="377"/>
      <c r="EJ6" s="378"/>
      <c r="EK6" s="376" t="s">
        <v>54</v>
      </c>
      <c r="EL6" s="377"/>
      <c r="EM6" s="378"/>
      <c r="EN6" s="376" t="s">
        <v>55</v>
      </c>
      <c r="EO6" s="377"/>
      <c r="EP6" s="378"/>
      <c r="EQ6" s="376" t="s">
        <v>56</v>
      </c>
      <c r="ER6" s="377"/>
      <c r="ES6" s="378"/>
      <c r="ET6" s="376" t="s">
        <v>57</v>
      </c>
      <c r="EU6" s="377"/>
      <c r="EV6" s="378"/>
      <c r="EW6" s="376" t="s">
        <v>58</v>
      </c>
      <c r="EX6" s="377"/>
      <c r="EY6" s="378"/>
      <c r="EZ6" s="376" t="s">
        <v>59</v>
      </c>
      <c r="FA6" s="377"/>
      <c r="FB6" s="378"/>
      <c r="FC6" s="376" t="s">
        <v>60</v>
      </c>
      <c r="FD6" s="377"/>
      <c r="FE6" s="378"/>
      <c r="FF6" s="376" t="s">
        <v>61</v>
      </c>
      <c r="FG6" s="377"/>
      <c r="FH6" s="378"/>
      <c r="FI6" s="376" t="s">
        <v>62</v>
      </c>
      <c r="FJ6" s="377"/>
      <c r="FK6" s="378"/>
      <c r="FL6" s="376" t="s">
        <v>63</v>
      </c>
      <c r="FM6" s="377"/>
      <c r="FN6" s="378"/>
      <c r="FO6" s="376" t="s">
        <v>64</v>
      </c>
      <c r="FP6" s="377"/>
      <c r="FQ6" s="378"/>
      <c r="FR6" s="376" t="s">
        <v>64</v>
      </c>
      <c r="FS6" s="377"/>
      <c r="FT6" s="378"/>
      <c r="FU6" s="376" t="s">
        <v>65</v>
      </c>
      <c r="FV6" s="377"/>
      <c r="FW6" s="378"/>
      <c r="FX6" s="376" t="s">
        <v>66</v>
      </c>
      <c r="FY6" s="377"/>
      <c r="FZ6" s="378"/>
      <c r="GA6" s="376" t="s">
        <v>67</v>
      </c>
      <c r="GB6" s="377"/>
      <c r="GC6" s="378"/>
      <c r="GD6" s="376" t="s">
        <v>68</v>
      </c>
      <c r="GE6" s="377"/>
      <c r="GF6" s="378"/>
      <c r="GG6" s="376" t="s">
        <v>69</v>
      </c>
      <c r="GH6" s="377"/>
      <c r="GI6" s="378"/>
      <c r="GJ6" s="376" t="s">
        <v>70</v>
      </c>
      <c r="GK6" s="377"/>
      <c r="GL6" s="378"/>
      <c r="GM6" s="376" t="s">
        <v>71</v>
      </c>
      <c r="GN6" s="377"/>
      <c r="GO6" s="378"/>
      <c r="GP6" s="376" t="s">
        <v>72</v>
      </c>
      <c r="GQ6" s="377"/>
      <c r="GR6" s="378"/>
      <c r="GS6" s="376" t="s">
        <v>73</v>
      </c>
      <c r="GT6" s="377"/>
      <c r="GU6" s="378"/>
      <c r="GV6" s="376" t="s">
        <v>74</v>
      </c>
      <c r="GW6" s="377"/>
      <c r="GX6" s="378"/>
      <c r="GY6" s="376" t="s">
        <v>75</v>
      </c>
      <c r="GZ6" s="377"/>
      <c r="HA6" s="378"/>
      <c r="HB6" s="376" t="s">
        <v>76</v>
      </c>
      <c r="HC6" s="377"/>
      <c r="HD6" s="378"/>
      <c r="HE6" s="376" t="s">
        <v>77</v>
      </c>
      <c r="HF6" s="377"/>
      <c r="HG6" s="378"/>
      <c r="HH6" s="376" t="s">
        <v>78</v>
      </c>
      <c r="HI6" s="377"/>
      <c r="HJ6" s="378"/>
      <c r="HK6" s="376" t="s">
        <v>79</v>
      </c>
      <c r="HL6" s="377"/>
      <c r="HM6" s="378"/>
      <c r="HN6" s="376" t="s">
        <v>80</v>
      </c>
      <c r="HO6" s="377"/>
      <c r="HP6" s="378"/>
    </row>
    <row r="7" spans="1:224" x14ac:dyDescent="0.25">
      <c r="C7" s="4" t="s">
        <v>81</v>
      </c>
      <c r="D7" s="5" t="s">
        <v>81</v>
      </c>
      <c r="E7" s="6" t="s">
        <v>81</v>
      </c>
      <c r="F7" s="4" t="s">
        <v>82</v>
      </c>
      <c r="G7" s="5" t="s">
        <v>82</v>
      </c>
      <c r="H7" s="6" t="s">
        <v>82</v>
      </c>
      <c r="I7" s="4" t="s">
        <v>83</v>
      </c>
      <c r="J7" s="5" t="s">
        <v>83</v>
      </c>
      <c r="K7" s="6" t="s">
        <v>83</v>
      </c>
      <c r="L7" s="4" t="s">
        <v>84</v>
      </c>
      <c r="M7" s="5" t="s">
        <v>84</v>
      </c>
      <c r="N7" s="6" t="s">
        <v>84</v>
      </c>
      <c r="O7" s="4" t="s">
        <v>85</v>
      </c>
      <c r="P7" s="5" t="s">
        <v>85</v>
      </c>
      <c r="Q7" s="6" t="s">
        <v>85</v>
      </c>
      <c r="R7" s="4" t="s">
        <v>86</v>
      </c>
      <c r="S7" s="5" t="s">
        <v>86</v>
      </c>
      <c r="T7" s="6" t="s">
        <v>86</v>
      </c>
      <c r="U7" s="4" t="s">
        <v>87</v>
      </c>
      <c r="V7" s="5" t="s">
        <v>87</v>
      </c>
      <c r="W7" s="6" t="s">
        <v>87</v>
      </c>
      <c r="X7" s="4" t="s">
        <v>88</v>
      </c>
      <c r="Y7" s="5" t="s">
        <v>88</v>
      </c>
      <c r="Z7" s="6" t="s">
        <v>88</v>
      </c>
      <c r="AA7" s="4" t="s">
        <v>89</v>
      </c>
      <c r="AB7" s="5" t="s">
        <v>89</v>
      </c>
      <c r="AC7" s="6" t="s">
        <v>89</v>
      </c>
      <c r="AD7" s="4" t="s">
        <v>90</v>
      </c>
      <c r="AE7" s="5" t="s">
        <v>90</v>
      </c>
      <c r="AF7" s="6" t="s">
        <v>90</v>
      </c>
      <c r="AG7" s="4" t="s">
        <v>91</v>
      </c>
      <c r="AH7" s="5" t="s">
        <v>91</v>
      </c>
      <c r="AI7" s="6" t="s">
        <v>91</v>
      </c>
      <c r="AJ7" s="4" t="s">
        <v>92</v>
      </c>
      <c r="AK7" s="5" t="s">
        <v>92</v>
      </c>
      <c r="AL7" s="6" t="s">
        <v>92</v>
      </c>
      <c r="AM7" s="4" t="s">
        <v>93</v>
      </c>
      <c r="AN7" s="5" t="s">
        <v>93</v>
      </c>
      <c r="AO7" s="6" t="s">
        <v>93</v>
      </c>
      <c r="AP7" s="4" t="s">
        <v>94</v>
      </c>
      <c r="AQ7" s="5" t="s">
        <v>94</v>
      </c>
      <c r="AR7" s="6" t="s">
        <v>94</v>
      </c>
      <c r="AS7" s="4" t="s">
        <v>95</v>
      </c>
      <c r="AT7" s="5" t="s">
        <v>95</v>
      </c>
      <c r="AU7" s="6" t="s">
        <v>95</v>
      </c>
      <c r="AV7" s="4" t="s">
        <v>96</v>
      </c>
      <c r="AW7" s="5" t="s">
        <v>96</v>
      </c>
      <c r="AX7" s="6" t="s">
        <v>96</v>
      </c>
      <c r="AY7" s="4" t="s">
        <v>97</v>
      </c>
      <c r="AZ7" s="5" t="s">
        <v>97</v>
      </c>
      <c r="BA7" s="6" t="s">
        <v>97</v>
      </c>
      <c r="BB7" s="4" t="s">
        <v>98</v>
      </c>
      <c r="BC7" s="5" t="s">
        <v>98</v>
      </c>
      <c r="BD7" s="6" t="s">
        <v>98</v>
      </c>
      <c r="BE7" s="4" t="s">
        <v>99</v>
      </c>
      <c r="BF7" s="5" t="s">
        <v>99</v>
      </c>
      <c r="BG7" s="6" t="s">
        <v>99</v>
      </c>
      <c r="BH7" s="4" t="s">
        <v>100</v>
      </c>
      <c r="BI7" s="5" t="s">
        <v>100</v>
      </c>
      <c r="BJ7" s="6" t="s">
        <v>100</v>
      </c>
      <c r="BK7" s="4" t="s">
        <v>101</v>
      </c>
      <c r="BL7" s="5" t="s">
        <v>101</v>
      </c>
      <c r="BM7" s="6" t="s">
        <v>101</v>
      </c>
      <c r="BN7" s="4" t="s">
        <v>102</v>
      </c>
      <c r="BO7" s="5" t="s">
        <v>102</v>
      </c>
      <c r="BP7" s="6" t="s">
        <v>102</v>
      </c>
      <c r="BQ7" s="4" t="s">
        <v>103</v>
      </c>
      <c r="BR7" s="5" t="s">
        <v>103</v>
      </c>
      <c r="BS7" s="6" t="s">
        <v>103</v>
      </c>
      <c r="BT7" s="4" t="s">
        <v>104</v>
      </c>
      <c r="BU7" s="5" t="s">
        <v>104</v>
      </c>
      <c r="BV7" s="6" t="s">
        <v>104</v>
      </c>
      <c r="BW7" s="4" t="s">
        <v>105</v>
      </c>
      <c r="BX7" s="5" t="s">
        <v>105</v>
      </c>
      <c r="BY7" s="6" t="s">
        <v>105</v>
      </c>
      <c r="BZ7" s="4" t="s">
        <v>106</v>
      </c>
      <c r="CA7" s="5" t="s">
        <v>106</v>
      </c>
      <c r="CB7" s="6" t="s">
        <v>106</v>
      </c>
      <c r="CC7" s="4" t="s">
        <v>107</v>
      </c>
      <c r="CD7" s="5" t="s">
        <v>107</v>
      </c>
      <c r="CE7" s="6" t="s">
        <v>107</v>
      </c>
      <c r="CF7" s="4" t="s">
        <v>108</v>
      </c>
      <c r="CG7" s="5" t="s">
        <v>108</v>
      </c>
      <c r="CH7" s="6" t="s">
        <v>108</v>
      </c>
      <c r="CI7" s="4" t="s">
        <v>109</v>
      </c>
      <c r="CJ7" s="5" t="s">
        <v>109</v>
      </c>
      <c r="CK7" s="6" t="s">
        <v>109</v>
      </c>
      <c r="CL7" s="4" t="s">
        <v>110</v>
      </c>
      <c r="CM7" s="5" t="s">
        <v>110</v>
      </c>
      <c r="CN7" s="6" t="s">
        <v>110</v>
      </c>
      <c r="CO7" s="4" t="s">
        <v>111</v>
      </c>
      <c r="CP7" s="5" t="s">
        <v>111</v>
      </c>
      <c r="CQ7" s="6" t="s">
        <v>111</v>
      </c>
      <c r="CR7" s="4" t="s">
        <v>112</v>
      </c>
      <c r="CS7" s="5" t="s">
        <v>112</v>
      </c>
      <c r="CT7" s="6" t="s">
        <v>112</v>
      </c>
      <c r="CU7" s="4" t="s">
        <v>113</v>
      </c>
      <c r="CV7" s="5" t="s">
        <v>113</v>
      </c>
      <c r="CW7" s="6" t="s">
        <v>113</v>
      </c>
      <c r="CX7" s="4" t="s">
        <v>114</v>
      </c>
      <c r="CY7" s="5" t="s">
        <v>114</v>
      </c>
      <c r="CZ7" s="6" t="s">
        <v>114</v>
      </c>
      <c r="DA7" s="4" t="s">
        <v>115</v>
      </c>
      <c r="DB7" s="5" t="s">
        <v>115</v>
      </c>
      <c r="DC7" s="6" t="s">
        <v>115</v>
      </c>
      <c r="DD7" s="4" t="s">
        <v>116</v>
      </c>
      <c r="DE7" s="5" t="s">
        <v>116</v>
      </c>
      <c r="DF7" s="6" t="s">
        <v>116</v>
      </c>
      <c r="DG7" s="4" t="s">
        <v>117</v>
      </c>
      <c r="DH7" s="5" t="s">
        <v>117</v>
      </c>
      <c r="DI7" s="6" t="s">
        <v>117</v>
      </c>
      <c r="DJ7" s="4" t="s">
        <v>118</v>
      </c>
      <c r="DK7" s="5" t="s">
        <v>118</v>
      </c>
      <c r="DL7" s="6" t="s">
        <v>118</v>
      </c>
      <c r="DM7" s="4" t="s">
        <v>119</v>
      </c>
      <c r="DN7" s="5" t="s">
        <v>119</v>
      </c>
      <c r="DO7" s="6" t="s">
        <v>119</v>
      </c>
      <c r="DP7" s="4" t="s">
        <v>120</v>
      </c>
      <c r="DQ7" s="5" t="s">
        <v>120</v>
      </c>
      <c r="DR7" s="6" t="s">
        <v>120</v>
      </c>
      <c r="DS7" s="4" t="s">
        <v>121</v>
      </c>
      <c r="DT7" s="5" t="s">
        <v>121</v>
      </c>
      <c r="DU7" s="6" t="s">
        <v>121</v>
      </c>
      <c r="DV7" s="4" t="s">
        <v>122</v>
      </c>
      <c r="DW7" s="5" t="s">
        <v>122</v>
      </c>
      <c r="DX7" s="6" t="s">
        <v>122</v>
      </c>
      <c r="DY7" s="4" t="s">
        <v>123</v>
      </c>
      <c r="DZ7" s="5" t="s">
        <v>123</v>
      </c>
      <c r="EA7" s="6" t="s">
        <v>123</v>
      </c>
      <c r="EB7" s="4" t="s">
        <v>124</v>
      </c>
      <c r="EC7" s="5" t="s">
        <v>124</v>
      </c>
      <c r="ED7" s="6" t="s">
        <v>124</v>
      </c>
      <c r="EE7" s="4" t="s">
        <v>125</v>
      </c>
      <c r="EF7" s="5" t="s">
        <v>125</v>
      </c>
      <c r="EG7" s="6" t="s">
        <v>125</v>
      </c>
      <c r="EH7" s="4" t="s">
        <v>126</v>
      </c>
      <c r="EI7" s="5" t="s">
        <v>126</v>
      </c>
      <c r="EJ7" s="6" t="s">
        <v>126</v>
      </c>
      <c r="EK7" s="4" t="s">
        <v>127</v>
      </c>
      <c r="EL7" s="5" t="s">
        <v>127</v>
      </c>
      <c r="EM7" s="6" t="s">
        <v>127</v>
      </c>
      <c r="EN7" s="4" t="s">
        <v>128</v>
      </c>
      <c r="EO7" s="5" t="s">
        <v>128</v>
      </c>
      <c r="EP7" s="6" t="s">
        <v>128</v>
      </c>
      <c r="EQ7" s="4" t="s">
        <v>129</v>
      </c>
      <c r="ER7" s="5" t="s">
        <v>129</v>
      </c>
      <c r="ES7" s="6" t="s">
        <v>129</v>
      </c>
      <c r="ET7" s="4" t="s">
        <v>130</v>
      </c>
      <c r="EU7" s="5" t="s">
        <v>130</v>
      </c>
      <c r="EV7" s="6" t="s">
        <v>130</v>
      </c>
      <c r="EW7" s="4" t="s">
        <v>131</v>
      </c>
      <c r="EX7" s="5" t="s">
        <v>131</v>
      </c>
      <c r="EY7" s="6" t="s">
        <v>131</v>
      </c>
      <c r="EZ7" s="4" t="s">
        <v>132</v>
      </c>
      <c r="FA7" s="5" t="s">
        <v>132</v>
      </c>
      <c r="FB7" s="6" t="s">
        <v>132</v>
      </c>
      <c r="FC7" s="4" t="s">
        <v>133</v>
      </c>
      <c r="FD7" s="5" t="s">
        <v>133</v>
      </c>
      <c r="FE7" s="6" t="s">
        <v>133</v>
      </c>
      <c r="FF7" s="4" t="s">
        <v>134</v>
      </c>
      <c r="FG7" s="5" t="s">
        <v>134</v>
      </c>
      <c r="FH7" s="6" t="s">
        <v>134</v>
      </c>
      <c r="FI7" s="4" t="s">
        <v>135</v>
      </c>
      <c r="FJ7" s="5" t="s">
        <v>135</v>
      </c>
      <c r="FK7" s="6" t="s">
        <v>135</v>
      </c>
      <c r="FL7" s="4" t="s">
        <v>136</v>
      </c>
      <c r="FM7" s="5" t="s">
        <v>136</v>
      </c>
      <c r="FN7" s="6" t="s">
        <v>136</v>
      </c>
      <c r="FO7" s="4" t="s">
        <v>137</v>
      </c>
      <c r="FP7" s="5" t="s">
        <v>137</v>
      </c>
      <c r="FQ7" s="6" t="s">
        <v>137</v>
      </c>
      <c r="FR7" s="4" t="s">
        <v>138</v>
      </c>
      <c r="FS7" s="5" t="s">
        <v>138</v>
      </c>
      <c r="FT7" s="6" t="s">
        <v>138</v>
      </c>
      <c r="FU7" s="4" t="s">
        <v>139</v>
      </c>
      <c r="FV7" s="5" t="s">
        <v>139</v>
      </c>
      <c r="FW7" s="6" t="s">
        <v>139</v>
      </c>
      <c r="FX7" s="4" t="s">
        <v>140</v>
      </c>
      <c r="FY7" s="5" t="s">
        <v>140</v>
      </c>
      <c r="FZ7" s="6" t="s">
        <v>140</v>
      </c>
      <c r="GA7" s="4" t="s">
        <v>141</v>
      </c>
      <c r="GB7" s="5" t="s">
        <v>141</v>
      </c>
      <c r="GC7" s="6" t="s">
        <v>141</v>
      </c>
      <c r="GD7" s="4" t="s">
        <v>142</v>
      </c>
      <c r="GE7" s="5" t="s">
        <v>142</v>
      </c>
      <c r="GF7" s="6" t="s">
        <v>142</v>
      </c>
      <c r="GG7" s="4" t="s">
        <v>143</v>
      </c>
      <c r="GH7" s="5" t="s">
        <v>143</v>
      </c>
      <c r="GI7" s="6" t="s">
        <v>143</v>
      </c>
      <c r="GJ7" s="4" t="s">
        <v>144</v>
      </c>
      <c r="GK7" s="5" t="s">
        <v>144</v>
      </c>
      <c r="GL7" s="6" t="s">
        <v>144</v>
      </c>
      <c r="GM7" s="4" t="s">
        <v>145</v>
      </c>
      <c r="GN7" s="5" t="s">
        <v>145</v>
      </c>
      <c r="GO7" s="6" t="s">
        <v>145</v>
      </c>
      <c r="GP7" s="4" t="s">
        <v>146</v>
      </c>
      <c r="GQ7" s="5" t="s">
        <v>146</v>
      </c>
      <c r="GR7" s="6" t="s">
        <v>146</v>
      </c>
      <c r="GS7" s="4" t="s">
        <v>147</v>
      </c>
      <c r="GT7" s="5" t="s">
        <v>147</v>
      </c>
      <c r="GU7" s="6" t="s">
        <v>147</v>
      </c>
      <c r="GV7" s="4" t="s">
        <v>148</v>
      </c>
      <c r="GW7" s="5" t="s">
        <v>148</v>
      </c>
      <c r="GX7" s="6" t="s">
        <v>148</v>
      </c>
      <c r="GY7" s="4" t="s">
        <v>149</v>
      </c>
      <c r="GZ7" s="5" t="s">
        <v>149</v>
      </c>
      <c r="HA7" s="6" t="s">
        <v>149</v>
      </c>
      <c r="HB7" s="4" t="s">
        <v>150</v>
      </c>
      <c r="HC7" s="5" t="s">
        <v>150</v>
      </c>
      <c r="HD7" s="6" t="s">
        <v>150</v>
      </c>
      <c r="HE7" s="4" t="s">
        <v>151</v>
      </c>
      <c r="HF7" s="5" t="s">
        <v>151</v>
      </c>
      <c r="HG7" s="6" t="s">
        <v>151</v>
      </c>
      <c r="HH7" s="4" t="s">
        <v>152</v>
      </c>
      <c r="HI7" s="5" t="s">
        <v>152</v>
      </c>
      <c r="HJ7" s="6" t="s">
        <v>152</v>
      </c>
      <c r="HK7" s="4" t="s">
        <v>153</v>
      </c>
      <c r="HL7" s="5" t="s">
        <v>153</v>
      </c>
      <c r="HM7" s="6" t="s">
        <v>153</v>
      </c>
      <c r="HN7" s="4" t="s">
        <v>154</v>
      </c>
      <c r="HO7" s="5" t="s">
        <v>154</v>
      </c>
      <c r="HP7" s="6" t="s">
        <v>154</v>
      </c>
    </row>
    <row r="8" spans="1:224" x14ac:dyDescent="0.25">
      <c r="C8" s="29" t="s">
        <v>304</v>
      </c>
      <c r="D8" s="30" t="s">
        <v>305</v>
      </c>
      <c r="E8" s="31" t="s">
        <v>306</v>
      </c>
      <c r="F8" s="29" t="s">
        <v>304</v>
      </c>
      <c r="G8" s="30" t="s">
        <v>305</v>
      </c>
      <c r="H8" s="31" t="s">
        <v>306</v>
      </c>
      <c r="I8" s="29" t="s">
        <v>304</v>
      </c>
      <c r="J8" s="30" t="s">
        <v>305</v>
      </c>
      <c r="K8" s="31" t="s">
        <v>306</v>
      </c>
      <c r="L8" s="29" t="s">
        <v>304</v>
      </c>
      <c r="M8" s="30" t="s">
        <v>305</v>
      </c>
      <c r="N8" s="31" t="s">
        <v>306</v>
      </c>
      <c r="O8" s="29" t="s">
        <v>304</v>
      </c>
      <c r="P8" s="30" t="s">
        <v>305</v>
      </c>
      <c r="Q8" s="31" t="s">
        <v>306</v>
      </c>
      <c r="R8" s="29" t="s">
        <v>304</v>
      </c>
      <c r="S8" s="30" t="s">
        <v>305</v>
      </c>
      <c r="T8" s="31" t="s">
        <v>306</v>
      </c>
      <c r="U8" s="29" t="s">
        <v>304</v>
      </c>
      <c r="V8" s="30" t="s">
        <v>305</v>
      </c>
      <c r="W8" s="31" t="s">
        <v>306</v>
      </c>
      <c r="X8" s="29" t="s">
        <v>304</v>
      </c>
      <c r="Y8" s="30" t="s">
        <v>305</v>
      </c>
      <c r="Z8" s="31" t="s">
        <v>306</v>
      </c>
      <c r="AA8" s="29" t="s">
        <v>304</v>
      </c>
      <c r="AB8" s="30" t="s">
        <v>305</v>
      </c>
      <c r="AC8" s="31" t="s">
        <v>306</v>
      </c>
      <c r="AD8" s="29" t="s">
        <v>304</v>
      </c>
      <c r="AE8" s="30" t="s">
        <v>305</v>
      </c>
      <c r="AF8" s="31" t="s">
        <v>306</v>
      </c>
      <c r="AG8" s="29" t="s">
        <v>304</v>
      </c>
      <c r="AH8" s="30" t="s">
        <v>305</v>
      </c>
      <c r="AI8" s="31" t="s">
        <v>306</v>
      </c>
      <c r="AJ8" s="29" t="s">
        <v>304</v>
      </c>
      <c r="AK8" s="30" t="s">
        <v>305</v>
      </c>
      <c r="AL8" s="31" t="s">
        <v>306</v>
      </c>
      <c r="AM8" s="29" t="s">
        <v>304</v>
      </c>
      <c r="AN8" s="30" t="s">
        <v>305</v>
      </c>
      <c r="AO8" s="31" t="s">
        <v>306</v>
      </c>
      <c r="AP8" s="29" t="s">
        <v>304</v>
      </c>
      <c r="AQ8" s="30" t="s">
        <v>305</v>
      </c>
      <c r="AR8" s="31" t="s">
        <v>306</v>
      </c>
      <c r="AS8" s="29" t="s">
        <v>304</v>
      </c>
      <c r="AT8" s="30" t="s">
        <v>305</v>
      </c>
      <c r="AU8" s="31" t="s">
        <v>306</v>
      </c>
      <c r="AV8" s="29" t="s">
        <v>304</v>
      </c>
      <c r="AW8" s="30" t="s">
        <v>305</v>
      </c>
      <c r="AX8" s="31" t="s">
        <v>306</v>
      </c>
      <c r="AY8" s="29" t="s">
        <v>304</v>
      </c>
      <c r="AZ8" s="30" t="s">
        <v>305</v>
      </c>
      <c r="BA8" s="31" t="s">
        <v>306</v>
      </c>
      <c r="BB8" s="29" t="s">
        <v>304</v>
      </c>
      <c r="BC8" s="30" t="s">
        <v>305</v>
      </c>
      <c r="BD8" s="31" t="s">
        <v>306</v>
      </c>
      <c r="BE8" s="29" t="s">
        <v>304</v>
      </c>
      <c r="BF8" s="30" t="s">
        <v>305</v>
      </c>
      <c r="BG8" s="31" t="s">
        <v>306</v>
      </c>
      <c r="BH8" s="29" t="s">
        <v>304</v>
      </c>
      <c r="BI8" s="30" t="s">
        <v>305</v>
      </c>
      <c r="BJ8" s="31" t="s">
        <v>306</v>
      </c>
      <c r="BK8" s="29" t="s">
        <v>304</v>
      </c>
      <c r="BL8" s="30" t="s">
        <v>305</v>
      </c>
      <c r="BM8" s="31" t="s">
        <v>306</v>
      </c>
      <c r="BN8" s="29" t="s">
        <v>304</v>
      </c>
      <c r="BO8" s="30" t="s">
        <v>305</v>
      </c>
      <c r="BP8" s="31" t="s">
        <v>306</v>
      </c>
      <c r="BQ8" s="29" t="s">
        <v>304</v>
      </c>
      <c r="BR8" s="30" t="s">
        <v>305</v>
      </c>
      <c r="BS8" s="31" t="s">
        <v>306</v>
      </c>
      <c r="BT8" s="29" t="s">
        <v>304</v>
      </c>
      <c r="BU8" s="30" t="s">
        <v>305</v>
      </c>
      <c r="BV8" s="31" t="s">
        <v>306</v>
      </c>
      <c r="BW8" s="29" t="s">
        <v>304</v>
      </c>
      <c r="BX8" s="30" t="s">
        <v>305</v>
      </c>
      <c r="BY8" s="31" t="s">
        <v>306</v>
      </c>
      <c r="BZ8" s="29" t="s">
        <v>304</v>
      </c>
      <c r="CA8" s="30" t="s">
        <v>305</v>
      </c>
      <c r="CB8" s="31" t="s">
        <v>306</v>
      </c>
      <c r="CC8" s="29" t="s">
        <v>304</v>
      </c>
      <c r="CD8" s="30" t="s">
        <v>305</v>
      </c>
      <c r="CE8" s="31" t="s">
        <v>306</v>
      </c>
      <c r="CF8" s="29" t="s">
        <v>304</v>
      </c>
      <c r="CG8" s="30" t="s">
        <v>305</v>
      </c>
      <c r="CH8" s="31" t="s">
        <v>306</v>
      </c>
      <c r="CI8" s="29" t="s">
        <v>304</v>
      </c>
      <c r="CJ8" s="30" t="s">
        <v>305</v>
      </c>
      <c r="CK8" s="31" t="s">
        <v>306</v>
      </c>
      <c r="CL8" s="29" t="s">
        <v>304</v>
      </c>
      <c r="CM8" s="30" t="s">
        <v>305</v>
      </c>
      <c r="CN8" s="31" t="s">
        <v>306</v>
      </c>
      <c r="CO8" s="29" t="s">
        <v>304</v>
      </c>
      <c r="CP8" s="30" t="s">
        <v>305</v>
      </c>
      <c r="CQ8" s="31" t="s">
        <v>306</v>
      </c>
      <c r="CR8" s="29" t="s">
        <v>304</v>
      </c>
      <c r="CS8" s="30" t="s">
        <v>305</v>
      </c>
      <c r="CT8" s="31" t="s">
        <v>306</v>
      </c>
      <c r="CU8" s="29" t="s">
        <v>304</v>
      </c>
      <c r="CV8" s="30" t="s">
        <v>305</v>
      </c>
      <c r="CW8" s="31" t="s">
        <v>306</v>
      </c>
      <c r="CX8" s="29" t="s">
        <v>304</v>
      </c>
      <c r="CY8" s="30" t="s">
        <v>305</v>
      </c>
      <c r="CZ8" s="31" t="s">
        <v>306</v>
      </c>
      <c r="DA8" s="29" t="s">
        <v>304</v>
      </c>
      <c r="DB8" s="30" t="s">
        <v>305</v>
      </c>
      <c r="DC8" s="31" t="s">
        <v>306</v>
      </c>
      <c r="DD8" s="29" t="s">
        <v>304</v>
      </c>
      <c r="DE8" s="30" t="s">
        <v>305</v>
      </c>
      <c r="DF8" s="31" t="s">
        <v>306</v>
      </c>
      <c r="DG8" s="29" t="s">
        <v>304</v>
      </c>
      <c r="DH8" s="30" t="s">
        <v>305</v>
      </c>
      <c r="DI8" s="31" t="s">
        <v>306</v>
      </c>
      <c r="DJ8" s="29" t="s">
        <v>304</v>
      </c>
      <c r="DK8" s="30" t="s">
        <v>305</v>
      </c>
      <c r="DL8" s="31" t="s">
        <v>306</v>
      </c>
      <c r="DM8" s="29" t="s">
        <v>304</v>
      </c>
      <c r="DN8" s="30" t="s">
        <v>305</v>
      </c>
      <c r="DO8" s="31" t="s">
        <v>306</v>
      </c>
      <c r="DP8" s="29" t="s">
        <v>304</v>
      </c>
      <c r="DQ8" s="30" t="s">
        <v>305</v>
      </c>
      <c r="DR8" s="31" t="s">
        <v>306</v>
      </c>
      <c r="DS8" s="29" t="s">
        <v>304</v>
      </c>
      <c r="DT8" s="30" t="s">
        <v>305</v>
      </c>
      <c r="DU8" s="31" t="s">
        <v>306</v>
      </c>
      <c r="DV8" s="29" t="s">
        <v>304</v>
      </c>
      <c r="DW8" s="30" t="s">
        <v>305</v>
      </c>
      <c r="DX8" s="31" t="s">
        <v>306</v>
      </c>
      <c r="DY8" s="29" t="s">
        <v>304</v>
      </c>
      <c r="DZ8" s="30" t="s">
        <v>305</v>
      </c>
      <c r="EA8" s="31" t="s">
        <v>306</v>
      </c>
      <c r="EB8" s="29" t="s">
        <v>304</v>
      </c>
      <c r="EC8" s="30" t="s">
        <v>305</v>
      </c>
      <c r="ED8" s="31" t="s">
        <v>306</v>
      </c>
      <c r="EE8" s="29" t="s">
        <v>304</v>
      </c>
      <c r="EF8" s="30" t="s">
        <v>305</v>
      </c>
      <c r="EG8" s="31" t="s">
        <v>306</v>
      </c>
      <c r="EH8" s="29" t="s">
        <v>304</v>
      </c>
      <c r="EI8" s="30" t="s">
        <v>305</v>
      </c>
      <c r="EJ8" s="31" t="s">
        <v>306</v>
      </c>
      <c r="EK8" s="29" t="s">
        <v>304</v>
      </c>
      <c r="EL8" s="30" t="s">
        <v>305</v>
      </c>
      <c r="EM8" s="31" t="s">
        <v>306</v>
      </c>
      <c r="EN8" s="29" t="s">
        <v>304</v>
      </c>
      <c r="EO8" s="30" t="s">
        <v>305</v>
      </c>
      <c r="EP8" s="31" t="s">
        <v>306</v>
      </c>
      <c r="EQ8" s="29" t="s">
        <v>304</v>
      </c>
      <c r="ER8" s="30" t="s">
        <v>305</v>
      </c>
      <c r="ES8" s="31" t="s">
        <v>306</v>
      </c>
      <c r="ET8" s="29" t="s">
        <v>304</v>
      </c>
      <c r="EU8" s="30" t="s">
        <v>305</v>
      </c>
      <c r="EV8" s="31" t="s">
        <v>306</v>
      </c>
      <c r="EW8" s="29" t="s">
        <v>304</v>
      </c>
      <c r="EX8" s="30" t="s">
        <v>305</v>
      </c>
      <c r="EY8" s="31" t="s">
        <v>306</v>
      </c>
      <c r="EZ8" s="29" t="s">
        <v>304</v>
      </c>
      <c r="FA8" s="30" t="s">
        <v>305</v>
      </c>
      <c r="FB8" s="31" t="s">
        <v>306</v>
      </c>
      <c r="FC8" s="29" t="s">
        <v>304</v>
      </c>
      <c r="FD8" s="30" t="s">
        <v>305</v>
      </c>
      <c r="FE8" s="31" t="s">
        <v>306</v>
      </c>
      <c r="FF8" s="29" t="s">
        <v>304</v>
      </c>
      <c r="FG8" s="30" t="s">
        <v>305</v>
      </c>
      <c r="FH8" s="31" t="s">
        <v>306</v>
      </c>
      <c r="FI8" s="29" t="s">
        <v>304</v>
      </c>
      <c r="FJ8" s="30" t="s">
        <v>305</v>
      </c>
      <c r="FK8" s="31" t="s">
        <v>306</v>
      </c>
      <c r="FL8" s="29" t="s">
        <v>304</v>
      </c>
      <c r="FM8" s="30" t="s">
        <v>305</v>
      </c>
      <c r="FN8" s="31" t="s">
        <v>306</v>
      </c>
      <c r="FO8" s="29" t="s">
        <v>304</v>
      </c>
      <c r="FP8" s="30" t="s">
        <v>305</v>
      </c>
      <c r="FQ8" s="31" t="s">
        <v>306</v>
      </c>
      <c r="FR8" s="29" t="s">
        <v>304</v>
      </c>
      <c r="FS8" s="30" t="s">
        <v>305</v>
      </c>
      <c r="FT8" s="31" t="s">
        <v>306</v>
      </c>
      <c r="FU8" s="29" t="s">
        <v>304</v>
      </c>
      <c r="FV8" s="30" t="s">
        <v>305</v>
      </c>
      <c r="FW8" s="31" t="s">
        <v>306</v>
      </c>
      <c r="FX8" s="29" t="s">
        <v>304</v>
      </c>
      <c r="FY8" s="30" t="s">
        <v>305</v>
      </c>
      <c r="FZ8" s="31" t="s">
        <v>306</v>
      </c>
      <c r="GA8" s="29" t="s">
        <v>304</v>
      </c>
      <c r="GB8" s="30" t="s">
        <v>305</v>
      </c>
      <c r="GC8" s="31" t="s">
        <v>306</v>
      </c>
      <c r="GD8" s="29" t="s">
        <v>304</v>
      </c>
      <c r="GE8" s="30" t="s">
        <v>305</v>
      </c>
      <c r="GF8" s="31" t="s">
        <v>306</v>
      </c>
      <c r="GG8" s="29" t="s">
        <v>304</v>
      </c>
      <c r="GH8" s="30" t="s">
        <v>305</v>
      </c>
      <c r="GI8" s="31" t="s">
        <v>306</v>
      </c>
      <c r="GJ8" s="29" t="s">
        <v>304</v>
      </c>
      <c r="GK8" s="30" t="s">
        <v>305</v>
      </c>
      <c r="GL8" s="31" t="s">
        <v>306</v>
      </c>
      <c r="GM8" s="29" t="s">
        <v>304</v>
      </c>
      <c r="GN8" s="30" t="s">
        <v>305</v>
      </c>
      <c r="GO8" s="31" t="s">
        <v>306</v>
      </c>
      <c r="GP8" s="29" t="s">
        <v>304</v>
      </c>
      <c r="GQ8" s="30" t="s">
        <v>305</v>
      </c>
      <c r="GR8" s="31" t="s">
        <v>306</v>
      </c>
      <c r="GS8" s="29" t="s">
        <v>304</v>
      </c>
      <c r="GT8" s="30" t="s">
        <v>305</v>
      </c>
      <c r="GU8" s="31" t="s">
        <v>306</v>
      </c>
      <c r="GV8" s="29" t="s">
        <v>304</v>
      </c>
      <c r="GW8" s="30" t="s">
        <v>305</v>
      </c>
      <c r="GX8" s="31" t="s">
        <v>306</v>
      </c>
      <c r="GY8" s="29" t="s">
        <v>304</v>
      </c>
      <c r="GZ8" s="30" t="s">
        <v>305</v>
      </c>
      <c r="HA8" s="31" t="s">
        <v>306</v>
      </c>
      <c r="HB8" s="29" t="s">
        <v>304</v>
      </c>
      <c r="HC8" s="30" t="s">
        <v>305</v>
      </c>
      <c r="HD8" s="31" t="s">
        <v>306</v>
      </c>
      <c r="HE8" s="29" t="s">
        <v>304</v>
      </c>
      <c r="HF8" s="30" t="s">
        <v>305</v>
      </c>
      <c r="HG8" s="31" t="s">
        <v>306</v>
      </c>
      <c r="HH8" s="29" t="s">
        <v>304</v>
      </c>
      <c r="HI8" s="30" t="s">
        <v>305</v>
      </c>
      <c r="HJ8" s="31" t="s">
        <v>306</v>
      </c>
      <c r="HK8" s="29" t="s">
        <v>304</v>
      </c>
      <c r="HL8" s="30" t="s">
        <v>305</v>
      </c>
      <c r="HM8" s="31" t="s">
        <v>306</v>
      </c>
      <c r="HN8" s="29" t="s">
        <v>304</v>
      </c>
      <c r="HO8" s="30" t="s">
        <v>305</v>
      </c>
      <c r="HP8" s="31" t="s">
        <v>306</v>
      </c>
    </row>
    <row r="9" spans="1:224" s="2" customFormat="1" x14ac:dyDescent="0.25">
      <c r="A9" s="22" t="s">
        <v>155</v>
      </c>
      <c r="B9" s="25" t="s">
        <v>156</v>
      </c>
      <c r="C9" s="16">
        <v>-1473358323.6500101</v>
      </c>
      <c r="D9" s="17">
        <v>-1534708211.36638</v>
      </c>
      <c r="E9" s="18">
        <f>-1940804219-20000</f>
        <v>-1940824219</v>
      </c>
      <c r="F9" s="16">
        <v>-97568577.810000002</v>
      </c>
      <c r="G9" s="17">
        <v>-94149149.198779494</v>
      </c>
      <c r="H9" s="18">
        <v>-122100000</v>
      </c>
      <c r="I9" s="16">
        <v>-57693893.399999999</v>
      </c>
      <c r="J9" s="17">
        <v>-49334255.655235298</v>
      </c>
      <c r="K9" s="18">
        <v>-58125000.000000097</v>
      </c>
      <c r="L9" s="16">
        <v>-87716334.430000007</v>
      </c>
      <c r="M9" s="17">
        <v>-80690634.202476501</v>
      </c>
      <c r="N9" s="18">
        <v>-85155000</v>
      </c>
      <c r="O9" s="16">
        <v>-8828051.25</v>
      </c>
      <c r="P9" s="17">
        <v>-8589790.5132034793</v>
      </c>
      <c r="Q9" s="18">
        <v>-10214245</v>
      </c>
      <c r="R9" s="16">
        <v>-3795919.92</v>
      </c>
      <c r="S9" s="17">
        <v>-3873652.6769194701</v>
      </c>
      <c r="T9" s="18">
        <v>-4090000</v>
      </c>
      <c r="U9" s="16">
        <v>-6944200.4000000004</v>
      </c>
      <c r="V9" s="17">
        <v>-6899792.8077227399</v>
      </c>
      <c r="W9" s="18">
        <v>-7740000.0000000102</v>
      </c>
      <c r="X9" s="16">
        <v>-22539578.359999999</v>
      </c>
      <c r="Y9" s="17">
        <v>-24276637.813591599</v>
      </c>
      <c r="Z9" s="18">
        <v>-24630000</v>
      </c>
      <c r="AA9" s="16">
        <v>-9233977.2599999998</v>
      </c>
      <c r="AB9" s="17">
        <v>-9890009.6278133206</v>
      </c>
      <c r="AC9" s="18">
        <v>-10138700</v>
      </c>
      <c r="AD9" s="16">
        <v>-6748359.1900000004</v>
      </c>
      <c r="AE9" s="17">
        <v>-7030675.9212918198</v>
      </c>
      <c r="AF9" s="18">
        <v>-6033000</v>
      </c>
      <c r="AG9" s="16">
        <v>-37655936.090000004</v>
      </c>
      <c r="AH9" s="17">
        <v>-41505594.200802602</v>
      </c>
      <c r="AI9" s="18">
        <v>-63354678</v>
      </c>
      <c r="AJ9" s="16">
        <v>-3576409.23</v>
      </c>
      <c r="AK9" s="17">
        <v>-3852706.2827872499</v>
      </c>
      <c r="AL9" s="18">
        <v>-3800000</v>
      </c>
      <c r="AM9" s="16">
        <v>-3917458.51</v>
      </c>
      <c r="AN9" s="17">
        <v>-4204652.6130645396</v>
      </c>
      <c r="AO9" s="18">
        <v>-4755000</v>
      </c>
      <c r="AP9" s="16">
        <v>-1254016.33</v>
      </c>
      <c r="AQ9" s="17">
        <v>-1409998.6741458001</v>
      </c>
      <c r="AR9" s="18">
        <v>-1430000</v>
      </c>
      <c r="AS9" s="16">
        <v>-43130296.409999996</v>
      </c>
      <c r="AT9" s="17">
        <v>-48006830.171444498</v>
      </c>
      <c r="AU9" s="18">
        <f>-50510000-20000</f>
        <v>-50530000</v>
      </c>
      <c r="AV9" s="16">
        <v>-7901054.3799999999</v>
      </c>
      <c r="AW9" s="17">
        <v>-10900335.365674499</v>
      </c>
      <c r="AX9" s="18">
        <v>-17120000</v>
      </c>
      <c r="AY9" s="16">
        <v>-72634121.680000007</v>
      </c>
      <c r="AZ9" s="17">
        <v>-110754570.80327301</v>
      </c>
      <c r="BA9" s="18">
        <v>-219392521</v>
      </c>
      <c r="BB9" s="16">
        <v>-265110806.61000001</v>
      </c>
      <c r="BC9" s="17">
        <v>-264699920.89935499</v>
      </c>
      <c r="BD9" s="18">
        <v>-324315000</v>
      </c>
      <c r="BE9" s="16">
        <v>-3311779.12</v>
      </c>
      <c r="BF9" s="17">
        <v>-3322999.9999999502</v>
      </c>
      <c r="BG9" s="18">
        <v>-3334000</v>
      </c>
      <c r="BH9" s="16">
        <v>-551039.17000000004</v>
      </c>
      <c r="BI9" s="17">
        <v>-1114992.7264241499</v>
      </c>
      <c r="BJ9" s="18">
        <v>-700000</v>
      </c>
      <c r="BK9" s="16">
        <v>-31406118.239999998</v>
      </c>
      <c r="BL9" s="17">
        <v>-35470395.372166097</v>
      </c>
      <c r="BM9" s="18">
        <v>-41554000</v>
      </c>
      <c r="BN9" s="16">
        <v>-296443805.63999999</v>
      </c>
      <c r="BO9" s="17">
        <v>-344479736.92983001</v>
      </c>
      <c r="BP9" s="18">
        <v>-368000000</v>
      </c>
      <c r="BQ9" s="16">
        <v>-31550652.359999999</v>
      </c>
      <c r="BR9" s="17">
        <v>-31505000</v>
      </c>
      <c r="BS9" s="18">
        <v>-38200000</v>
      </c>
      <c r="BT9" s="16">
        <v>-298643.05</v>
      </c>
      <c r="BU9" s="17">
        <v>-379999.99999998702</v>
      </c>
      <c r="BV9" s="18">
        <v>-383000</v>
      </c>
      <c r="BW9" s="16">
        <v>-1424770.13</v>
      </c>
      <c r="BX9" s="17">
        <v>-1374999.9999999299</v>
      </c>
      <c r="BY9" s="18">
        <v>-1550000</v>
      </c>
      <c r="BZ9" s="16">
        <v>-499949.8</v>
      </c>
      <c r="CA9" s="17">
        <v>-635465.86288062599</v>
      </c>
      <c r="CB9" s="18">
        <v>-660000</v>
      </c>
      <c r="CC9" s="16">
        <v>-21633.91</v>
      </c>
      <c r="CD9" s="17">
        <v>-16999.999999993001</v>
      </c>
      <c r="CE9" s="18">
        <v>-20500</v>
      </c>
      <c r="CF9" s="16">
        <v>-33463.67</v>
      </c>
      <c r="CG9" s="17">
        <v>-39999.999999991996</v>
      </c>
      <c r="CH9" s="18">
        <v>-40000</v>
      </c>
      <c r="CI9" s="16">
        <v>-179839.68</v>
      </c>
      <c r="CJ9" s="17">
        <v>-685249.39898897999</v>
      </c>
      <c r="CK9" s="18">
        <v>-710000</v>
      </c>
      <c r="CL9" s="16">
        <v>-1974187.56</v>
      </c>
      <c r="CM9" s="17">
        <v>-2085340.9126562099</v>
      </c>
      <c r="CN9" s="18">
        <v>-1939000</v>
      </c>
      <c r="CO9" s="16">
        <v>-336467530.56</v>
      </c>
      <c r="CP9" s="17">
        <v>-354629846.45011002</v>
      </c>
      <c r="CQ9" s="18">
        <v>-437835000</v>
      </c>
      <c r="CR9" s="16">
        <v>-9920.4599999999991</v>
      </c>
      <c r="CS9" s="17">
        <v>-14999.999999993999</v>
      </c>
      <c r="CT9" s="18">
        <v>-10000</v>
      </c>
      <c r="CU9" s="16">
        <v>-7290948.29</v>
      </c>
      <c r="CV9" s="17">
        <v>-7083471.2530006804</v>
      </c>
      <c r="CW9" s="18">
        <v>-7617000</v>
      </c>
      <c r="CX9" s="16">
        <v>-129407</v>
      </c>
      <c r="CY9" s="17">
        <v>-119999.99999999</v>
      </c>
      <c r="CZ9" s="18">
        <v>-100000</v>
      </c>
      <c r="DA9" s="16">
        <v>0</v>
      </c>
      <c r="DB9" s="17">
        <v>0</v>
      </c>
      <c r="DC9" s="18">
        <v>0</v>
      </c>
      <c r="DD9" s="16">
        <v>-172026.81</v>
      </c>
      <c r="DE9" s="17">
        <v>-179999.999999994</v>
      </c>
      <c r="DF9" s="18">
        <v>-180000</v>
      </c>
      <c r="DG9" s="16">
        <v>-9772.33</v>
      </c>
      <c r="DH9" s="17">
        <v>-19999.999999995001</v>
      </c>
      <c r="DI9" s="18">
        <v>-12000</v>
      </c>
      <c r="DJ9" s="16">
        <v>-964.04</v>
      </c>
      <c r="DK9" s="17">
        <v>-999.99999999900001</v>
      </c>
      <c r="DL9" s="18">
        <v>-1000</v>
      </c>
      <c r="DM9" s="16">
        <v>-33180.980000000003</v>
      </c>
      <c r="DN9" s="17">
        <v>-39999.999999991</v>
      </c>
      <c r="DO9" s="18">
        <v>-34300</v>
      </c>
      <c r="DP9" s="16">
        <v>-21815.19</v>
      </c>
      <c r="DQ9" s="17">
        <v>-21999.999999992</v>
      </c>
      <c r="DR9" s="18">
        <v>-22000</v>
      </c>
      <c r="DS9" s="16">
        <v>0</v>
      </c>
      <c r="DT9" s="17">
        <v>0</v>
      </c>
      <c r="DU9" s="18">
        <v>0</v>
      </c>
      <c r="DV9" s="16">
        <v>-29167.57</v>
      </c>
      <c r="DW9" s="17">
        <v>-29999.999999992</v>
      </c>
      <c r="DX9" s="18">
        <v>-125000</v>
      </c>
      <c r="DY9" s="16">
        <v>-46.1</v>
      </c>
      <c r="DZ9" s="17">
        <v>0</v>
      </c>
      <c r="EA9" s="18">
        <v>0</v>
      </c>
      <c r="EB9" s="16">
        <v>0</v>
      </c>
      <c r="EC9" s="17">
        <v>0</v>
      </c>
      <c r="ED9" s="18">
        <v>0</v>
      </c>
      <c r="EE9" s="16">
        <v>-938873.99</v>
      </c>
      <c r="EF9" s="17">
        <v>-949999.99999997497</v>
      </c>
      <c r="EG9" s="18">
        <v>-1040000</v>
      </c>
      <c r="EH9" s="16">
        <v>-72835.490000000005</v>
      </c>
      <c r="EI9" s="17">
        <v>-79999.999999984997</v>
      </c>
      <c r="EJ9" s="18">
        <v>-50834</v>
      </c>
      <c r="EK9" s="16">
        <v>-10937515.859999999</v>
      </c>
      <c r="EL9" s="17">
        <v>-10814999.999999899</v>
      </c>
      <c r="EM9" s="18">
        <v>-11442000</v>
      </c>
      <c r="EN9" s="16">
        <v>0</v>
      </c>
      <c r="EO9" s="17">
        <v>0</v>
      </c>
      <c r="EP9" s="18">
        <v>0</v>
      </c>
      <c r="EQ9" s="16">
        <v>0</v>
      </c>
      <c r="ER9" s="17">
        <v>0</v>
      </c>
      <c r="ES9" s="18">
        <v>0</v>
      </c>
      <c r="ET9" s="16">
        <v>-701.21</v>
      </c>
      <c r="EU9" s="17">
        <v>0</v>
      </c>
      <c r="EV9" s="18">
        <v>0</v>
      </c>
      <c r="EW9" s="16">
        <v>-37228.910000000003</v>
      </c>
      <c r="EX9" s="17">
        <v>-69999.999999994994</v>
      </c>
      <c r="EY9" s="18">
        <v>-50000</v>
      </c>
      <c r="EZ9" s="16">
        <v>0</v>
      </c>
      <c r="FA9" s="17">
        <v>0</v>
      </c>
      <c r="FB9" s="18">
        <v>0</v>
      </c>
      <c r="FC9" s="16">
        <v>-10967659.52</v>
      </c>
      <c r="FD9" s="17">
        <v>-10249998.980112201</v>
      </c>
      <c r="FE9" s="18">
        <v>-10000000</v>
      </c>
      <c r="FF9" s="16">
        <v>-2213296.36</v>
      </c>
      <c r="FG9" s="17">
        <v>-2267543.4796344298</v>
      </c>
      <c r="FH9" s="18">
        <v>-2291441</v>
      </c>
      <c r="FI9" s="16">
        <v>0</v>
      </c>
      <c r="FJ9" s="17">
        <v>0</v>
      </c>
      <c r="FK9" s="18">
        <v>0</v>
      </c>
      <c r="FL9" s="16">
        <v>0</v>
      </c>
      <c r="FM9" s="17">
        <v>0</v>
      </c>
      <c r="FN9" s="18">
        <v>0</v>
      </c>
      <c r="FO9" s="16">
        <v>-10648.76</v>
      </c>
      <c r="FP9" s="17">
        <v>0</v>
      </c>
      <c r="FQ9" s="18">
        <v>0</v>
      </c>
      <c r="FR9" s="16">
        <v>0</v>
      </c>
      <c r="FS9" s="17">
        <v>0</v>
      </c>
      <c r="FT9" s="18">
        <v>0</v>
      </c>
      <c r="FU9" s="16">
        <v>0</v>
      </c>
      <c r="FV9" s="17">
        <v>0</v>
      </c>
      <c r="FW9" s="18">
        <v>0</v>
      </c>
      <c r="FX9" s="16">
        <v>-286.57</v>
      </c>
      <c r="FY9" s="17">
        <v>43046348.258706503</v>
      </c>
      <c r="FZ9" s="18">
        <v>0</v>
      </c>
      <c r="GA9" s="16">
        <v>0</v>
      </c>
      <c r="GB9" s="17">
        <v>0</v>
      </c>
      <c r="GC9" s="18">
        <v>0</v>
      </c>
      <c r="GD9" s="16">
        <v>0</v>
      </c>
      <c r="GE9" s="17">
        <v>0</v>
      </c>
      <c r="GF9" s="18">
        <v>0</v>
      </c>
      <c r="GG9" s="16">
        <v>0</v>
      </c>
      <c r="GH9" s="17">
        <v>0</v>
      </c>
      <c r="GI9" s="18">
        <v>0</v>
      </c>
      <c r="GJ9" s="16">
        <v>0</v>
      </c>
      <c r="GK9" s="17">
        <v>0</v>
      </c>
      <c r="GL9" s="18">
        <v>0</v>
      </c>
      <c r="GM9" s="16">
        <v>0</v>
      </c>
      <c r="GN9" s="17">
        <v>0</v>
      </c>
      <c r="GO9" s="18">
        <v>0</v>
      </c>
      <c r="GP9" s="16">
        <v>0</v>
      </c>
      <c r="GQ9" s="17">
        <v>0</v>
      </c>
      <c r="GR9" s="18">
        <v>0</v>
      </c>
      <c r="GS9" s="16">
        <v>-290.60000000000002</v>
      </c>
      <c r="GT9" s="17">
        <v>-310.83170244600001</v>
      </c>
      <c r="GU9" s="18">
        <v>0</v>
      </c>
      <c r="GV9" s="16">
        <v>0</v>
      </c>
      <c r="GW9" s="17">
        <v>0</v>
      </c>
      <c r="GX9" s="18">
        <v>0</v>
      </c>
      <c r="GY9" s="16">
        <v>0</v>
      </c>
      <c r="GZ9" s="17">
        <v>0</v>
      </c>
      <c r="HA9" s="18">
        <v>0</v>
      </c>
      <c r="HB9" s="16">
        <v>0</v>
      </c>
      <c r="HC9" s="17">
        <v>0</v>
      </c>
      <c r="HD9" s="18">
        <v>0</v>
      </c>
      <c r="HE9" s="16">
        <v>0</v>
      </c>
      <c r="HF9" s="17">
        <v>0</v>
      </c>
      <c r="HG9" s="18">
        <v>0</v>
      </c>
      <c r="HH9" s="16">
        <v>-69333.460000000006</v>
      </c>
      <c r="HI9" s="17">
        <v>0</v>
      </c>
      <c r="HJ9" s="18">
        <v>0</v>
      </c>
      <c r="HK9" s="16">
        <v>0</v>
      </c>
      <c r="HL9" s="17">
        <v>0</v>
      </c>
      <c r="HM9" s="18">
        <v>0</v>
      </c>
      <c r="HN9" s="16">
        <v>0</v>
      </c>
      <c r="HO9" s="17">
        <v>0</v>
      </c>
      <c r="HP9" s="18">
        <v>0</v>
      </c>
    </row>
    <row r="10" spans="1:224" x14ac:dyDescent="0.25">
      <c r="A10" s="23" t="s">
        <v>157</v>
      </c>
      <c r="B10" s="26" t="s">
        <v>158</v>
      </c>
      <c r="C10" s="7">
        <v>-176496778.88999999</v>
      </c>
      <c r="D10" s="8">
        <v>-184417899.35987401</v>
      </c>
      <c r="E10" s="9">
        <v>-183744279</v>
      </c>
      <c r="F10" s="7">
        <v>-4156415.13</v>
      </c>
      <c r="G10" s="8">
        <v>-4249585.3856236096</v>
      </c>
      <c r="H10" s="9">
        <v>-4500000</v>
      </c>
      <c r="I10" s="7">
        <v>-5599132</v>
      </c>
      <c r="J10" s="8">
        <v>-6132214.0571316099</v>
      </c>
      <c r="K10" s="9">
        <v>-5000000</v>
      </c>
      <c r="L10" s="7">
        <v>-19383246.600000001</v>
      </c>
      <c r="M10" s="8">
        <v>-17239434.851839099</v>
      </c>
      <c r="N10" s="9">
        <v>-16420000</v>
      </c>
      <c r="O10" s="7">
        <v>-3762744.23</v>
      </c>
      <c r="P10" s="8">
        <v>-3759999.99999996</v>
      </c>
      <c r="Q10" s="9">
        <v>-3950000</v>
      </c>
      <c r="R10" s="7">
        <v>-2887033.07</v>
      </c>
      <c r="S10" s="8">
        <v>-3023652.8808970801</v>
      </c>
      <c r="T10" s="9">
        <v>-3230000</v>
      </c>
      <c r="U10" s="7">
        <v>-3980325.76</v>
      </c>
      <c r="V10" s="8">
        <v>-3919999.9999999902</v>
      </c>
      <c r="W10" s="9">
        <v>-4200000</v>
      </c>
      <c r="X10" s="7">
        <v>-14134291.939999999</v>
      </c>
      <c r="Y10" s="8">
        <v>-15716637.813591599</v>
      </c>
      <c r="Z10" s="9">
        <v>-15500000</v>
      </c>
      <c r="AA10" s="7">
        <v>-6796595.6299999999</v>
      </c>
      <c r="AB10" s="8">
        <v>-7269999.99999996</v>
      </c>
      <c r="AC10" s="9">
        <v>-7500000</v>
      </c>
      <c r="AD10" s="7">
        <v>-2020902.1</v>
      </c>
      <c r="AE10" s="8">
        <v>-2100478.4741958398</v>
      </c>
      <c r="AF10" s="9">
        <v>-2000000</v>
      </c>
      <c r="AG10" s="7">
        <v>-5902897.4400000004</v>
      </c>
      <c r="AH10" s="8">
        <v>-6520183.8962179404</v>
      </c>
      <c r="AI10" s="9">
        <v>-8620000</v>
      </c>
      <c r="AJ10" s="7">
        <v>-2255413.73</v>
      </c>
      <c r="AK10" s="8">
        <v>-2487706.28278731</v>
      </c>
      <c r="AL10" s="9">
        <v>-2450000</v>
      </c>
      <c r="AM10" s="7">
        <v>-3048713.8</v>
      </c>
      <c r="AN10" s="8">
        <v>-3329652.6130645801</v>
      </c>
      <c r="AO10" s="9">
        <v>-4000000</v>
      </c>
      <c r="AP10" s="7">
        <v>-826911.2</v>
      </c>
      <c r="AQ10" s="8">
        <v>-899999.99999998498</v>
      </c>
      <c r="AR10" s="9">
        <v>-900000</v>
      </c>
      <c r="AS10" s="7">
        <v>-898413.63</v>
      </c>
      <c r="AT10" s="8">
        <v>-949999.99999998196</v>
      </c>
      <c r="AU10" s="9">
        <v>-1000000</v>
      </c>
      <c r="AV10" s="7">
        <v>-63313.96</v>
      </c>
      <c r="AW10" s="8">
        <v>-100120.93292291</v>
      </c>
      <c r="AX10" s="9">
        <v>-120000</v>
      </c>
      <c r="AY10" s="7">
        <v>-6479317.9800000004</v>
      </c>
      <c r="AZ10" s="8">
        <v>-6369999.9999999702</v>
      </c>
      <c r="BA10" s="9">
        <v>-6000000</v>
      </c>
      <c r="BB10" s="7">
        <v>-3994475.61</v>
      </c>
      <c r="BC10" s="8">
        <v>-3799921.5112873502</v>
      </c>
      <c r="BD10" s="9">
        <v>-4000000</v>
      </c>
      <c r="BE10" s="7">
        <v>-3293041.88</v>
      </c>
      <c r="BF10" s="8">
        <v>-3304999.9999999702</v>
      </c>
      <c r="BG10" s="9">
        <v>-3305000</v>
      </c>
      <c r="BH10" s="7">
        <v>-550009.92000000004</v>
      </c>
      <c r="BI10" s="8">
        <v>-1113992.7264241499</v>
      </c>
      <c r="BJ10" s="9">
        <v>-700000</v>
      </c>
      <c r="BK10" s="7">
        <v>-840105</v>
      </c>
      <c r="BL10" s="8">
        <v>-819999.99999998999</v>
      </c>
      <c r="BM10" s="9">
        <v>-990000</v>
      </c>
      <c r="BN10" s="7">
        <v>-35649388.859999999</v>
      </c>
      <c r="BO10" s="8">
        <v>-35000054.457473896</v>
      </c>
      <c r="BP10" s="9">
        <v>-38000000</v>
      </c>
      <c r="BQ10" s="7">
        <v>-89326.05</v>
      </c>
      <c r="BR10" s="8">
        <v>-99999.999999983003</v>
      </c>
      <c r="BS10" s="9">
        <v>-95000</v>
      </c>
      <c r="BT10" s="7">
        <v>-205343.96</v>
      </c>
      <c r="BU10" s="8">
        <v>-267999.999999994</v>
      </c>
      <c r="BV10" s="9">
        <v>-270000</v>
      </c>
      <c r="BW10" s="7">
        <v>-766085.23</v>
      </c>
      <c r="BX10" s="8">
        <v>-769999.99999996996</v>
      </c>
      <c r="BY10" s="9">
        <v>-870000</v>
      </c>
      <c r="BZ10" s="7">
        <v>-472396.79999999999</v>
      </c>
      <c r="CA10" s="8">
        <v>-570277.77911299304</v>
      </c>
      <c r="CB10" s="9">
        <v>-590000</v>
      </c>
      <c r="CC10" s="7">
        <v>-12799.41</v>
      </c>
      <c r="CD10" s="8">
        <v>-9999.9999999930005</v>
      </c>
      <c r="CE10" s="9">
        <v>-7000</v>
      </c>
      <c r="CF10" s="7">
        <v>-33463.67</v>
      </c>
      <c r="CG10" s="8">
        <v>-39999.999999991996</v>
      </c>
      <c r="CH10" s="9">
        <v>-40000</v>
      </c>
      <c r="CI10" s="7">
        <v>-150534.98000000001</v>
      </c>
      <c r="CJ10" s="8">
        <v>-155249.39898898901</v>
      </c>
      <c r="CK10" s="9">
        <v>-180000</v>
      </c>
      <c r="CL10" s="7">
        <v>-1084916.74</v>
      </c>
      <c r="CM10" s="8">
        <v>-1150340.9126562399</v>
      </c>
      <c r="CN10" s="9">
        <v>-1084000</v>
      </c>
      <c r="CO10" s="7">
        <v>-31557447.559999999</v>
      </c>
      <c r="CP10" s="8">
        <v>-31000207.7409885</v>
      </c>
      <c r="CQ10" s="9">
        <v>-32000000</v>
      </c>
      <c r="CR10" s="7">
        <v>-9920.4599999999991</v>
      </c>
      <c r="CS10" s="8">
        <v>-14999.999999993999</v>
      </c>
      <c r="CT10" s="9">
        <v>-10000</v>
      </c>
      <c r="CU10" s="7">
        <v>-352429.63</v>
      </c>
      <c r="CV10" s="8">
        <v>-349999.999999994</v>
      </c>
      <c r="CW10" s="9">
        <v>-330000</v>
      </c>
      <c r="CX10" s="7">
        <v>-90651.520000000004</v>
      </c>
      <c r="CY10" s="8">
        <v>-89999.999999990003</v>
      </c>
      <c r="CZ10" s="9">
        <v>-100000</v>
      </c>
      <c r="DA10" s="7">
        <v>0</v>
      </c>
      <c r="DB10" s="8">
        <v>0</v>
      </c>
      <c r="DC10" s="9">
        <v>0</v>
      </c>
      <c r="DD10" s="7">
        <v>-172026.81</v>
      </c>
      <c r="DE10" s="8">
        <v>-179999.999999994</v>
      </c>
      <c r="DF10" s="9">
        <v>-180000</v>
      </c>
      <c r="DG10" s="7">
        <v>-9772.33</v>
      </c>
      <c r="DH10" s="8">
        <v>-9999.9999999949996</v>
      </c>
      <c r="DI10" s="9">
        <v>-12000</v>
      </c>
      <c r="DJ10" s="7">
        <v>-964.04</v>
      </c>
      <c r="DK10" s="8">
        <v>-999.99999999900001</v>
      </c>
      <c r="DL10" s="9">
        <v>-1000</v>
      </c>
      <c r="DM10" s="7">
        <v>-31669.46</v>
      </c>
      <c r="DN10" s="8">
        <v>-34999.999999993997</v>
      </c>
      <c r="DO10" s="9">
        <v>-30000</v>
      </c>
      <c r="DP10" s="7">
        <v>-15078.23</v>
      </c>
      <c r="DQ10" s="8">
        <v>-15999.999999993001</v>
      </c>
      <c r="DR10" s="9">
        <v>-16000</v>
      </c>
      <c r="DS10" s="7">
        <v>0</v>
      </c>
      <c r="DT10" s="8">
        <v>0</v>
      </c>
      <c r="DU10" s="9">
        <v>0</v>
      </c>
      <c r="DV10" s="7">
        <v>-24128.93</v>
      </c>
      <c r="DW10" s="8">
        <v>-24999.999999994001</v>
      </c>
      <c r="DX10" s="9">
        <v>-100000</v>
      </c>
      <c r="DY10" s="7">
        <v>-46.1</v>
      </c>
      <c r="DZ10" s="8">
        <v>0</v>
      </c>
      <c r="EA10" s="9">
        <v>0</v>
      </c>
      <c r="EB10" s="7">
        <v>0</v>
      </c>
      <c r="EC10" s="8">
        <v>0</v>
      </c>
      <c r="ED10" s="9">
        <v>0</v>
      </c>
      <c r="EE10" s="7">
        <v>-757575.5</v>
      </c>
      <c r="EF10" s="8">
        <v>-744999.99999998696</v>
      </c>
      <c r="EG10" s="9">
        <v>-850000</v>
      </c>
      <c r="EH10" s="7">
        <v>-73122.06</v>
      </c>
      <c r="EI10" s="8">
        <v>-79999.999999984997</v>
      </c>
      <c r="EJ10" s="9">
        <v>-50834</v>
      </c>
      <c r="EK10" s="7">
        <v>-7288729.5700000003</v>
      </c>
      <c r="EL10" s="8">
        <v>-7299999.9999999898</v>
      </c>
      <c r="EM10" s="9">
        <v>-8074000</v>
      </c>
      <c r="EN10" s="7">
        <v>0</v>
      </c>
      <c r="EO10" s="8">
        <v>0</v>
      </c>
      <c r="EP10" s="9">
        <v>0</v>
      </c>
      <c r="EQ10" s="7">
        <v>0</v>
      </c>
      <c r="ER10" s="8">
        <v>0</v>
      </c>
      <c r="ES10" s="9">
        <v>0</v>
      </c>
      <c r="ET10" s="7">
        <v>-701.21</v>
      </c>
      <c r="EU10" s="8">
        <v>0</v>
      </c>
      <c r="EV10" s="9">
        <v>0</v>
      </c>
      <c r="EW10" s="7">
        <v>-37228.910000000003</v>
      </c>
      <c r="EX10" s="8">
        <v>-69999.999999994994</v>
      </c>
      <c r="EY10" s="9">
        <v>-50000</v>
      </c>
      <c r="EZ10" s="7">
        <v>0</v>
      </c>
      <c r="FA10" s="8">
        <v>0</v>
      </c>
      <c r="FB10" s="9">
        <v>0</v>
      </c>
      <c r="FC10" s="7">
        <v>-4853288.83</v>
      </c>
      <c r="FD10" s="8">
        <v>-4500000</v>
      </c>
      <c r="FE10" s="9">
        <v>-4610000</v>
      </c>
      <c r="FF10" s="7">
        <v>-1804168.61</v>
      </c>
      <c r="FG10" s="8">
        <v>-1817543.4796344501</v>
      </c>
      <c r="FH10" s="9">
        <v>-1809445</v>
      </c>
      <c r="FI10" s="7">
        <v>0</v>
      </c>
      <c r="FJ10" s="8">
        <v>0</v>
      </c>
      <c r="FK10" s="9">
        <v>0</v>
      </c>
      <c r="FL10" s="7">
        <v>0</v>
      </c>
      <c r="FM10" s="8">
        <v>0</v>
      </c>
      <c r="FN10" s="9">
        <v>0</v>
      </c>
      <c r="FO10" s="7">
        <v>-10648.76</v>
      </c>
      <c r="FP10" s="8">
        <v>0</v>
      </c>
      <c r="FQ10" s="9">
        <v>0</v>
      </c>
      <c r="FR10" s="7">
        <v>0</v>
      </c>
      <c r="FS10" s="8">
        <v>0</v>
      </c>
      <c r="FT10" s="9">
        <v>0</v>
      </c>
      <c r="FU10" s="7">
        <v>0</v>
      </c>
      <c r="FV10" s="8">
        <v>0</v>
      </c>
      <c r="FW10" s="9">
        <v>0</v>
      </c>
      <c r="FX10" s="7">
        <v>0</v>
      </c>
      <c r="FY10" s="8">
        <v>-7010333.3333333302</v>
      </c>
      <c r="FZ10" s="9">
        <v>0</v>
      </c>
      <c r="GA10" s="7">
        <v>0</v>
      </c>
      <c r="GB10" s="8">
        <v>0</v>
      </c>
      <c r="GC10" s="9">
        <v>0</v>
      </c>
      <c r="GD10" s="7">
        <v>0</v>
      </c>
      <c r="GE10" s="8">
        <v>0</v>
      </c>
      <c r="GF10" s="9">
        <v>0</v>
      </c>
      <c r="GG10" s="7">
        <v>0</v>
      </c>
      <c r="GH10" s="8">
        <v>0</v>
      </c>
      <c r="GI10" s="9">
        <v>0</v>
      </c>
      <c r="GJ10" s="7">
        <v>0</v>
      </c>
      <c r="GK10" s="8">
        <v>0</v>
      </c>
      <c r="GL10" s="9">
        <v>0</v>
      </c>
      <c r="GM10" s="7">
        <v>0</v>
      </c>
      <c r="GN10" s="8">
        <v>0</v>
      </c>
      <c r="GO10" s="9">
        <v>0</v>
      </c>
      <c r="GP10" s="7">
        <v>0</v>
      </c>
      <c r="GQ10" s="8">
        <v>0</v>
      </c>
      <c r="GR10" s="9">
        <v>0</v>
      </c>
      <c r="GS10" s="7">
        <v>-290.60000000000002</v>
      </c>
      <c r="GT10" s="8">
        <v>-310.83170244600001</v>
      </c>
      <c r="GU10" s="9">
        <v>0</v>
      </c>
      <c r="GV10" s="7">
        <v>0</v>
      </c>
      <c r="GW10" s="8">
        <v>0</v>
      </c>
      <c r="GX10" s="9">
        <v>0</v>
      </c>
      <c r="GY10" s="7">
        <v>0</v>
      </c>
      <c r="GZ10" s="8">
        <v>0</v>
      </c>
      <c r="HA10" s="9">
        <v>0</v>
      </c>
      <c r="HB10" s="7">
        <v>0</v>
      </c>
      <c r="HC10" s="8">
        <v>0</v>
      </c>
      <c r="HD10" s="9">
        <v>0</v>
      </c>
      <c r="HE10" s="7">
        <v>0</v>
      </c>
      <c r="HF10" s="8">
        <v>0</v>
      </c>
      <c r="HG10" s="9">
        <v>0</v>
      </c>
      <c r="HH10" s="7">
        <v>-69333.460000000006</v>
      </c>
      <c r="HI10" s="8">
        <v>0</v>
      </c>
      <c r="HJ10" s="9">
        <v>0</v>
      </c>
      <c r="HK10" s="7">
        <v>0</v>
      </c>
      <c r="HL10" s="8">
        <v>0</v>
      </c>
      <c r="HM10" s="9">
        <v>0</v>
      </c>
      <c r="HN10" s="7">
        <v>0</v>
      </c>
      <c r="HO10" s="8">
        <v>0</v>
      </c>
      <c r="HP10" s="9">
        <v>0</v>
      </c>
    </row>
    <row r="11" spans="1:224" x14ac:dyDescent="0.25">
      <c r="A11" s="23" t="s">
        <v>159</v>
      </c>
      <c r="B11" s="26" t="s">
        <v>160</v>
      </c>
      <c r="C11" s="7">
        <v>-8987106.1500000004</v>
      </c>
      <c r="D11" s="8">
        <v>-8732929.0312178191</v>
      </c>
      <c r="E11" s="9">
        <v>-10068700</v>
      </c>
      <c r="F11" s="7">
        <v>-285363.74</v>
      </c>
      <c r="G11" s="8">
        <v>-349999.99999999302</v>
      </c>
      <c r="H11" s="9">
        <v>-350000</v>
      </c>
      <c r="I11" s="7">
        <v>-1230554.93</v>
      </c>
      <c r="J11" s="8">
        <v>-1452999.99999999</v>
      </c>
      <c r="K11" s="9">
        <v>-1500000</v>
      </c>
      <c r="L11" s="7">
        <v>-177363.3</v>
      </c>
      <c r="M11" s="8">
        <v>-174999.999999994</v>
      </c>
      <c r="N11" s="9">
        <v>-210000</v>
      </c>
      <c r="O11" s="7">
        <v>-1550971.16</v>
      </c>
      <c r="P11" s="8">
        <v>-1589999.99999998</v>
      </c>
      <c r="Q11" s="9">
        <v>-2300000</v>
      </c>
      <c r="R11" s="7">
        <v>-163862.57</v>
      </c>
      <c r="S11" s="8">
        <v>-154999.99999999499</v>
      </c>
      <c r="T11" s="9">
        <v>-155000</v>
      </c>
      <c r="U11" s="7">
        <v>-155258.06</v>
      </c>
      <c r="V11" s="8">
        <v>-129999.999999993</v>
      </c>
      <c r="W11" s="9">
        <v>-140000</v>
      </c>
      <c r="X11" s="7">
        <v>-754569.71</v>
      </c>
      <c r="Y11" s="8">
        <v>-679999.99999999395</v>
      </c>
      <c r="Z11" s="9">
        <v>-660000</v>
      </c>
      <c r="AA11" s="7">
        <v>-26958.39</v>
      </c>
      <c r="AB11" s="8">
        <v>-34999.999999995998</v>
      </c>
      <c r="AC11" s="9">
        <v>-40700</v>
      </c>
      <c r="AD11" s="7">
        <v>-14286.8</v>
      </c>
      <c r="AE11" s="8">
        <v>-24999.999999997999</v>
      </c>
      <c r="AF11" s="9">
        <v>-10000</v>
      </c>
      <c r="AG11" s="7">
        <v>-387244.32</v>
      </c>
      <c r="AH11" s="8">
        <v>-469929.03121795802</v>
      </c>
      <c r="AI11" s="9">
        <v>-450000</v>
      </c>
      <c r="AJ11" s="7">
        <v>-5553.07</v>
      </c>
      <c r="AK11" s="8">
        <v>-9999.9999999989996</v>
      </c>
      <c r="AL11" s="9">
        <v>-10000</v>
      </c>
      <c r="AM11" s="7">
        <v>-64970.47</v>
      </c>
      <c r="AN11" s="8">
        <v>-69999.999999995998</v>
      </c>
      <c r="AO11" s="9">
        <v>-50000</v>
      </c>
      <c r="AP11" s="7">
        <v>-7458.18</v>
      </c>
      <c r="AQ11" s="8">
        <v>-19999.999999999</v>
      </c>
      <c r="AR11" s="9">
        <v>-55000</v>
      </c>
      <c r="AS11" s="7">
        <v>0</v>
      </c>
      <c r="AT11" s="8">
        <v>0</v>
      </c>
      <c r="AU11" s="9">
        <v>0</v>
      </c>
      <c r="AV11" s="7">
        <v>0</v>
      </c>
      <c r="AW11" s="8">
        <v>0</v>
      </c>
      <c r="AX11" s="9">
        <v>0</v>
      </c>
      <c r="AY11" s="7">
        <v>-306543.81</v>
      </c>
      <c r="AZ11" s="8">
        <v>-289999.99999998597</v>
      </c>
      <c r="BA11" s="9">
        <v>-250000</v>
      </c>
      <c r="BB11" s="7">
        <v>-251821.89</v>
      </c>
      <c r="BC11" s="8">
        <v>-179999.999999989</v>
      </c>
      <c r="BD11" s="9">
        <v>-250000</v>
      </c>
      <c r="BE11" s="7">
        <v>-297</v>
      </c>
      <c r="BF11" s="8">
        <v>0</v>
      </c>
      <c r="BG11" s="9">
        <v>0</v>
      </c>
      <c r="BH11" s="7">
        <v>0</v>
      </c>
      <c r="BI11" s="8">
        <v>0</v>
      </c>
      <c r="BJ11" s="9">
        <v>0</v>
      </c>
      <c r="BK11" s="7">
        <v>0</v>
      </c>
      <c r="BL11" s="8">
        <v>0</v>
      </c>
      <c r="BM11" s="9">
        <v>0</v>
      </c>
      <c r="BN11" s="7">
        <v>-377610.36</v>
      </c>
      <c r="BO11" s="8">
        <v>-369999.99999998999</v>
      </c>
      <c r="BP11" s="9">
        <v>-370000</v>
      </c>
      <c r="BQ11" s="7">
        <v>0</v>
      </c>
      <c r="BR11" s="8">
        <v>0</v>
      </c>
      <c r="BS11" s="9">
        <v>0</v>
      </c>
      <c r="BT11" s="7">
        <v>0</v>
      </c>
      <c r="BU11" s="8">
        <v>0</v>
      </c>
      <c r="BV11" s="9">
        <v>0</v>
      </c>
      <c r="BW11" s="7">
        <v>-14575.45</v>
      </c>
      <c r="BX11" s="8">
        <v>-19999.999999997999</v>
      </c>
      <c r="BY11" s="9">
        <v>-20000</v>
      </c>
      <c r="BZ11" s="7">
        <v>0</v>
      </c>
      <c r="CA11" s="8">
        <v>0</v>
      </c>
      <c r="CB11" s="9">
        <v>0</v>
      </c>
      <c r="CC11" s="7">
        <v>0</v>
      </c>
      <c r="CD11" s="8">
        <v>0</v>
      </c>
      <c r="CE11" s="9">
        <v>0</v>
      </c>
      <c r="CF11" s="7">
        <v>0</v>
      </c>
      <c r="CG11" s="8">
        <v>0</v>
      </c>
      <c r="CH11" s="9">
        <v>0</v>
      </c>
      <c r="CI11" s="7">
        <v>0</v>
      </c>
      <c r="CJ11" s="8">
        <v>0</v>
      </c>
      <c r="CK11" s="9">
        <v>0</v>
      </c>
      <c r="CL11" s="7">
        <v>-20407.91</v>
      </c>
      <c r="CM11" s="8">
        <v>-19999.999999997999</v>
      </c>
      <c r="CN11" s="9">
        <v>-20000</v>
      </c>
      <c r="CO11" s="7">
        <v>-544756.25</v>
      </c>
      <c r="CP11" s="8">
        <v>-499999.99999998498</v>
      </c>
      <c r="CQ11" s="9">
        <v>-500000</v>
      </c>
      <c r="CR11" s="7">
        <v>0</v>
      </c>
      <c r="CS11" s="8">
        <v>0</v>
      </c>
      <c r="CT11" s="9">
        <v>0</v>
      </c>
      <c r="CU11" s="7">
        <v>0</v>
      </c>
      <c r="CV11" s="8">
        <v>0</v>
      </c>
      <c r="CW11" s="9">
        <v>0</v>
      </c>
      <c r="CX11" s="7">
        <v>0</v>
      </c>
      <c r="CY11" s="8">
        <v>0</v>
      </c>
      <c r="CZ11" s="9">
        <v>0</v>
      </c>
      <c r="DA11" s="7">
        <v>0</v>
      </c>
      <c r="DB11" s="8">
        <v>0</v>
      </c>
      <c r="DC11" s="9">
        <v>0</v>
      </c>
      <c r="DD11" s="7">
        <v>0</v>
      </c>
      <c r="DE11" s="8">
        <v>0</v>
      </c>
      <c r="DF11" s="9">
        <v>0</v>
      </c>
      <c r="DG11" s="7">
        <v>0</v>
      </c>
      <c r="DH11" s="8">
        <v>0</v>
      </c>
      <c r="DI11" s="9">
        <v>0</v>
      </c>
      <c r="DJ11" s="7">
        <v>0</v>
      </c>
      <c r="DK11" s="8">
        <v>0</v>
      </c>
      <c r="DL11" s="9">
        <v>0</v>
      </c>
      <c r="DM11" s="7">
        <v>0</v>
      </c>
      <c r="DN11" s="8">
        <v>0</v>
      </c>
      <c r="DO11" s="9">
        <v>0</v>
      </c>
      <c r="DP11" s="7">
        <v>0</v>
      </c>
      <c r="DQ11" s="8">
        <v>0</v>
      </c>
      <c r="DR11" s="9">
        <v>0</v>
      </c>
      <c r="DS11" s="7">
        <v>0</v>
      </c>
      <c r="DT11" s="8">
        <v>0</v>
      </c>
      <c r="DU11" s="9">
        <v>0</v>
      </c>
      <c r="DV11" s="7">
        <v>0</v>
      </c>
      <c r="DW11" s="8">
        <v>0</v>
      </c>
      <c r="DX11" s="9">
        <v>0</v>
      </c>
      <c r="DY11" s="7">
        <v>0</v>
      </c>
      <c r="DZ11" s="8">
        <v>0</v>
      </c>
      <c r="EA11" s="9">
        <v>0</v>
      </c>
      <c r="EB11" s="7">
        <v>0</v>
      </c>
      <c r="EC11" s="8">
        <v>0</v>
      </c>
      <c r="ED11" s="9">
        <v>0</v>
      </c>
      <c r="EE11" s="7">
        <v>0</v>
      </c>
      <c r="EF11" s="8">
        <v>0</v>
      </c>
      <c r="EG11" s="9">
        <v>0</v>
      </c>
      <c r="EH11" s="7">
        <v>0</v>
      </c>
      <c r="EI11" s="8">
        <v>0</v>
      </c>
      <c r="EJ11" s="9">
        <v>0</v>
      </c>
      <c r="EK11" s="7">
        <v>-468727.93</v>
      </c>
      <c r="EL11" s="8">
        <v>-399999.99999999203</v>
      </c>
      <c r="EM11" s="9">
        <v>-430000</v>
      </c>
      <c r="EN11" s="7">
        <v>0</v>
      </c>
      <c r="EO11" s="8">
        <v>0</v>
      </c>
      <c r="EP11" s="9">
        <v>0</v>
      </c>
      <c r="EQ11" s="7">
        <v>0</v>
      </c>
      <c r="ER11" s="8">
        <v>0</v>
      </c>
      <c r="ES11" s="9">
        <v>0</v>
      </c>
      <c r="ET11" s="7">
        <v>0</v>
      </c>
      <c r="EU11" s="8">
        <v>0</v>
      </c>
      <c r="EV11" s="9">
        <v>0</v>
      </c>
      <c r="EW11" s="7">
        <v>0</v>
      </c>
      <c r="EX11" s="8">
        <v>0</v>
      </c>
      <c r="EY11" s="9">
        <v>0</v>
      </c>
      <c r="EZ11" s="7">
        <v>0</v>
      </c>
      <c r="FA11" s="8">
        <v>0</v>
      </c>
      <c r="FB11" s="9">
        <v>0</v>
      </c>
      <c r="FC11" s="7">
        <v>-2177950.85</v>
      </c>
      <c r="FD11" s="8">
        <v>-2070000</v>
      </c>
      <c r="FE11" s="9">
        <v>-2298000</v>
      </c>
      <c r="FF11" s="7">
        <v>0</v>
      </c>
      <c r="FG11" s="8">
        <v>0</v>
      </c>
      <c r="FH11" s="9">
        <v>0</v>
      </c>
      <c r="FI11" s="7">
        <v>0</v>
      </c>
      <c r="FJ11" s="8">
        <v>0</v>
      </c>
      <c r="FK11" s="9">
        <v>0</v>
      </c>
      <c r="FL11" s="7">
        <v>0</v>
      </c>
      <c r="FM11" s="8">
        <v>0</v>
      </c>
      <c r="FN11" s="9">
        <v>0</v>
      </c>
      <c r="FO11" s="7">
        <v>0</v>
      </c>
      <c r="FP11" s="8">
        <v>0</v>
      </c>
      <c r="FQ11" s="9">
        <v>0</v>
      </c>
      <c r="FR11" s="7">
        <v>0</v>
      </c>
      <c r="FS11" s="8">
        <v>0</v>
      </c>
      <c r="FT11" s="9">
        <v>0</v>
      </c>
      <c r="FU11" s="7">
        <v>0</v>
      </c>
      <c r="FV11" s="8">
        <v>0</v>
      </c>
      <c r="FW11" s="9">
        <v>0</v>
      </c>
      <c r="FX11" s="7">
        <v>0</v>
      </c>
      <c r="FY11" s="8">
        <v>280000</v>
      </c>
      <c r="FZ11" s="9">
        <v>0</v>
      </c>
      <c r="GA11" s="7">
        <v>0</v>
      </c>
      <c r="GB11" s="8">
        <v>0</v>
      </c>
      <c r="GC11" s="9">
        <v>0</v>
      </c>
      <c r="GD11" s="7">
        <v>0</v>
      </c>
      <c r="GE11" s="8">
        <v>0</v>
      </c>
      <c r="GF11" s="9">
        <v>0</v>
      </c>
      <c r="GG11" s="7">
        <v>0</v>
      </c>
      <c r="GH11" s="8">
        <v>0</v>
      </c>
      <c r="GI11" s="9">
        <v>0</v>
      </c>
      <c r="GJ11" s="7">
        <v>0</v>
      </c>
      <c r="GK11" s="8">
        <v>0</v>
      </c>
      <c r="GL11" s="9">
        <v>0</v>
      </c>
      <c r="GM11" s="7">
        <v>0</v>
      </c>
      <c r="GN11" s="8">
        <v>0</v>
      </c>
      <c r="GO11" s="9">
        <v>0</v>
      </c>
      <c r="GP11" s="7">
        <v>0</v>
      </c>
      <c r="GQ11" s="8">
        <v>0</v>
      </c>
      <c r="GR11" s="9">
        <v>0</v>
      </c>
      <c r="GS11" s="7">
        <v>0</v>
      </c>
      <c r="GT11" s="8">
        <v>0</v>
      </c>
      <c r="GU11" s="9">
        <v>0</v>
      </c>
      <c r="GV11" s="7">
        <v>0</v>
      </c>
      <c r="GW11" s="8">
        <v>0</v>
      </c>
      <c r="GX11" s="9">
        <v>0</v>
      </c>
      <c r="GY11" s="7">
        <v>0</v>
      </c>
      <c r="GZ11" s="8">
        <v>0</v>
      </c>
      <c r="HA11" s="9">
        <v>0</v>
      </c>
      <c r="HB11" s="7">
        <v>0</v>
      </c>
      <c r="HC11" s="8">
        <v>0</v>
      </c>
      <c r="HD11" s="9">
        <v>0</v>
      </c>
      <c r="HE11" s="7">
        <v>0</v>
      </c>
      <c r="HF11" s="8">
        <v>0</v>
      </c>
      <c r="HG11" s="9">
        <v>0</v>
      </c>
      <c r="HH11" s="7">
        <v>0</v>
      </c>
      <c r="HI11" s="8">
        <v>0</v>
      </c>
      <c r="HJ11" s="9">
        <v>0</v>
      </c>
      <c r="HK11" s="7">
        <v>0</v>
      </c>
      <c r="HL11" s="8">
        <v>0</v>
      </c>
      <c r="HM11" s="9">
        <v>0</v>
      </c>
      <c r="HN11" s="7">
        <v>0</v>
      </c>
      <c r="HO11" s="8">
        <v>0</v>
      </c>
      <c r="HP11" s="9">
        <v>0</v>
      </c>
    </row>
    <row r="12" spans="1:224" x14ac:dyDescent="0.25">
      <c r="A12" s="23" t="s">
        <v>161</v>
      </c>
      <c r="B12" s="26" t="s">
        <v>162</v>
      </c>
      <c r="C12" s="7">
        <v>-386360.9</v>
      </c>
      <c r="D12" s="8">
        <v>-414999.999999994</v>
      </c>
      <c r="E12" s="9">
        <v>-320000</v>
      </c>
      <c r="F12" s="7">
        <v>0</v>
      </c>
      <c r="G12" s="8">
        <v>0</v>
      </c>
      <c r="H12" s="9">
        <v>0</v>
      </c>
      <c r="I12" s="7">
        <v>0</v>
      </c>
      <c r="J12" s="8">
        <v>0</v>
      </c>
      <c r="K12" s="9">
        <v>0</v>
      </c>
      <c r="L12" s="7">
        <v>0</v>
      </c>
      <c r="M12" s="8">
        <v>0</v>
      </c>
      <c r="N12" s="9">
        <v>0</v>
      </c>
      <c r="O12" s="7">
        <v>0</v>
      </c>
      <c r="P12" s="8">
        <v>0</v>
      </c>
      <c r="Q12" s="9">
        <v>0</v>
      </c>
      <c r="R12" s="7">
        <v>0</v>
      </c>
      <c r="S12" s="8">
        <v>0</v>
      </c>
      <c r="T12" s="9">
        <v>0</v>
      </c>
      <c r="U12" s="7">
        <v>0</v>
      </c>
      <c r="V12" s="8">
        <v>0</v>
      </c>
      <c r="W12" s="9">
        <v>0</v>
      </c>
      <c r="X12" s="7">
        <v>0</v>
      </c>
      <c r="Y12" s="8">
        <v>0</v>
      </c>
      <c r="Z12" s="9">
        <v>0</v>
      </c>
      <c r="AA12" s="7">
        <v>0</v>
      </c>
      <c r="AB12" s="8">
        <v>0</v>
      </c>
      <c r="AC12" s="9">
        <v>0</v>
      </c>
      <c r="AD12" s="7">
        <v>-321227.21000000002</v>
      </c>
      <c r="AE12" s="8">
        <v>-324999.99999999598</v>
      </c>
      <c r="AF12" s="9">
        <v>-230000</v>
      </c>
      <c r="AG12" s="7">
        <v>-65133.69</v>
      </c>
      <c r="AH12" s="8">
        <v>-89999.999999998006</v>
      </c>
      <c r="AI12" s="9">
        <v>-90000</v>
      </c>
      <c r="AJ12" s="7">
        <v>0</v>
      </c>
      <c r="AK12" s="8">
        <v>0</v>
      </c>
      <c r="AL12" s="9">
        <v>0</v>
      </c>
      <c r="AM12" s="7">
        <v>0</v>
      </c>
      <c r="AN12" s="8">
        <v>0</v>
      </c>
      <c r="AO12" s="9">
        <v>0</v>
      </c>
      <c r="AP12" s="7">
        <v>0</v>
      </c>
      <c r="AQ12" s="8">
        <v>0</v>
      </c>
      <c r="AR12" s="9">
        <v>0</v>
      </c>
      <c r="AS12" s="7">
        <v>0</v>
      </c>
      <c r="AT12" s="8">
        <v>0</v>
      </c>
      <c r="AU12" s="9">
        <v>0</v>
      </c>
      <c r="AV12" s="7">
        <v>0</v>
      </c>
      <c r="AW12" s="8">
        <v>0</v>
      </c>
      <c r="AX12" s="9">
        <v>0</v>
      </c>
      <c r="AY12" s="7">
        <v>0</v>
      </c>
      <c r="AZ12" s="8">
        <v>0</v>
      </c>
      <c r="BA12" s="9">
        <v>0</v>
      </c>
      <c r="BB12" s="7">
        <v>0</v>
      </c>
      <c r="BC12" s="8">
        <v>0</v>
      </c>
      <c r="BD12" s="9">
        <v>0</v>
      </c>
      <c r="BE12" s="7">
        <v>0</v>
      </c>
      <c r="BF12" s="8">
        <v>0</v>
      </c>
      <c r="BG12" s="9">
        <v>0</v>
      </c>
      <c r="BH12" s="7">
        <v>0</v>
      </c>
      <c r="BI12" s="8">
        <v>0</v>
      </c>
      <c r="BJ12" s="9">
        <v>0</v>
      </c>
      <c r="BK12" s="7">
        <v>0</v>
      </c>
      <c r="BL12" s="8">
        <v>0</v>
      </c>
      <c r="BM12" s="9">
        <v>0</v>
      </c>
      <c r="BN12" s="7">
        <v>0</v>
      </c>
      <c r="BO12" s="8">
        <v>0</v>
      </c>
      <c r="BP12" s="9">
        <v>0</v>
      </c>
      <c r="BQ12" s="7">
        <v>0</v>
      </c>
      <c r="BR12" s="8">
        <v>0</v>
      </c>
      <c r="BS12" s="9">
        <v>0</v>
      </c>
      <c r="BT12" s="7">
        <v>0</v>
      </c>
      <c r="BU12" s="8">
        <v>0</v>
      </c>
      <c r="BV12" s="9">
        <v>0</v>
      </c>
      <c r="BW12" s="7">
        <v>0</v>
      </c>
      <c r="BX12" s="8">
        <v>0</v>
      </c>
      <c r="BY12" s="9">
        <v>0</v>
      </c>
      <c r="BZ12" s="7">
        <v>0</v>
      </c>
      <c r="CA12" s="8">
        <v>0</v>
      </c>
      <c r="CB12" s="9">
        <v>0</v>
      </c>
      <c r="CC12" s="7">
        <v>0</v>
      </c>
      <c r="CD12" s="8">
        <v>0</v>
      </c>
      <c r="CE12" s="9">
        <v>0</v>
      </c>
      <c r="CF12" s="7">
        <v>0</v>
      </c>
      <c r="CG12" s="8">
        <v>0</v>
      </c>
      <c r="CH12" s="9">
        <v>0</v>
      </c>
      <c r="CI12" s="7">
        <v>0</v>
      </c>
      <c r="CJ12" s="8">
        <v>0</v>
      </c>
      <c r="CK12" s="9">
        <v>0</v>
      </c>
      <c r="CL12" s="7">
        <v>0</v>
      </c>
      <c r="CM12" s="8">
        <v>0</v>
      </c>
      <c r="CN12" s="9">
        <v>0</v>
      </c>
      <c r="CO12" s="7">
        <v>0</v>
      </c>
      <c r="CP12" s="8">
        <v>0</v>
      </c>
      <c r="CQ12" s="9">
        <v>0</v>
      </c>
      <c r="CR12" s="7">
        <v>0</v>
      </c>
      <c r="CS12" s="8">
        <v>0</v>
      </c>
      <c r="CT12" s="9">
        <v>0</v>
      </c>
      <c r="CU12" s="7">
        <v>0</v>
      </c>
      <c r="CV12" s="8">
        <v>0</v>
      </c>
      <c r="CW12" s="9">
        <v>0</v>
      </c>
      <c r="CX12" s="7">
        <v>0</v>
      </c>
      <c r="CY12" s="8">
        <v>0</v>
      </c>
      <c r="CZ12" s="9">
        <v>0</v>
      </c>
      <c r="DA12" s="7">
        <v>0</v>
      </c>
      <c r="DB12" s="8">
        <v>0</v>
      </c>
      <c r="DC12" s="9">
        <v>0</v>
      </c>
      <c r="DD12" s="7">
        <v>0</v>
      </c>
      <c r="DE12" s="8">
        <v>0</v>
      </c>
      <c r="DF12" s="9">
        <v>0</v>
      </c>
      <c r="DG12" s="7">
        <v>0</v>
      </c>
      <c r="DH12" s="8">
        <v>0</v>
      </c>
      <c r="DI12" s="9">
        <v>0</v>
      </c>
      <c r="DJ12" s="7">
        <v>0</v>
      </c>
      <c r="DK12" s="8">
        <v>0</v>
      </c>
      <c r="DL12" s="9">
        <v>0</v>
      </c>
      <c r="DM12" s="7">
        <v>0</v>
      </c>
      <c r="DN12" s="8">
        <v>0</v>
      </c>
      <c r="DO12" s="9">
        <v>0</v>
      </c>
      <c r="DP12" s="7">
        <v>0</v>
      </c>
      <c r="DQ12" s="8">
        <v>0</v>
      </c>
      <c r="DR12" s="9">
        <v>0</v>
      </c>
      <c r="DS12" s="7">
        <v>0</v>
      </c>
      <c r="DT12" s="8">
        <v>0</v>
      </c>
      <c r="DU12" s="9">
        <v>0</v>
      </c>
      <c r="DV12" s="7">
        <v>0</v>
      </c>
      <c r="DW12" s="8">
        <v>0</v>
      </c>
      <c r="DX12" s="9">
        <v>0</v>
      </c>
      <c r="DY12" s="7">
        <v>0</v>
      </c>
      <c r="DZ12" s="8">
        <v>0</v>
      </c>
      <c r="EA12" s="9">
        <v>0</v>
      </c>
      <c r="EB12" s="7">
        <v>0</v>
      </c>
      <c r="EC12" s="8">
        <v>0</v>
      </c>
      <c r="ED12" s="9">
        <v>0</v>
      </c>
      <c r="EE12" s="7">
        <v>0</v>
      </c>
      <c r="EF12" s="8">
        <v>0</v>
      </c>
      <c r="EG12" s="9">
        <v>0</v>
      </c>
      <c r="EH12" s="7">
        <v>0</v>
      </c>
      <c r="EI12" s="8">
        <v>0</v>
      </c>
      <c r="EJ12" s="9">
        <v>0</v>
      </c>
      <c r="EK12" s="7">
        <v>0</v>
      </c>
      <c r="EL12" s="8">
        <v>0</v>
      </c>
      <c r="EM12" s="9">
        <v>0</v>
      </c>
      <c r="EN12" s="7">
        <v>0</v>
      </c>
      <c r="EO12" s="8">
        <v>0</v>
      </c>
      <c r="EP12" s="9">
        <v>0</v>
      </c>
      <c r="EQ12" s="7">
        <v>0</v>
      </c>
      <c r="ER12" s="8">
        <v>0</v>
      </c>
      <c r="ES12" s="9">
        <v>0</v>
      </c>
      <c r="ET12" s="7">
        <v>0</v>
      </c>
      <c r="EU12" s="8">
        <v>0</v>
      </c>
      <c r="EV12" s="9">
        <v>0</v>
      </c>
      <c r="EW12" s="7">
        <v>0</v>
      </c>
      <c r="EX12" s="8">
        <v>0</v>
      </c>
      <c r="EY12" s="9">
        <v>0</v>
      </c>
      <c r="EZ12" s="7">
        <v>0</v>
      </c>
      <c r="FA12" s="8">
        <v>0</v>
      </c>
      <c r="FB12" s="9">
        <v>0</v>
      </c>
      <c r="FC12" s="7">
        <v>0</v>
      </c>
      <c r="FD12" s="8">
        <v>0</v>
      </c>
      <c r="FE12" s="9">
        <v>0</v>
      </c>
      <c r="FF12" s="7">
        <v>0</v>
      </c>
      <c r="FG12" s="8">
        <v>0</v>
      </c>
      <c r="FH12" s="9">
        <v>0</v>
      </c>
      <c r="FI12" s="7">
        <v>0</v>
      </c>
      <c r="FJ12" s="8">
        <v>0</v>
      </c>
      <c r="FK12" s="9">
        <v>0</v>
      </c>
      <c r="FL12" s="7">
        <v>0</v>
      </c>
      <c r="FM12" s="8">
        <v>0</v>
      </c>
      <c r="FN12" s="9">
        <v>0</v>
      </c>
      <c r="FO12" s="7">
        <v>0</v>
      </c>
      <c r="FP12" s="8">
        <v>0</v>
      </c>
      <c r="FQ12" s="9">
        <v>0</v>
      </c>
      <c r="FR12" s="7">
        <v>0</v>
      </c>
      <c r="FS12" s="8">
        <v>0</v>
      </c>
      <c r="FT12" s="9">
        <v>0</v>
      </c>
      <c r="FU12" s="7">
        <v>0</v>
      </c>
      <c r="FV12" s="8">
        <v>0</v>
      </c>
      <c r="FW12" s="9">
        <v>0</v>
      </c>
      <c r="FX12" s="7">
        <v>0</v>
      </c>
      <c r="FY12" s="8">
        <v>0</v>
      </c>
      <c r="FZ12" s="9">
        <v>0</v>
      </c>
      <c r="GA12" s="7">
        <v>0</v>
      </c>
      <c r="GB12" s="8">
        <v>0</v>
      </c>
      <c r="GC12" s="9">
        <v>0</v>
      </c>
      <c r="GD12" s="7">
        <v>0</v>
      </c>
      <c r="GE12" s="8">
        <v>0</v>
      </c>
      <c r="GF12" s="9">
        <v>0</v>
      </c>
      <c r="GG12" s="7">
        <v>0</v>
      </c>
      <c r="GH12" s="8">
        <v>0</v>
      </c>
      <c r="GI12" s="9">
        <v>0</v>
      </c>
      <c r="GJ12" s="7">
        <v>0</v>
      </c>
      <c r="GK12" s="8">
        <v>0</v>
      </c>
      <c r="GL12" s="9">
        <v>0</v>
      </c>
      <c r="GM12" s="7">
        <v>0</v>
      </c>
      <c r="GN12" s="8">
        <v>0</v>
      </c>
      <c r="GO12" s="9">
        <v>0</v>
      </c>
      <c r="GP12" s="7">
        <v>0</v>
      </c>
      <c r="GQ12" s="8">
        <v>0</v>
      </c>
      <c r="GR12" s="9">
        <v>0</v>
      </c>
      <c r="GS12" s="7">
        <v>0</v>
      </c>
      <c r="GT12" s="8">
        <v>0</v>
      </c>
      <c r="GU12" s="9">
        <v>0</v>
      </c>
      <c r="GV12" s="7">
        <v>0</v>
      </c>
      <c r="GW12" s="8">
        <v>0</v>
      </c>
      <c r="GX12" s="9">
        <v>0</v>
      </c>
      <c r="GY12" s="7">
        <v>0</v>
      </c>
      <c r="GZ12" s="8">
        <v>0</v>
      </c>
      <c r="HA12" s="9">
        <v>0</v>
      </c>
      <c r="HB12" s="7">
        <v>0</v>
      </c>
      <c r="HC12" s="8">
        <v>0</v>
      </c>
      <c r="HD12" s="9">
        <v>0</v>
      </c>
      <c r="HE12" s="7">
        <v>0</v>
      </c>
      <c r="HF12" s="8">
        <v>0</v>
      </c>
      <c r="HG12" s="9">
        <v>0</v>
      </c>
      <c r="HH12" s="7">
        <v>0</v>
      </c>
      <c r="HI12" s="8">
        <v>0</v>
      </c>
      <c r="HJ12" s="9">
        <v>0</v>
      </c>
      <c r="HK12" s="7">
        <v>0</v>
      </c>
      <c r="HL12" s="8">
        <v>0</v>
      </c>
      <c r="HM12" s="9">
        <v>0</v>
      </c>
      <c r="HN12" s="7">
        <v>0</v>
      </c>
      <c r="HO12" s="8">
        <v>0</v>
      </c>
      <c r="HP12" s="9">
        <v>0</v>
      </c>
    </row>
    <row r="13" spans="1:224" x14ac:dyDescent="0.25">
      <c r="A13" s="23" t="s">
        <v>163</v>
      </c>
      <c r="B13" s="26" t="s">
        <v>164</v>
      </c>
      <c r="C13" s="7">
        <v>-26091573.530000001</v>
      </c>
      <c r="D13" s="8">
        <v>-26000000</v>
      </c>
      <c r="E13" s="9">
        <v>-28500000</v>
      </c>
      <c r="F13" s="7">
        <v>0</v>
      </c>
      <c r="G13" s="8">
        <v>0</v>
      </c>
      <c r="H13" s="9">
        <v>0</v>
      </c>
      <c r="I13" s="7">
        <v>0</v>
      </c>
      <c r="J13" s="8">
        <v>0</v>
      </c>
      <c r="K13" s="9">
        <v>0</v>
      </c>
      <c r="L13" s="7">
        <v>0</v>
      </c>
      <c r="M13" s="8">
        <v>0</v>
      </c>
      <c r="N13" s="9">
        <v>0</v>
      </c>
      <c r="O13" s="7">
        <v>0</v>
      </c>
      <c r="P13" s="8">
        <v>0</v>
      </c>
      <c r="Q13" s="9">
        <v>0</v>
      </c>
      <c r="R13" s="7">
        <v>0</v>
      </c>
      <c r="S13" s="8">
        <v>0</v>
      </c>
      <c r="T13" s="9">
        <v>0</v>
      </c>
      <c r="U13" s="7">
        <v>0</v>
      </c>
      <c r="V13" s="8">
        <v>0</v>
      </c>
      <c r="W13" s="9">
        <v>0</v>
      </c>
      <c r="X13" s="7">
        <v>0</v>
      </c>
      <c r="Y13" s="8">
        <v>0</v>
      </c>
      <c r="Z13" s="9">
        <v>0</v>
      </c>
      <c r="AA13" s="7">
        <v>0</v>
      </c>
      <c r="AB13" s="8">
        <v>0</v>
      </c>
      <c r="AC13" s="9">
        <v>0</v>
      </c>
      <c r="AD13" s="7">
        <v>0</v>
      </c>
      <c r="AE13" s="8">
        <v>0</v>
      </c>
      <c r="AF13" s="9">
        <v>0</v>
      </c>
      <c r="AG13" s="7">
        <v>0</v>
      </c>
      <c r="AH13" s="8">
        <v>0</v>
      </c>
      <c r="AI13" s="9">
        <v>0</v>
      </c>
      <c r="AJ13" s="7">
        <v>0</v>
      </c>
      <c r="AK13" s="8">
        <v>0</v>
      </c>
      <c r="AL13" s="9">
        <v>0</v>
      </c>
      <c r="AM13" s="7">
        <v>0</v>
      </c>
      <c r="AN13" s="8">
        <v>0</v>
      </c>
      <c r="AO13" s="9">
        <v>0</v>
      </c>
      <c r="AP13" s="7">
        <v>0</v>
      </c>
      <c r="AQ13" s="8">
        <v>0</v>
      </c>
      <c r="AR13" s="9">
        <v>0</v>
      </c>
      <c r="AS13" s="7">
        <v>0</v>
      </c>
      <c r="AT13" s="8">
        <v>0</v>
      </c>
      <c r="AU13" s="9">
        <v>0</v>
      </c>
      <c r="AV13" s="7">
        <v>0</v>
      </c>
      <c r="AW13" s="8">
        <v>0</v>
      </c>
      <c r="AX13" s="9">
        <v>0</v>
      </c>
      <c r="AY13" s="7">
        <v>0</v>
      </c>
      <c r="AZ13" s="8">
        <v>0</v>
      </c>
      <c r="BA13" s="9">
        <v>0</v>
      </c>
      <c r="BB13" s="7">
        <v>0</v>
      </c>
      <c r="BC13" s="8">
        <v>0</v>
      </c>
      <c r="BD13" s="9">
        <v>0</v>
      </c>
      <c r="BE13" s="7">
        <v>0</v>
      </c>
      <c r="BF13" s="8">
        <v>0</v>
      </c>
      <c r="BG13" s="9">
        <v>0</v>
      </c>
      <c r="BH13" s="7">
        <v>0</v>
      </c>
      <c r="BI13" s="8">
        <v>0</v>
      </c>
      <c r="BJ13" s="9">
        <v>0</v>
      </c>
      <c r="BK13" s="7">
        <v>0</v>
      </c>
      <c r="BL13" s="8">
        <v>0</v>
      </c>
      <c r="BM13" s="9">
        <v>0</v>
      </c>
      <c r="BN13" s="7">
        <v>0</v>
      </c>
      <c r="BO13" s="8">
        <v>0</v>
      </c>
      <c r="BP13" s="9">
        <v>0</v>
      </c>
      <c r="BQ13" s="7">
        <v>-26091573.530000001</v>
      </c>
      <c r="BR13" s="8">
        <v>-26000000</v>
      </c>
      <c r="BS13" s="9">
        <v>-28500000</v>
      </c>
      <c r="BT13" s="7">
        <v>0</v>
      </c>
      <c r="BU13" s="8">
        <v>0</v>
      </c>
      <c r="BV13" s="9">
        <v>0</v>
      </c>
      <c r="BW13" s="7">
        <v>0</v>
      </c>
      <c r="BX13" s="8">
        <v>0</v>
      </c>
      <c r="BY13" s="9">
        <v>0</v>
      </c>
      <c r="BZ13" s="7">
        <v>0</v>
      </c>
      <c r="CA13" s="8">
        <v>0</v>
      </c>
      <c r="CB13" s="9">
        <v>0</v>
      </c>
      <c r="CC13" s="7">
        <v>0</v>
      </c>
      <c r="CD13" s="8">
        <v>0</v>
      </c>
      <c r="CE13" s="9">
        <v>0</v>
      </c>
      <c r="CF13" s="7">
        <v>0</v>
      </c>
      <c r="CG13" s="8">
        <v>0</v>
      </c>
      <c r="CH13" s="9">
        <v>0</v>
      </c>
      <c r="CI13" s="7">
        <v>0</v>
      </c>
      <c r="CJ13" s="8">
        <v>0</v>
      </c>
      <c r="CK13" s="9">
        <v>0</v>
      </c>
      <c r="CL13" s="7">
        <v>0</v>
      </c>
      <c r="CM13" s="8">
        <v>0</v>
      </c>
      <c r="CN13" s="9">
        <v>0</v>
      </c>
      <c r="CO13" s="7">
        <v>0</v>
      </c>
      <c r="CP13" s="8">
        <v>0</v>
      </c>
      <c r="CQ13" s="9">
        <v>0</v>
      </c>
      <c r="CR13" s="7">
        <v>0</v>
      </c>
      <c r="CS13" s="8">
        <v>0</v>
      </c>
      <c r="CT13" s="9">
        <v>0</v>
      </c>
      <c r="CU13" s="7">
        <v>0</v>
      </c>
      <c r="CV13" s="8">
        <v>0</v>
      </c>
      <c r="CW13" s="9">
        <v>0</v>
      </c>
      <c r="CX13" s="7">
        <v>0</v>
      </c>
      <c r="CY13" s="8">
        <v>0</v>
      </c>
      <c r="CZ13" s="9">
        <v>0</v>
      </c>
      <c r="DA13" s="7">
        <v>0</v>
      </c>
      <c r="DB13" s="8">
        <v>0</v>
      </c>
      <c r="DC13" s="9">
        <v>0</v>
      </c>
      <c r="DD13" s="7">
        <v>0</v>
      </c>
      <c r="DE13" s="8">
        <v>0</v>
      </c>
      <c r="DF13" s="9">
        <v>0</v>
      </c>
      <c r="DG13" s="7">
        <v>0</v>
      </c>
      <c r="DH13" s="8">
        <v>0</v>
      </c>
      <c r="DI13" s="9">
        <v>0</v>
      </c>
      <c r="DJ13" s="7">
        <v>0</v>
      </c>
      <c r="DK13" s="8">
        <v>0</v>
      </c>
      <c r="DL13" s="9">
        <v>0</v>
      </c>
      <c r="DM13" s="7">
        <v>0</v>
      </c>
      <c r="DN13" s="8">
        <v>0</v>
      </c>
      <c r="DO13" s="9">
        <v>0</v>
      </c>
      <c r="DP13" s="7">
        <v>0</v>
      </c>
      <c r="DQ13" s="8">
        <v>0</v>
      </c>
      <c r="DR13" s="9">
        <v>0</v>
      </c>
      <c r="DS13" s="7">
        <v>0</v>
      </c>
      <c r="DT13" s="8">
        <v>0</v>
      </c>
      <c r="DU13" s="9">
        <v>0</v>
      </c>
      <c r="DV13" s="7">
        <v>0</v>
      </c>
      <c r="DW13" s="8">
        <v>0</v>
      </c>
      <c r="DX13" s="9">
        <v>0</v>
      </c>
      <c r="DY13" s="7">
        <v>0</v>
      </c>
      <c r="DZ13" s="8">
        <v>0</v>
      </c>
      <c r="EA13" s="9">
        <v>0</v>
      </c>
      <c r="EB13" s="7">
        <v>0</v>
      </c>
      <c r="EC13" s="8">
        <v>0</v>
      </c>
      <c r="ED13" s="9">
        <v>0</v>
      </c>
      <c r="EE13" s="7">
        <v>0</v>
      </c>
      <c r="EF13" s="8">
        <v>0</v>
      </c>
      <c r="EG13" s="9">
        <v>0</v>
      </c>
      <c r="EH13" s="7">
        <v>0</v>
      </c>
      <c r="EI13" s="8">
        <v>0</v>
      </c>
      <c r="EJ13" s="9">
        <v>0</v>
      </c>
      <c r="EK13" s="7">
        <v>0</v>
      </c>
      <c r="EL13" s="8">
        <v>0</v>
      </c>
      <c r="EM13" s="9">
        <v>0</v>
      </c>
      <c r="EN13" s="7">
        <v>0</v>
      </c>
      <c r="EO13" s="8">
        <v>0</v>
      </c>
      <c r="EP13" s="9">
        <v>0</v>
      </c>
      <c r="EQ13" s="7">
        <v>0</v>
      </c>
      <c r="ER13" s="8">
        <v>0</v>
      </c>
      <c r="ES13" s="9">
        <v>0</v>
      </c>
      <c r="ET13" s="7">
        <v>0</v>
      </c>
      <c r="EU13" s="8">
        <v>0</v>
      </c>
      <c r="EV13" s="9">
        <v>0</v>
      </c>
      <c r="EW13" s="7">
        <v>0</v>
      </c>
      <c r="EX13" s="8">
        <v>0</v>
      </c>
      <c r="EY13" s="9">
        <v>0</v>
      </c>
      <c r="EZ13" s="7">
        <v>0</v>
      </c>
      <c r="FA13" s="8">
        <v>0</v>
      </c>
      <c r="FB13" s="9">
        <v>0</v>
      </c>
      <c r="FC13" s="7">
        <v>0</v>
      </c>
      <c r="FD13" s="8">
        <v>0</v>
      </c>
      <c r="FE13" s="9">
        <v>0</v>
      </c>
      <c r="FF13" s="7">
        <v>0</v>
      </c>
      <c r="FG13" s="8">
        <v>0</v>
      </c>
      <c r="FH13" s="9">
        <v>0</v>
      </c>
      <c r="FI13" s="7">
        <v>0</v>
      </c>
      <c r="FJ13" s="8">
        <v>0</v>
      </c>
      <c r="FK13" s="9">
        <v>0</v>
      </c>
      <c r="FL13" s="7">
        <v>0</v>
      </c>
      <c r="FM13" s="8">
        <v>0</v>
      </c>
      <c r="FN13" s="9">
        <v>0</v>
      </c>
      <c r="FO13" s="7">
        <v>0</v>
      </c>
      <c r="FP13" s="8">
        <v>0</v>
      </c>
      <c r="FQ13" s="9">
        <v>0</v>
      </c>
      <c r="FR13" s="7">
        <v>0</v>
      </c>
      <c r="FS13" s="8">
        <v>0</v>
      </c>
      <c r="FT13" s="9">
        <v>0</v>
      </c>
      <c r="FU13" s="7">
        <v>0</v>
      </c>
      <c r="FV13" s="8">
        <v>0</v>
      </c>
      <c r="FW13" s="9">
        <v>0</v>
      </c>
      <c r="FX13" s="7">
        <v>0</v>
      </c>
      <c r="FY13" s="8">
        <v>0</v>
      </c>
      <c r="FZ13" s="9">
        <v>0</v>
      </c>
      <c r="GA13" s="7">
        <v>0</v>
      </c>
      <c r="GB13" s="8">
        <v>0</v>
      </c>
      <c r="GC13" s="9">
        <v>0</v>
      </c>
      <c r="GD13" s="7">
        <v>0</v>
      </c>
      <c r="GE13" s="8">
        <v>0</v>
      </c>
      <c r="GF13" s="9">
        <v>0</v>
      </c>
      <c r="GG13" s="7">
        <v>0</v>
      </c>
      <c r="GH13" s="8">
        <v>0</v>
      </c>
      <c r="GI13" s="9">
        <v>0</v>
      </c>
      <c r="GJ13" s="7">
        <v>0</v>
      </c>
      <c r="GK13" s="8">
        <v>0</v>
      </c>
      <c r="GL13" s="9">
        <v>0</v>
      </c>
      <c r="GM13" s="7">
        <v>0</v>
      </c>
      <c r="GN13" s="8">
        <v>0</v>
      </c>
      <c r="GO13" s="9">
        <v>0</v>
      </c>
      <c r="GP13" s="7">
        <v>0</v>
      </c>
      <c r="GQ13" s="8">
        <v>0</v>
      </c>
      <c r="GR13" s="9">
        <v>0</v>
      </c>
      <c r="GS13" s="7">
        <v>0</v>
      </c>
      <c r="GT13" s="8">
        <v>0</v>
      </c>
      <c r="GU13" s="9">
        <v>0</v>
      </c>
      <c r="GV13" s="7">
        <v>0</v>
      </c>
      <c r="GW13" s="8">
        <v>0</v>
      </c>
      <c r="GX13" s="9">
        <v>0</v>
      </c>
      <c r="GY13" s="7">
        <v>0</v>
      </c>
      <c r="GZ13" s="8">
        <v>0</v>
      </c>
      <c r="HA13" s="9">
        <v>0</v>
      </c>
      <c r="HB13" s="7">
        <v>0</v>
      </c>
      <c r="HC13" s="8">
        <v>0</v>
      </c>
      <c r="HD13" s="9">
        <v>0</v>
      </c>
      <c r="HE13" s="7">
        <v>0</v>
      </c>
      <c r="HF13" s="8">
        <v>0</v>
      </c>
      <c r="HG13" s="9">
        <v>0</v>
      </c>
      <c r="HH13" s="7">
        <v>0</v>
      </c>
      <c r="HI13" s="8">
        <v>0</v>
      </c>
      <c r="HJ13" s="9">
        <v>0</v>
      </c>
      <c r="HK13" s="7">
        <v>0</v>
      </c>
      <c r="HL13" s="8">
        <v>0</v>
      </c>
      <c r="HM13" s="9">
        <v>0</v>
      </c>
      <c r="HN13" s="7">
        <v>0</v>
      </c>
      <c r="HO13" s="8">
        <v>0</v>
      </c>
      <c r="HP13" s="9">
        <v>0</v>
      </c>
    </row>
    <row r="14" spans="1:224" x14ac:dyDescent="0.25">
      <c r="A14" s="23" t="s">
        <v>165</v>
      </c>
      <c r="B14" s="26" t="s">
        <v>166</v>
      </c>
      <c r="C14" s="7">
        <v>-2720978.14</v>
      </c>
      <c r="D14" s="8">
        <v>-2521259.1451989901</v>
      </c>
      <c r="E14" s="9">
        <v>-3361000</v>
      </c>
      <c r="F14" s="7">
        <v>-75840.14</v>
      </c>
      <c r="G14" s="8">
        <v>-79999.999999986001</v>
      </c>
      <c r="H14" s="9">
        <v>-100000</v>
      </c>
      <c r="I14" s="7">
        <v>-410283.02</v>
      </c>
      <c r="J14" s="8">
        <v>-436259.14519921399</v>
      </c>
      <c r="K14" s="9">
        <v>-300000</v>
      </c>
      <c r="L14" s="7">
        <v>-101201.96</v>
      </c>
      <c r="M14" s="8">
        <v>-99999.999999981999</v>
      </c>
      <c r="N14" s="9">
        <v>-90000</v>
      </c>
      <c r="O14" s="7">
        <v>-127311.14</v>
      </c>
      <c r="P14" s="8">
        <v>-199999.99999997701</v>
      </c>
      <c r="Q14" s="9">
        <v>-400000</v>
      </c>
      <c r="R14" s="7">
        <v>-14966.45</v>
      </c>
      <c r="S14" s="8">
        <v>-14999.999999996</v>
      </c>
      <c r="T14" s="9">
        <v>-15000</v>
      </c>
      <c r="U14" s="7">
        <v>-140340.54999999999</v>
      </c>
      <c r="V14" s="8">
        <v>-139999.99999999499</v>
      </c>
      <c r="W14" s="9">
        <v>-100000</v>
      </c>
      <c r="X14" s="7">
        <v>-346297.41</v>
      </c>
      <c r="Y14" s="8">
        <v>-629999.99999999499</v>
      </c>
      <c r="Z14" s="9">
        <v>-700000</v>
      </c>
      <c r="AA14" s="7">
        <v>-19200.73</v>
      </c>
      <c r="AB14" s="8">
        <v>-19999.999999991</v>
      </c>
      <c r="AC14" s="9">
        <v>-15000</v>
      </c>
      <c r="AD14" s="7">
        <v>-21210.75</v>
      </c>
      <c r="AE14" s="8">
        <v>-19999.999999994001</v>
      </c>
      <c r="AF14" s="9">
        <v>-60000</v>
      </c>
      <c r="AG14" s="7">
        <v>-422529.75</v>
      </c>
      <c r="AH14" s="8">
        <v>-369999.99999996298</v>
      </c>
      <c r="AI14" s="9">
        <v>-370000</v>
      </c>
      <c r="AJ14" s="7">
        <v>-45935.68</v>
      </c>
      <c r="AK14" s="8">
        <v>-34999.999999993001</v>
      </c>
      <c r="AL14" s="9">
        <v>-50000</v>
      </c>
      <c r="AM14" s="7">
        <v>-21388.84</v>
      </c>
      <c r="AN14" s="8">
        <v>-24999.999999995998</v>
      </c>
      <c r="AO14" s="9">
        <v>-25000</v>
      </c>
      <c r="AP14" s="7">
        <v>-73423.42</v>
      </c>
      <c r="AQ14" s="8">
        <v>-89999.999999994994</v>
      </c>
      <c r="AR14" s="9">
        <v>-90000</v>
      </c>
      <c r="AS14" s="7">
        <v>0</v>
      </c>
      <c r="AT14" s="8">
        <v>0</v>
      </c>
      <c r="AU14" s="9">
        <v>0</v>
      </c>
      <c r="AV14" s="7">
        <v>0</v>
      </c>
      <c r="AW14" s="8">
        <v>0</v>
      </c>
      <c r="AX14" s="9">
        <v>0</v>
      </c>
      <c r="AY14" s="7">
        <v>-142231.87</v>
      </c>
      <c r="AZ14" s="8">
        <v>-124999.999999982</v>
      </c>
      <c r="BA14" s="9">
        <v>-160000</v>
      </c>
      <c r="BB14" s="7">
        <v>-89666.55</v>
      </c>
      <c r="BC14" s="8">
        <v>-59999.999999988999</v>
      </c>
      <c r="BD14" s="9">
        <v>-100000</v>
      </c>
      <c r="BE14" s="7">
        <v>-2430.33</v>
      </c>
      <c r="BF14" s="8">
        <v>-4999.999999998</v>
      </c>
      <c r="BG14" s="9">
        <v>-5000</v>
      </c>
      <c r="BH14" s="7">
        <v>0</v>
      </c>
      <c r="BI14" s="8">
        <v>0</v>
      </c>
      <c r="BJ14" s="9">
        <v>0</v>
      </c>
      <c r="BK14" s="7">
        <v>-842.73</v>
      </c>
      <c r="BL14" s="8">
        <v>-4999.999999998</v>
      </c>
      <c r="BM14" s="9">
        <v>-4000</v>
      </c>
      <c r="BN14" s="7">
        <v>-240550.78</v>
      </c>
      <c r="BO14" s="8">
        <v>-229999.99999998801</v>
      </c>
      <c r="BP14" s="9">
        <v>-250000</v>
      </c>
      <c r="BQ14" s="7">
        <v>0</v>
      </c>
      <c r="BR14" s="8">
        <v>0</v>
      </c>
      <c r="BS14" s="9">
        <v>0</v>
      </c>
      <c r="BT14" s="7">
        <v>0</v>
      </c>
      <c r="BU14" s="8">
        <v>0</v>
      </c>
      <c r="BV14" s="9">
        <v>0</v>
      </c>
      <c r="BW14" s="7">
        <v>-65643.289999999994</v>
      </c>
      <c r="BX14" s="8">
        <v>-74999.999999994994</v>
      </c>
      <c r="BY14" s="9">
        <v>-75000</v>
      </c>
      <c r="BZ14" s="7">
        <v>-6689.51</v>
      </c>
      <c r="CA14" s="8">
        <v>-9999.9999999979991</v>
      </c>
      <c r="CB14" s="9">
        <v>-10000</v>
      </c>
      <c r="CC14" s="7">
        <v>0</v>
      </c>
      <c r="CD14" s="8">
        <v>0</v>
      </c>
      <c r="CE14" s="9">
        <v>0</v>
      </c>
      <c r="CF14" s="7">
        <v>0</v>
      </c>
      <c r="CG14" s="8">
        <v>0</v>
      </c>
      <c r="CH14" s="9">
        <v>0</v>
      </c>
      <c r="CI14" s="7">
        <v>0</v>
      </c>
      <c r="CJ14" s="8">
        <v>0</v>
      </c>
      <c r="CK14" s="9">
        <v>0</v>
      </c>
      <c r="CL14" s="7">
        <v>-6201.13</v>
      </c>
      <c r="CM14" s="8">
        <v>-9999.9999999970005</v>
      </c>
      <c r="CN14" s="9">
        <v>-10000</v>
      </c>
      <c r="CO14" s="7">
        <v>-77832.97</v>
      </c>
      <c r="CP14" s="8">
        <v>-74999.999999984997</v>
      </c>
      <c r="CQ14" s="9">
        <v>-100000</v>
      </c>
      <c r="CR14" s="7">
        <v>0</v>
      </c>
      <c r="CS14" s="8">
        <v>0</v>
      </c>
      <c r="CT14" s="9">
        <v>0</v>
      </c>
      <c r="CU14" s="7">
        <v>-1184.6199999999999</v>
      </c>
      <c r="CV14" s="8">
        <v>-999.99999999600004</v>
      </c>
      <c r="CW14" s="9">
        <v>-2000</v>
      </c>
      <c r="CX14" s="7">
        <v>0</v>
      </c>
      <c r="CY14" s="8">
        <v>0</v>
      </c>
      <c r="CZ14" s="9">
        <v>0</v>
      </c>
      <c r="DA14" s="7">
        <v>0</v>
      </c>
      <c r="DB14" s="8">
        <v>0</v>
      </c>
      <c r="DC14" s="9">
        <v>0</v>
      </c>
      <c r="DD14" s="7">
        <v>0</v>
      </c>
      <c r="DE14" s="8">
        <v>0</v>
      </c>
      <c r="DF14" s="9">
        <v>0</v>
      </c>
      <c r="DG14" s="7">
        <v>0</v>
      </c>
      <c r="DH14" s="8">
        <v>0</v>
      </c>
      <c r="DI14" s="9">
        <v>0</v>
      </c>
      <c r="DJ14" s="7">
        <v>0</v>
      </c>
      <c r="DK14" s="8">
        <v>0</v>
      </c>
      <c r="DL14" s="9">
        <v>0</v>
      </c>
      <c r="DM14" s="7">
        <v>0</v>
      </c>
      <c r="DN14" s="8">
        <v>0</v>
      </c>
      <c r="DO14" s="9">
        <v>0</v>
      </c>
      <c r="DP14" s="7">
        <v>0</v>
      </c>
      <c r="DQ14" s="8">
        <v>0</v>
      </c>
      <c r="DR14" s="9">
        <v>0</v>
      </c>
      <c r="DS14" s="7">
        <v>0</v>
      </c>
      <c r="DT14" s="8">
        <v>0</v>
      </c>
      <c r="DU14" s="9">
        <v>0</v>
      </c>
      <c r="DV14" s="7">
        <v>0</v>
      </c>
      <c r="DW14" s="8">
        <v>0</v>
      </c>
      <c r="DX14" s="9">
        <v>0</v>
      </c>
      <c r="DY14" s="7">
        <v>0</v>
      </c>
      <c r="DZ14" s="8">
        <v>0</v>
      </c>
      <c r="EA14" s="9">
        <v>0</v>
      </c>
      <c r="EB14" s="7">
        <v>0</v>
      </c>
      <c r="EC14" s="8">
        <v>0</v>
      </c>
      <c r="ED14" s="9">
        <v>0</v>
      </c>
      <c r="EE14" s="7">
        <v>0</v>
      </c>
      <c r="EF14" s="8">
        <v>0</v>
      </c>
      <c r="EG14" s="9">
        <v>0</v>
      </c>
      <c r="EH14" s="7">
        <v>0</v>
      </c>
      <c r="EI14" s="8">
        <v>0</v>
      </c>
      <c r="EJ14" s="9">
        <v>0</v>
      </c>
      <c r="EK14" s="7">
        <v>-106254.27</v>
      </c>
      <c r="EL14" s="8">
        <v>-109999.999999989</v>
      </c>
      <c r="EM14" s="9">
        <v>-90000</v>
      </c>
      <c r="EN14" s="7">
        <v>0</v>
      </c>
      <c r="EO14" s="8">
        <v>0</v>
      </c>
      <c r="EP14" s="9">
        <v>0</v>
      </c>
      <c r="EQ14" s="7">
        <v>0</v>
      </c>
      <c r="ER14" s="8">
        <v>0</v>
      </c>
      <c r="ES14" s="9">
        <v>0</v>
      </c>
      <c r="ET14" s="7">
        <v>0</v>
      </c>
      <c r="EU14" s="8">
        <v>0</v>
      </c>
      <c r="EV14" s="9">
        <v>0</v>
      </c>
      <c r="EW14" s="7">
        <v>0</v>
      </c>
      <c r="EX14" s="8">
        <v>0</v>
      </c>
      <c r="EY14" s="9">
        <v>0</v>
      </c>
      <c r="EZ14" s="7">
        <v>0</v>
      </c>
      <c r="FA14" s="8">
        <v>0</v>
      </c>
      <c r="FB14" s="9">
        <v>0</v>
      </c>
      <c r="FC14" s="7">
        <v>-161520.25</v>
      </c>
      <c r="FD14" s="8">
        <v>-149999.999999994</v>
      </c>
      <c r="FE14" s="9">
        <v>-240000</v>
      </c>
      <c r="FF14" s="7">
        <v>0</v>
      </c>
      <c r="FG14" s="8">
        <v>0</v>
      </c>
      <c r="FH14" s="9">
        <v>0</v>
      </c>
      <c r="FI14" s="7">
        <v>0</v>
      </c>
      <c r="FJ14" s="8">
        <v>0</v>
      </c>
      <c r="FK14" s="9">
        <v>0</v>
      </c>
      <c r="FL14" s="7">
        <v>0</v>
      </c>
      <c r="FM14" s="8">
        <v>0</v>
      </c>
      <c r="FN14" s="9">
        <v>0</v>
      </c>
      <c r="FO14" s="7">
        <v>0</v>
      </c>
      <c r="FP14" s="8">
        <v>0</v>
      </c>
      <c r="FQ14" s="9">
        <v>0</v>
      </c>
      <c r="FR14" s="7">
        <v>0</v>
      </c>
      <c r="FS14" s="8">
        <v>0</v>
      </c>
      <c r="FT14" s="9">
        <v>0</v>
      </c>
      <c r="FU14" s="7">
        <v>0</v>
      </c>
      <c r="FV14" s="8">
        <v>0</v>
      </c>
      <c r="FW14" s="9">
        <v>0</v>
      </c>
      <c r="FX14" s="7">
        <v>0</v>
      </c>
      <c r="FY14" s="8">
        <v>496000</v>
      </c>
      <c r="FZ14" s="9">
        <v>0</v>
      </c>
      <c r="GA14" s="7">
        <v>0</v>
      </c>
      <c r="GB14" s="8">
        <v>0</v>
      </c>
      <c r="GC14" s="9">
        <v>0</v>
      </c>
      <c r="GD14" s="7">
        <v>0</v>
      </c>
      <c r="GE14" s="8">
        <v>0</v>
      </c>
      <c r="GF14" s="9">
        <v>0</v>
      </c>
      <c r="GG14" s="7">
        <v>0</v>
      </c>
      <c r="GH14" s="8">
        <v>0</v>
      </c>
      <c r="GI14" s="9">
        <v>0</v>
      </c>
      <c r="GJ14" s="7">
        <v>0</v>
      </c>
      <c r="GK14" s="8">
        <v>0</v>
      </c>
      <c r="GL14" s="9">
        <v>0</v>
      </c>
      <c r="GM14" s="7">
        <v>0</v>
      </c>
      <c r="GN14" s="8">
        <v>0</v>
      </c>
      <c r="GO14" s="9">
        <v>0</v>
      </c>
      <c r="GP14" s="7">
        <v>0</v>
      </c>
      <c r="GQ14" s="8">
        <v>0</v>
      </c>
      <c r="GR14" s="9">
        <v>0</v>
      </c>
      <c r="GS14" s="7">
        <v>0</v>
      </c>
      <c r="GT14" s="8">
        <v>0</v>
      </c>
      <c r="GU14" s="9">
        <v>0</v>
      </c>
      <c r="GV14" s="7">
        <v>0</v>
      </c>
      <c r="GW14" s="8">
        <v>0</v>
      </c>
      <c r="GX14" s="9">
        <v>0</v>
      </c>
      <c r="GY14" s="7">
        <v>0</v>
      </c>
      <c r="GZ14" s="8">
        <v>0</v>
      </c>
      <c r="HA14" s="9">
        <v>0</v>
      </c>
      <c r="HB14" s="7">
        <v>0</v>
      </c>
      <c r="HC14" s="8">
        <v>0</v>
      </c>
      <c r="HD14" s="9">
        <v>0</v>
      </c>
      <c r="HE14" s="7">
        <v>0</v>
      </c>
      <c r="HF14" s="8">
        <v>0</v>
      </c>
      <c r="HG14" s="9">
        <v>0</v>
      </c>
      <c r="HH14" s="7">
        <v>0</v>
      </c>
      <c r="HI14" s="8">
        <v>0</v>
      </c>
      <c r="HJ14" s="9">
        <v>0</v>
      </c>
      <c r="HK14" s="7">
        <v>0</v>
      </c>
      <c r="HL14" s="8">
        <v>0</v>
      </c>
      <c r="HM14" s="9">
        <v>0</v>
      </c>
      <c r="HN14" s="7">
        <v>0</v>
      </c>
      <c r="HO14" s="8">
        <v>0</v>
      </c>
      <c r="HP14" s="9">
        <v>0</v>
      </c>
    </row>
    <row r="15" spans="1:224" x14ac:dyDescent="0.25">
      <c r="A15" s="23" t="s">
        <v>167</v>
      </c>
      <c r="B15" s="26" t="s">
        <v>168</v>
      </c>
      <c r="C15" s="7">
        <v>-1499551.17</v>
      </c>
      <c r="D15" s="8">
        <v>-1768356.84378694</v>
      </c>
      <c r="E15" s="9">
        <v>-1855000</v>
      </c>
      <c r="F15" s="7">
        <v>0</v>
      </c>
      <c r="G15" s="8">
        <v>0</v>
      </c>
      <c r="H15" s="9">
        <v>0</v>
      </c>
      <c r="I15" s="7">
        <v>0</v>
      </c>
      <c r="J15" s="8">
        <v>0</v>
      </c>
      <c r="K15" s="9">
        <v>0</v>
      </c>
      <c r="L15" s="7">
        <v>0</v>
      </c>
      <c r="M15" s="8">
        <v>0</v>
      </c>
      <c r="N15" s="9">
        <v>0</v>
      </c>
      <c r="O15" s="7">
        <v>0</v>
      </c>
      <c r="P15" s="8">
        <v>0</v>
      </c>
      <c r="Q15" s="9">
        <v>0</v>
      </c>
      <c r="R15" s="7">
        <v>0</v>
      </c>
      <c r="S15" s="8">
        <v>0</v>
      </c>
      <c r="T15" s="9">
        <v>0</v>
      </c>
      <c r="U15" s="7">
        <v>0</v>
      </c>
      <c r="V15" s="8">
        <v>0</v>
      </c>
      <c r="W15" s="9">
        <v>0</v>
      </c>
      <c r="X15" s="7">
        <v>0</v>
      </c>
      <c r="Y15" s="8">
        <v>0</v>
      </c>
      <c r="Z15" s="9">
        <v>0</v>
      </c>
      <c r="AA15" s="7">
        <v>0</v>
      </c>
      <c r="AB15" s="8">
        <v>0</v>
      </c>
      <c r="AC15" s="9">
        <v>0</v>
      </c>
      <c r="AD15" s="7">
        <v>0</v>
      </c>
      <c r="AE15" s="8">
        <v>0</v>
      </c>
      <c r="AF15" s="9">
        <v>0</v>
      </c>
      <c r="AG15" s="7">
        <v>-1249506.1599999999</v>
      </c>
      <c r="AH15" s="8">
        <v>-1320356.84378694</v>
      </c>
      <c r="AI15" s="9">
        <v>-1700000</v>
      </c>
      <c r="AJ15" s="7">
        <v>0</v>
      </c>
      <c r="AK15" s="8">
        <v>0</v>
      </c>
      <c r="AL15" s="9">
        <v>0</v>
      </c>
      <c r="AM15" s="7">
        <v>0</v>
      </c>
      <c r="AN15" s="8">
        <v>0</v>
      </c>
      <c r="AO15" s="9">
        <v>0</v>
      </c>
      <c r="AP15" s="7">
        <v>0</v>
      </c>
      <c r="AQ15" s="8">
        <v>0</v>
      </c>
      <c r="AR15" s="9">
        <v>0</v>
      </c>
      <c r="AS15" s="7">
        <v>0</v>
      </c>
      <c r="AT15" s="8">
        <v>0</v>
      </c>
      <c r="AU15" s="9">
        <v>0</v>
      </c>
      <c r="AV15" s="7">
        <v>0</v>
      </c>
      <c r="AW15" s="8">
        <v>0</v>
      </c>
      <c r="AX15" s="9">
        <v>0</v>
      </c>
      <c r="AY15" s="7">
        <v>0</v>
      </c>
      <c r="AZ15" s="8">
        <v>0</v>
      </c>
      <c r="BA15" s="9">
        <v>0</v>
      </c>
      <c r="BB15" s="7">
        <v>0</v>
      </c>
      <c r="BC15" s="8">
        <v>-30000</v>
      </c>
      <c r="BD15" s="9">
        <v>0</v>
      </c>
      <c r="BE15" s="7">
        <v>0</v>
      </c>
      <c r="BF15" s="8">
        <v>0</v>
      </c>
      <c r="BG15" s="9">
        <v>0</v>
      </c>
      <c r="BH15" s="7">
        <v>0</v>
      </c>
      <c r="BI15" s="8">
        <v>0</v>
      </c>
      <c r="BJ15" s="9">
        <v>0</v>
      </c>
      <c r="BK15" s="7">
        <v>0</v>
      </c>
      <c r="BL15" s="8">
        <v>0</v>
      </c>
      <c r="BM15" s="9">
        <v>0</v>
      </c>
      <c r="BN15" s="7">
        <v>0</v>
      </c>
      <c r="BO15" s="8">
        <v>0</v>
      </c>
      <c r="BP15" s="9">
        <v>0</v>
      </c>
      <c r="BQ15" s="7">
        <v>0</v>
      </c>
      <c r="BR15" s="8">
        <v>0</v>
      </c>
      <c r="BS15" s="9">
        <v>0</v>
      </c>
      <c r="BT15" s="7">
        <v>0</v>
      </c>
      <c r="BU15" s="8">
        <v>0</v>
      </c>
      <c r="BV15" s="9">
        <v>0</v>
      </c>
      <c r="BW15" s="7">
        <v>0</v>
      </c>
      <c r="BX15" s="8">
        <v>0</v>
      </c>
      <c r="BY15" s="9">
        <v>0</v>
      </c>
      <c r="BZ15" s="7">
        <v>0</v>
      </c>
      <c r="CA15" s="8">
        <v>0</v>
      </c>
      <c r="CB15" s="9">
        <v>0</v>
      </c>
      <c r="CC15" s="7">
        <v>0</v>
      </c>
      <c r="CD15" s="8">
        <v>0</v>
      </c>
      <c r="CE15" s="9">
        <v>0</v>
      </c>
      <c r="CF15" s="7">
        <v>0</v>
      </c>
      <c r="CG15" s="8">
        <v>0</v>
      </c>
      <c r="CH15" s="9">
        <v>0</v>
      </c>
      <c r="CI15" s="7">
        <v>0</v>
      </c>
      <c r="CJ15" s="8">
        <v>0</v>
      </c>
      <c r="CK15" s="9">
        <v>0</v>
      </c>
      <c r="CL15" s="7">
        <v>0</v>
      </c>
      <c r="CM15" s="8">
        <v>0</v>
      </c>
      <c r="CN15" s="9">
        <v>0</v>
      </c>
      <c r="CO15" s="7">
        <v>-247471.01</v>
      </c>
      <c r="CP15" s="8">
        <v>-329999.99999999901</v>
      </c>
      <c r="CQ15" s="9">
        <v>-150000</v>
      </c>
      <c r="CR15" s="7">
        <v>0</v>
      </c>
      <c r="CS15" s="8">
        <v>0</v>
      </c>
      <c r="CT15" s="9">
        <v>0</v>
      </c>
      <c r="CU15" s="7">
        <v>0</v>
      </c>
      <c r="CV15" s="8">
        <v>0</v>
      </c>
      <c r="CW15" s="9">
        <v>0</v>
      </c>
      <c r="CX15" s="7">
        <v>0</v>
      </c>
      <c r="CY15" s="8">
        <v>0</v>
      </c>
      <c r="CZ15" s="9">
        <v>0</v>
      </c>
      <c r="DA15" s="7">
        <v>0</v>
      </c>
      <c r="DB15" s="8">
        <v>0</v>
      </c>
      <c r="DC15" s="9">
        <v>0</v>
      </c>
      <c r="DD15" s="7">
        <v>0</v>
      </c>
      <c r="DE15" s="8">
        <v>0</v>
      </c>
      <c r="DF15" s="9">
        <v>0</v>
      </c>
      <c r="DG15" s="7">
        <v>0</v>
      </c>
      <c r="DH15" s="8">
        <v>0</v>
      </c>
      <c r="DI15" s="9">
        <v>0</v>
      </c>
      <c r="DJ15" s="7">
        <v>0</v>
      </c>
      <c r="DK15" s="8">
        <v>0</v>
      </c>
      <c r="DL15" s="9">
        <v>0</v>
      </c>
      <c r="DM15" s="7">
        <v>0</v>
      </c>
      <c r="DN15" s="8">
        <v>0</v>
      </c>
      <c r="DO15" s="9">
        <v>0</v>
      </c>
      <c r="DP15" s="7">
        <v>0</v>
      </c>
      <c r="DQ15" s="8">
        <v>0</v>
      </c>
      <c r="DR15" s="9">
        <v>0</v>
      </c>
      <c r="DS15" s="7">
        <v>0</v>
      </c>
      <c r="DT15" s="8">
        <v>0</v>
      </c>
      <c r="DU15" s="9">
        <v>0</v>
      </c>
      <c r="DV15" s="7">
        <v>-2574</v>
      </c>
      <c r="DW15" s="8">
        <v>-3000</v>
      </c>
      <c r="DX15" s="9">
        <v>0</v>
      </c>
      <c r="DY15" s="7">
        <v>0</v>
      </c>
      <c r="DZ15" s="8">
        <v>0</v>
      </c>
      <c r="EA15" s="9">
        <v>0</v>
      </c>
      <c r="EB15" s="7">
        <v>0</v>
      </c>
      <c r="EC15" s="8">
        <v>0</v>
      </c>
      <c r="ED15" s="9">
        <v>0</v>
      </c>
      <c r="EE15" s="7">
        <v>0</v>
      </c>
      <c r="EF15" s="8">
        <v>0</v>
      </c>
      <c r="EG15" s="9">
        <v>0</v>
      </c>
      <c r="EH15" s="7">
        <v>0</v>
      </c>
      <c r="EI15" s="8">
        <v>0</v>
      </c>
      <c r="EJ15" s="9">
        <v>0</v>
      </c>
      <c r="EK15" s="7">
        <v>0</v>
      </c>
      <c r="EL15" s="8">
        <v>-5000</v>
      </c>
      <c r="EM15" s="9">
        <v>-5000</v>
      </c>
      <c r="EN15" s="7">
        <v>0</v>
      </c>
      <c r="EO15" s="8">
        <v>0</v>
      </c>
      <c r="EP15" s="9">
        <v>0</v>
      </c>
      <c r="EQ15" s="7">
        <v>0</v>
      </c>
      <c r="ER15" s="8">
        <v>0</v>
      </c>
      <c r="ES15" s="9">
        <v>0</v>
      </c>
      <c r="ET15" s="7">
        <v>0</v>
      </c>
      <c r="EU15" s="8">
        <v>0</v>
      </c>
      <c r="EV15" s="9">
        <v>0</v>
      </c>
      <c r="EW15" s="7">
        <v>0</v>
      </c>
      <c r="EX15" s="8">
        <v>0</v>
      </c>
      <c r="EY15" s="9">
        <v>0</v>
      </c>
      <c r="EZ15" s="7">
        <v>0</v>
      </c>
      <c r="FA15" s="8">
        <v>0</v>
      </c>
      <c r="FB15" s="9">
        <v>0</v>
      </c>
      <c r="FC15" s="7">
        <v>0</v>
      </c>
      <c r="FD15" s="8">
        <v>0</v>
      </c>
      <c r="FE15" s="9">
        <v>0</v>
      </c>
      <c r="FF15" s="7">
        <v>0</v>
      </c>
      <c r="FG15" s="8">
        <v>0</v>
      </c>
      <c r="FH15" s="9">
        <v>0</v>
      </c>
      <c r="FI15" s="7">
        <v>0</v>
      </c>
      <c r="FJ15" s="8">
        <v>0</v>
      </c>
      <c r="FK15" s="9">
        <v>0</v>
      </c>
      <c r="FL15" s="7">
        <v>0</v>
      </c>
      <c r="FM15" s="8">
        <v>0</v>
      </c>
      <c r="FN15" s="9">
        <v>0</v>
      </c>
      <c r="FO15" s="7">
        <v>0</v>
      </c>
      <c r="FP15" s="8">
        <v>0</v>
      </c>
      <c r="FQ15" s="9">
        <v>0</v>
      </c>
      <c r="FR15" s="7">
        <v>0</v>
      </c>
      <c r="FS15" s="8">
        <v>0</v>
      </c>
      <c r="FT15" s="9">
        <v>0</v>
      </c>
      <c r="FU15" s="7">
        <v>0</v>
      </c>
      <c r="FV15" s="8">
        <v>0</v>
      </c>
      <c r="FW15" s="9">
        <v>0</v>
      </c>
      <c r="FX15" s="7">
        <v>0</v>
      </c>
      <c r="FY15" s="8">
        <v>-80000</v>
      </c>
      <c r="FZ15" s="9">
        <v>0</v>
      </c>
      <c r="GA15" s="7">
        <v>0</v>
      </c>
      <c r="GB15" s="8">
        <v>0</v>
      </c>
      <c r="GC15" s="9">
        <v>0</v>
      </c>
      <c r="GD15" s="7">
        <v>0</v>
      </c>
      <c r="GE15" s="8">
        <v>0</v>
      </c>
      <c r="GF15" s="9">
        <v>0</v>
      </c>
      <c r="GG15" s="7">
        <v>0</v>
      </c>
      <c r="GH15" s="8">
        <v>0</v>
      </c>
      <c r="GI15" s="9">
        <v>0</v>
      </c>
      <c r="GJ15" s="7">
        <v>0</v>
      </c>
      <c r="GK15" s="8">
        <v>0</v>
      </c>
      <c r="GL15" s="9">
        <v>0</v>
      </c>
      <c r="GM15" s="7">
        <v>0</v>
      </c>
      <c r="GN15" s="8">
        <v>0</v>
      </c>
      <c r="GO15" s="9">
        <v>0</v>
      </c>
      <c r="GP15" s="7">
        <v>0</v>
      </c>
      <c r="GQ15" s="8">
        <v>0</v>
      </c>
      <c r="GR15" s="9">
        <v>0</v>
      </c>
      <c r="GS15" s="7">
        <v>0</v>
      </c>
      <c r="GT15" s="8">
        <v>0</v>
      </c>
      <c r="GU15" s="9">
        <v>0</v>
      </c>
      <c r="GV15" s="7">
        <v>0</v>
      </c>
      <c r="GW15" s="8">
        <v>0</v>
      </c>
      <c r="GX15" s="9">
        <v>0</v>
      </c>
      <c r="GY15" s="7">
        <v>0</v>
      </c>
      <c r="GZ15" s="8">
        <v>0</v>
      </c>
      <c r="HA15" s="9">
        <v>0</v>
      </c>
      <c r="HB15" s="7">
        <v>0</v>
      </c>
      <c r="HC15" s="8">
        <v>0</v>
      </c>
      <c r="HD15" s="9">
        <v>0</v>
      </c>
      <c r="HE15" s="7">
        <v>0</v>
      </c>
      <c r="HF15" s="8">
        <v>0</v>
      </c>
      <c r="HG15" s="9">
        <v>0</v>
      </c>
      <c r="HH15" s="7">
        <v>0</v>
      </c>
      <c r="HI15" s="8">
        <v>0</v>
      </c>
      <c r="HJ15" s="9">
        <v>0</v>
      </c>
      <c r="HK15" s="7">
        <v>0</v>
      </c>
      <c r="HL15" s="8">
        <v>0</v>
      </c>
      <c r="HM15" s="9">
        <v>0</v>
      </c>
      <c r="HN15" s="7">
        <v>0</v>
      </c>
      <c r="HO15" s="8">
        <v>0</v>
      </c>
      <c r="HP15" s="9">
        <v>0</v>
      </c>
    </row>
    <row r="16" spans="1:224" x14ac:dyDescent="0.25">
      <c r="A16" s="23" t="s">
        <v>169</v>
      </c>
      <c r="B16" s="26" t="s">
        <v>170</v>
      </c>
      <c r="C16" s="7">
        <v>-50781726.43</v>
      </c>
      <c r="D16" s="8">
        <v>-50447999.999999903</v>
      </c>
      <c r="E16" s="9">
        <v>-58548695</v>
      </c>
      <c r="F16" s="7">
        <v>-108372.16</v>
      </c>
      <c r="G16" s="8">
        <v>-79999.999999998006</v>
      </c>
      <c r="H16" s="9">
        <v>-90000</v>
      </c>
      <c r="I16" s="7">
        <v>-1963018.8</v>
      </c>
      <c r="J16" s="8">
        <v>-2012999.99999999</v>
      </c>
      <c r="K16" s="9">
        <v>-1300000</v>
      </c>
      <c r="L16" s="7">
        <v>-1653271.44</v>
      </c>
      <c r="M16" s="8">
        <v>-1934999.99999999</v>
      </c>
      <c r="N16" s="9">
        <v>-1600000</v>
      </c>
      <c r="O16" s="7">
        <v>-296104.25</v>
      </c>
      <c r="P16" s="8">
        <v>-349999.999999994</v>
      </c>
      <c r="Q16" s="9">
        <v>-510598</v>
      </c>
      <c r="R16" s="7">
        <v>-209172</v>
      </c>
      <c r="S16" s="8">
        <v>-99999.999999998006</v>
      </c>
      <c r="T16" s="9">
        <v>-100000</v>
      </c>
      <c r="U16" s="7">
        <v>-843165.3</v>
      </c>
      <c r="V16" s="8">
        <v>-789999.99999999604</v>
      </c>
      <c r="W16" s="9">
        <v>-1000000</v>
      </c>
      <c r="X16" s="7">
        <v>-3823422.26</v>
      </c>
      <c r="Y16" s="8">
        <v>-3660000</v>
      </c>
      <c r="Z16" s="9">
        <v>-4400000</v>
      </c>
      <c r="AA16" s="7">
        <v>-454824.84</v>
      </c>
      <c r="AB16" s="8">
        <v>-649999.99999999197</v>
      </c>
      <c r="AC16" s="9">
        <v>-500000</v>
      </c>
      <c r="AD16" s="7">
        <v>-24595.58</v>
      </c>
      <c r="AE16" s="8">
        <v>-39999.999999995998</v>
      </c>
      <c r="AF16" s="9">
        <v>-100000</v>
      </c>
      <c r="AG16" s="7">
        <v>-3146033.16</v>
      </c>
      <c r="AH16" s="8">
        <v>-3149999.9999999902</v>
      </c>
      <c r="AI16" s="9">
        <v>-3150000</v>
      </c>
      <c r="AJ16" s="7">
        <v>-109312.51</v>
      </c>
      <c r="AK16" s="8">
        <v>-84999.999999991007</v>
      </c>
      <c r="AL16" s="9">
        <v>-100000</v>
      </c>
      <c r="AM16" s="7">
        <v>-72116.740000000005</v>
      </c>
      <c r="AN16" s="8">
        <v>-49999.999999997999</v>
      </c>
      <c r="AO16" s="9">
        <v>0</v>
      </c>
      <c r="AP16" s="7">
        <v>0</v>
      </c>
      <c r="AQ16" s="8">
        <v>0</v>
      </c>
      <c r="AR16" s="9">
        <v>-50000</v>
      </c>
      <c r="AS16" s="7">
        <v>0</v>
      </c>
      <c r="AT16" s="8">
        <v>0</v>
      </c>
      <c r="AU16" s="9">
        <v>0</v>
      </c>
      <c r="AV16" s="7">
        <v>-3261286.34</v>
      </c>
      <c r="AW16" s="8">
        <v>-3260000</v>
      </c>
      <c r="AX16" s="9">
        <v>-5000000</v>
      </c>
      <c r="AY16" s="7">
        <v>-156768.68</v>
      </c>
      <c r="AZ16" s="8">
        <v>-99999.999999995998</v>
      </c>
      <c r="BA16" s="9">
        <v>-320000</v>
      </c>
      <c r="BB16" s="7">
        <v>-11701483.029999999</v>
      </c>
      <c r="BC16" s="8">
        <v>-11500000</v>
      </c>
      <c r="BD16" s="9">
        <v>-13000000</v>
      </c>
      <c r="BE16" s="7">
        <v>0</v>
      </c>
      <c r="BF16" s="8">
        <v>0</v>
      </c>
      <c r="BG16" s="9">
        <v>0</v>
      </c>
      <c r="BH16" s="7">
        <v>0</v>
      </c>
      <c r="BI16" s="8">
        <v>0</v>
      </c>
      <c r="BJ16" s="9">
        <v>0</v>
      </c>
      <c r="BK16" s="7">
        <v>0</v>
      </c>
      <c r="BL16" s="8">
        <v>0</v>
      </c>
      <c r="BM16" s="9">
        <v>0</v>
      </c>
      <c r="BN16" s="7">
        <v>-39845.32</v>
      </c>
      <c r="BO16" s="8">
        <v>-59999.999999997999</v>
      </c>
      <c r="BP16" s="9">
        <v>-60000</v>
      </c>
      <c r="BQ16" s="7">
        <v>0</v>
      </c>
      <c r="BR16" s="8">
        <v>0</v>
      </c>
      <c r="BS16" s="9">
        <v>0</v>
      </c>
      <c r="BT16" s="7">
        <v>0</v>
      </c>
      <c r="BU16" s="8">
        <v>0</v>
      </c>
      <c r="BV16" s="9">
        <v>0</v>
      </c>
      <c r="BW16" s="7">
        <v>0</v>
      </c>
      <c r="BX16" s="8">
        <v>-5000</v>
      </c>
      <c r="BY16" s="9">
        <v>-50000</v>
      </c>
      <c r="BZ16" s="7">
        <v>0</v>
      </c>
      <c r="CA16" s="8">
        <v>0</v>
      </c>
      <c r="CB16" s="9">
        <v>0</v>
      </c>
      <c r="CC16" s="7">
        <v>0</v>
      </c>
      <c r="CD16" s="8">
        <v>0</v>
      </c>
      <c r="CE16" s="9">
        <v>0</v>
      </c>
      <c r="CF16" s="7">
        <v>0</v>
      </c>
      <c r="CG16" s="8">
        <v>0</v>
      </c>
      <c r="CH16" s="9">
        <v>0</v>
      </c>
      <c r="CI16" s="7">
        <v>0</v>
      </c>
      <c r="CJ16" s="8">
        <v>0</v>
      </c>
      <c r="CK16" s="9">
        <v>0</v>
      </c>
      <c r="CL16" s="7">
        <v>-187934.88</v>
      </c>
      <c r="CM16" s="8">
        <v>-199999.999999997</v>
      </c>
      <c r="CN16" s="9">
        <v>-200000</v>
      </c>
      <c r="CO16" s="7">
        <v>-19071516.260000002</v>
      </c>
      <c r="CP16" s="8">
        <v>-18600000</v>
      </c>
      <c r="CQ16" s="9">
        <v>-24000000</v>
      </c>
      <c r="CR16" s="7">
        <v>0</v>
      </c>
      <c r="CS16" s="8">
        <v>0</v>
      </c>
      <c r="CT16" s="9">
        <v>0</v>
      </c>
      <c r="CU16" s="7">
        <v>0</v>
      </c>
      <c r="CV16" s="8">
        <v>0</v>
      </c>
      <c r="CW16" s="9">
        <v>0</v>
      </c>
      <c r="CX16" s="7">
        <v>-38755.480000000003</v>
      </c>
      <c r="CY16" s="8">
        <v>-30000</v>
      </c>
      <c r="CZ16" s="9">
        <v>0</v>
      </c>
      <c r="DA16" s="7">
        <v>0</v>
      </c>
      <c r="DB16" s="8">
        <v>0</v>
      </c>
      <c r="DC16" s="9">
        <v>0</v>
      </c>
      <c r="DD16" s="7">
        <v>0</v>
      </c>
      <c r="DE16" s="8">
        <v>0</v>
      </c>
      <c r="DF16" s="9">
        <v>0</v>
      </c>
      <c r="DG16" s="7">
        <v>0</v>
      </c>
      <c r="DH16" s="8">
        <v>0</v>
      </c>
      <c r="DI16" s="9">
        <v>0</v>
      </c>
      <c r="DJ16" s="7">
        <v>0</v>
      </c>
      <c r="DK16" s="8">
        <v>0</v>
      </c>
      <c r="DL16" s="9">
        <v>0</v>
      </c>
      <c r="DM16" s="7">
        <v>0</v>
      </c>
      <c r="DN16" s="8">
        <v>0</v>
      </c>
      <c r="DO16" s="9">
        <v>0</v>
      </c>
      <c r="DP16" s="7">
        <v>0</v>
      </c>
      <c r="DQ16" s="8">
        <v>0</v>
      </c>
      <c r="DR16" s="9">
        <v>0</v>
      </c>
      <c r="DS16" s="7">
        <v>0</v>
      </c>
      <c r="DT16" s="8">
        <v>0</v>
      </c>
      <c r="DU16" s="9">
        <v>0</v>
      </c>
      <c r="DV16" s="7">
        <v>0</v>
      </c>
      <c r="DW16" s="8">
        <v>0</v>
      </c>
      <c r="DX16" s="9">
        <v>0</v>
      </c>
      <c r="DY16" s="7">
        <v>0</v>
      </c>
      <c r="DZ16" s="8">
        <v>0</v>
      </c>
      <c r="EA16" s="9">
        <v>0</v>
      </c>
      <c r="EB16" s="7">
        <v>0</v>
      </c>
      <c r="EC16" s="8">
        <v>0</v>
      </c>
      <c r="ED16" s="9">
        <v>0</v>
      </c>
      <c r="EE16" s="7">
        <v>0</v>
      </c>
      <c r="EF16" s="8">
        <v>0</v>
      </c>
      <c r="EG16" s="9">
        <v>0</v>
      </c>
      <c r="EH16" s="7">
        <v>0</v>
      </c>
      <c r="EI16" s="8">
        <v>0</v>
      </c>
      <c r="EJ16" s="9">
        <v>0</v>
      </c>
      <c r="EK16" s="7">
        <v>-2120386.36</v>
      </c>
      <c r="EL16" s="8">
        <v>-1950000</v>
      </c>
      <c r="EM16" s="9">
        <v>-1895000</v>
      </c>
      <c r="EN16" s="7">
        <v>0</v>
      </c>
      <c r="EO16" s="8">
        <v>0</v>
      </c>
      <c r="EP16" s="9">
        <v>0</v>
      </c>
      <c r="EQ16" s="7">
        <v>0</v>
      </c>
      <c r="ER16" s="8">
        <v>0</v>
      </c>
      <c r="ES16" s="9">
        <v>0</v>
      </c>
      <c r="ET16" s="7">
        <v>0</v>
      </c>
      <c r="EU16" s="8">
        <v>0</v>
      </c>
      <c r="EV16" s="9">
        <v>0</v>
      </c>
      <c r="EW16" s="7">
        <v>0</v>
      </c>
      <c r="EX16" s="8">
        <v>0</v>
      </c>
      <c r="EY16" s="9">
        <v>0</v>
      </c>
      <c r="EZ16" s="7">
        <v>0</v>
      </c>
      <c r="FA16" s="8">
        <v>0</v>
      </c>
      <c r="FB16" s="9">
        <v>0</v>
      </c>
      <c r="FC16" s="7">
        <v>-1442876.4</v>
      </c>
      <c r="FD16" s="8">
        <v>-1490000</v>
      </c>
      <c r="FE16" s="9">
        <v>-999000</v>
      </c>
      <c r="FF16" s="7">
        <v>-57464.639999999999</v>
      </c>
      <c r="FG16" s="8">
        <v>-79999.999999998006</v>
      </c>
      <c r="FH16" s="9">
        <v>-124097</v>
      </c>
      <c r="FI16" s="7">
        <v>0</v>
      </c>
      <c r="FJ16" s="8">
        <v>0</v>
      </c>
      <c r="FK16" s="9">
        <v>0</v>
      </c>
      <c r="FL16" s="7">
        <v>0</v>
      </c>
      <c r="FM16" s="8">
        <v>0</v>
      </c>
      <c r="FN16" s="9">
        <v>0</v>
      </c>
      <c r="FO16" s="7">
        <v>0</v>
      </c>
      <c r="FP16" s="8">
        <v>0</v>
      </c>
      <c r="FQ16" s="9">
        <v>0</v>
      </c>
      <c r="FR16" s="7">
        <v>0</v>
      </c>
      <c r="FS16" s="8">
        <v>0</v>
      </c>
      <c r="FT16" s="9">
        <v>0</v>
      </c>
      <c r="FU16" s="7">
        <v>0</v>
      </c>
      <c r="FV16" s="8">
        <v>0</v>
      </c>
      <c r="FW16" s="9">
        <v>0</v>
      </c>
      <c r="FX16" s="7">
        <v>0</v>
      </c>
      <c r="FY16" s="8">
        <v>-270000</v>
      </c>
      <c r="FZ16" s="9">
        <v>0</v>
      </c>
      <c r="GA16" s="7">
        <v>0</v>
      </c>
      <c r="GB16" s="8">
        <v>0</v>
      </c>
      <c r="GC16" s="9">
        <v>0</v>
      </c>
      <c r="GD16" s="7">
        <v>0</v>
      </c>
      <c r="GE16" s="8">
        <v>0</v>
      </c>
      <c r="GF16" s="9">
        <v>0</v>
      </c>
      <c r="GG16" s="7">
        <v>0</v>
      </c>
      <c r="GH16" s="8">
        <v>0</v>
      </c>
      <c r="GI16" s="9">
        <v>0</v>
      </c>
      <c r="GJ16" s="7">
        <v>0</v>
      </c>
      <c r="GK16" s="8">
        <v>0</v>
      </c>
      <c r="GL16" s="9">
        <v>0</v>
      </c>
      <c r="GM16" s="7">
        <v>0</v>
      </c>
      <c r="GN16" s="8">
        <v>0</v>
      </c>
      <c r="GO16" s="9">
        <v>0</v>
      </c>
      <c r="GP16" s="7">
        <v>0</v>
      </c>
      <c r="GQ16" s="8">
        <v>0</v>
      </c>
      <c r="GR16" s="9">
        <v>0</v>
      </c>
      <c r="GS16" s="7">
        <v>0</v>
      </c>
      <c r="GT16" s="8">
        <v>0</v>
      </c>
      <c r="GU16" s="9">
        <v>0</v>
      </c>
      <c r="GV16" s="7">
        <v>0</v>
      </c>
      <c r="GW16" s="8">
        <v>0</v>
      </c>
      <c r="GX16" s="9">
        <v>0</v>
      </c>
      <c r="GY16" s="7">
        <v>0</v>
      </c>
      <c r="GZ16" s="8">
        <v>0</v>
      </c>
      <c r="HA16" s="9">
        <v>0</v>
      </c>
      <c r="HB16" s="7">
        <v>0</v>
      </c>
      <c r="HC16" s="8">
        <v>0</v>
      </c>
      <c r="HD16" s="9">
        <v>0</v>
      </c>
      <c r="HE16" s="7">
        <v>0</v>
      </c>
      <c r="HF16" s="8">
        <v>0</v>
      </c>
      <c r="HG16" s="9">
        <v>0</v>
      </c>
      <c r="HH16" s="7">
        <v>0</v>
      </c>
      <c r="HI16" s="8">
        <v>0</v>
      </c>
      <c r="HJ16" s="9">
        <v>0</v>
      </c>
      <c r="HK16" s="7">
        <v>0</v>
      </c>
      <c r="HL16" s="8">
        <v>0</v>
      </c>
      <c r="HM16" s="9">
        <v>0</v>
      </c>
      <c r="HN16" s="7">
        <v>0</v>
      </c>
      <c r="HO16" s="8">
        <v>0</v>
      </c>
      <c r="HP16" s="9">
        <v>0</v>
      </c>
    </row>
    <row r="17" spans="1:224" x14ac:dyDescent="0.25">
      <c r="A17" s="23" t="s">
        <v>171</v>
      </c>
      <c r="B17" s="26" t="s">
        <v>172</v>
      </c>
      <c r="C17" s="7">
        <v>-12154549.35</v>
      </c>
      <c r="D17" s="8">
        <v>-12040930.727390099</v>
      </c>
      <c r="E17" s="9">
        <v>-12546000</v>
      </c>
      <c r="F17" s="7">
        <v>-1818324.17</v>
      </c>
      <c r="G17" s="8">
        <v>-1849999.99999999</v>
      </c>
      <c r="H17" s="9">
        <v>-1500000</v>
      </c>
      <c r="I17" s="7">
        <v>-67742.14</v>
      </c>
      <c r="J17" s="8">
        <v>-69999.999999994994</v>
      </c>
      <c r="K17" s="9">
        <v>-105000</v>
      </c>
      <c r="L17" s="7">
        <v>0</v>
      </c>
      <c r="M17" s="8">
        <v>0</v>
      </c>
      <c r="N17" s="9">
        <v>0</v>
      </c>
      <c r="O17" s="7">
        <v>0</v>
      </c>
      <c r="P17" s="8">
        <v>0</v>
      </c>
      <c r="Q17" s="9">
        <v>0</v>
      </c>
      <c r="R17" s="7">
        <v>-106988.93</v>
      </c>
      <c r="S17" s="8">
        <v>-99999.999999998006</v>
      </c>
      <c r="T17" s="9">
        <v>-100000</v>
      </c>
      <c r="U17" s="7">
        <v>-1130039.72</v>
      </c>
      <c r="V17" s="8">
        <v>-1209792.80772281</v>
      </c>
      <c r="W17" s="9">
        <v>-1500000</v>
      </c>
      <c r="X17" s="7">
        <v>0</v>
      </c>
      <c r="Y17" s="8">
        <v>0</v>
      </c>
      <c r="Z17" s="9">
        <v>0</v>
      </c>
      <c r="AA17" s="7">
        <v>0</v>
      </c>
      <c r="AB17" s="8">
        <v>0</v>
      </c>
      <c r="AC17" s="9">
        <v>0</v>
      </c>
      <c r="AD17" s="7">
        <v>0</v>
      </c>
      <c r="AE17" s="8">
        <v>0</v>
      </c>
      <c r="AF17" s="9">
        <v>0</v>
      </c>
      <c r="AG17" s="7">
        <v>0</v>
      </c>
      <c r="AH17" s="8">
        <v>0</v>
      </c>
      <c r="AI17" s="9">
        <v>0</v>
      </c>
      <c r="AJ17" s="7">
        <v>0</v>
      </c>
      <c r="AK17" s="8">
        <v>0</v>
      </c>
      <c r="AL17" s="9">
        <v>0</v>
      </c>
      <c r="AM17" s="7">
        <v>-83335.87</v>
      </c>
      <c r="AN17" s="8">
        <v>-84999.999999991007</v>
      </c>
      <c r="AO17" s="9">
        <v>-80000</v>
      </c>
      <c r="AP17" s="7">
        <v>0</v>
      </c>
      <c r="AQ17" s="8">
        <v>0</v>
      </c>
      <c r="AR17" s="9">
        <v>0</v>
      </c>
      <c r="AS17" s="7">
        <v>0</v>
      </c>
      <c r="AT17" s="8">
        <v>0</v>
      </c>
      <c r="AU17" s="9">
        <v>0</v>
      </c>
      <c r="AV17" s="7">
        <v>0</v>
      </c>
      <c r="AW17" s="8">
        <v>0</v>
      </c>
      <c r="AX17" s="9">
        <v>0</v>
      </c>
      <c r="AY17" s="7">
        <v>0</v>
      </c>
      <c r="AZ17" s="8">
        <v>0</v>
      </c>
      <c r="BA17" s="9">
        <v>0</v>
      </c>
      <c r="BB17" s="7">
        <v>0</v>
      </c>
      <c r="BC17" s="8">
        <v>0</v>
      </c>
      <c r="BD17" s="9">
        <v>0</v>
      </c>
      <c r="BE17" s="7">
        <v>0</v>
      </c>
      <c r="BF17" s="8">
        <v>0</v>
      </c>
      <c r="BG17" s="9">
        <v>0</v>
      </c>
      <c r="BH17" s="7">
        <v>0</v>
      </c>
      <c r="BI17" s="8">
        <v>0</v>
      </c>
      <c r="BJ17" s="9">
        <v>0</v>
      </c>
      <c r="BK17" s="7">
        <v>0</v>
      </c>
      <c r="BL17" s="8">
        <v>0</v>
      </c>
      <c r="BM17" s="9">
        <v>0</v>
      </c>
      <c r="BN17" s="7">
        <v>-1311.04</v>
      </c>
      <c r="BO17" s="8">
        <v>-4999.999999998</v>
      </c>
      <c r="BP17" s="9">
        <v>-5000</v>
      </c>
      <c r="BQ17" s="7">
        <v>-2021944.67</v>
      </c>
      <c r="BR17" s="8">
        <v>-2000000</v>
      </c>
      <c r="BS17" s="9">
        <v>-2000000</v>
      </c>
      <c r="BT17" s="7">
        <v>0</v>
      </c>
      <c r="BU17" s="8">
        <v>0</v>
      </c>
      <c r="BV17" s="9">
        <v>0</v>
      </c>
      <c r="BW17" s="7">
        <v>0</v>
      </c>
      <c r="BX17" s="8">
        <v>0</v>
      </c>
      <c r="BY17" s="9">
        <v>0</v>
      </c>
      <c r="BZ17" s="7">
        <v>0</v>
      </c>
      <c r="CA17" s="8">
        <v>0</v>
      </c>
      <c r="CB17" s="9">
        <v>0</v>
      </c>
      <c r="CC17" s="7">
        <v>0</v>
      </c>
      <c r="CD17" s="8">
        <v>0</v>
      </c>
      <c r="CE17" s="9">
        <v>0</v>
      </c>
      <c r="CF17" s="7">
        <v>0</v>
      </c>
      <c r="CG17" s="8">
        <v>0</v>
      </c>
      <c r="CH17" s="9">
        <v>0</v>
      </c>
      <c r="CI17" s="7">
        <v>0</v>
      </c>
      <c r="CJ17" s="8">
        <v>0</v>
      </c>
      <c r="CK17" s="9">
        <v>0</v>
      </c>
      <c r="CL17" s="7">
        <v>0</v>
      </c>
      <c r="CM17" s="8">
        <v>0</v>
      </c>
      <c r="CN17" s="9">
        <v>0</v>
      </c>
      <c r="CO17" s="7">
        <v>0</v>
      </c>
      <c r="CP17" s="8">
        <v>0</v>
      </c>
      <c r="CQ17" s="9">
        <v>0</v>
      </c>
      <c r="CR17" s="7">
        <v>0</v>
      </c>
      <c r="CS17" s="8">
        <v>0</v>
      </c>
      <c r="CT17" s="9">
        <v>0</v>
      </c>
      <c r="CU17" s="7">
        <v>-6908399.5800000001</v>
      </c>
      <c r="CV17" s="8">
        <v>-6700471.2530006999</v>
      </c>
      <c r="CW17" s="9">
        <v>-7250000</v>
      </c>
      <c r="CX17" s="7">
        <v>0</v>
      </c>
      <c r="CY17" s="8">
        <v>0</v>
      </c>
      <c r="CZ17" s="9">
        <v>0</v>
      </c>
      <c r="DA17" s="7">
        <v>0</v>
      </c>
      <c r="DB17" s="8">
        <v>0</v>
      </c>
      <c r="DC17" s="9">
        <v>0</v>
      </c>
      <c r="DD17" s="7">
        <v>0</v>
      </c>
      <c r="DE17" s="8">
        <v>0</v>
      </c>
      <c r="DF17" s="9">
        <v>0</v>
      </c>
      <c r="DG17" s="7">
        <v>0</v>
      </c>
      <c r="DH17" s="8">
        <v>0</v>
      </c>
      <c r="DI17" s="9">
        <v>0</v>
      </c>
      <c r="DJ17" s="7">
        <v>0</v>
      </c>
      <c r="DK17" s="8">
        <v>0</v>
      </c>
      <c r="DL17" s="9">
        <v>0</v>
      </c>
      <c r="DM17" s="7">
        <v>0</v>
      </c>
      <c r="DN17" s="8">
        <v>0</v>
      </c>
      <c r="DO17" s="9">
        <v>0</v>
      </c>
      <c r="DP17" s="7">
        <v>-6736.96</v>
      </c>
      <c r="DQ17" s="8">
        <v>-5999.9999999989996</v>
      </c>
      <c r="DR17" s="9">
        <v>-6000</v>
      </c>
      <c r="DS17" s="7">
        <v>0</v>
      </c>
      <c r="DT17" s="8">
        <v>0</v>
      </c>
      <c r="DU17" s="9">
        <v>0</v>
      </c>
      <c r="DV17" s="7">
        <v>0</v>
      </c>
      <c r="DW17" s="8">
        <v>0</v>
      </c>
      <c r="DX17" s="9">
        <v>0</v>
      </c>
      <c r="DY17" s="7">
        <v>0</v>
      </c>
      <c r="DZ17" s="8">
        <v>0</v>
      </c>
      <c r="EA17" s="9">
        <v>0</v>
      </c>
      <c r="EB17" s="7">
        <v>0</v>
      </c>
      <c r="EC17" s="8">
        <v>0</v>
      </c>
      <c r="ED17" s="9">
        <v>0</v>
      </c>
      <c r="EE17" s="7">
        <v>-9726.27</v>
      </c>
      <c r="EF17" s="8">
        <v>-15000</v>
      </c>
      <c r="EG17" s="9">
        <v>0</v>
      </c>
      <c r="EH17" s="7">
        <v>0</v>
      </c>
      <c r="EI17" s="8">
        <v>0</v>
      </c>
      <c r="EJ17" s="9">
        <v>0</v>
      </c>
      <c r="EK17" s="7">
        <v>0</v>
      </c>
      <c r="EL17" s="8">
        <v>0</v>
      </c>
      <c r="EM17" s="9">
        <v>0</v>
      </c>
      <c r="EN17" s="7">
        <v>0</v>
      </c>
      <c r="EO17" s="8">
        <v>0</v>
      </c>
      <c r="EP17" s="9">
        <v>0</v>
      </c>
      <c r="EQ17" s="7">
        <v>0</v>
      </c>
      <c r="ER17" s="8">
        <v>0</v>
      </c>
      <c r="ES17" s="9">
        <v>0</v>
      </c>
      <c r="ET17" s="7">
        <v>0</v>
      </c>
      <c r="EU17" s="8">
        <v>0</v>
      </c>
      <c r="EV17" s="9">
        <v>0</v>
      </c>
      <c r="EW17" s="7">
        <v>0</v>
      </c>
      <c r="EX17" s="8">
        <v>0</v>
      </c>
      <c r="EY17" s="9">
        <v>0</v>
      </c>
      <c r="EZ17" s="7">
        <v>0</v>
      </c>
      <c r="FA17" s="8">
        <v>0</v>
      </c>
      <c r="FB17" s="9">
        <v>0</v>
      </c>
      <c r="FC17" s="7">
        <v>0</v>
      </c>
      <c r="FD17" s="8">
        <v>0</v>
      </c>
      <c r="FE17" s="9">
        <v>0</v>
      </c>
      <c r="FF17" s="7">
        <v>0</v>
      </c>
      <c r="FG17" s="8">
        <v>0</v>
      </c>
      <c r="FH17" s="9">
        <v>0</v>
      </c>
      <c r="FI17" s="7">
        <v>0</v>
      </c>
      <c r="FJ17" s="8">
        <v>0</v>
      </c>
      <c r="FK17" s="9">
        <v>0</v>
      </c>
      <c r="FL17" s="7">
        <v>0</v>
      </c>
      <c r="FM17" s="8">
        <v>0</v>
      </c>
      <c r="FN17" s="9">
        <v>0</v>
      </c>
      <c r="FO17" s="7">
        <v>0</v>
      </c>
      <c r="FP17" s="8">
        <v>0</v>
      </c>
      <c r="FQ17" s="9">
        <v>0</v>
      </c>
      <c r="FR17" s="7">
        <v>0</v>
      </c>
      <c r="FS17" s="8">
        <v>0</v>
      </c>
      <c r="FT17" s="9">
        <v>0</v>
      </c>
      <c r="FU17" s="7">
        <v>0</v>
      </c>
      <c r="FV17" s="8">
        <v>0</v>
      </c>
      <c r="FW17" s="9">
        <v>0</v>
      </c>
      <c r="FX17" s="7">
        <v>0</v>
      </c>
      <c r="FY17" s="8">
        <v>333.33333333701398</v>
      </c>
      <c r="FZ17" s="9">
        <v>0</v>
      </c>
      <c r="GA17" s="7">
        <v>0</v>
      </c>
      <c r="GB17" s="8">
        <v>0</v>
      </c>
      <c r="GC17" s="9">
        <v>0</v>
      </c>
      <c r="GD17" s="7">
        <v>0</v>
      </c>
      <c r="GE17" s="8">
        <v>0</v>
      </c>
      <c r="GF17" s="9">
        <v>0</v>
      </c>
      <c r="GG17" s="7">
        <v>0</v>
      </c>
      <c r="GH17" s="8">
        <v>0</v>
      </c>
      <c r="GI17" s="9">
        <v>0</v>
      </c>
      <c r="GJ17" s="7">
        <v>0</v>
      </c>
      <c r="GK17" s="8">
        <v>0</v>
      </c>
      <c r="GL17" s="9">
        <v>0</v>
      </c>
      <c r="GM17" s="7">
        <v>0</v>
      </c>
      <c r="GN17" s="8">
        <v>0</v>
      </c>
      <c r="GO17" s="9">
        <v>0</v>
      </c>
      <c r="GP17" s="7">
        <v>0</v>
      </c>
      <c r="GQ17" s="8">
        <v>0</v>
      </c>
      <c r="GR17" s="9">
        <v>0</v>
      </c>
      <c r="GS17" s="7">
        <v>0</v>
      </c>
      <c r="GT17" s="8">
        <v>0</v>
      </c>
      <c r="GU17" s="9">
        <v>0</v>
      </c>
      <c r="GV17" s="7">
        <v>0</v>
      </c>
      <c r="GW17" s="8">
        <v>0</v>
      </c>
      <c r="GX17" s="9">
        <v>0</v>
      </c>
      <c r="GY17" s="7">
        <v>0</v>
      </c>
      <c r="GZ17" s="8">
        <v>0</v>
      </c>
      <c r="HA17" s="9">
        <v>0</v>
      </c>
      <c r="HB17" s="7">
        <v>0</v>
      </c>
      <c r="HC17" s="8">
        <v>0</v>
      </c>
      <c r="HD17" s="9">
        <v>0</v>
      </c>
      <c r="HE17" s="7">
        <v>0</v>
      </c>
      <c r="HF17" s="8">
        <v>0</v>
      </c>
      <c r="HG17" s="9">
        <v>0</v>
      </c>
      <c r="HH17" s="7">
        <v>0</v>
      </c>
      <c r="HI17" s="8">
        <v>0</v>
      </c>
      <c r="HJ17" s="9">
        <v>0</v>
      </c>
      <c r="HK17" s="7">
        <v>0</v>
      </c>
      <c r="HL17" s="8">
        <v>0</v>
      </c>
      <c r="HM17" s="9">
        <v>0</v>
      </c>
      <c r="HN17" s="7">
        <v>0</v>
      </c>
      <c r="HO17" s="8">
        <v>0</v>
      </c>
      <c r="HP17" s="9">
        <v>0</v>
      </c>
    </row>
    <row r="18" spans="1:224" x14ac:dyDescent="0.25">
      <c r="A18" s="23" t="s">
        <v>173</v>
      </c>
      <c r="B18" s="26" t="s">
        <v>174</v>
      </c>
      <c r="C18" s="7">
        <v>-7969823.8200000003</v>
      </c>
      <c r="D18" s="8">
        <v>-7959878.0024193702</v>
      </c>
      <c r="E18" s="9">
        <v>-9289878</v>
      </c>
      <c r="F18" s="7">
        <v>0</v>
      </c>
      <c r="G18" s="8">
        <v>0</v>
      </c>
      <c r="H18" s="9">
        <v>0</v>
      </c>
      <c r="I18" s="7">
        <v>0</v>
      </c>
      <c r="J18" s="8">
        <v>0</v>
      </c>
      <c r="K18" s="9">
        <v>0</v>
      </c>
      <c r="L18" s="7">
        <v>0</v>
      </c>
      <c r="M18" s="8">
        <v>0</v>
      </c>
      <c r="N18" s="9">
        <v>0</v>
      </c>
      <c r="O18" s="7">
        <v>0</v>
      </c>
      <c r="P18" s="8">
        <v>0</v>
      </c>
      <c r="Q18" s="9">
        <v>0</v>
      </c>
      <c r="R18" s="7">
        <v>0</v>
      </c>
      <c r="S18" s="8">
        <v>0</v>
      </c>
      <c r="T18" s="9">
        <v>0</v>
      </c>
      <c r="U18" s="7">
        <v>0</v>
      </c>
      <c r="V18" s="8">
        <v>0</v>
      </c>
      <c r="W18" s="9">
        <v>0</v>
      </c>
      <c r="X18" s="7">
        <v>0</v>
      </c>
      <c r="Y18" s="8">
        <v>0</v>
      </c>
      <c r="Z18" s="9">
        <v>0</v>
      </c>
      <c r="AA18" s="7">
        <v>0</v>
      </c>
      <c r="AB18" s="8">
        <v>0</v>
      </c>
      <c r="AC18" s="9">
        <v>0</v>
      </c>
      <c r="AD18" s="7">
        <v>0</v>
      </c>
      <c r="AE18" s="8">
        <v>0</v>
      </c>
      <c r="AF18" s="9">
        <v>0</v>
      </c>
      <c r="AG18" s="7">
        <v>-196746.84</v>
      </c>
      <c r="AH18" s="8">
        <v>-199878.00241937401</v>
      </c>
      <c r="AI18" s="9">
        <v>-199878</v>
      </c>
      <c r="AJ18" s="7">
        <v>0</v>
      </c>
      <c r="AK18" s="8">
        <v>0</v>
      </c>
      <c r="AL18" s="9">
        <v>0</v>
      </c>
      <c r="AM18" s="7">
        <v>-88469.04</v>
      </c>
      <c r="AN18" s="8">
        <v>-94999.999999995998</v>
      </c>
      <c r="AO18" s="9">
        <v>-90000</v>
      </c>
      <c r="AP18" s="7">
        <v>0</v>
      </c>
      <c r="AQ18" s="8">
        <v>0</v>
      </c>
      <c r="AR18" s="9">
        <v>0</v>
      </c>
      <c r="AS18" s="7">
        <v>0</v>
      </c>
      <c r="AT18" s="8">
        <v>0</v>
      </c>
      <c r="AU18" s="9">
        <v>0</v>
      </c>
      <c r="AV18" s="7">
        <v>0</v>
      </c>
      <c r="AW18" s="8">
        <v>0</v>
      </c>
      <c r="AX18" s="9">
        <v>0</v>
      </c>
      <c r="AY18" s="7">
        <v>0</v>
      </c>
      <c r="AZ18" s="8">
        <v>0</v>
      </c>
      <c r="BA18" s="9">
        <v>0</v>
      </c>
      <c r="BB18" s="7">
        <v>-7681571.9400000004</v>
      </c>
      <c r="BC18" s="8">
        <v>-7700000</v>
      </c>
      <c r="BD18" s="9">
        <v>-9000000</v>
      </c>
      <c r="BE18" s="7">
        <v>0</v>
      </c>
      <c r="BF18" s="8">
        <v>0</v>
      </c>
      <c r="BG18" s="9">
        <v>0</v>
      </c>
      <c r="BH18" s="7">
        <v>0</v>
      </c>
      <c r="BI18" s="8">
        <v>0</v>
      </c>
      <c r="BJ18" s="9">
        <v>0</v>
      </c>
      <c r="BK18" s="7">
        <v>0</v>
      </c>
      <c r="BL18" s="8">
        <v>0</v>
      </c>
      <c r="BM18" s="9">
        <v>0</v>
      </c>
      <c r="BN18" s="7">
        <v>0</v>
      </c>
      <c r="BO18" s="8">
        <v>0</v>
      </c>
      <c r="BP18" s="9">
        <v>0</v>
      </c>
      <c r="BQ18" s="7">
        <v>0</v>
      </c>
      <c r="BR18" s="8">
        <v>0</v>
      </c>
      <c r="BS18" s="9">
        <v>0</v>
      </c>
      <c r="BT18" s="7">
        <v>0</v>
      </c>
      <c r="BU18" s="8">
        <v>0</v>
      </c>
      <c r="BV18" s="9">
        <v>0</v>
      </c>
      <c r="BW18" s="7">
        <v>-3036</v>
      </c>
      <c r="BX18" s="8">
        <v>-5000</v>
      </c>
      <c r="BY18" s="9">
        <v>0</v>
      </c>
      <c r="BZ18" s="7">
        <v>0</v>
      </c>
      <c r="CA18" s="8">
        <v>0</v>
      </c>
      <c r="CB18" s="9">
        <v>0</v>
      </c>
      <c r="CC18" s="7">
        <v>0</v>
      </c>
      <c r="CD18" s="8">
        <v>0</v>
      </c>
      <c r="CE18" s="9">
        <v>0</v>
      </c>
      <c r="CF18" s="7">
        <v>0</v>
      </c>
      <c r="CG18" s="8">
        <v>0</v>
      </c>
      <c r="CH18" s="9">
        <v>0</v>
      </c>
      <c r="CI18" s="7">
        <v>0</v>
      </c>
      <c r="CJ18" s="8">
        <v>0</v>
      </c>
      <c r="CK18" s="9">
        <v>0</v>
      </c>
      <c r="CL18" s="7">
        <v>0</v>
      </c>
      <c r="CM18" s="8">
        <v>0</v>
      </c>
      <c r="CN18" s="9">
        <v>0</v>
      </c>
      <c r="CO18" s="7">
        <v>0</v>
      </c>
      <c r="CP18" s="8">
        <v>0</v>
      </c>
      <c r="CQ18" s="9">
        <v>0</v>
      </c>
      <c r="CR18" s="7">
        <v>0</v>
      </c>
      <c r="CS18" s="8">
        <v>0</v>
      </c>
      <c r="CT18" s="9">
        <v>0</v>
      </c>
      <c r="CU18" s="7">
        <v>0</v>
      </c>
      <c r="CV18" s="8">
        <v>0</v>
      </c>
      <c r="CW18" s="9">
        <v>0</v>
      </c>
      <c r="CX18" s="7">
        <v>0</v>
      </c>
      <c r="CY18" s="8">
        <v>0</v>
      </c>
      <c r="CZ18" s="9">
        <v>0</v>
      </c>
      <c r="DA18" s="7">
        <v>0</v>
      </c>
      <c r="DB18" s="8">
        <v>0</v>
      </c>
      <c r="DC18" s="9">
        <v>0</v>
      </c>
      <c r="DD18" s="7">
        <v>0</v>
      </c>
      <c r="DE18" s="8">
        <v>0</v>
      </c>
      <c r="DF18" s="9">
        <v>0</v>
      </c>
      <c r="DG18" s="7">
        <v>0</v>
      </c>
      <c r="DH18" s="8">
        <v>0</v>
      </c>
      <c r="DI18" s="9">
        <v>0</v>
      </c>
      <c r="DJ18" s="7">
        <v>0</v>
      </c>
      <c r="DK18" s="8">
        <v>0</v>
      </c>
      <c r="DL18" s="9">
        <v>0</v>
      </c>
      <c r="DM18" s="7">
        <v>0</v>
      </c>
      <c r="DN18" s="8">
        <v>0</v>
      </c>
      <c r="DO18" s="9">
        <v>0</v>
      </c>
      <c r="DP18" s="7">
        <v>0</v>
      </c>
      <c r="DQ18" s="8">
        <v>0</v>
      </c>
      <c r="DR18" s="9">
        <v>0</v>
      </c>
      <c r="DS18" s="7">
        <v>0</v>
      </c>
      <c r="DT18" s="8">
        <v>0</v>
      </c>
      <c r="DU18" s="9">
        <v>0</v>
      </c>
      <c r="DV18" s="7">
        <v>0</v>
      </c>
      <c r="DW18" s="8">
        <v>0</v>
      </c>
      <c r="DX18" s="9">
        <v>0</v>
      </c>
      <c r="DY18" s="7">
        <v>0</v>
      </c>
      <c r="DZ18" s="8">
        <v>0</v>
      </c>
      <c r="EA18" s="9">
        <v>0</v>
      </c>
      <c r="EB18" s="7">
        <v>0</v>
      </c>
      <c r="EC18" s="8">
        <v>0</v>
      </c>
      <c r="ED18" s="9">
        <v>0</v>
      </c>
      <c r="EE18" s="7">
        <v>0</v>
      </c>
      <c r="EF18" s="8">
        <v>0</v>
      </c>
      <c r="EG18" s="9">
        <v>0</v>
      </c>
      <c r="EH18" s="7">
        <v>0</v>
      </c>
      <c r="EI18" s="8">
        <v>0</v>
      </c>
      <c r="EJ18" s="9">
        <v>0</v>
      </c>
      <c r="EK18" s="7">
        <v>0</v>
      </c>
      <c r="EL18" s="8">
        <v>0</v>
      </c>
      <c r="EM18" s="9">
        <v>0</v>
      </c>
      <c r="EN18" s="7">
        <v>0</v>
      </c>
      <c r="EO18" s="8">
        <v>0</v>
      </c>
      <c r="EP18" s="9">
        <v>0</v>
      </c>
      <c r="EQ18" s="7">
        <v>0</v>
      </c>
      <c r="ER18" s="8">
        <v>0</v>
      </c>
      <c r="ES18" s="9">
        <v>0</v>
      </c>
      <c r="ET18" s="7">
        <v>0</v>
      </c>
      <c r="EU18" s="8">
        <v>0</v>
      </c>
      <c r="EV18" s="9">
        <v>0</v>
      </c>
      <c r="EW18" s="7">
        <v>0</v>
      </c>
      <c r="EX18" s="8">
        <v>0</v>
      </c>
      <c r="EY18" s="9">
        <v>0</v>
      </c>
      <c r="EZ18" s="7">
        <v>0</v>
      </c>
      <c r="FA18" s="8">
        <v>0</v>
      </c>
      <c r="FB18" s="9">
        <v>0</v>
      </c>
      <c r="FC18" s="7">
        <v>0</v>
      </c>
      <c r="FD18" s="8">
        <v>0</v>
      </c>
      <c r="FE18" s="9">
        <v>0</v>
      </c>
      <c r="FF18" s="7">
        <v>0</v>
      </c>
      <c r="FG18" s="8">
        <v>0</v>
      </c>
      <c r="FH18" s="9">
        <v>0</v>
      </c>
      <c r="FI18" s="7">
        <v>0</v>
      </c>
      <c r="FJ18" s="8">
        <v>0</v>
      </c>
      <c r="FK18" s="9">
        <v>0</v>
      </c>
      <c r="FL18" s="7">
        <v>0</v>
      </c>
      <c r="FM18" s="8">
        <v>0</v>
      </c>
      <c r="FN18" s="9">
        <v>0</v>
      </c>
      <c r="FO18" s="7">
        <v>0</v>
      </c>
      <c r="FP18" s="8">
        <v>0</v>
      </c>
      <c r="FQ18" s="9">
        <v>0</v>
      </c>
      <c r="FR18" s="7">
        <v>0</v>
      </c>
      <c r="FS18" s="8">
        <v>0</v>
      </c>
      <c r="FT18" s="9">
        <v>0</v>
      </c>
      <c r="FU18" s="7">
        <v>0</v>
      </c>
      <c r="FV18" s="8">
        <v>0</v>
      </c>
      <c r="FW18" s="9">
        <v>0</v>
      </c>
      <c r="FX18" s="7">
        <v>0</v>
      </c>
      <c r="FY18" s="8">
        <v>40000</v>
      </c>
      <c r="FZ18" s="9">
        <v>0</v>
      </c>
      <c r="GA18" s="7">
        <v>0</v>
      </c>
      <c r="GB18" s="8">
        <v>0</v>
      </c>
      <c r="GC18" s="9">
        <v>0</v>
      </c>
      <c r="GD18" s="7">
        <v>0</v>
      </c>
      <c r="GE18" s="8">
        <v>0</v>
      </c>
      <c r="GF18" s="9">
        <v>0</v>
      </c>
      <c r="GG18" s="7">
        <v>0</v>
      </c>
      <c r="GH18" s="8">
        <v>0</v>
      </c>
      <c r="GI18" s="9">
        <v>0</v>
      </c>
      <c r="GJ18" s="7">
        <v>0</v>
      </c>
      <c r="GK18" s="8">
        <v>0</v>
      </c>
      <c r="GL18" s="9">
        <v>0</v>
      </c>
      <c r="GM18" s="7">
        <v>0</v>
      </c>
      <c r="GN18" s="8">
        <v>0</v>
      </c>
      <c r="GO18" s="9">
        <v>0</v>
      </c>
      <c r="GP18" s="7">
        <v>0</v>
      </c>
      <c r="GQ18" s="8">
        <v>0</v>
      </c>
      <c r="GR18" s="9">
        <v>0</v>
      </c>
      <c r="GS18" s="7">
        <v>0</v>
      </c>
      <c r="GT18" s="8">
        <v>0</v>
      </c>
      <c r="GU18" s="9">
        <v>0</v>
      </c>
      <c r="GV18" s="7">
        <v>0</v>
      </c>
      <c r="GW18" s="8">
        <v>0</v>
      </c>
      <c r="GX18" s="9">
        <v>0</v>
      </c>
      <c r="GY18" s="7">
        <v>0</v>
      </c>
      <c r="GZ18" s="8">
        <v>0</v>
      </c>
      <c r="HA18" s="9">
        <v>0</v>
      </c>
      <c r="HB18" s="7">
        <v>0</v>
      </c>
      <c r="HC18" s="8">
        <v>0</v>
      </c>
      <c r="HD18" s="9">
        <v>0</v>
      </c>
      <c r="HE18" s="7">
        <v>0</v>
      </c>
      <c r="HF18" s="8">
        <v>0</v>
      </c>
      <c r="HG18" s="9">
        <v>0</v>
      </c>
      <c r="HH18" s="7">
        <v>0</v>
      </c>
      <c r="HI18" s="8">
        <v>0</v>
      </c>
      <c r="HJ18" s="9">
        <v>0</v>
      </c>
      <c r="HK18" s="7">
        <v>0</v>
      </c>
      <c r="HL18" s="8">
        <v>0</v>
      </c>
      <c r="HM18" s="9">
        <v>0</v>
      </c>
      <c r="HN18" s="7">
        <v>0</v>
      </c>
      <c r="HO18" s="8">
        <v>0</v>
      </c>
      <c r="HP18" s="9">
        <v>0</v>
      </c>
    </row>
    <row r="19" spans="1:224" x14ac:dyDescent="0.25">
      <c r="A19" s="23" t="s">
        <v>175</v>
      </c>
      <c r="B19" s="26" t="s">
        <v>176</v>
      </c>
      <c r="C19" s="7">
        <v>-20719912.789999999</v>
      </c>
      <c r="D19" s="8">
        <v>-19609580.822696202</v>
      </c>
      <c r="E19" s="9">
        <v>-35446741</v>
      </c>
      <c r="F19" s="7">
        <v>0</v>
      </c>
      <c r="G19" s="8">
        <v>0</v>
      </c>
      <c r="H19" s="9">
        <v>0</v>
      </c>
      <c r="I19" s="7">
        <v>0</v>
      </c>
      <c r="J19" s="8">
        <v>0</v>
      </c>
      <c r="K19" s="9">
        <v>-1100000</v>
      </c>
      <c r="L19" s="7">
        <v>0</v>
      </c>
      <c r="M19" s="8">
        <v>0</v>
      </c>
      <c r="N19" s="9">
        <v>0</v>
      </c>
      <c r="O19" s="7">
        <v>-148844.29</v>
      </c>
      <c r="P19" s="8">
        <v>-199800</v>
      </c>
      <c r="Q19" s="9">
        <v>-506220</v>
      </c>
      <c r="R19" s="7">
        <v>-6812.08</v>
      </c>
      <c r="S19" s="8">
        <v>-9999.7960224369999</v>
      </c>
      <c r="T19" s="9">
        <v>-20000</v>
      </c>
      <c r="U19" s="7">
        <v>0</v>
      </c>
      <c r="V19" s="8">
        <v>0</v>
      </c>
      <c r="W19" s="9">
        <v>0</v>
      </c>
      <c r="X19" s="7">
        <v>0</v>
      </c>
      <c r="Y19" s="8">
        <v>0</v>
      </c>
      <c r="Z19" s="9">
        <v>0</v>
      </c>
      <c r="AA19" s="7">
        <v>-95866.98</v>
      </c>
      <c r="AB19" s="8">
        <v>-84998.266190718001</v>
      </c>
      <c r="AC19" s="9">
        <v>-175000</v>
      </c>
      <c r="AD19" s="7">
        <v>0</v>
      </c>
      <c r="AE19" s="8">
        <v>0</v>
      </c>
      <c r="AF19" s="9">
        <v>-1000</v>
      </c>
      <c r="AG19" s="7">
        <v>-5298401.29</v>
      </c>
      <c r="AH19" s="8">
        <v>-5000385.4461876396</v>
      </c>
      <c r="AI19" s="9">
        <v>-3000000</v>
      </c>
      <c r="AJ19" s="7">
        <v>0</v>
      </c>
      <c r="AK19" s="8">
        <v>0</v>
      </c>
      <c r="AL19" s="9">
        <v>0</v>
      </c>
      <c r="AM19" s="7">
        <v>0</v>
      </c>
      <c r="AN19" s="8">
        <v>0</v>
      </c>
      <c r="AO19" s="9">
        <v>0</v>
      </c>
      <c r="AP19" s="7">
        <v>-47684.56</v>
      </c>
      <c r="AQ19" s="8">
        <v>-64998.674145844001</v>
      </c>
      <c r="AR19" s="9">
        <v>0</v>
      </c>
      <c r="AS19" s="7">
        <v>0</v>
      </c>
      <c r="AT19" s="8">
        <v>0</v>
      </c>
      <c r="AU19" s="9">
        <v>0</v>
      </c>
      <c r="AV19" s="7">
        <v>0</v>
      </c>
      <c r="AW19" s="8">
        <v>0</v>
      </c>
      <c r="AX19" s="9">
        <v>0</v>
      </c>
      <c r="AY19" s="7">
        <v>0</v>
      </c>
      <c r="AZ19" s="8">
        <v>0</v>
      </c>
      <c r="BA19" s="9">
        <v>-8521</v>
      </c>
      <c r="BB19" s="7">
        <v>-25832.400000000001</v>
      </c>
      <c r="BC19" s="8">
        <v>-29999.388067312</v>
      </c>
      <c r="BD19" s="9">
        <v>-100000</v>
      </c>
      <c r="BE19" s="7">
        <v>0</v>
      </c>
      <c r="BF19" s="8">
        <v>0</v>
      </c>
      <c r="BG19" s="9">
        <v>0</v>
      </c>
      <c r="BH19" s="7">
        <v>0</v>
      </c>
      <c r="BI19" s="8">
        <v>0</v>
      </c>
      <c r="BJ19" s="9">
        <v>0</v>
      </c>
      <c r="BK19" s="7">
        <v>0</v>
      </c>
      <c r="BL19" s="8">
        <v>0</v>
      </c>
      <c r="BM19" s="9">
        <v>0</v>
      </c>
      <c r="BN19" s="7">
        <v>0</v>
      </c>
      <c r="BO19" s="8">
        <v>0</v>
      </c>
      <c r="BP19" s="9">
        <v>0</v>
      </c>
      <c r="BQ19" s="7">
        <v>0</v>
      </c>
      <c r="BR19" s="8">
        <v>0</v>
      </c>
      <c r="BS19" s="9">
        <v>0</v>
      </c>
      <c r="BT19" s="7">
        <v>0</v>
      </c>
      <c r="BU19" s="8">
        <v>0</v>
      </c>
      <c r="BV19" s="9">
        <v>0</v>
      </c>
      <c r="BW19" s="7">
        <v>-110886.29</v>
      </c>
      <c r="BX19" s="8">
        <v>-109999.999999999</v>
      </c>
      <c r="BY19" s="9">
        <v>-100000</v>
      </c>
      <c r="BZ19" s="7">
        <v>0</v>
      </c>
      <c r="CA19" s="8">
        <v>0</v>
      </c>
      <c r="CB19" s="9">
        <v>0</v>
      </c>
      <c r="CC19" s="7">
        <v>0</v>
      </c>
      <c r="CD19" s="8">
        <v>0</v>
      </c>
      <c r="CE19" s="9">
        <v>0</v>
      </c>
      <c r="CF19" s="7">
        <v>0</v>
      </c>
      <c r="CG19" s="8">
        <v>0</v>
      </c>
      <c r="CH19" s="9">
        <v>0</v>
      </c>
      <c r="CI19" s="7">
        <v>0</v>
      </c>
      <c r="CJ19" s="8">
        <v>0</v>
      </c>
      <c r="CK19" s="9">
        <v>0</v>
      </c>
      <c r="CL19" s="7">
        <v>0</v>
      </c>
      <c r="CM19" s="8">
        <v>0</v>
      </c>
      <c r="CN19" s="9">
        <v>0</v>
      </c>
      <c r="CO19" s="7">
        <v>-14959398.52</v>
      </c>
      <c r="CP19" s="8">
        <v>-13059733.605303399</v>
      </c>
      <c r="CQ19" s="9">
        <v>-30000000</v>
      </c>
      <c r="CR19" s="7">
        <v>0</v>
      </c>
      <c r="CS19" s="8">
        <v>0</v>
      </c>
      <c r="CT19" s="9">
        <v>0</v>
      </c>
      <c r="CU19" s="7">
        <v>0</v>
      </c>
      <c r="CV19" s="8">
        <v>0</v>
      </c>
      <c r="CW19" s="9">
        <v>0</v>
      </c>
      <c r="CX19" s="7">
        <v>0</v>
      </c>
      <c r="CY19" s="8">
        <v>0</v>
      </c>
      <c r="CZ19" s="9">
        <v>0</v>
      </c>
      <c r="DA19" s="7">
        <v>0</v>
      </c>
      <c r="DB19" s="8">
        <v>0</v>
      </c>
      <c r="DC19" s="9">
        <v>0</v>
      </c>
      <c r="DD19" s="7">
        <v>0</v>
      </c>
      <c r="DE19" s="8">
        <v>0</v>
      </c>
      <c r="DF19" s="9">
        <v>0</v>
      </c>
      <c r="DG19" s="7">
        <v>0</v>
      </c>
      <c r="DH19" s="8">
        <v>0</v>
      </c>
      <c r="DI19" s="9">
        <v>0</v>
      </c>
      <c r="DJ19" s="7">
        <v>0</v>
      </c>
      <c r="DK19" s="8">
        <v>0</v>
      </c>
      <c r="DL19" s="9">
        <v>0</v>
      </c>
      <c r="DM19" s="7">
        <v>0</v>
      </c>
      <c r="DN19" s="8">
        <v>0</v>
      </c>
      <c r="DO19" s="9">
        <v>0</v>
      </c>
      <c r="DP19" s="7">
        <v>0</v>
      </c>
      <c r="DQ19" s="8">
        <v>0</v>
      </c>
      <c r="DR19" s="9">
        <v>0</v>
      </c>
      <c r="DS19" s="7">
        <v>0</v>
      </c>
      <c r="DT19" s="8">
        <v>0</v>
      </c>
      <c r="DU19" s="9">
        <v>0</v>
      </c>
      <c r="DV19" s="7">
        <v>0</v>
      </c>
      <c r="DW19" s="8">
        <v>0</v>
      </c>
      <c r="DX19" s="9">
        <v>0</v>
      </c>
      <c r="DY19" s="7">
        <v>0</v>
      </c>
      <c r="DZ19" s="8">
        <v>0</v>
      </c>
      <c r="EA19" s="9">
        <v>0</v>
      </c>
      <c r="EB19" s="7">
        <v>0</v>
      </c>
      <c r="EC19" s="8">
        <v>0</v>
      </c>
      <c r="ED19" s="9">
        <v>0</v>
      </c>
      <c r="EE19" s="7">
        <v>0</v>
      </c>
      <c r="EF19" s="8">
        <v>0</v>
      </c>
      <c r="EG19" s="9">
        <v>0</v>
      </c>
      <c r="EH19" s="7">
        <v>0</v>
      </c>
      <c r="EI19" s="8">
        <v>0</v>
      </c>
      <c r="EJ19" s="9">
        <v>0</v>
      </c>
      <c r="EK19" s="7">
        <v>0</v>
      </c>
      <c r="EL19" s="8">
        <v>0</v>
      </c>
      <c r="EM19" s="9">
        <v>-244000</v>
      </c>
      <c r="EN19" s="7">
        <v>0</v>
      </c>
      <c r="EO19" s="8">
        <v>0</v>
      </c>
      <c r="EP19" s="9">
        <v>0</v>
      </c>
      <c r="EQ19" s="7">
        <v>0</v>
      </c>
      <c r="ER19" s="8">
        <v>0</v>
      </c>
      <c r="ES19" s="9">
        <v>0</v>
      </c>
      <c r="ET19" s="7">
        <v>0</v>
      </c>
      <c r="EU19" s="8">
        <v>0</v>
      </c>
      <c r="EV19" s="9">
        <v>0</v>
      </c>
      <c r="EW19" s="7">
        <v>0</v>
      </c>
      <c r="EX19" s="8">
        <v>0</v>
      </c>
      <c r="EY19" s="9">
        <v>0</v>
      </c>
      <c r="EZ19" s="7">
        <v>0</v>
      </c>
      <c r="FA19" s="8">
        <v>0</v>
      </c>
      <c r="FB19" s="9">
        <v>0</v>
      </c>
      <c r="FC19" s="7">
        <v>-26186.38</v>
      </c>
      <c r="FD19" s="8">
        <v>-49998.980112186997</v>
      </c>
      <c r="FE19" s="9">
        <v>-192000</v>
      </c>
      <c r="FF19" s="7">
        <v>0</v>
      </c>
      <c r="FG19" s="8">
        <v>0</v>
      </c>
      <c r="FH19" s="9">
        <v>0</v>
      </c>
      <c r="FI19" s="7">
        <v>0</v>
      </c>
      <c r="FJ19" s="8">
        <v>0</v>
      </c>
      <c r="FK19" s="9">
        <v>0</v>
      </c>
      <c r="FL19" s="7">
        <v>0</v>
      </c>
      <c r="FM19" s="8">
        <v>0</v>
      </c>
      <c r="FN19" s="9">
        <v>0</v>
      </c>
      <c r="FO19" s="7">
        <v>0</v>
      </c>
      <c r="FP19" s="8">
        <v>0</v>
      </c>
      <c r="FQ19" s="9">
        <v>0</v>
      </c>
      <c r="FR19" s="7">
        <v>0</v>
      </c>
      <c r="FS19" s="8">
        <v>0</v>
      </c>
      <c r="FT19" s="9">
        <v>0</v>
      </c>
      <c r="FU19" s="7">
        <v>0</v>
      </c>
      <c r="FV19" s="8">
        <v>0</v>
      </c>
      <c r="FW19" s="9">
        <v>0</v>
      </c>
      <c r="FX19" s="7">
        <v>0</v>
      </c>
      <c r="FY19" s="8">
        <v>-999666.66666666302</v>
      </c>
      <c r="FZ19" s="9">
        <v>0</v>
      </c>
      <c r="GA19" s="7">
        <v>0</v>
      </c>
      <c r="GB19" s="8">
        <v>0</v>
      </c>
      <c r="GC19" s="9">
        <v>0</v>
      </c>
      <c r="GD19" s="7">
        <v>0</v>
      </c>
      <c r="GE19" s="8">
        <v>0</v>
      </c>
      <c r="GF19" s="9">
        <v>0</v>
      </c>
      <c r="GG19" s="7">
        <v>0</v>
      </c>
      <c r="GH19" s="8">
        <v>0</v>
      </c>
      <c r="GI19" s="9">
        <v>0</v>
      </c>
      <c r="GJ19" s="7">
        <v>0</v>
      </c>
      <c r="GK19" s="8">
        <v>0</v>
      </c>
      <c r="GL19" s="9">
        <v>0</v>
      </c>
      <c r="GM19" s="7">
        <v>0</v>
      </c>
      <c r="GN19" s="8">
        <v>0</v>
      </c>
      <c r="GO19" s="9">
        <v>0</v>
      </c>
      <c r="GP19" s="7">
        <v>0</v>
      </c>
      <c r="GQ19" s="8">
        <v>0</v>
      </c>
      <c r="GR19" s="9">
        <v>0</v>
      </c>
      <c r="GS19" s="7">
        <v>0</v>
      </c>
      <c r="GT19" s="8">
        <v>0</v>
      </c>
      <c r="GU19" s="9">
        <v>0</v>
      </c>
      <c r="GV19" s="7">
        <v>0</v>
      </c>
      <c r="GW19" s="8">
        <v>0</v>
      </c>
      <c r="GX19" s="9">
        <v>0</v>
      </c>
      <c r="GY19" s="7">
        <v>0</v>
      </c>
      <c r="GZ19" s="8">
        <v>0</v>
      </c>
      <c r="HA19" s="9">
        <v>0</v>
      </c>
      <c r="HB19" s="7">
        <v>0</v>
      </c>
      <c r="HC19" s="8">
        <v>0</v>
      </c>
      <c r="HD19" s="9">
        <v>0</v>
      </c>
      <c r="HE19" s="7">
        <v>0</v>
      </c>
      <c r="HF19" s="8">
        <v>0</v>
      </c>
      <c r="HG19" s="9">
        <v>0</v>
      </c>
      <c r="HH19" s="7">
        <v>0</v>
      </c>
      <c r="HI19" s="8">
        <v>0</v>
      </c>
      <c r="HJ19" s="9">
        <v>0</v>
      </c>
      <c r="HK19" s="7">
        <v>0</v>
      </c>
      <c r="HL19" s="8">
        <v>0</v>
      </c>
      <c r="HM19" s="9">
        <v>0</v>
      </c>
      <c r="HN19" s="7">
        <v>0</v>
      </c>
      <c r="HO19" s="8">
        <v>0</v>
      </c>
      <c r="HP19" s="9">
        <v>0</v>
      </c>
    </row>
    <row r="20" spans="1:224" x14ac:dyDescent="0.25">
      <c r="A20" s="23" t="s">
        <v>177</v>
      </c>
      <c r="B20" s="26" t="s">
        <v>178</v>
      </c>
      <c r="C20" s="7">
        <v>-3803421.87</v>
      </c>
      <c r="D20" s="8">
        <v>-3806999.99999998</v>
      </c>
      <c r="E20" s="9">
        <v>-3841000</v>
      </c>
      <c r="F20" s="7">
        <v>-85321.36</v>
      </c>
      <c r="G20" s="8">
        <v>-99999.999999998996</v>
      </c>
      <c r="H20" s="9">
        <v>-100000</v>
      </c>
      <c r="I20" s="7">
        <v>0</v>
      </c>
      <c r="J20" s="8">
        <v>0</v>
      </c>
      <c r="K20" s="9">
        <v>0</v>
      </c>
      <c r="L20" s="7">
        <v>-21330.34</v>
      </c>
      <c r="M20" s="8">
        <v>0</v>
      </c>
      <c r="N20" s="9">
        <v>-30000</v>
      </c>
      <c r="O20" s="7">
        <v>0</v>
      </c>
      <c r="P20" s="8">
        <v>0</v>
      </c>
      <c r="Q20" s="9">
        <v>0</v>
      </c>
      <c r="R20" s="7">
        <v>-59209.11</v>
      </c>
      <c r="S20" s="8">
        <v>-59999.999999993001</v>
      </c>
      <c r="T20" s="9">
        <v>-60000</v>
      </c>
      <c r="U20" s="7">
        <v>0</v>
      </c>
      <c r="V20" s="8">
        <v>0</v>
      </c>
      <c r="W20" s="9">
        <v>0</v>
      </c>
      <c r="X20" s="7">
        <v>0</v>
      </c>
      <c r="Y20" s="8">
        <v>0</v>
      </c>
      <c r="Z20" s="9">
        <v>0</v>
      </c>
      <c r="AA20" s="7">
        <v>0</v>
      </c>
      <c r="AB20" s="8">
        <v>0</v>
      </c>
      <c r="AC20" s="9">
        <v>0</v>
      </c>
      <c r="AD20" s="7">
        <v>0</v>
      </c>
      <c r="AE20" s="8">
        <v>0</v>
      </c>
      <c r="AF20" s="9">
        <v>0</v>
      </c>
      <c r="AG20" s="7">
        <v>-34521.620000000003</v>
      </c>
      <c r="AH20" s="8">
        <v>-24999.999999996999</v>
      </c>
      <c r="AI20" s="9">
        <v>-30000</v>
      </c>
      <c r="AJ20" s="7">
        <v>0</v>
      </c>
      <c r="AK20" s="8">
        <v>0</v>
      </c>
      <c r="AL20" s="9">
        <v>0</v>
      </c>
      <c r="AM20" s="7">
        <v>0</v>
      </c>
      <c r="AN20" s="8">
        <v>0</v>
      </c>
      <c r="AO20" s="9">
        <v>0</v>
      </c>
      <c r="AP20" s="7">
        <v>0</v>
      </c>
      <c r="AQ20" s="8">
        <v>0</v>
      </c>
      <c r="AR20" s="9">
        <v>0</v>
      </c>
      <c r="AS20" s="7">
        <v>-4931.66</v>
      </c>
      <c r="AT20" s="8">
        <v>-5000</v>
      </c>
      <c r="AU20" s="9">
        <v>0</v>
      </c>
      <c r="AV20" s="7">
        <v>0</v>
      </c>
      <c r="AW20" s="8">
        <v>0</v>
      </c>
      <c r="AX20" s="9">
        <v>0</v>
      </c>
      <c r="AY20" s="7">
        <v>-34550.81</v>
      </c>
      <c r="AZ20" s="8">
        <v>-29999.999999995998</v>
      </c>
      <c r="BA20" s="9">
        <v>-72000</v>
      </c>
      <c r="BB20" s="7">
        <v>-3477254.82</v>
      </c>
      <c r="BC20" s="8">
        <v>-3500000</v>
      </c>
      <c r="BD20" s="9">
        <v>-3500000</v>
      </c>
      <c r="BE20" s="7">
        <v>0</v>
      </c>
      <c r="BF20" s="8">
        <v>0</v>
      </c>
      <c r="BG20" s="9">
        <v>0</v>
      </c>
      <c r="BH20" s="7">
        <v>0</v>
      </c>
      <c r="BI20" s="8">
        <v>0</v>
      </c>
      <c r="BJ20" s="9">
        <v>0</v>
      </c>
      <c r="BK20" s="7">
        <v>0</v>
      </c>
      <c r="BL20" s="8">
        <v>0</v>
      </c>
      <c r="BM20" s="9">
        <v>0</v>
      </c>
      <c r="BN20" s="7">
        <v>0</v>
      </c>
      <c r="BO20" s="8">
        <v>0</v>
      </c>
      <c r="BP20" s="9">
        <v>0</v>
      </c>
      <c r="BQ20" s="7">
        <v>0</v>
      </c>
      <c r="BR20" s="8">
        <v>0</v>
      </c>
      <c r="BS20" s="9">
        <v>0</v>
      </c>
      <c r="BT20" s="7">
        <v>0</v>
      </c>
      <c r="BU20" s="8">
        <v>0</v>
      </c>
      <c r="BV20" s="9">
        <v>0</v>
      </c>
      <c r="BW20" s="7">
        <v>0</v>
      </c>
      <c r="BX20" s="8">
        <v>0</v>
      </c>
      <c r="BY20" s="9">
        <v>0</v>
      </c>
      <c r="BZ20" s="7">
        <v>0</v>
      </c>
      <c r="CA20" s="8">
        <v>0</v>
      </c>
      <c r="CB20" s="9">
        <v>0</v>
      </c>
      <c r="CC20" s="7">
        <v>0</v>
      </c>
      <c r="CD20" s="8">
        <v>0</v>
      </c>
      <c r="CE20" s="9">
        <v>0</v>
      </c>
      <c r="CF20" s="7">
        <v>0</v>
      </c>
      <c r="CG20" s="8">
        <v>0</v>
      </c>
      <c r="CH20" s="9">
        <v>0</v>
      </c>
      <c r="CI20" s="7">
        <v>0</v>
      </c>
      <c r="CJ20" s="8">
        <v>0</v>
      </c>
      <c r="CK20" s="9">
        <v>0</v>
      </c>
      <c r="CL20" s="7">
        <v>0</v>
      </c>
      <c r="CM20" s="8">
        <v>0</v>
      </c>
      <c r="CN20" s="9">
        <v>0</v>
      </c>
      <c r="CO20" s="7">
        <v>-49345.79</v>
      </c>
      <c r="CP20" s="8">
        <v>-39999.999999997999</v>
      </c>
      <c r="CQ20" s="9">
        <v>-20000</v>
      </c>
      <c r="CR20" s="7">
        <v>0</v>
      </c>
      <c r="CS20" s="8">
        <v>0</v>
      </c>
      <c r="CT20" s="9">
        <v>0</v>
      </c>
      <c r="CU20" s="7">
        <v>-4960.8500000000004</v>
      </c>
      <c r="CV20" s="8">
        <v>-7000</v>
      </c>
      <c r="CW20" s="9">
        <v>-15000</v>
      </c>
      <c r="CX20" s="7">
        <v>0</v>
      </c>
      <c r="CY20" s="8">
        <v>0</v>
      </c>
      <c r="CZ20" s="9">
        <v>0</v>
      </c>
      <c r="DA20" s="7">
        <v>0</v>
      </c>
      <c r="DB20" s="8">
        <v>0</v>
      </c>
      <c r="DC20" s="9">
        <v>0</v>
      </c>
      <c r="DD20" s="7">
        <v>0</v>
      </c>
      <c r="DE20" s="8">
        <v>0</v>
      </c>
      <c r="DF20" s="9">
        <v>0</v>
      </c>
      <c r="DG20" s="7">
        <v>0</v>
      </c>
      <c r="DH20" s="8">
        <v>0</v>
      </c>
      <c r="DI20" s="9">
        <v>0</v>
      </c>
      <c r="DJ20" s="7">
        <v>0</v>
      </c>
      <c r="DK20" s="8">
        <v>0</v>
      </c>
      <c r="DL20" s="9">
        <v>0</v>
      </c>
      <c r="DM20" s="7">
        <v>0</v>
      </c>
      <c r="DN20" s="8">
        <v>0</v>
      </c>
      <c r="DO20" s="9">
        <v>0</v>
      </c>
      <c r="DP20" s="7">
        <v>0</v>
      </c>
      <c r="DQ20" s="8">
        <v>0</v>
      </c>
      <c r="DR20" s="9">
        <v>0</v>
      </c>
      <c r="DS20" s="7">
        <v>0</v>
      </c>
      <c r="DT20" s="8">
        <v>0</v>
      </c>
      <c r="DU20" s="9">
        <v>0</v>
      </c>
      <c r="DV20" s="7">
        <v>0</v>
      </c>
      <c r="DW20" s="8">
        <v>0</v>
      </c>
      <c r="DX20" s="9">
        <v>0</v>
      </c>
      <c r="DY20" s="7">
        <v>0</v>
      </c>
      <c r="DZ20" s="8">
        <v>0</v>
      </c>
      <c r="EA20" s="9">
        <v>0</v>
      </c>
      <c r="EB20" s="7">
        <v>0</v>
      </c>
      <c r="EC20" s="8">
        <v>0</v>
      </c>
      <c r="ED20" s="9">
        <v>0</v>
      </c>
      <c r="EE20" s="7">
        <v>0</v>
      </c>
      <c r="EF20" s="8">
        <v>0</v>
      </c>
      <c r="EG20" s="9">
        <v>0</v>
      </c>
      <c r="EH20" s="7">
        <v>0</v>
      </c>
      <c r="EI20" s="8">
        <v>0</v>
      </c>
      <c r="EJ20" s="9">
        <v>0</v>
      </c>
      <c r="EK20" s="7">
        <v>-31995.51</v>
      </c>
      <c r="EL20" s="8">
        <v>-39999.999999999003</v>
      </c>
      <c r="EM20" s="9">
        <v>-14000</v>
      </c>
      <c r="EN20" s="7">
        <v>0</v>
      </c>
      <c r="EO20" s="8">
        <v>0</v>
      </c>
      <c r="EP20" s="9">
        <v>0</v>
      </c>
      <c r="EQ20" s="7">
        <v>0</v>
      </c>
      <c r="ER20" s="8">
        <v>0</v>
      </c>
      <c r="ES20" s="9">
        <v>0</v>
      </c>
      <c r="ET20" s="7">
        <v>0</v>
      </c>
      <c r="EU20" s="8">
        <v>0</v>
      </c>
      <c r="EV20" s="9">
        <v>0</v>
      </c>
      <c r="EW20" s="7">
        <v>0</v>
      </c>
      <c r="EX20" s="8">
        <v>0</v>
      </c>
      <c r="EY20" s="9">
        <v>0</v>
      </c>
      <c r="EZ20" s="7">
        <v>0</v>
      </c>
      <c r="FA20" s="8">
        <v>0</v>
      </c>
      <c r="FB20" s="9">
        <v>0</v>
      </c>
      <c r="FC20" s="7">
        <v>0</v>
      </c>
      <c r="FD20" s="8">
        <v>0</v>
      </c>
      <c r="FE20" s="9">
        <v>0</v>
      </c>
      <c r="FF20" s="7">
        <v>0</v>
      </c>
      <c r="FG20" s="8">
        <v>0</v>
      </c>
      <c r="FH20" s="9">
        <v>0</v>
      </c>
      <c r="FI20" s="7">
        <v>0</v>
      </c>
      <c r="FJ20" s="8">
        <v>0</v>
      </c>
      <c r="FK20" s="9">
        <v>0</v>
      </c>
      <c r="FL20" s="7">
        <v>0</v>
      </c>
      <c r="FM20" s="8">
        <v>0</v>
      </c>
      <c r="FN20" s="9">
        <v>0</v>
      </c>
      <c r="FO20" s="7">
        <v>0</v>
      </c>
      <c r="FP20" s="8">
        <v>0</v>
      </c>
      <c r="FQ20" s="9">
        <v>0</v>
      </c>
      <c r="FR20" s="7">
        <v>0</v>
      </c>
      <c r="FS20" s="8">
        <v>0</v>
      </c>
      <c r="FT20" s="9">
        <v>0</v>
      </c>
      <c r="FU20" s="7">
        <v>0</v>
      </c>
      <c r="FV20" s="8">
        <v>0</v>
      </c>
      <c r="FW20" s="9">
        <v>0</v>
      </c>
      <c r="FX20" s="7">
        <v>0</v>
      </c>
      <c r="FY20" s="8">
        <v>0</v>
      </c>
      <c r="FZ20" s="9">
        <v>0</v>
      </c>
      <c r="GA20" s="7">
        <v>0</v>
      </c>
      <c r="GB20" s="8">
        <v>0</v>
      </c>
      <c r="GC20" s="9">
        <v>0</v>
      </c>
      <c r="GD20" s="7">
        <v>0</v>
      </c>
      <c r="GE20" s="8">
        <v>0</v>
      </c>
      <c r="GF20" s="9">
        <v>0</v>
      </c>
      <c r="GG20" s="7">
        <v>0</v>
      </c>
      <c r="GH20" s="8">
        <v>0</v>
      </c>
      <c r="GI20" s="9">
        <v>0</v>
      </c>
      <c r="GJ20" s="7">
        <v>0</v>
      </c>
      <c r="GK20" s="8">
        <v>0</v>
      </c>
      <c r="GL20" s="9">
        <v>0</v>
      </c>
      <c r="GM20" s="7">
        <v>0</v>
      </c>
      <c r="GN20" s="8">
        <v>0</v>
      </c>
      <c r="GO20" s="9">
        <v>0</v>
      </c>
      <c r="GP20" s="7">
        <v>0</v>
      </c>
      <c r="GQ20" s="8">
        <v>0</v>
      </c>
      <c r="GR20" s="9">
        <v>0</v>
      </c>
      <c r="GS20" s="7">
        <v>0</v>
      </c>
      <c r="GT20" s="8">
        <v>0</v>
      </c>
      <c r="GU20" s="9">
        <v>0</v>
      </c>
      <c r="GV20" s="7">
        <v>0</v>
      </c>
      <c r="GW20" s="8">
        <v>0</v>
      </c>
      <c r="GX20" s="9">
        <v>0</v>
      </c>
      <c r="GY20" s="7">
        <v>0</v>
      </c>
      <c r="GZ20" s="8">
        <v>0</v>
      </c>
      <c r="HA20" s="9">
        <v>0</v>
      </c>
      <c r="HB20" s="7">
        <v>0</v>
      </c>
      <c r="HC20" s="8">
        <v>0</v>
      </c>
      <c r="HD20" s="9">
        <v>0</v>
      </c>
      <c r="HE20" s="7">
        <v>0</v>
      </c>
      <c r="HF20" s="8">
        <v>0</v>
      </c>
      <c r="HG20" s="9">
        <v>0</v>
      </c>
      <c r="HH20" s="7">
        <v>0</v>
      </c>
      <c r="HI20" s="8">
        <v>0</v>
      </c>
      <c r="HJ20" s="9">
        <v>0</v>
      </c>
      <c r="HK20" s="7">
        <v>0</v>
      </c>
      <c r="HL20" s="8">
        <v>0</v>
      </c>
      <c r="HM20" s="9">
        <v>0</v>
      </c>
      <c r="HN20" s="7">
        <v>0</v>
      </c>
      <c r="HO20" s="8">
        <v>0</v>
      </c>
      <c r="HP20" s="9">
        <v>0</v>
      </c>
    </row>
    <row r="21" spans="1:224" x14ac:dyDescent="0.25">
      <c r="A21" s="23" t="s">
        <v>179</v>
      </c>
      <c r="B21" s="26" t="s">
        <v>180</v>
      </c>
      <c r="C21" s="7">
        <v>-23233481.719999999</v>
      </c>
      <c r="D21" s="8">
        <v>-23444685.905481901</v>
      </c>
      <c r="E21" s="9">
        <v>-21377009</v>
      </c>
      <c r="F21" s="7">
        <v>-607486.79</v>
      </c>
      <c r="G21" s="8">
        <v>-579999.99999997998</v>
      </c>
      <c r="H21" s="9">
        <v>-600000</v>
      </c>
      <c r="I21" s="7">
        <v>-2149295.17</v>
      </c>
      <c r="J21" s="8">
        <v>-2190964.4487494798</v>
      </c>
      <c r="K21" s="9">
        <v>-2200000</v>
      </c>
      <c r="L21" s="7">
        <v>-1491654.25</v>
      </c>
      <c r="M21" s="8">
        <v>-1500202.3142248199</v>
      </c>
      <c r="N21" s="9">
        <v>-1500000</v>
      </c>
      <c r="O21" s="7">
        <v>-2435432.54</v>
      </c>
      <c r="P21" s="8">
        <v>-1939990.51320361</v>
      </c>
      <c r="Q21" s="9">
        <v>-1900000</v>
      </c>
      <c r="R21" s="7">
        <v>-125313.08</v>
      </c>
      <c r="S21" s="8">
        <v>-139999.99999998699</v>
      </c>
      <c r="T21" s="9">
        <v>-140000</v>
      </c>
      <c r="U21" s="7">
        <v>-392921.99</v>
      </c>
      <c r="V21" s="8">
        <v>-429999.99999998201</v>
      </c>
      <c r="W21" s="9">
        <v>-600000</v>
      </c>
      <c r="X21" s="7">
        <v>-1996127.79</v>
      </c>
      <c r="Y21" s="8">
        <v>-2060000</v>
      </c>
      <c r="Z21" s="9">
        <v>-1860000</v>
      </c>
      <c r="AA21" s="7">
        <v>-436247.92</v>
      </c>
      <c r="AB21" s="8">
        <v>-399999.99999997398</v>
      </c>
      <c r="AC21" s="9">
        <v>-438000</v>
      </c>
      <c r="AD21" s="7">
        <v>-109383.01</v>
      </c>
      <c r="AE21" s="8">
        <v>-109999.999999989</v>
      </c>
      <c r="AF21" s="9">
        <v>-130000</v>
      </c>
      <c r="AG21" s="7">
        <v>-806433</v>
      </c>
      <c r="AH21" s="8">
        <v>-769999.99999995495</v>
      </c>
      <c r="AI21" s="9">
        <v>-900000</v>
      </c>
      <c r="AJ21" s="7">
        <v>-911317.02</v>
      </c>
      <c r="AK21" s="8">
        <v>-919999.99999997299</v>
      </c>
      <c r="AL21" s="9">
        <v>-900000</v>
      </c>
      <c r="AM21" s="7">
        <v>-395930.01</v>
      </c>
      <c r="AN21" s="8">
        <v>-389999.99999999098</v>
      </c>
      <c r="AO21" s="9">
        <v>-380000</v>
      </c>
      <c r="AP21" s="7">
        <v>-214547.87</v>
      </c>
      <c r="AQ21" s="8">
        <v>-209999.999999986</v>
      </c>
      <c r="AR21" s="9">
        <v>-210000</v>
      </c>
      <c r="AS21" s="7">
        <v>-120600.98</v>
      </c>
      <c r="AT21" s="8">
        <v>-119999.999999983</v>
      </c>
      <c r="AU21" s="9">
        <v>-140000</v>
      </c>
      <c r="AV21" s="7">
        <v>0</v>
      </c>
      <c r="AW21" s="8">
        <v>0</v>
      </c>
      <c r="AX21" s="9">
        <v>0</v>
      </c>
      <c r="AY21" s="7">
        <v>-1731674.13</v>
      </c>
      <c r="AZ21" s="8">
        <v>-1699999.99999998</v>
      </c>
      <c r="BA21" s="9">
        <v>-1732000</v>
      </c>
      <c r="BB21" s="7">
        <v>-583844.9</v>
      </c>
      <c r="BC21" s="8">
        <v>-539999.99999997101</v>
      </c>
      <c r="BD21" s="9">
        <v>-700000</v>
      </c>
      <c r="BE21" s="7">
        <v>-11175.45</v>
      </c>
      <c r="BF21" s="8">
        <v>-9999.9999999840002</v>
      </c>
      <c r="BG21" s="9">
        <v>-20000</v>
      </c>
      <c r="BH21" s="7">
        <v>0</v>
      </c>
      <c r="BI21" s="8">
        <v>0</v>
      </c>
      <c r="BJ21" s="9">
        <v>0</v>
      </c>
      <c r="BK21" s="7">
        <v>-220609.14</v>
      </c>
      <c r="BL21" s="8">
        <v>-229999.99999998699</v>
      </c>
      <c r="BM21" s="9">
        <v>-200000</v>
      </c>
      <c r="BN21" s="7">
        <v>-309384.25</v>
      </c>
      <c r="BO21" s="8">
        <v>-284999.99999998999</v>
      </c>
      <c r="BP21" s="9">
        <v>-400000</v>
      </c>
      <c r="BQ21" s="7">
        <v>0</v>
      </c>
      <c r="BR21" s="8">
        <v>0</v>
      </c>
      <c r="BS21" s="9">
        <v>0</v>
      </c>
      <c r="BT21" s="7">
        <v>-1667.09</v>
      </c>
      <c r="BU21" s="8">
        <v>-1999.9999999950001</v>
      </c>
      <c r="BV21" s="9">
        <v>-3000</v>
      </c>
      <c r="BW21" s="7">
        <v>-296189.14</v>
      </c>
      <c r="BX21" s="8">
        <v>-259999.99999997899</v>
      </c>
      <c r="BY21" s="9">
        <v>-305000</v>
      </c>
      <c r="BZ21" s="7">
        <v>-19433</v>
      </c>
      <c r="CA21" s="8">
        <v>-44838.863387279001</v>
      </c>
      <c r="CB21" s="9">
        <v>-55000</v>
      </c>
      <c r="CC21" s="7">
        <v>0</v>
      </c>
      <c r="CD21" s="8">
        <v>0</v>
      </c>
      <c r="CE21" s="9">
        <v>0</v>
      </c>
      <c r="CF21" s="7">
        <v>0</v>
      </c>
      <c r="CG21" s="8">
        <v>0</v>
      </c>
      <c r="CH21" s="9">
        <v>0</v>
      </c>
      <c r="CI21" s="7">
        <v>-29304.7</v>
      </c>
      <c r="CJ21" s="8">
        <v>-29999.999999991</v>
      </c>
      <c r="CK21" s="9">
        <v>-30000</v>
      </c>
      <c r="CL21" s="7">
        <v>-659382.53</v>
      </c>
      <c r="CM21" s="8">
        <v>-679999.99999998801</v>
      </c>
      <c r="CN21" s="9">
        <v>-600000</v>
      </c>
      <c r="CO21" s="7">
        <v>-4694445.3899999997</v>
      </c>
      <c r="CP21" s="8">
        <v>-3799689.7659170502</v>
      </c>
      <c r="CQ21" s="9">
        <v>-3800000</v>
      </c>
      <c r="CR21" s="7">
        <v>0</v>
      </c>
      <c r="CS21" s="8">
        <v>0</v>
      </c>
      <c r="CT21" s="9">
        <v>0</v>
      </c>
      <c r="CU21" s="7">
        <v>0</v>
      </c>
      <c r="CV21" s="8">
        <v>0</v>
      </c>
      <c r="CW21" s="9">
        <v>0</v>
      </c>
      <c r="CX21" s="7">
        <v>0</v>
      </c>
      <c r="CY21" s="8">
        <v>0</v>
      </c>
      <c r="CZ21" s="9">
        <v>0</v>
      </c>
      <c r="DA21" s="7">
        <v>0</v>
      </c>
      <c r="DB21" s="8">
        <v>0</v>
      </c>
      <c r="DC21" s="9">
        <v>0</v>
      </c>
      <c r="DD21" s="7">
        <v>0</v>
      </c>
      <c r="DE21" s="8">
        <v>0</v>
      </c>
      <c r="DF21" s="9">
        <v>0</v>
      </c>
      <c r="DG21" s="7">
        <v>0</v>
      </c>
      <c r="DH21" s="8">
        <v>0</v>
      </c>
      <c r="DI21" s="9">
        <v>0</v>
      </c>
      <c r="DJ21" s="7">
        <v>0</v>
      </c>
      <c r="DK21" s="8">
        <v>0</v>
      </c>
      <c r="DL21" s="9">
        <v>0</v>
      </c>
      <c r="DM21" s="7">
        <v>-1511.52</v>
      </c>
      <c r="DN21" s="8">
        <v>-4999.9999999969996</v>
      </c>
      <c r="DO21" s="9">
        <v>-3000</v>
      </c>
      <c r="DP21" s="7">
        <v>0</v>
      </c>
      <c r="DQ21" s="8">
        <v>0</v>
      </c>
      <c r="DR21" s="9">
        <v>0</v>
      </c>
      <c r="DS21" s="7">
        <v>0</v>
      </c>
      <c r="DT21" s="8">
        <v>0</v>
      </c>
      <c r="DU21" s="9">
        <v>0</v>
      </c>
      <c r="DV21" s="7">
        <v>-574.57000000000005</v>
      </c>
      <c r="DW21" s="8">
        <v>-999.99999999900001</v>
      </c>
      <c r="DX21" s="9">
        <v>-15000</v>
      </c>
      <c r="DY21" s="7">
        <v>0</v>
      </c>
      <c r="DZ21" s="8">
        <v>0</v>
      </c>
      <c r="EA21" s="9">
        <v>0</v>
      </c>
      <c r="EB21" s="7">
        <v>0</v>
      </c>
      <c r="EC21" s="8">
        <v>0</v>
      </c>
      <c r="ED21" s="9">
        <v>0</v>
      </c>
      <c r="EE21" s="7">
        <v>-26808.44</v>
      </c>
      <c r="EF21" s="8">
        <v>-19999.999999994001</v>
      </c>
      <c r="EG21" s="9">
        <v>-20000</v>
      </c>
      <c r="EH21" s="7">
        <v>0</v>
      </c>
      <c r="EI21" s="8">
        <v>0</v>
      </c>
      <c r="EJ21" s="9">
        <v>0</v>
      </c>
      <c r="EK21" s="7">
        <v>-622658.17000000004</v>
      </c>
      <c r="EL21" s="8">
        <v>-669999.99999998405</v>
      </c>
      <c r="EM21" s="9">
        <v>-437000</v>
      </c>
      <c r="EN21" s="7">
        <v>0</v>
      </c>
      <c r="EO21" s="8">
        <v>0</v>
      </c>
      <c r="EP21" s="9">
        <v>0</v>
      </c>
      <c r="EQ21" s="7">
        <v>0</v>
      </c>
      <c r="ER21" s="8">
        <v>0</v>
      </c>
      <c r="ES21" s="9">
        <v>0</v>
      </c>
      <c r="ET21" s="7">
        <v>0</v>
      </c>
      <c r="EU21" s="8">
        <v>0</v>
      </c>
      <c r="EV21" s="9">
        <v>0</v>
      </c>
      <c r="EW21" s="7">
        <v>0</v>
      </c>
      <c r="EX21" s="8">
        <v>0</v>
      </c>
      <c r="EY21" s="9">
        <v>0</v>
      </c>
      <c r="EZ21" s="7">
        <v>0</v>
      </c>
      <c r="FA21" s="8">
        <v>0</v>
      </c>
      <c r="FB21" s="9">
        <v>0</v>
      </c>
      <c r="FC21" s="7">
        <v>-1762265.52</v>
      </c>
      <c r="FD21" s="8">
        <v>-1460000</v>
      </c>
      <c r="FE21" s="9">
        <v>-1088000</v>
      </c>
      <c r="FF21" s="7">
        <v>-69862.36</v>
      </c>
      <c r="FG21" s="8">
        <v>-79999.999999986001</v>
      </c>
      <c r="FH21" s="9">
        <v>-71009</v>
      </c>
      <c r="FI21" s="7">
        <v>0</v>
      </c>
      <c r="FJ21" s="8">
        <v>0</v>
      </c>
      <c r="FK21" s="9">
        <v>0</v>
      </c>
      <c r="FL21" s="7">
        <v>0</v>
      </c>
      <c r="FM21" s="8">
        <v>0</v>
      </c>
      <c r="FN21" s="9">
        <v>0</v>
      </c>
      <c r="FO21" s="7">
        <v>0</v>
      </c>
      <c r="FP21" s="8">
        <v>0</v>
      </c>
      <c r="FQ21" s="9">
        <v>0</v>
      </c>
      <c r="FR21" s="7">
        <v>0</v>
      </c>
      <c r="FS21" s="8">
        <v>0</v>
      </c>
      <c r="FT21" s="9">
        <v>0</v>
      </c>
      <c r="FU21" s="7">
        <v>0</v>
      </c>
      <c r="FV21" s="8">
        <v>0</v>
      </c>
      <c r="FW21" s="9">
        <v>0</v>
      </c>
      <c r="FX21" s="7">
        <v>0</v>
      </c>
      <c r="FY21" s="8">
        <v>-1866000</v>
      </c>
      <c r="FZ21" s="9">
        <v>0</v>
      </c>
      <c r="GA21" s="7">
        <v>0</v>
      </c>
      <c r="GB21" s="8">
        <v>0</v>
      </c>
      <c r="GC21" s="9">
        <v>0</v>
      </c>
      <c r="GD21" s="7">
        <v>0</v>
      </c>
      <c r="GE21" s="8">
        <v>0</v>
      </c>
      <c r="GF21" s="9">
        <v>0</v>
      </c>
      <c r="GG21" s="7">
        <v>0</v>
      </c>
      <c r="GH21" s="8">
        <v>0</v>
      </c>
      <c r="GI21" s="9">
        <v>0</v>
      </c>
      <c r="GJ21" s="7">
        <v>0</v>
      </c>
      <c r="GK21" s="8">
        <v>0</v>
      </c>
      <c r="GL21" s="9">
        <v>0</v>
      </c>
      <c r="GM21" s="7">
        <v>0</v>
      </c>
      <c r="GN21" s="8">
        <v>0</v>
      </c>
      <c r="GO21" s="9">
        <v>0</v>
      </c>
      <c r="GP21" s="7">
        <v>0</v>
      </c>
      <c r="GQ21" s="8">
        <v>0</v>
      </c>
      <c r="GR21" s="9">
        <v>0</v>
      </c>
      <c r="GS21" s="7">
        <v>0</v>
      </c>
      <c r="GT21" s="8">
        <v>0</v>
      </c>
      <c r="GU21" s="9">
        <v>0</v>
      </c>
      <c r="GV21" s="7">
        <v>0</v>
      </c>
      <c r="GW21" s="8">
        <v>0</v>
      </c>
      <c r="GX21" s="9">
        <v>0</v>
      </c>
      <c r="GY21" s="7">
        <v>0</v>
      </c>
      <c r="GZ21" s="8">
        <v>0</v>
      </c>
      <c r="HA21" s="9">
        <v>0</v>
      </c>
      <c r="HB21" s="7">
        <v>0</v>
      </c>
      <c r="HC21" s="8">
        <v>0</v>
      </c>
      <c r="HD21" s="9">
        <v>0</v>
      </c>
      <c r="HE21" s="7">
        <v>0</v>
      </c>
      <c r="HF21" s="8">
        <v>0</v>
      </c>
      <c r="HG21" s="9">
        <v>0</v>
      </c>
      <c r="HH21" s="7">
        <v>0</v>
      </c>
      <c r="HI21" s="8">
        <v>0</v>
      </c>
      <c r="HJ21" s="9">
        <v>0</v>
      </c>
      <c r="HK21" s="7">
        <v>0</v>
      </c>
      <c r="HL21" s="8">
        <v>0</v>
      </c>
      <c r="HM21" s="9">
        <v>0</v>
      </c>
      <c r="HN21" s="7">
        <v>0</v>
      </c>
      <c r="HO21" s="8">
        <v>0</v>
      </c>
      <c r="HP21" s="9">
        <v>0</v>
      </c>
    </row>
    <row r="22" spans="1:224" x14ac:dyDescent="0.25">
      <c r="A22" s="23" t="s">
        <v>181</v>
      </c>
      <c r="B22" s="26" t="s">
        <v>182</v>
      </c>
      <c r="C22" s="7">
        <v>-12498609.220000001</v>
      </c>
      <c r="D22" s="8">
        <v>-12204783.885673</v>
      </c>
      <c r="E22" s="9">
        <v>-11470730</v>
      </c>
      <c r="F22" s="7">
        <v>-163417.04</v>
      </c>
      <c r="G22" s="8">
        <v>-219999.99999999101</v>
      </c>
      <c r="H22" s="9">
        <v>-220000</v>
      </c>
      <c r="I22" s="7">
        <v>-306522.2</v>
      </c>
      <c r="J22" s="8">
        <v>-338980.97911030101</v>
      </c>
      <c r="K22" s="9">
        <v>-450000</v>
      </c>
      <c r="L22" s="7">
        <v>-162317.39000000001</v>
      </c>
      <c r="M22" s="8">
        <v>-174999.99999998801</v>
      </c>
      <c r="N22" s="9">
        <v>-175000</v>
      </c>
      <c r="O22" s="7">
        <v>-279563.59000000003</v>
      </c>
      <c r="P22" s="8">
        <v>-279999.99999997998</v>
      </c>
      <c r="Q22" s="9">
        <v>-437427</v>
      </c>
      <c r="R22" s="7">
        <v>-6841.55</v>
      </c>
      <c r="S22" s="8">
        <v>-9999.9999999979991</v>
      </c>
      <c r="T22" s="9">
        <v>-10000</v>
      </c>
      <c r="U22" s="7">
        <v>-11457.47</v>
      </c>
      <c r="V22" s="8">
        <v>-19999.999999994001</v>
      </c>
      <c r="W22" s="9">
        <v>-10000</v>
      </c>
      <c r="X22" s="7">
        <v>-914179.64</v>
      </c>
      <c r="Y22" s="8">
        <v>-909999.99999999802</v>
      </c>
      <c r="Z22" s="9">
        <v>-860000</v>
      </c>
      <c r="AA22" s="7">
        <v>-74077.59</v>
      </c>
      <c r="AB22" s="8">
        <v>-99999.999999995998</v>
      </c>
      <c r="AC22" s="9">
        <v>-70000</v>
      </c>
      <c r="AD22" s="7">
        <v>-4485.47</v>
      </c>
      <c r="AE22" s="8">
        <v>-9999.9999999949996</v>
      </c>
      <c r="AF22" s="9">
        <v>-2000</v>
      </c>
      <c r="AG22" s="7">
        <v>-494659.45</v>
      </c>
      <c r="AH22" s="8">
        <v>-489999.999999978</v>
      </c>
      <c r="AI22" s="9">
        <v>-400000</v>
      </c>
      <c r="AJ22" s="7">
        <v>-71931.960000000006</v>
      </c>
      <c r="AK22" s="8">
        <v>-94999.999999994005</v>
      </c>
      <c r="AL22" s="9">
        <v>-100000</v>
      </c>
      <c r="AM22" s="7">
        <v>-67314.710000000006</v>
      </c>
      <c r="AN22" s="8">
        <v>-69999.999999997002</v>
      </c>
      <c r="AO22" s="9">
        <v>-40000</v>
      </c>
      <c r="AP22" s="7">
        <v>-9950.82</v>
      </c>
      <c r="AQ22" s="8">
        <v>-14999.999999997</v>
      </c>
      <c r="AR22" s="9">
        <v>-15000</v>
      </c>
      <c r="AS22" s="7">
        <v>-2113.75</v>
      </c>
      <c r="AT22" s="8">
        <v>-10000</v>
      </c>
      <c r="AU22" s="9">
        <v>-10000</v>
      </c>
      <c r="AV22" s="7">
        <v>0</v>
      </c>
      <c r="AW22" s="8">
        <v>0</v>
      </c>
      <c r="AX22" s="9">
        <v>0</v>
      </c>
      <c r="AY22" s="7">
        <v>-649916.55000000005</v>
      </c>
      <c r="AZ22" s="8">
        <v>-609999.99999998498</v>
      </c>
      <c r="BA22" s="9">
        <v>-650000</v>
      </c>
      <c r="BB22" s="7">
        <v>-80529.97</v>
      </c>
      <c r="BC22" s="8">
        <v>-99999.999999987995</v>
      </c>
      <c r="BD22" s="9">
        <v>-150000</v>
      </c>
      <c r="BE22" s="7">
        <v>-2223.96</v>
      </c>
      <c r="BF22" s="8">
        <v>0</v>
      </c>
      <c r="BG22" s="9">
        <v>-1000</v>
      </c>
      <c r="BH22" s="7">
        <v>0</v>
      </c>
      <c r="BI22" s="8">
        <v>0</v>
      </c>
      <c r="BJ22" s="9">
        <v>0</v>
      </c>
      <c r="BK22" s="7">
        <v>-33341.449999999997</v>
      </c>
      <c r="BL22" s="8">
        <v>-34999.999999995001</v>
      </c>
      <c r="BM22" s="9">
        <v>-45000</v>
      </c>
      <c r="BN22" s="7">
        <v>-254835.03</v>
      </c>
      <c r="BO22" s="8">
        <v>-79750.743470194997</v>
      </c>
      <c r="BP22" s="9">
        <v>-80000</v>
      </c>
      <c r="BQ22" s="7">
        <v>0</v>
      </c>
      <c r="BR22" s="8">
        <v>0</v>
      </c>
      <c r="BS22" s="9">
        <v>0</v>
      </c>
      <c r="BT22" s="7">
        <v>0</v>
      </c>
      <c r="BU22" s="8">
        <v>0</v>
      </c>
      <c r="BV22" s="9">
        <v>0</v>
      </c>
      <c r="BW22" s="7">
        <v>-103573.22</v>
      </c>
      <c r="BX22" s="8">
        <v>-49999.999999993997</v>
      </c>
      <c r="BY22" s="9">
        <v>-80000</v>
      </c>
      <c r="BZ22" s="7">
        <v>-326.49</v>
      </c>
      <c r="CA22" s="8">
        <v>-5349.2203803559996</v>
      </c>
      <c r="CB22" s="9">
        <v>-5000</v>
      </c>
      <c r="CC22" s="7">
        <v>0</v>
      </c>
      <c r="CD22" s="8">
        <v>0</v>
      </c>
      <c r="CE22" s="9">
        <v>0</v>
      </c>
      <c r="CF22" s="7">
        <v>0</v>
      </c>
      <c r="CG22" s="8">
        <v>0</v>
      </c>
      <c r="CH22" s="9">
        <v>0</v>
      </c>
      <c r="CI22" s="7">
        <v>0</v>
      </c>
      <c r="CJ22" s="8">
        <v>0</v>
      </c>
      <c r="CK22" s="9">
        <v>0</v>
      </c>
      <c r="CL22" s="7">
        <v>-2648.37</v>
      </c>
      <c r="CM22" s="8">
        <v>-4999.9999999969996</v>
      </c>
      <c r="CN22" s="9">
        <v>-5000</v>
      </c>
      <c r="CO22" s="7">
        <v>-8317338.0700000003</v>
      </c>
      <c r="CP22" s="8">
        <v>-7149702.9427122902</v>
      </c>
      <c r="CQ22" s="9">
        <v>-7200000</v>
      </c>
      <c r="CR22" s="7">
        <v>0</v>
      </c>
      <c r="CS22" s="8">
        <v>0</v>
      </c>
      <c r="CT22" s="9">
        <v>0</v>
      </c>
      <c r="CU22" s="7">
        <v>0</v>
      </c>
      <c r="CV22" s="8">
        <v>0</v>
      </c>
      <c r="CW22" s="9">
        <v>0</v>
      </c>
      <c r="CX22" s="7">
        <v>0</v>
      </c>
      <c r="CY22" s="8">
        <v>0</v>
      </c>
      <c r="CZ22" s="9">
        <v>0</v>
      </c>
      <c r="DA22" s="7">
        <v>0</v>
      </c>
      <c r="DB22" s="8">
        <v>0</v>
      </c>
      <c r="DC22" s="9">
        <v>0</v>
      </c>
      <c r="DD22" s="7">
        <v>0</v>
      </c>
      <c r="DE22" s="8">
        <v>0</v>
      </c>
      <c r="DF22" s="9">
        <v>0</v>
      </c>
      <c r="DG22" s="7">
        <v>0</v>
      </c>
      <c r="DH22" s="8">
        <v>0</v>
      </c>
      <c r="DI22" s="9">
        <v>0</v>
      </c>
      <c r="DJ22" s="7">
        <v>0</v>
      </c>
      <c r="DK22" s="8">
        <v>0</v>
      </c>
      <c r="DL22" s="9">
        <v>0</v>
      </c>
      <c r="DM22" s="7">
        <v>0</v>
      </c>
      <c r="DN22" s="8">
        <v>0</v>
      </c>
      <c r="DO22" s="9">
        <v>0</v>
      </c>
      <c r="DP22" s="7">
        <v>0</v>
      </c>
      <c r="DQ22" s="8">
        <v>0</v>
      </c>
      <c r="DR22" s="9">
        <v>0</v>
      </c>
      <c r="DS22" s="7">
        <v>0</v>
      </c>
      <c r="DT22" s="8">
        <v>0</v>
      </c>
      <c r="DU22" s="9">
        <v>0</v>
      </c>
      <c r="DV22" s="7">
        <v>-1890.07</v>
      </c>
      <c r="DW22" s="8">
        <v>-999.99999999900001</v>
      </c>
      <c r="DX22" s="9">
        <v>-10000</v>
      </c>
      <c r="DY22" s="7">
        <v>0</v>
      </c>
      <c r="DZ22" s="8">
        <v>0</v>
      </c>
      <c r="EA22" s="9">
        <v>0</v>
      </c>
      <c r="EB22" s="7">
        <v>0</v>
      </c>
      <c r="EC22" s="8">
        <v>0</v>
      </c>
      <c r="ED22" s="9">
        <v>0</v>
      </c>
      <c r="EE22" s="7">
        <v>0</v>
      </c>
      <c r="EF22" s="8">
        <v>0</v>
      </c>
      <c r="EG22" s="9">
        <v>0</v>
      </c>
      <c r="EH22" s="7">
        <v>0</v>
      </c>
      <c r="EI22" s="8">
        <v>0</v>
      </c>
      <c r="EJ22" s="9">
        <v>0</v>
      </c>
      <c r="EK22" s="7">
        <v>-82047.009999999995</v>
      </c>
      <c r="EL22" s="8">
        <v>-79999.999999990003</v>
      </c>
      <c r="EM22" s="9">
        <v>-17000</v>
      </c>
      <c r="EN22" s="7">
        <v>0</v>
      </c>
      <c r="EO22" s="8">
        <v>0</v>
      </c>
      <c r="EP22" s="9">
        <v>0</v>
      </c>
      <c r="EQ22" s="7">
        <v>0</v>
      </c>
      <c r="ER22" s="8">
        <v>0</v>
      </c>
      <c r="ES22" s="9">
        <v>0</v>
      </c>
      <c r="ET22" s="7">
        <v>0</v>
      </c>
      <c r="EU22" s="8">
        <v>0</v>
      </c>
      <c r="EV22" s="9">
        <v>0</v>
      </c>
      <c r="EW22" s="7">
        <v>0</v>
      </c>
      <c r="EX22" s="8">
        <v>0</v>
      </c>
      <c r="EY22" s="9">
        <v>0</v>
      </c>
      <c r="EZ22" s="7">
        <v>0</v>
      </c>
      <c r="FA22" s="8">
        <v>0</v>
      </c>
      <c r="FB22" s="9">
        <v>0</v>
      </c>
      <c r="FC22" s="7">
        <v>-401106.4</v>
      </c>
      <c r="FD22" s="8">
        <v>-379999.99999999499</v>
      </c>
      <c r="FE22" s="9">
        <v>-428000</v>
      </c>
      <c r="FF22" s="7">
        <v>0</v>
      </c>
      <c r="FG22" s="8">
        <v>0</v>
      </c>
      <c r="FH22" s="9">
        <v>-303</v>
      </c>
      <c r="FI22" s="7">
        <v>0</v>
      </c>
      <c r="FJ22" s="8">
        <v>0</v>
      </c>
      <c r="FK22" s="9">
        <v>0</v>
      </c>
      <c r="FL22" s="7">
        <v>0</v>
      </c>
      <c r="FM22" s="8">
        <v>0</v>
      </c>
      <c r="FN22" s="9">
        <v>0</v>
      </c>
      <c r="FO22" s="7">
        <v>0</v>
      </c>
      <c r="FP22" s="8">
        <v>0</v>
      </c>
      <c r="FQ22" s="9">
        <v>0</v>
      </c>
      <c r="FR22" s="7">
        <v>0</v>
      </c>
      <c r="FS22" s="8">
        <v>0</v>
      </c>
      <c r="FT22" s="9">
        <v>0</v>
      </c>
      <c r="FU22" s="7">
        <v>0</v>
      </c>
      <c r="FV22" s="8">
        <v>0</v>
      </c>
      <c r="FW22" s="9">
        <v>0</v>
      </c>
      <c r="FX22" s="7">
        <v>0</v>
      </c>
      <c r="FY22" s="8">
        <v>-965000</v>
      </c>
      <c r="FZ22" s="9">
        <v>0</v>
      </c>
      <c r="GA22" s="7">
        <v>0</v>
      </c>
      <c r="GB22" s="8">
        <v>0</v>
      </c>
      <c r="GC22" s="9">
        <v>0</v>
      </c>
      <c r="GD22" s="7">
        <v>0</v>
      </c>
      <c r="GE22" s="8">
        <v>0</v>
      </c>
      <c r="GF22" s="9">
        <v>0</v>
      </c>
      <c r="GG22" s="7">
        <v>0</v>
      </c>
      <c r="GH22" s="8">
        <v>0</v>
      </c>
      <c r="GI22" s="9">
        <v>0</v>
      </c>
      <c r="GJ22" s="7">
        <v>0</v>
      </c>
      <c r="GK22" s="8">
        <v>0</v>
      </c>
      <c r="GL22" s="9">
        <v>0</v>
      </c>
      <c r="GM22" s="7">
        <v>0</v>
      </c>
      <c r="GN22" s="8">
        <v>0</v>
      </c>
      <c r="GO22" s="9">
        <v>0</v>
      </c>
      <c r="GP22" s="7">
        <v>0</v>
      </c>
      <c r="GQ22" s="8">
        <v>0</v>
      </c>
      <c r="GR22" s="9">
        <v>0</v>
      </c>
      <c r="GS22" s="7">
        <v>0</v>
      </c>
      <c r="GT22" s="8">
        <v>0</v>
      </c>
      <c r="GU22" s="9">
        <v>0</v>
      </c>
      <c r="GV22" s="7">
        <v>0</v>
      </c>
      <c r="GW22" s="8">
        <v>0</v>
      </c>
      <c r="GX22" s="9">
        <v>0</v>
      </c>
      <c r="GY22" s="7">
        <v>0</v>
      </c>
      <c r="GZ22" s="8">
        <v>0</v>
      </c>
      <c r="HA22" s="9">
        <v>0</v>
      </c>
      <c r="HB22" s="7">
        <v>0</v>
      </c>
      <c r="HC22" s="8">
        <v>0</v>
      </c>
      <c r="HD22" s="9">
        <v>0</v>
      </c>
      <c r="HE22" s="7">
        <v>0</v>
      </c>
      <c r="HF22" s="8">
        <v>0</v>
      </c>
      <c r="HG22" s="9">
        <v>0</v>
      </c>
      <c r="HH22" s="7">
        <v>0</v>
      </c>
      <c r="HI22" s="8">
        <v>0</v>
      </c>
      <c r="HJ22" s="9">
        <v>0</v>
      </c>
      <c r="HK22" s="7">
        <v>0</v>
      </c>
      <c r="HL22" s="8">
        <v>0</v>
      </c>
      <c r="HM22" s="9">
        <v>0</v>
      </c>
      <c r="HN22" s="7">
        <v>0</v>
      </c>
      <c r="HO22" s="8">
        <v>0</v>
      </c>
      <c r="HP22" s="9">
        <v>0</v>
      </c>
    </row>
    <row r="23" spans="1:224" x14ac:dyDescent="0.25">
      <c r="A23" s="23" t="s">
        <v>183</v>
      </c>
      <c r="B23" s="26" t="s">
        <v>184</v>
      </c>
      <c r="C23" s="7">
        <v>-246187.4</v>
      </c>
      <c r="D23" s="8">
        <v>-359999.999999994</v>
      </c>
      <c r="E23" s="9">
        <v>-300000</v>
      </c>
      <c r="F23" s="7">
        <v>0</v>
      </c>
      <c r="G23" s="8">
        <v>0</v>
      </c>
      <c r="H23" s="9">
        <v>0</v>
      </c>
      <c r="I23" s="7">
        <v>0</v>
      </c>
      <c r="J23" s="8">
        <v>0</v>
      </c>
      <c r="K23" s="9">
        <v>0</v>
      </c>
      <c r="L23" s="7">
        <v>0</v>
      </c>
      <c r="M23" s="8">
        <v>0</v>
      </c>
      <c r="N23" s="9">
        <v>0</v>
      </c>
      <c r="O23" s="7">
        <v>0</v>
      </c>
      <c r="P23" s="8">
        <v>0</v>
      </c>
      <c r="Q23" s="9">
        <v>0</v>
      </c>
      <c r="R23" s="7">
        <v>0</v>
      </c>
      <c r="S23" s="8">
        <v>0</v>
      </c>
      <c r="T23" s="9">
        <v>0</v>
      </c>
      <c r="U23" s="7">
        <v>0</v>
      </c>
      <c r="V23" s="8">
        <v>0</v>
      </c>
      <c r="W23" s="9">
        <v>0</v>
      </c>
      <c r="X23" s="7">
        <v>0</v>
      </c>
      <c r="Y23" s="8">
        <v>0</v>
      </c>
      <c r="Z23" s="9">
        <v>0</v>
      </c>
      <c r="AA23" s="7">
        <v>0</v>
      </c>
      <c r="AB23" s="8">
        <v>0</v>
      </c>
      <c r="AC23" s="9">
        <v>0</v>
      </c>
      <c r="AD23" s="7">
        <v>0</v>
      </c>
      <c r="AE23" s="8">
        <v>0</v>
      </c>
      <c r="AF23" s="9">
        <v>0</v>
      </c>
      <c r="AG23" s="7">
        <v>0</v>
      </c>
      <c r="AH23" s="8">
        <v>0</v>
      </c>
      <c r="AI23" s="9">
        <v>0</v>
      </c>
      <c r="AJ23" s="7">
        <v>0</v>
      </c>
      <c r="AK23" s="8">
        <v>0</v>
      </c>
      <c r="AL23" s="9">
        <v>0</v>
      </c>
      <c r="AM23" s="7">
        <v>0</v>
      </c>
      <c r="AN23" s="8">
        <v>0</v>
      </c>
      <c r="AO23" s="9">
        <v>0</v>
      </c>
      <c r="AP23" s="7">
        <v>0</v>
      </c>
      <c r="AQ23" s="8">
        <v>0</v>
      </c>
      <c r="AR23" s="9">
        <v>0</v>
      </c>
      <c r="AS23" s="7">
        <v>0</v>
      </c>
      <c r="AT23" s="8">
        <v>0</v>
      </c>
      <c r="AU23" s="9">
        <v>0</v>
      </c>
      <c r="AV23" s="7">
        <v>0</v>
      </c>
      <c r="AW23" s="8">
        <v>0</v>
      </c>
      <c r="AX23" s="9">
        <v>0</v>
      </c>
      <c r="AY23" s="7">
        <v>0</v>
      </c>
      <c r="AZ23" s="8">
        <v>0</v>
      </c>
      <c r="BA23" s="9">
        <v>0</v>
      </c>
      <c r="BB23" s="7">
        <v>0</v>
      </c>
      <c r="BC23" s="8">
        <v>0</v>
      </c>
      <c r="BD23" s="9">
        <v>0</v>
      </c>
      <c r="BE23" s="7">
        <v>0</v>
      </c>
      <c r="BF23" s="8">
        <v>0</v>
      </c>
      <c r="BG23" s="9">
        <v>0</v>
      </c>
      <c r="BH23" s="7">
        <v>0</v>
      </c>
      <c r="BI23" s="8">
        <v>0</v>
      </c>
      <c r="BJ23" s="9">
        <v>0</v>
      </c>
      <c r="BK23" s="7">
        <v>-246187.4</v>
      </c>
      <c r="BL23" s="8">
        <v>-359999.999999994</v>
      </c>
      <c r="BM23" s="9">
        <v>-300000</v>
      </c>
      <c r="BN23" s="7">
        <v>0</v>
      </c>
      <c r="BO23" s="8">
        <v>0</v>
      </c>
      <c r="BP23" s="9">
        <v>0</v>
      </c>
      <c r="BQ23" s="7">
        <v>0</v>
      </c>
      <c r="BR23" s="8">
        <v>0</v>
      </c>
      <c r="BS23" s="9">
        <v>0</v>
      </c>
      <c r="BT23" s="7">
        <v>0</v>
      </c>
      <c r="BU23" s="8">
        <v>0</v>
      </c>
      <c r="BV23" s="9">
        <v>0</v>
      </c>
      <c r="BW23" s="7">
        <v>0</v>
      </c>
      <c r="BX23" s="8">
        <v>0</v>
      </c>
      <c r="BY23" s="9">
        <v>0</v>
      </c>
      <c r="BZ23" s="7">
        <v>0</v>
      </c>
      <c r="CA23" s="8">
        <v>0</v>
      </c>
      <c r="CB23" s="9">
        <v>0</v>
      </c>
      <c r="CC23" s="7">
        <v>0</v>
      </c>
      <c r="CD23" s="8">
        <v>0</v>
      </c>
      <c r="CE23" s="9">
        <v>0</v>
      </c>
      <c r="CF23" s="7">
        <v>0</v>
      </c>
      <c r="CG23" s="8">
        <v>0</v>
      </c>
      <c r="CH23" s="9">
        <v>0</v>
      </c>
      <c r="CI23" s="7">
        <v>0</v>
      </c>
      <c r="CJ23" s="8">
        <v>0</v>
      </c>
      <c r="CK23" s="9">
        <v>0</v>
      </c>
      <c r="CL23" s="7">
        <v>0</v>
      </c>
      <c r="CM23" s="8">
        <v>0</v>
      </c>
      <c r="CN23" s="9">
        <v>0</v>
      </c>
      <c r="CO23" s="7">
        <v>0</v>
      </c>
      <c r="CP23" s="8">
        <v>0</v>
      </c>
      <c r="CQ23" s="9">
        <v>0</v>
      </c>
      <c r="CR23" s="7">
        <v>0</v>
      </c>
      <c r="CS23" s="8">
        <v>0</v>
      </c>
      <c r="CT23" s="9">
        <v>0</v>
      </c>
      <c r="CU23" s="7">
        <v>0</v>
      </c>
      <c r="CV23" s="8">
        <v>0</v>
      </c>
      <c r="CW23" s="9">
        <v>0</v>
      </c>
      <c r="CX23" s="7">
        <v>0</v>
      </c>
      <c r="CY23" s="8">
        <v>0</v>
      </c>
      <c r="CZ23" s="9">
        <v>0</v>
      </c>
      <c r="DA23" s="7">
        <v>0</v>
      </c>
      <c r="DB23" s="8">
        <v>0</v>
      </c>
      <c r="DC23" s="9">
        <v>0</v>
      </c>
      <c r="DD23" s="7">
        <v>0</v>
      </c>
      <c r="DE23" s="8">
        <v>0</v>
      </c>
      <c r="DF23" s="9">
        <v>0</v>
      </c>
      <c r="DG23" s="7">
        <v>0</v>
      </c>
      <c r="DH23" s="8">
        <v>0</v>
      </c>
      <c r="DI23" s="9">
        <v>0</v>
      </c>
      <c r="DJ23" s="7">
        <v>0</v>
      </c>
      <c r="DK23" s="8">
        <v>0</v>
      </c>
      <c r="DL23" s="9">
        <v>0</v>
      </c>
      <c r="DM23" s="7">
        <v>0</v>
      </c>
      <c r="DN23" s="8">
        <v>0</v>
      </c>
      <c r="DO23" s="9">
        <v>0</v>
      </c>
      <c r="DP23" s="7">
        <v>0</v>
      </c>
      <c r="DQ23" s="8">
        <v>0</v>
      </c>
      <c r="DR23" s="9">
        <v>0</v>
      </c>
      <c r="DS23" s="7">
        <v>0</v>
      </c>
      <c r="DT23" s="8">
        <v>0</v>
      </c>
      <c r="DU23" s="9">
        <v>0</v>
      </c>
      <c r="DV23" s="7">
        <v>0</v>
      </c>
      <c r="DW23" s="8">
        <v>0</v>
      </c>
      <c r="DX23" s="9">
        <v>0</v>
      </c>
      <c r="DY23" s="7">
        <v>0</v>
      </c>
      <c r="DZ23" s="8">
        <v>0</v>
      </c>
      <c r="EA23" s="9">
        <v>0</v>
      </c>
      <c r="EB23" s="7">
        <v>0</v>
      </c>
      <c r="EC23" s="8">
        <v>0</v>
      </c>
      <c r="ED23" s="9">
        <v>0</v>
      </c>
      <c r="EE23" s="7">
        <v>0</v>
      </c>
      <c r="EF23" s="8">
        <v>0</v>
      </c>
      <c r="EG23" s="9">
        <v>0</v>
      </c>
      <c r="EH23" s="7">
        <v>0</v>
      </c>
      <c r="EI23" s="8">
        <v>0</v>
      </c>
      <c r="EJ23" s="9">
        <v>0</v>
      </c>
      <c r="EK23" s="7">
        <v>0</v>
      </c>
      <c r="EL23" s="8">
        <v>0</v>
      </c>
      <c r="EM23" s="9">
        <v>0</v>
      </c>
      <c r="EN23" s="7">
        <v>0</v>
      </c>
      <c r="EO23" s="8">
        <v>0</v>
      </c>
      <c r="EP23" s="9">
        <v>0</v>
      </c>
      <c r="EQ23" s="7">
        <v>0</v>
      </c>
      <c r="ER23" s="8">
        <v>0</v>
      </c>
      <c r="ES23" s="9">
        <v>0</v>
      </c>
      <c r="ET23" s="7">
        <v>0</v>
      </c>
      <c r="EU23" s="8">
        <v>0</v>
      </c>
      <c r="EV23" s="9">
        <v>0</v>
      </c>
      <c r="EW23" s="7">
        <v>0</v>
      </c>
      <c r="EX23" s="8">
        <v>0</v>
      </c>
      <c r="EY23" s="9">
        <v>0</v>
      </c>
      <c r="EZ23" s="7">
        <v>0</v>
      </c>
      <c r="FA23" s="8">
        <v>0</v>
      </c>
      <c r="FB23" s="9">
        <v>0</v>
      </c>
      <c r="FC23" s="7">
        <v>0</v>
      </c>
      <c r="FD23" s="8">
        <v>0</v>
      </c>
      <c r="FE23" s="9">
        <v>0</v>
      </c>
      <c r="FF23" s="7">
        <v>0</v>
      </c>
      <c r="FG23" s="8">
        <v>0</v>
      </c>
      <c r="FH23" s="9">
        <v>0</v>
      </c>
      <c r="FI23" s="7">
        <v>0</v>
      </c>
      <c r="FJ23" s="8">
        <v>0</v>
      </c>
      <c r="FK23" s="9">
        <v>0</v>
      </c>
      <c r="FL23" s="7">
        <v>0</v>
      </c>
      <c r="FM23" s="8">
        <v>0</v>
      </c>
      <c r="FN23" s="9">
        <v>0</v>
      </c>
      <c r="FO23" s="7">
        <v>0</v>
      </c>
      <c r="FP23" s="8">
        <v>0</v>
      </c>
      <c r="FQ23" s="9">
        <v>0</v>
      </c>
      <c r="FR23" s="7">
        <v>0</v>
      </c>
      <c r="FS23" s="8">
        <v>0</v>
      </c>
      <c r="FT23" s="9">
        <v>0</v>
      </c>
      <c r="FU23" s="7">
        <v>0</v>
      </c>
      <c r="FV23" s="8">
        <v>0</v>
      </c>
      <c r="FW23" s="9">
        <v>0</v>
      </c>
      <c r="FX23" s="7">
        <v>0</v>
      </c>
      <c r="FY23" s="8">
        <v>0</v>
      </c>
      <c r="FZ23" s="9">
        <v>0</v>
      </c>
      <c r="GA23" s="7">
        <v>0</v>
      </c>
      <c r="GB23" s="8">
        <v>0</v>
      </c>
      <c r="GC23" s="9">
        <v>0</v>
      </c>
      <c r="GD23" s="7">
        <v>0</v>
      </c>
      <c r="GE23" s="8">
        <v>0</v>
      </c>
      <c r="GF23" s="9">
        <v>0</v>
      </c>
      <c r="GG23" s="7">
        <v>0</v>
      </c>
      <c r="GH23" s="8">
        <v>0</v>
      </c>
      <c r="GI23" s="9">
        <v>0</v>
      </c>
      <c r="GJ23" s="7">
        <v>0</v>
      </c>
      <c r="GK23" s="8">
        <v>0</v>
      </c>
      <c r="GL23" s="9">
        <v>0</v>
      </c>
      <c r="GM23" s="7">
        <v>0</v>
      </c>
      <c r="GN23" s="8">
        <v>0</v>
      </c>
      <c r="GO23" s="9">
        <v>0</v>
      </c>
      <c r="GP23" s="7">
        <v>0</v>
      </c>
      <c r="GQ23" s="8">
        <v>0</v>
      </c>
      <c r="GR23" s="9">
        <v>0</v>
      </c>
      <c r="GS23" s="7">
        <v>0</v>
      </c>
      <c r="GT23" s="8">
        <v>0</v>
      </c>
      <c r="GU23" s="9">
        <v>0</v>
      </c>
      <c r="GV23" s="7">
        <v>0</v>
      </c>
      <c r="GW23" s="8">
        <v>0</v>
      </c>
      <c r="GX23" s="9">
        <v>0</v>
      </c>
      <c r="GY23" s="7">
        <v>0</v>
      </c>
      <c r="GZ23" s="8">
        <v>0</v>
      </c>
      <c r="HA23" s="9">
        <v>0</v>
      </c>
      <c r="HB23" s="7">
        <v>0</v>
      </c>
      <c r="HC23" s="8">
        <v>0</v>
      </c>
      <c r="HD23" s="9">
        <v>0</v>
      </c>
      <c r="HE23" s="7">
        <v>0</v>
      </c>
      <c r="HF23" s="8">
        <v>0</v>
      </c>
      <c r="HG23" s="9">
        <v>0</v>
      </c>
      <c r="HH23" s="7">
        <v>0</v>
      </c>
      <c r="HI23" s="8">
        <v>0</v>
      </c>
      <c r="HJ23" s="9">
        <v>0</v>
      </c>
      <c r="HK23" s="7">
        <v>0</v>
      </c>
      <c r="HL23" s="8">
        <v>0</v>
      </c>
      <c r="HM23" s="9">
        <v>0</v>
      </c>
      <c r="HN23" s="7">
        <v>0</v>
      </c>
      <c r="HO23" s="8">
        <v>0</v>
      </c>
      <c r="HP23" s="9">
        <v>0</v>
      </c>
    </row>
    <row r="24" spans="1:224" x14ac:dyDescent="0.25">
      <c r="A24" s="23" t="s">
        <v>185</v>
      </c>
      <c r="B24" s="26" t="s">
        <v>186</v>
      </c>
      <c r="C24" s="7">
        <v>-1045394322.41</v>
      </c>
      <c r="D24" s="8">
        <v>-1100000466.2351799</v>
      </c>
      <c r="E24" s="9">
        <v>-1397870000</v>
      </c>
      <c r="F24" s="7">
        <v>-84927055.390000001</v>
      </c>
      <c r="G24" s="8">
        <v>-81299833.006625906</v>
      </c>
      <c r="H24" s="9">
        <v>-105000000</v>
      </c>
      <c r="I24" s="7">
        <v>-45812879.399999999</v>
      </c>
      <c r="J24" s="8">
        <v>-36499837.025044702</v>
      </c>
      <c r="K24" s="9">
        <v>-46000000</v>
      </c>
      <c r="L24" s="7">
        <v>-64530637</v>
      </c>
      <c r="M24" s="8">
        <v>-58999997.036412701</v>
      </c>
      <c r="N24" s="9">
        <v>-64000000</v>
      </c>
      <c r="O24" s="7">
        <v>0</v>
      </c>
      <c r="P24" s="8">
        <v>0</v>
      </c>
      <c r="Q24" s="9">
        <v>0</v>
      </c>
      <c r="R24" s="7">
        <v>0</v>
      </c>
      <c r="S24" s="8">
        <v>0</v>
      </c>
      <c r="T24" s="9">
        <v>0</v>
      </c>
      <c r="U24" s="7">
        <v>0</v>
      </c>
      <c r="V24" s="8">
        <v>0</v>
      </c>
      <c r="W24" s="9">
        <v>0</v>
      </c>
      <c r="X24" s="7">
        <v>0</v>
      </c>
      <c r="Y24" s="8">
        <v>0</v>
      </c>
      <c r="Z24" s="9">
        <v>0</v>
      </c>
      <c r="AA24" s="7">
        <v>0</v>
      </c>
      <c r="AB24" s="8">
        <v>0</v>
      </c>
      <c r="AC24" s="9">
        <v>0</v>
      </c>
      <c r="AD24" s="7">
        <v>-3933802</v>
      </c>
      <c r="AE24" s="8">
        <v>-4000197.44709602</v>
      </c>
      <c r="AF24" s="9">
        <v>-2500000</v>
      </c>
      <c r="AG24" s="7">
        <v>-17506734.77</v>
      </c>
      <c r="AH24" s="8">
        <v>-16800260.980972901</v>
      </c>
      <c r="AI24" s="9">
        <v>-19000000</v>
      </c>
      <c r="AJ24" s="7">
        <v>0</v>
      </c>
      <c r="AK24" s="8">
        <v>0</v>
      </c>
      <c r="AL24" s="9">
        <v>0</v>
      </c>
      <c r="AM24" s="7">
        <v>0</v>
      </c>
      <c r="AN24" s="8">
        <v>0</v>
      </c>
      <c r="AO24" s="9">
        <v>0</v>
      </c>
      <c r="AP24" s="7">
        <v>0</v>
      </c>
      <c r="AQ24" s="8">
        <v>0</v>
      </c>
      <c r="AR24" s="9">
        <v>0</v>
      </c>
      <c r="AS24" s="7">
        <v>-42013431.380000003</v>
      </c>
      <c r="AT24" s="8">
        <v>-46499830.171444498</v>
      </c>
      <c r="AU24" s="9">
        <v>-49000000</v>
      </c>
      <c r="AV24" s="7">
        <v>-3937751.07</v>
      </c>
      <c r="AW24" s="8">
        <v>-7200381.8601134801</v>
      </c>
      <c r="AX24" s="9">
        <v>-12000000</v>
      </c>
      <c r="AY24" s="7">
        <v>-56588644.729999997</v>
      </c>
      <c r="AZ24" s="8">
        <v>-94999570.803273097</v>
      </c>
      <c r="BA24" s="9">
        <v>-140000000</v>
      </c>
      <c r="BB24" s="7">
        <v>-235461407.16</v>
      </c>
      <c r="BC24" s="8">
        <v>-235500000</v>
      </c>
      <c r="BD24" s="9">
        <v>-291500000</v>
      </c>
      <c r="BE24" s="7">
        <v>0</v>
      </c>
      <c r="BF24" s="8">
        <v>0</v>
      </c>
      <c r="BG24" s="9">
        <v>0</v>
      </c>
      <c r="BH24" s="7">
        <v>0</v>
      </c>
      <c r="BI24" s="8">
        <v>0</v>
      </c>
      <c r="BJ24" s="9">
        <v>0</v>
      </c>
      <c r="BK24" s="7">
        <v>-30046094.960000001</v>
      </c>
      <c r="BL24" s="8">
        <v>-34000395.372166201</v>
      </c>
      <c r="BM24" s="9">
        <v>-40000000</v>
      </c>
      <c r="BN24" s="7">
        <v>-251134737.66</v>
      </c>
      <c r="BO24" s="8">
        <v>-299999931.72888601</v>
      </c>
      <c r="BP24" s="9">
        <v>-320770000</v>
      </c>
      <c r="BQ24" s="7">
        <v>-3347256.11</v>
      </c>
      <c r="BR24" s="8">
        <v>-3400000</v>
      </c>
      <c r="BS24" s="9">
        <v>-7600000</v>
      </c>
      <c r="BT24" s="7">
        <v>0</v>
      </c>
      <c r="BU24" s="8">
        <v>0</v>
      </c>
      <c r="BV24" s="9">
        <v>0</v>
      </c>
      <c r="BW24" s="7">
        <v>0</v>
      </c>
      <c r="BX24" s="8">
        <v>0</v>
      </c>
      <c r="BY24" s="9">
        <v>0</v>
      </c>
      <c r="BZ24" s="7">
        <v>0</v>
      </c>
      <c r="CA24" s="8">
        <v>0</v>
      </c>
      <c r="CB24" s="9">
        <v>0</v>
      </c>
      <c r="CC24" s="7">
        <v>0</v>
      </c>
      <c r="CD24" s="8">
        <v>0</v>
      </c>
      <c r="CE24" s="9">
        <v>0</v>
      </c>
      <c r="CF24" s="7">
        <v>0</v>
      </c>
      <c r="CG24" s="8">
        <v>0</v>
      </c>
      <c r="CH24" s="9">
        <v>0</v>
      </c>
      <c r="CI24" s="7">
        <v>0</v>
      </c>
      <c r="CJ24" s="8">
        <v>-500000</v>
      </c>
      <c r="CK24" s="9">
        <v>-500000</v>
      </c>
      <c r="CL24" s="7">
        <v>0</v>
      </c>
      <c r="CM24" s="8">
        <v>0</v>
      </c>
      <c r="CN24" s="9">
        <v>0</v>
      </c>
      <c r="CO24" s="7">
        <v>-206153890.78</v>
      </c>
      <c r="CP24" s="8">
        <v>-252000245.728522</v>
      </c>
      <c r="CQ24" s="9">
        <v>-300000000</v>
      </c>
      <c r="CR24" s="7">
        <v>0</v>
      </c>
      <c r="CS24" s="8">
        <v>0</v>
      </c>
      <c r="CT24" s="9">
        <v>0</v>
      </c>
      <c r="CU24" s="7">
        <v>0</v>
      </c>
      <c r="CV24" s="8">
        <v>0</v>
      </c>
      <c r="CW24" s="9">
        <v>0</v>
      </c>
      <c r="CX24" s="7">
        <v>0</v>
      </c>
      <c r="CY24" s="8">
        <v>0</v>
      </c>
      <c r="CZ24" s="9">
        <v>0</v>
      </c>
      <c r="DA24" s="7">
        <v>0</v>
      </c>
      <c r="DB24" s="8">
        <v>0</v>
      </c>
      <c r="DC24" s="9">
        <v>0</v>
      </c>
      <c r="DD24" s="7">
        <v>0</v>
      </c>
      <c r="DE24" s="8">
        <v>0</v>
      </c>
      <c r="DF24" s="9">
        <v>0</v>
      </c>
      <c r="DG24" s="7">
        <v>0</v>
      </c>
      <c r="DH24" s="8">
        <v>0</v>
      </c>
      <c r="DI24" s="9">
        <v>0</v>
      </c>
      <c r="DJ24" s="7">
        <v>0</v>
      </c>
      <c r="DK24" s="8">
        <v>0</v>
      </c>
      <c r="DL24" s="9">
        <v>0</v>
      </c>
      <c r="DM24" s="7">
        <v>0</v>
      </c>
      <c r="DN24" s="8">
        <v>0</v>
      </c>
      <c r="DO24" s="9">
        <v>0</v>
      </c>
      <c r="DP24" s="7">
        <v>0</v>
      </c>
      <c r="DQ24" s="8">
        <v>0</v>
      </c>
      <c r="DR24" s="9">
        <v>0</v>
      </c>
      <c r="DS24" s="7">
        <v>0</v>
      </c>
      <c r="DT24" s="8">
        <v>0</v>
      </c>
      <c r="DU24" s="9">
        <v>0</v>
      </c>
      <c r="DV24" s="7">
        <v>0</v>
      </c>
      <c r="DW24" s="8">
        <v>0</v>
      </c>
      <c r="DX24" s="9">
        <v>0</v>
      </c>
      <c r="DY24" s="7">
        <v>0</v>
      </c>
      <c r="DZ24" s="8">
        <v>0</v>
      </c>
      <c r="EA24" s="9">
        <v>0</v>
      </c>
      <c r="EB24" s="7">
        <v>0</v>
      </c>
      <c r="EC24" s="8">
        <v>0</v>
      </c>
      <c r="ED24" s="9">
        <v>0</v>
      </c>
      <c r="EE24" s="7">
        <v>0</v>
      </c>
      <c r="EF24" s="8">
        <v>0</v>
      </c>
      <c r="EG24" s="9">
        <v>0</v>
      </c>
      <c r="EH24" s="7">
        <v>0</v>
      </c>
      <c r="EI24" s="8">
        <v>0</v>
      </c>
      <c r="EJ24" s="9">
        <v>0</v>
      </c>
      <c r="EK24" s="7">
        <v>0</v>
      </c>
      <c r="EL24" s="8">
        <v>0</v>
      </c>
      <c r="EM24" s="9">
        <v>0</v>
      </c>
      <c r="EN24" s="7">
        <v>0</v>
      </c>
      <c r="EO24" s="8">
        <v>0</v>
      </c>
      <c r="EP24" s="9">
        <v>0</v>
      </c>
      <c r="EQ24" s="7">
        <v>0</v>
      </c>
      <c r="ER24" s="8">
        <v>0</v>
      </c>
      <c r="ES24" s="9">
        <v>0</v>
      </c>
      <c r="ET24" s="7">
        <v>0</v>
      </c>
      <c r="EU24" s="8">
        <v>0</v>
      </c>
      <c r="EV24" s="9">
        <v>0</v>
      </c>
      <c r="EW24" s="7">
        <v>0</v>
      </c>
      <c r="EX24" s="8">
        <v>0</v>
      </c>
      <c r="EY24" s="9">
        <v>0</v>
      </c>
      <c r="EZ24" s="7">
        <v>0</v>
      </c>
      <c r="FA24" s="8">
        <v>0</v>
      </c>
      <c r="FB24" s="9">
        <v>0</v>
      </c>
      <c r="FC24" s="7">
        <v>0</v>
      </c>
      <c r="FD24" s="8">
        <v>0</v>
      </c>
      <c r="FE24" s="9">
        <v>0</v>
      </c>
      <c r="FF24" s="7">
        <v>0</v>
      </c>
      <c r="FG24" s="8">
        <v>0</v>
      </c>
      <c r="FH24" s="9">
        <v>0</v>
      </c>
      <c r="FI24" s="7">
        <v>0</v>
      </c>
      <c r="FJ24" s="8">
        <v>0</v>
      </c>
      <c r="FK24" s="9">
        <v>0</v>
      </c>
      <c r="FL24" s="7">
        <v>0</v>
      </c>
      <c r="FM24" s="8">
        <v>0</v>
      </c>
      <c r="FN24" s="9">
        <v>0</v>
      </c>
      <c r="FO24" s="7">
        <v>0</v>
      </c>
      <c r="FP24" s="8">
        <v>0</v>
      </c>
      <c r="FQ24" s="9">
        <v>0</v>
      </c>
      <c r="FR24" s="7">
        <v>0</v>
      </c>
      <c r="FS24" s="8">
        <v>0</v>
      </c>
      <c r="FT24" s="9">
        <v>0</v>
      </c>
      <c r="FU24" s="7">
        <v>0</v>
      </c>
      <c r="FV24" s="8">
        <v>0</v>
      </c>
      <c r="FW24" s="9">
        <v>0</v>
      </c>
      <c r="FX24" s="7">
        <v>0</v>
      </c>
      <c r="FY24" s="8">
        <v>71700014.925373107</v>
      </c>
      <c r="FZ24" s="9">
        <v>0</v>
      </c>
      <c r="GA24" s="7">
        <v>0</v>
      </c>
      <c r="GB24" s="8">
        <v>0</v>
      </c>
      <c r="GC24" s="9">
        <v>0</v>
      </c>
      <c r="GD24" s="7">
        <v>0</v>
      </c>
      <c r="GE24" s="8">
        <v>0</v>
      </c>
      <c r="GF24" s="9">
        <v>0</v>
      </c>
      <c r="GG24" s="7">
        <v>0</v>
      </c>
      <c r="GH24" s="8">
        <v>0</v>
      </c>
      <c r="GI24" s="9">
        <v>0</v>
      </c>
      <c r="GJ24" s="7">
        <v>0</v>
      </c>
      <c r="GK24" s="8">
        <v>0</v>
      </c>
      <c r="GL24" s="9">
        <v>0</v>
      </c>
      <c r="GM24" s="7">
        <v>0</v>
      </c>
      <c r="GN24" s="8">
        <v>0</v>
      </c>
      <c r="GO24" s="9">
        <v>0</v>
      </c>
      <c r="GP24" s="7">
        <v>0</v>
      </c>
      <c r="GQ24" s="8">
        <v>0</v>
      </c>
      <c r="GR24" s="9">
        <v>0</v>
      </c>
      <c r="GS24" s="7">
        <v>0</v>
      </c>
      <c r="GT24" s="8">
        <v>0</v>
      </c>
      <c r="GU24" s="9">
        <v>0</v>
      </c>
      <c r="GV24" s="7">
        <v>0</v>
      </c>
      <c r="GW24" s="8">
        <v>0</v>
      </c>
      <c r="GX24" s="9">
        <v>0</v>
      </c>
      <c r="GY24" s="7">
        <v>0</v>
      </c>
      <c r="GZ24" s="8">
        <v>0</v>
      </c>
      <c r="HA24" s="9">
        <v>0</v>
      </c>
      <c r="HB24" s="7">
        <v>0</v>
      </c>
      <c r="HC24" s="8">
        <v>0</v>
      </c>
      <c r="HD24" s="9">
        <v>0</v>
      </c>
      <c r="HE24" s="7">
        <v>0</v>
      </c>
      <c r="HF24" s="8">
        <v>0</v>
      </c>
      <c r="HG24" s="9">
        <v>0</v>
      </c>
      <c r="HH24" s="7">
        <v>0</v>
      </c>
      <c r="HI24" s="8">
        <v>0</v>
      </c>
      <c r="HJ24" s="9">
        <v>0</v>
      </c>
      <c r="HK24" s="7">
        <v>0</v>
      </c>
      <c r="HL24" s="8">
        <v>0</v>
      </c>
      <c r="HM24" s="9">
        <v>0</v>
      </c>
      <c r="HN24" s="7">
        <v>0</v>
      </c>
      <c r="HO24" s="8">
        <v>0</v>
      </c>
      <c r="HP24" s="9">
        <v>0</v>
      </c>
    </row>
    <row r="25" spans="1:224" x14ac:dyDescent="0.25">
      <c r="A25" s="23" t="s">
        <v>187</v>
      </c>
      <c r="B25" s="26" t="s">
        <v>188</v>
      </c>
      <c r="C25" s="7">
        <v>-75085327.530000001</v>
      </c>
      <c r="D25" s="8">
        <v>-75000430.045834899</v>
      </c>
      <c r="E25" s="9">
        <f>-155894800-20000</f>
        <v>-155914800</v>
      </c>
      <c r="F25" s="7">
        <v>-5203279.08</v>
      </c>
      <c r="G25" s="8">
        <v>-5199730.8065301003</v>
      </c>
      <c r="H25" s="9">
        <v>-9500000</v>
      </c>
      <c r="I25" s="7">
        <v>0</v>
      </c>
      <c r="J25" s="8">
        <v>0</v>
      </c>
      <c r="K25" s="9">
        <v>0</v>
      </c>
      <c r="L25" s="7">
        <v>-75467.09</v>
      </c>
      <c r="M25" s="8">
        <v>-424999.99999999802</v>
      </c>
      <c r="N25" s="9">
        <v>-1000000</v>
      </c>
      <c r="O25" s="7">
        <v>0</v>
      </c>
      <c r="P25" s="8">
        <v>0</v>
      </c>
      <c r="Q25" s="9">
        <v>0</v>
      </c>
      <c r="R25" s="7">
        <v>0</v>
      </c>
      <c r="S25" s="8">
        <v>0</v>
      </c>
      <c r="T25" s="9">
        <v>0</v>
      </c>
      <c r="U25" s="7">
        <v>-88986.48</v>
      </c>
      <c r="V25" s="8">
        <v>0</v>
      </c>
      <c r="W25" s="9">
        <v>0</v>
      </c>
      <c r="X25" s="7">
        <v>0</v>
      </c>
      <c r="Y25" s="8">
        <v>0</v>
      </c>
      <c r="Z25" s="9">
        <v>0</v>
      </c>
      <c r="AA25" s="7">
        <v>0</v>
      </c>
      <c r="AB25" s="8">
        <v>0</v>
      </c>
      <c r="AC25" s="9">
        <v>0</v>
      </c>
      <c r="AD25" s="7">
        <v>0</v>
      </c>
      <c r="AE25" s="8">
        <v>0</v>
      </c>
      <c r="AF25" s="9">
        <v>0</v>
      </c>
      <c r="AG25" s="7">
        <v>-1851572.8</v>
      </c>
      <c r="AH25" s="8">
        <v>-5959600</v>
      </c>
      <c r="AI25" s="9">
        <v>-25124800</v>
      </c>
      <c r="AJ25" s="7">
        <v>0</v>
      </c>
      <c r="AK25" s="8">
        <v>0</v>
      </c>
      <c r="AL25" s="9">
        <v>0</v>
      </c>
      <c r="AM25" s="7">
        <v>0</v>
      </c>
      <c r="AN25" s="8">
        <v>0</v>
      </c>
      <c r="AO25" s="9">
        <v>0</v>
      </c>
      <c r="AP25" s="7">
        <v>0</v>
      </c>
      <c r="AQ25" s="8">
        <v>0</v>
      </c>
      <c r="AR25" s="9">
        <v>0</v>
      </c>
      <c r="AS25" s="7">
        <v>0</v>
      </c>
      <c r="AT25" s="8">
        <v>-312000</v>
      </c>
      <c r="AU25" s="9">
        <f>-270000-20000</f>
        <v>-290000</v>
      </c>
      <c r="AV25" s="7">
        <v>-638703.01</v>
      </c>
      <c r="AW25" s="8">
        <v>-339832.57263810199</v>
      </c>
      <c r="AX25" s="9">
        <v>0</v>
      </c>
      <c r="AY25" s="7">
        <v>-6346059.3300000001</v>
      </c>
      <c r="AZ25" s="8">
        <v>-6350000</v>
      </c>
      <c r="BA25" s="9">
        <v>-70000000</v>
      </c>
      <c r="BB25" s="7">
        <v>-1750895.09</v>
      </c>
      <c r="BC25" s="8">
        <v>-1750000</v>
      </c>
      <c r="BD25" s="9">
        <v>-2000000</v>
      </c>
      <c r="BE25" s="7">
        <v>0</v>
      </c>
      <c r="BF25" s="8">
        <v>0</v>
      </c>
      <c r="BG25" s="9">
        <v>0</v>
      </c>
      <c r="BH25" s="7">
        <v>0</v>
      </c>
      <c r="BI25" s="8">
        <v>0</v>
      </c>
      <c r="BJ25" s="9">
        <v>0</v>
      </c>
      <c r="BK25" s="7">
        <v>0</v>
      </c>
      <c r="BL25" s="8">
        <v>0</v>
      </c>
      <c r="BM25" s="9">
        <v>0</v>
      </c>
      <c r="BN25" s="7">
        <v>-8385996.3099999996</v>
      </c>
      <c r="BO25" s="8">
        <v>-8385000</v>
      </c>
      <c r="BP25" s="9">
        <v>-8000000</v>
      </c>
      <c r="BQ25" s="7">
        <v>0</v>
      </c>
      <c r="BR25" s="8">
        <v>0</v>
      </c>
      <c r="BS25" s="9">
        <v>0</v>
      </c>
      <c r="BT25" s="7">
        <v>0</v>
      </c>
      <c r="BU25" s="8">
        <v>0</v>
      </c>
      <c r="BV25" s="9">
        <v>0</v>
      </c>
      <c r="BW25" s="7">
        <v>0</v>
      </c>
      <c r="BX25" s="8">
        <v>0</v>
      </c>
      <c r="BY25" s="9">
        <v>0</v>
      </c>
      <c r="BZ25" s="7">
        <v>0</v>
      </c>
      <c r="CA25" s="8">
        <v>0</v>
      </c>
      <c r="CB25" s="9">
        <v>0</v>
      </c>
      <c r="CC25" s="7">
        <v>0</v>
      </c>
      <c r="CD25" s="8">
        <v>0</v>
      </c>
      <c r="CE25" s="9">
        <v>0</v>
      </c>
      <c r="CF25" s="7">
        <v>0</v>
      </c>
      <c r="CG25" s="8">
        <v>0</v>
      </c>
      <c r="CH25" s="9">
        <v>0</v>
      </c>
      <c r="CI25" s="7">
        <v>0</v>
      </c>
      <c r="CJ25" s="8">
        <v>0</v>
      </c>
      <c r="CK25" s="9">
        <v>0</v>
      </c>
      <c r="CL25" s="7">
        <v>0</v>
      </c>
      <c r="CM25" s="8">
        <v>0</v>
      </c>
      <c r="CN25" s="9">
        <v>0</v>
      </c>
      <c r="CO25" s="7">
        <v>-50744368.340000004</v>
      </c>
      <c r="CP25" s="8">
        <v>-28000266.666666701</v>
      </c>
      <c r="CQ25" s="9">
        <v>-40000000</v>
      </c>
      <c r="CR25" s="7">
        <v>0</v>
      </c>
      <c r="CS25" s="8">
        <v>0</v>
      </c>
      <c r="CT25" s="9">
        <v>0</v>
      </c>
      <c r="CU25" s="7">
        <v>0</v>
      </c>
      <c r="CV25" s="8">
        <v>0</v>
      </c>
      <c r="CW25" s="9">
        <v>0</v>
      </c>
      <c r="CX25" s="7">
        <v>0</v>
      </c>
      <c r="CY25" s="8">
        <v>0</v>
      </c>
      <c r="CZ25" s="9">
        <v>0</v>
      </c>
      <c r="DA25" s="7">
        <v>0</v>
      </c>
      <c r="DB25" s="8">
        <v>0</v>
      </c>
      <c r="DC25" s="9">
        <v>0</v>
      </c>
      <c r="DD25" s="7">
        <v>0</v>
      </c>
      <c r="DE25" s="8">
        <v>0</v>
      </c>
      <c r="DF25" s="9">
        <v>0</v>
      </c>
      <c r="DG25" s="7">
        <v>0</v>
      </c>
      <c r="DH25" s="8">
        <v>0</v>
      </c>
      <c r="DI25" s="9">
        <v>0</v>
      </c>
      <c r="DJ25" s="7">
        <v>0</v>
      </c>
      <c r="DK25" s="8">
        <v>0</v>
      </c>
      <c r="DL25" s="9">
        <v>0</v>
      </c>
      <c r="DM25" s="7">
        <v>0</v>
      </c>
      <c r="DN25" s="8">
        <v>0</v>
      </c>
      <c r="DO25" s="9">
        <v>0</v>
      </c>
      <c r="DP25" s="7">
        <v>0</v>
      </c>
      <c r="DQ25" s="8">
        <v>0</v>
      </c>
      <c r="DR25" s="9">
        <v>0</v>
      </c>
      <c r="DS25" s="7">
        <v>0</v>
      </c>
      <c r="DT25" s="8">
        <v>0</v>
      </c>
      <c r="DU25" s="9">
        <v>0</v>
      </c>
      <c r="DV25" s="7">
        <v>0</v>
      </c>
      <c r="DW25" s="8">
        <v>0</v>
      </c>
      <c r="DX25" s="9">
        <v>0</v>
      </c>
      <c r="DY25" s="7">
        <v>0</v>
      </c>
      <c r="DZ25" s="8">
        <v>0</v>
      </c>
      <c r="EA25" s="9">
        <v>0</v>
      </c>
      <c r="EB25" s="7">
        <v>0</v>
      </c>
      <c r="EC25" s="8">
        <v>0</v>
      </c>
      <c r="ED25" s="9">
        <v>0</v>
      </c>
      <c r="EE25" s="7">
        <v>0</v>
      </c>
      <c r="EF25" s="8">
        <v>0</v>
      </c>
      <c r="EG25" s="9">
        <v>0</v>
      </c>
      <c r="EH25" s="7">
        <v>0</v>
      </c>
      <c r="EI25" s="8">
        <v>0</v>
      </c>
      <c r="EJ25" s="9">
        <v>0</v>
      </c>
      <c r="EK25" s="7">
        <v>0</v>
      </c>
      <c r="EL25" s="8">
        <v>0</v>
      </c>
      <c r="EM25" s="9">
        <v>0</v>
      </c>
      <c r="EN25" s="7">
        <v>0</v>
      </c>
      <c r="EO25" s="8">
        <v>0</v>
      </c>
      <c r="EP25" s="9">
        <v>0</v>
      </c>
      <c r="EQ25" s="7">
        <v>0</v>
      </c>
      <c r="ER25" s="8">
        <v>0</v>
      </c>
      <c r="ES25" s="9">
        <v>0</v>
      </c>
      <c r="ET25" s="7">
        <v>0</v>
      </c>
      <c r="EU25" s="8">
        <v>0</v>
      </c>
      <c r="EV25" s="9">
        <v>0</v>
      </c>
      <c r="EW25" s="7">
        <v>0</v>
      </c>
      <c r="EX25" s="8">
        <v>0</v>
      </c>
      <c r="EY25" s="9">
        <v>0</v>
      </c>
      <c r="EZ25" s="7">
        <v>0</v>
      </c>
      <c r="FA25" s="8">
        <v>0</v>
      </c>
      <c r="FB25" s="9">
        <v>0</v>
      </c>
      <c r="FC25" s="7">
        <v>0</v>
      </c>
      <c r="FD25" s="8">
        <v>0</v>
      </c>
      <c r="FE25" s="9">
        <v>0</v>
      </c>
      <c r="FF25" s="7">
        <v>0</v>
      </c>
      <c r="FG25" s="8">
        <v>0</v>
      </c>
      <c r="FH25" s="9">
        <v>0</v>
      </c>
      <c r="FI25" s="7">
        <v>0</v>
      </c>
      <c r="FJ25" s="8">
        <v>0</v>
      </c>
      <c r="FK25" s="9">
        <v>0</v>
      </c>
      <c r="FL25" s="7">
        <v>0</v>
      </c>
      <c r="FM25" s="8">
        <v>0</v>
      </c>
      <c r="FN25" s="9">
        <v>0</v>
      </c>
      <c r="FO25" s="7">
        <v>0</v>
      </c>
      <c r="FP25" s="8">
        <v>0</v>
      </c>
      <c r="FQ25" s="9">
        <v>0</v>
      </c>
      <c r="FR25" s="7">
        <v>0</v>
      </c>
      <c r="FS25" s="8">
        <v>0</v>
      </c>
      <c r="FT25" s="9">
        <v>0</v>
      </c>
      <c r="FU25" s="7">
        <v>0</v>
      </c>
      <c r="FV25" s="8">
        <v>0</v>
      </c>
      <c r="FW25" s="9">
        <v>0</v>
      </c>
      <c r="FX25" s="7">
        <v>0</v>
      </c>
      <c r="FY25" s="8">
        <v>-18279000</v>
      </c>
      <c r="FZ25" s="9">
        <v>0</v>
      </c>
      <c r="GA25" s="7">
        <v>0</v>
      </c>
      <c r="GB25" s="8">
        <v>0</v>
      </c>
      <c r="GC25" s="9">
        <v>0</v>
      </c>
      <c r="GD25" s="7">
        <v>0</v>
      </c>
      <c r="GE25" s="8">
        <v>0</v>
      </c>
      <c r="GF25" s="9">
        <v>0</v>
      </c>
      <c r="GG25" s="7">
        <v>0</v>
      </c>
      <c r="GH25" s="8">
        <v>0</v>
      </c>
      <c r="GI25" s="9">
        <v>0</v>
      </c>
      <c r="GJ25" s="7">
        <v>0</v>
      </c>
      <c r="GK25" s="8">
        <v>0</v>
      </c>
      <c r="GL25" s="9">
        <v>0</v>
      </c>
      <c r="GM25" s="7">
        <v>0</v>
      </c>
      <c r="GN25" s="8">
        <v>0</v>
      </c>
      <c r="GO25" s="9">
        <v>0</v>
      </c>
      <c r="GP25" s="7">
        <v>0</v>
      </c>
      <c r="GQ25" s="8">
        <v>0</v>
      </c>
      <c r="GR25" s="9">
        <v>0</v>
      </c>
      <c r="GS25" s="7">
        <v>0</v>
      </c>
      <c r="GT25" s="8">
        <v>0</v>
      </c>
      <c r="GU25" s="9">
        <v>0</v>
      </c>
      <c r="GV25" s="7">
        <v>0</v>
      </c>
      <c r="GW25" s="8">
        <v>0</v>
      </c>
      <c r="GX25" s="9">
        <v>0</v>
      </c>
      <c r="GY25" s="7">
        <v>0</v>
      </c>
      <c r="GZ25" s="8">
        <v>0</v>
      </c>
      <c r="HA25" s="9">
        <v>0</v>
      </c>
      <c r="HB25" s="7">
        <v>0</v>
      </c>
      <c r="HC25" s="8">
        <v>0</v>
      </c>
      <c r="HD25" s="9">
        <v>0</v>
      </c>
      <c r="HE25" s="7">
        <v>0</v>
      </c>
      <c r="HF25" s="8">
        <v>0</v>
      </c>
      <c r="HG25" s="9">
        <v>0</v>
      </c>
      <c r="HH25" s="7">
        <v>0</v>
      </c>
      <c r="HI25" s="8">
        <v>0</v>
      </c>
      <c r="HJ25" s="9">
        <v>0</v>
      </c>
      <c r="HK25" s="7">
        <v>0</v>
      </c>
      <c r="HL25" s="8">
        <v>0</v>
      </c>
      <c r="HM25" s="9">
        <v>0</v>
      </c>
      <c r="HN25" s="7">
        <v>0</v>
      </c>
      <c r="HO25" s="8">
        <v>0</v>
      </c>
      <c r="HP25" s="9">
        <v>0</v>
      </c>
    </row>
    <row r="26" spans="1:224" x14ac:dyDescent="0.25">
      <c r="A26" s="23" t="s">
        <v>189</v>
      </c>
      <c r="B26" s="26" t="s">
        <v>190</v>
      </c>
      <c r="C26" s="7">
        <v>-5288612.3299999898</v>
      </c>
      <c r="D26" s="8">
        <v>-5977011.3616224304</v>
      </c>
      <c r="E26" s="9">
        <v>-6370387</v>
      </c>
      <c r="F26" s="7">
        <v>-137702.81</v>
      </c>
      <c r="G26" s="8">
        <v>-139999.999999986</v>
      </c>
      <c r="H26" s="9">
        <v>-140000</v>
      </c>
      <c r="I26" s="7">
        <v>-154465.74</v>
      </c>
      <c r="J26" s="8">
        <v>-199999.99999997701</v>
      </c>
      <c r="K26" s="9">
        <v>-170000</v>
      </c>
      <c r="L26" s="7">
        <v>-119845.06</v>
      </c>
      <c r="M26" s="8">
        <v>-140999.99999998699</v>
      </c>
      <c r="N26" s="9">
        <v>-130000</v>
      </c>
      <c r="O26" s="7">
        <v>-227080.05</v>
      </c>
      <c r="P26" s="8">
        <v>-269999.99999998201</v>
      </c>
      <c r="Q26" s="9">
        <v>-210000</v>
      </c>
      <c r="R26" s="7">
        <v>-215721.08</v>
      </c>
      <c r="S26" s="8">
        <v>-259999.99999998999</v>
      </c>
      <c r="T26" s="9">
        <v>-260000</v>
      </c>
      <c r="U26" s="7">
        <v>-201705.07</v>
      </c>
      <c r="V26" s="8">
        <v>-259999.99999998699</v>
      </c>
      <c r="W26" s="9">
        <v>-190000</v>
      </c>
      <c r="X26" s="7">
        <v>-570689.61</v>
      </c>
      <c r="Y26" s="8">
        <v>-619999.99999998405</v>
      </c>
      <c r="Z26" s="9">
        <v>-650000</v>
      </c>
      <c r="AA26" s="7">
        <v>-1330205.18</v>
      </c>
      <c r="AB26" s="8">
        <v>-1330011.3616227</v>
      </c>
      <c r="AC26" s="9">
        <v>-1400000</v>
      </c>
      <c r="AD26" s="7">
        <v>-298466.27</v>
      </c>
      <c r="AE26" s="8">
        <v>-399999.99999999098</v>
      </c>
      <c r="AF26" s="9">
        <v>-1000000</v>
      </c>
      <c r="AG26" s="7">
        <v>-293521.8</v>
      </c>
      <c r="AH26" s="8">
        <v>-339999.99999998102</v>
      </c>
      <c r="AI26" s="9">
        <v>-320000</v>
      </c>
      <c r="AJ26" s="7">
        <v>-176945.26</v>
      </c>
      <c r="AK26" s="8">
        <v>-219999.99999998801</v>
      </c>
      <c r="AL26" s="9">
        <v>-190000</v>
      </c>
      <c r="AM26" s="7">
        <v>-75219.03</v>
      </c>
      <c r="AN26" s="8">
        <v>-89999.999999994005</v>
      </c>
      <c r="AO26" s="9">
        <v>-90000</v>
      </c>
      <c r="AP26" s="7">
        <v>-74040.28</v>
      </c>
      <c r="AQ26" s="8">
        <v>-109999.99999999499</v>
      </c>
      <c r="AR26" s="9">
        <v>-110000</v>
      </c>
      <c r="AS26" s="7">
        <v>-90805.01</v>
      </c>
      <c r="AT26" s="8">
        <v>-109999.99999999499</v>
      </c>
      <c r="AU26" s="9">
        <v>-90000</v>
      </c>
      <c r="AV26" s="7">
        <v>0</v>
      </c>
      <c r="AW26" s="8">
        <v>0</v>
      </c>
      <c r="AX26" s="9">
        <v>0</v>
      </c>
      <c r="AY26" s="7">
        <v>-198413.79</v>
      </c>
      <c r="AZ26" s="8">
        <v>-179999.999999975</v>
      </c>
      <c r="BA26" s="9">
        <v>-200000</v>
      </c>
      <c r="BB26" s="7">
        <v>-12023.25</v>
      </c>
      <c r="BC26" s="8">
        <v>-9999.9999999970005</v>
      </c>
      <c r="BD26" s="9">
        <v>-15000</v>
      </c>
      <c r="BE26" s="7">
        <v>-2610.5</v>
      </c>
      <c r="BF26" s="8">
        <v>-2999.999999998</v>
      </c>
      <c r="BG26" s="9">
        <v>-3000</v>
      </c>
      <c r="BH26" s="7">
        <v>-1029.25</v>
      </c>
      <c r="BI26" s="8">
        <v>-1000</v>
      </c>
      <c r="BJ26" s="9">
        <v>0</v>
      </c>
      <c r="BK26" s="7">
        <v>-18937.560000000001</v>
      </c>
      <c r="BL26" s="8">
        <v>-19999.999999995998</v>
      </c>
      <c r="BM26" s="9">
        <v>-15000</v>
      </c>
      <c r="BN26" s="7">
        <v>-50146.03</v>
      </c>
      <c r="BO26" s="8">
        <v>-64999.999999993001</v>
      </c>
      <c r="BP26" s="9">
        <v>-65000</v>
      </c>
      <c r="BQ26" s="7">
        <v>-552</v>
      </c>
      <c r="BR26" s="8">
        <v>-5000</v>
      </c>
      <c r="BS26" s="9">
        <v>-5000</v>
      </c>
      <c r="BT26" s="7">
        <v>-91632</v>
      </c>
      <c r="BU26" s="8">
        <v>-109999.99999999801</v>
      </c>
      <c r="BV26" s="9">
        <v>-110000</v>
      </c>
      <c r="BW26" s="7">
        <v>-64781.51</v>
      </c>
      <c r="BX26" s="8">
        <v>-79999.999999994005</v>
      </c>
      <c r="BY26" s="9">
        <v>-50000</v>
      </c>
      <c r="BZ26" s="7">
        <v>-1104</v>
      </c>
      <c r="CA26" s="8">
        <v>-5000</v>
      </c>
      <c r="CB26" s="9">
        <v>0</v>
      </c>
      <c r="CC26" s="7">
        <v>-8834.5</v>
      </c>
      <c r="CD26" s="8">
        <v>-7000</v>
      </c>
      <c r="CE26" s="9">
        <v>-13500</v>
      </c>
      <c r="CF26" s="7">
        <v>0</v>
      </c>
      <c r="CG26" s="8">
        <v>0</v>
      </c>
      <c r="CH26" s="9">
        <v>0</v>
      </c>
      <c r="CI26" s="7">
        <v>0</v>
      </c>
      <c r="CJ26" s="8">
        <v>0</v>
      </c>
      <c r="CK26" s="9">
        <v>0</v>
      </c>
      <c r="CL26" s="7">
        <v>-12696</v>
      </c>
      <c r="CM26" s="8">
        <v>-19999.999999988999</v>
      </c>
      <c r="CN26" s="9">
        <v>-20000</v>
      </c>
      <c r="CO26" s="7">
        <v>-49719.62</v>
      </c>
      <c r="CP26" s="8">
        <v>-74999.999999986001</v>
      </c>
      <c r="CQ26" s="9">
        <v>-65000</v>
      </c>
      <c r="CR26" s="7">
        <v>0</v>
      </c>
      <c r="CS26" s="8">
        <v>0</v>
      </c>
      <c r="CT26" s="9">
        <v>0</v>
      </c>
      <c r="CU26" s="7">
        <v>-23973.61</v>
      </c>
      <c r="CV26" s="8">
        <v>-24999.999999994001</v>
      </c>
      <c r="CW26" s="9">
        <v>-20000</v>
      </c>
      <c r="CX26" s="7">
        <v>0</v>
      </c>
      <c r="CY26" s="8">
        <v>0</v>
      </c>
      <c r="CZ26" s="9">
        <v>0</v>
      </c>
      <c r="DA26" s="7">
        <v>0</v>
      </c>
      <c r="DB26" s="8">
        <v>0</v>
      </c>
      <c r="DC26" s="9">
        <v>0</v>
      </c>
      <c r="DD26" s="7">
        <v>0</v>
      </c>
      <c r="DE26" s="8">
        <v>0</v>
      </c>
      <c r="DF26" s="9">
        <v>0</v>
      </c>
      <c r="DG26" s="7">
        <v>0</v>
      </c>
      <c r="DH26" s="8">
        <v>-10000</v>
      </c>
      <c r="DI26" s="9">
        <v>0</v>
      </c>
      <c r="DJ26" s="7">
        <v>0</v>
      </c>
      <c r="DK26" s="8">
        <v>0</v>
      </c>
      <c r="DL26" s="9">
        <v>0</v>
      </c>
      <c r="DM26" s="7">
        <v>0</v>
      </c>
      <c r="DN26" s="8">
        <v>0</v>
      </c>
      <c r="DO26" s="9">
        <v>-1300</v>
      </c>
      <c r="DP26" s="7">
        <v>0</v>
      </c>
      <c r="DQ26" s="8">
        <v>0</v>
      </c>
      <c r="DR26" s="9">
        <v>0</v>
      </c>
      <c r="DS26" s="7">
        <v>0</v>
      </c>
      <c r="DT26" s="8">
        <v>0</v>
      </c>
      <c r="DU26" s="9">
        <v>0</v>
      </c>
      <c r="DV26" s="7">
        <v>0</v>
      </c>
      <c r="DW26" s="8">
        <v>0</v>
      </c>
      <c r="DX26" s="9">
        <v>0</v>
      </c>
      <c r="DY26" s="7">
        <v>0</v>
      </c>
      <c r="DZ26" s="8">
        <v>0</v>
      </c>
      <c r="EA26" s="9">
        <v>0</v>
      </c>
      <c r="EB26" s="7">
        <v>0</v>
      </c>
      <c r="EC26" s="8">
        <v>0</v>
      </c>
      <c r="ED26" s="9">
        <v>0</v>
      </c>
      <c r="EE26" s="7">
        <v>-144763.78</v>
      </c>
      <c r="EF26" s="8">
        <v>-169999.999999994</v>
      </c>
      <c r="EG26" s="9">
        <v>-170000</v>
      </c>
      <c r="EH26" s="7">
        <v>0</v>
      </c>
      <c r="EI26" s="8">
        <v>0</v>
      </c>
      <c r="EJ26" s="9">
        <v>0</v>
      </c>
      <c r="EK26" s="7">
        <v>-216717.04</v>
      </c>
      <c r="EL26" s="8">
        <v>-259999.999999989</v>
      </c>
      <c r="EM26" s="9">
        <v>-236000</v>
      </c>
      <c r="EN26" s="7">
        <v>0</v>
      </c>
      <c r="EO26" s="8">
        <v>0</v>
      </c>
      <c r="EP26" s="9">
        <v>0</v>
      </c>
      <c r="EQ26" s="7">
        <v>0</v>
      </c>
      <c r="ER26" s="8">
        <v>0</v>
      </c>
      <c r="ES26" s="9">
        <v>0</v>
      </c>
      <c r="ET26" s="7">
        <v>0</v>
      </c>
      <c r="EU26" s="8">
        <v>0</v>
      </c>
      <c r="EV26" s="9">
        <v>0</v>
      </c>
      <c r="EW26" s="7">
        <v>0</v>
      </c>
      <c r="EX26" s="8">
        <v>0</v>
      </c>
      <c r="EY26" s="9">
        <v>0</v>
      </c>
      <c r="EZ26" s="7">
        <v>0</v>
      </c>
      <c r="FA26" s="8">
        <v>0</v>
      </c>
      <c r="FB26" s="9">
        <v>0</v>
      </c>
      <c r="FC26" s="7">
        <v>-142464.89000000001</v>
      </c>
      <c r="FD26" s="8">
        <v>-149999.999999994</v>
      </c>
      <c r="FE26" s="9">
        <v>-145000</v>
      </c>
      <c r="FF26" s="7">
        <v>-281800.75</v>
      </c>
      <c r="FG26" s="8">
        <v>-289999.99999999499</v>
      </c>
      <c r="FH26" s="9">
        <v>-286587</v>
      </c>
      <c r="FI26" s="7">
        <v>0</v>
      </c>
      <c r="FJ26" s="8">
        <v>0</v>
      </c>
      <c r="FK26" s="9">
        <v>0</v>
      </c>
      <c r="FL26" s="7">
        <v>0</v>
      </c>
      <c r="FM26" s="8">
        <v>0</v>
      </c>
      <c r="FN26" s="9">
        <v>0</v>
      </c>
      <c r="FO26" s="7">
        <v>0</v>
      </c>
      <c r="FP26" s="8">
        <v>0</v>
      </c>
      <c r="FQ26" s="9">
        <v>0</v>
      </c>
      <c r="FR26" s="7">
        <v>0</v>
      </c>
      <c r="FS26" s="8">
        <v>0</v>
      </c>
      <c r="FT26" s="9">
        <v>0</v>
      </c>
      <c r="FU26" s="7">
        <v>0</v>
      </c>
      <c r="FV26" s="8">
        <v>0</v>
      </c>
      <c r="FW26" s="9">
        <v>0</v>
      </c>
      <c r="FX26" s="7">
        <v>0</v>
      </c>
      <c r="FY26" s="8">
        <v>0</v>
      </c>
      <c r="FZ26" s="9">
        <v>0</v>
      </c>
      <c r="GA26" s="7">
        <v>0</v>
      </c>
      <c r="GB26" s="8">
        <v>0</v>
      </c>
      <c r="GC26" s="9">
        <v>0</v>
      </c>
      <c r="GD26" s="7">
        <v>0</v>
      </c>
      <c r="GE26" s="8">
        <v>0</v>
      </c>
      <c r="GF26" s="9">
        <v>0</v>
      </c>
      <c r="GG26" s="7">
        <v>0</v>
      </c>
      <c r="GH26" s="8">
        <v>0</v>
      </c>
      <c r="GI26" s="9">
        <v>0</v>
      </c>
      <c r="GJ26" s="7">
        <v>0</v>
      </c>
      <c r="GK26" s="8">
        <v>0</v>
      </c>
      <c r="GL26" s="9">
        <v>0</v>
      </c>
      <c r="GM26" s="7">
        <v>0</v>
      </c>
      <c r="GN26" s="8">
        <v>0</v>
      </c>
      <c r="GO26" s="9">
        <v>0</v>
      </c>
      <c r="GP26" s="7">
        <v>0</v>
      </c>
      <c r="GQ26" s="8">
        <v>0</v>
      </c>
      <c r="GR26" s="9">
        <v>0</v>
      </c>
      <c r="GS26" s="7">
        <v>0</v>
      </c>
      <c r="GT26" s="8">
        <v>0</v>
      </c>
      <c r="GU26" s="9">
        <v>0</v>
      </c>
      <c r="GV26" s="7">
        <v>0</v>
      </c>
      <c r="GW26" s="8">
        <v>0</v>
      </c>
      <c r="GX26" s="9">
        <v>0</v>
      </c>
      <c r="GY26" s="7">
        <v>0</v>
      </c>
      <c r="GZ26" s="8">
        <v>0</v>
      </c>
      <c r="HA26" s="9">
        <v>0</v>
      </c>
      <c r="HB26" s="7">
        <v>0</v>
      </c>
      <c r="HC26" s="8">
        <v>0</v>
      </c>
      <c r="HD26" s="9">
        <v>0</v>
      </c>
      <c r="HE26" s="7">
        <v>0</v>
      </c>
      <c r="HF26" s="8">
        <v>0</v>
      </c>
      <c r="HG26" s="9">
        <v>0</v>
      </c>
      <c r="HH26" s="7">
        <v>0</v>
      </c>
      <c r="HI26" s="8">
        <v>0</v>
      </c>
      <c r="HJ26" s="9">
        <v>0</v>
      </c>
      <c r="HK26" s="7">
        <v>0</v>
      </c>
      <c r="HL26" s="8">
        <v>0</v>
      </c>
      <c r="HM26" s="9">
        <v>0</v>
      </c>
      <c r="HN26" s="7">
        <v>0</v>
      </c>
      <c r="HO26" s="8">
        <v>0</v>
      </c>
      <c r="HP26" s="9">
        <v>0</v>
      </c>
    </row>
    <row r="27" spans="1:224" x14ac:dyDescent="0.25">
      <c r="A27" s="24" t="s">
        <v>191</v>
      </c>
      <c r="B27" s="27" t="s">
        <v>192</v>
      </c>
      <c r="C27" s="10">
        <v>0</v>
      </c>
      <c r="D27" s="11">
        <v>0</v>
      </c>
      <c r="E27" s="12">
        <v>0</v>
      </c>
      <c r="F27" s="10">
        <v>0</v>
      </c>
      <c r="G27" s="11">
        <v>0</v>
      </c>
      <c r="H27" s="12">
        <v>0</v>
      </c>
      <c r="I27" s="10">
        <v>0</v>
      </c>
      <c r="J27" s="11">
        <v>0</v>
      </c>
      <c r="K27" s="12">
        <v>0</v>
      </c>
      <c r="L27" s="10">
        <v>0</v>
      </c>
      <c r="M27" s="11">
        <v>0</v>
      </c>
      <c r="N27" s="12">
        <v>0</v>
      </c>
      <c r="O27" s="10">
        <v>0</v>
      </c>
      <c r="P27" s="11">
        <v>0</v>
      </c>
      <c r="Q27" s="12">
        <v>0</v>
      </c>
      <c r="R27" s="10">
        <v>0</v>
      </c>
      <c r="S27" s="11">
        <v>0</v>
      </c>
      <c r="T27" s="12">
        <v>0</v>
      </c>
      <c r="U27" s="10">
        <v>0</v>
      </c>
      <c r="V27" s="11">
        <v>0</v>
      </c>
      <c r="W27" s="12">
        <v>0</v>
      </c>
      <c r="X27" s="10">
        <v>0</v>
      </c>
      <c r="Y27" s="11">
        <v>0</v>
      </c>
      <c r="Z27" s="12">
        <v>0</v>
      </c>
      <c r="AA27" s="10">
        <v>0</v>
      </c>
      <c r="AB27" s="11">
        <v>0</v>
      </c>
      <c r="AC27" s="12">
        <v>0</v>
      </c>
      <c r="AD27" s="10">
        <v>0</v>
      </c>
      <c r="AE27" s="11">
        <v>0</v>
      </c>
      <c r="AF27" s="12">
        <v>0</v>
      </c>
      <c r="AG27" s="10">
        <v>0</v>
      </c>
      <c r="AH27" s="11">
        <v>0</v>
      </c>
      <c r="AI27" s="12">
        <v>0</v>
      </c>
      <c r="AJ27" s="10">
        <v>0</v>
      </c>
      <c r="AK27" s="11">
        <v>0</v>
      </c>
      <c r="AL27" s="12">
        <v>0</v>
      </c>
      <c r="AM27" s="10">
        <v>0</v>
      </c>
      <c r="AN27" s="11">
        <v>0</v>
      </c>
      <c r="AO27" s="12">
        <v>0</v>
      </c>
      <c r="AP27" s="10">
        <v>0</v>
      </c>
      <c r="AQ27" s="11">
        <v>0</v>
      </c>
      <c r="AR27" s="12">
        <v>0</v>
      </c>
      <c r="AS27" s="10">
        <v>0</v>
      </c>
      <c r="AT27" s="11">
        <v>0</v>
      </c>
      <c r="AU27" s="12">
        <v>0</v>
      </c>
      <c r="AV27" s="10">
        <v>0</v>
      </c>
      <c r="AW27" s="11">
        <v>0</v>
      </c>
      <c r="AX27" s="12">
        <v>0</v>
      </c>
      <c r="AY27" s="10">
        <v>0</v>
      </c>
      <c r="AZ27" s="11">
        <v>0</v>
      </c>
      <c r="BA27" s="12">
        <v>0</v>
      </c>
      <c r="BB27" s="10">
        <v>0</v>
      </c>
      <c r="BC27" s="11">
        <v>0</v>
      </c>
      <c r="BD27" s="12">
        <v>0</v>
      </c>
      <c r="BE27" s="10">
        <v>0</v>
      </c>
      <c r="BF27" s="11">
        <v>0</v>
      </c>
      <c r="BG27" s="12">
        <v>0</v>
      </c>
      <c r="BH27" s="10">
        <v>0</v>
      </c>
      <c r="BI27" s="11">
        <v>0</v>
      </c>
      <c r="BJ27" s="12">
        <v>0</v>
      </c>
      <c r="BK27" s="10">
        <v>0</v>
      </c>
      <c r="BL27" s="11">
        <v>0</v>
      </c>
      <c r="BM27" s="12">
        <v>0</v>
      </c>
      <c r="BN27" s="10">
        <v>0</v>
      </c>
      <c r="BO27" s="11">
        <v>0</v>
      </c>
      <c r="BP27" s="12">
        <v>0</v>
      </c>
      <c r="BQ27" s="10">
        <v>0</v>
      </c>
      <c r="BR27" s="11">
        <v>0</v>
      </c>
      <c r="BS27" s="12">
        <v>0</v>
      </c>
      <c r="BT27" s="10">
        <v>0</v>
      </c>
      <c r="BU27" s="11">
        <v>0</v>
      </c>
      <c r="BV27" s="12">
        <v>0</v>
      </c>
      <c r="BW27" s="10">
        <v>0</v>
      </c>
      <c r="BX27" s="11">
        <v>0</v>
      </c>
      <c r="BY27" s="12">
        <v>0</v>
      </c>
      <c r="BZ27" s="10">
        <v>0</v>
      </c>
      <c r="CA27" s="11">
        <v>0</v>
      </c>
      <c r="CB27" s="12">
        <v>0</v>
      </c>
      <c r="CC27" s="10">
        <v>0</v>
      </c>
      <c r="CD27" s="11">
        <v>0</v>
      </c>
      <c r="CE27" s="12">
        <v>0</v>
      </c>
      <c r="CF27" s="10">
        <v>0</v>
      </c>
      <c r="CG27" s="11">
        <v>0</v>
      </c>
      <c r="CH27" s="12">
        <v>0</v>
      </c>
      <c r="CI27" s="10">
        <v>0</v>
      </c>
      <c r="CJ27" s="11">
        <v>0</v>
      </c>
      <c r="CK27" s="12">
        <v>0</v>
      </c>
      <c r="CL27" s="10">
        <v>0</v>
      </c>
      <c r="CM27" s="11">
        <v>0</v>
      </c>
      <c r="CN27" s="12">
        <v>0</v>
      </c>
      <c r="CO27" s="10">
        <v>0</v>
      </c>
      <c r="CP27" s="11">
        <v>0</v>
      </c>
      <c r="CQ27" s="12">
        <v>0</v>
      </c>
      <c r="CR27" s="10">
        <v>0</v>
      </c>
      <c r="CS27" s="11">
        <v>0</v>
      </c>
      <c r="CT27" s="12">
        <v>0</v>
      </c>
      <c r="CU27" s="10">
        <v>0</v>
      </c>
      <c r="CV27" s="11">
        <v>0</v>
      </c>
      <c r="CW27" s="12">
        <v>0</v>
      </c>
      <c r="CX27" s="10">
        <v>0</v>
      </c>
      <c r="CY27" s="11">
        <v>0</v>
      </c>
      <c r="CZ27" s="12">
        <v>0</v>
      </c>
      <c r="DA27" s="10">
        <v>0</v>
      </c>
      <c r="DB27" s="11">
        <v>0</v>
      </c>
      <c r="DC27" s="12">
        <v>0</v>
      </c>
      <c r="DD27" s="10">
        <v>0</v>
      </c>
      <c r="DE27" s="11">
        <v>0</v>
      </c>
      <c r="DF27" s="12">
        <v>0</v>
      </c>
      <c r="DG27" s="10">
        <v>0</v>
      </c>
      <c r="DH27" s="11">
        <v>0</v>
      </c>
      <c r="DI27" s="12">
        <v>0</v>
      </c>
      <c r="DJ27" s="10">
        <v>0</v>
      </c>
      <c r="DK27" s="11">
        <v>0</v>
      </c>
      <c r="DL27" s="12">
        <v>0</v>
      </c>
      <c r="DM27" s="10">
        <v>0</v>
      </c>
      <c r="DN27" s="11">
        <v>0</v>
      </c>
      <c r="DO27" s="12">
        <v>0</v>
      </c>
      <c r="DP27" s="10">
        <v>0</v>
      </c>
      <c r="DQ27" s="11">
        <v>0</v>
      </c>
      <c r="DR27" s="12">
        <v>0</v>
      </c>
      <c r="DS27" s="10">
        <v>0</v>
      </c>
      <c r="DT27" s="11">
        <v>0</v>
      </c>
      <c r="DU27" s="12">
        <v>0</v>
      </c>
      <c r="DV27" s="10">
        <v>0</v>
      </c>
      <c r="DW27" s="11">
        <v>0</v>
      </c>
      <c r="DX27" s="12">
        <v>0</v>
      </c>
      <c r="DY27" s="10">
        <v>0</v>
      </c>
      <c r="DZ27" s="11">
        <v>0</v>
      </c>
      <c r="EA27" s="12">
        <v>0</v>
      </c>
      <c r="EB27" s="10">
        <v>0</v>
      </c>
      <c r="EC27" s="11">
        <v>0</v>
      </c>
      <c r="ED27" s="12">
        <v>0</v>
      </c>
      <c r="EE27" s="10">
        <v>0</v>
      </c>
      <c r="EF27" s="11">
        <v>0</v>
      </c>
      <c r="EG27" s="12">
        <v>0</v>
      </c>
      <c r="EH27" s="10">
        <v>286.57</v>
      </c>
      <c r="EI27" s="11">
        <v>0</v>
      </c>
      <c r="EJ27" s="12">
        <v>0</v>
      </c>
      <c r="EK27" s="10">
        <v>0</v>
      </c>
      <c r="EL27" s="11">
        <v>0</v>
      </c>
      <c r="EM27" s="12">
        <v>0</v>
      </c>
      <c r="EN27" s="10">
        <v>0</v>
      </c>
      <c r="EO27" s="11">
        <v>0</v>
      </c>
      <c r="EP27" s="12">
        <v>0</v>
      </c>
      <c r="EQ27" s="10">
        <v>0</v>
      </c>
      <c r="ER27" s="11">
        <v>0</v>
      </c>
      <c r="ES27" s="12">
        <v>0</v>
      </c>
      <c r="ET27" s="10">
        <v>0</v>
      </c>
      <c r="EU27" s="11">
        <v>0</v>
      </c>
      <c r="EV27" s="12">
        <v>0</v>
      </c>
      <c r="EW27" s="10">
        <v>0</v>
      </c>
      <c r="EX27" s="11">
        <v>0</v>
      </c>
      <c r="EY27" s="12">
        <v>0</v>
      </c>
      <c r="EZ27" s="10">
        <v>0</v>
      </c>
      <c r="FA27" s="11">
        <v>0</v>
      </c>
      <c r="FB27" s="12">
        <v>0</v>
      </c>
      <c r="FC27" s="10">
        <v>0</v>
      </c>
      <c r="FD27" s="11">
        <v>0</v>
      </c>
      <c r="FE27" s="12">
        <v>0</v>
      </c>
      <c r="FF27" s="10">
        <v>0</v>
      </c>
      <c r="FG27" s="11">
        <v>0</v>
      </c>
      <c r="FH27" s="12">
        <v>0</v>
      </c>
      <c r="FI27" s="10">
        <v>0</v>
      </c>
      <c r="FJ27" s="11">
        <v>0</v>
      </c>
      <c r="FK27" s="12">
        <v>0</v>
      </c>
      <c r="FL27" s="10">
        <v>0</v>
      </c>
      <c r="FM27" s="11">
        <v>0</v>
      </c>
      <c r="FN27" s="12">
        <v>0</v>
      </c>
      <c r="FO27" s="10">
        <v>0</v>
      </c>
      <c r="FP27" s="11">
        <v>0</v>
      </c>
      <c r="FQ27" s="12">
        <v>0</v>
      </c>
      <c r="FR27" s="10">
        <v>0</v>
      </c>
      <c r="FS27" s="11">
        <v>0</v>
      </c>
      <c r="FT27" s="12">
        <v>0</v>
      </c>
      <c r="FU27" s="10">
        <v>0</v>
      </c>
      <c r="FV27" s="11">
        <v>0</v>
      </c>
      <c r="FW27" s="12">
        <v>0</v>
      </c>
      <c r="FX27" s="10">
        <v>-286.57</v>
      </c>
      <c r="FY27" s="11">
        <v>0</v>
      </c>
      <c r="FZ27" s="12">
        <v>0</v>
      </c>
      <c r="GA27" s="10">
        <v>0</v>
      </c>
      <c r="GB27" s="11">
        <v>0</v>
      </c>
      <c r="GC27" s="12">
        <v>0</v>
      </c>
      <c r="GD27" s="10">
        <v>0</v>
      </c>
      <c r="GE27" s="11">
        <v>0</v>
      </c>
      <c r="GF27" s="12">
        <v>0</v>
      </c>
      <c r="GG27" s="10">
        <v>0</v>
      </c>
      <c r="GH27" s="11">
        <v>0</v>
      </c>
      <c r="GI27" s="12">
        <v>0</v>
      </c>
      <c r="GJ27" s="10">
        <v>0</v>
      </c>
      <c r="GK27" s="11">
        <v>0</v>
      </c>
      <c r="GL27" s="12">
        <v>0</v>
      </c>
      <c r="GM27" s="10">
        <v>0</v>
      </c>
      <c r="GN27" s="11">
        <v>0</v>
      </c>
      <c r="GO27" s="12">
        <v>0</v>
      </c>
      <c r="GP27" s="10">
        <v>0</v>
      </c>
      <c r="GQ27" s="11">
        <v>0</v>
      </c>
      <c r="GR27" s="12">
        <v>0</v>
      </c>
      <c r="GS27" s="10">
        <v>0</v>
      </c>
      <c r="GT27" s="11">
        <v>0</v>
      </c>
      <c r="GU27" s="12">
        <v>0</v>
      </c>
      <c r="GV27" s="10">
        <v>0</v>
      </c>
      <c r="GW27" s="11">
        <v>0</v>
      </c>
      <c r="GX27" s="12">
        <v>0</v>
      </c>
      <c r="GY27" s="10">
        <v>0</v>
      </c>
      <c r="GZ27" s="11">
        <v>0</v>
      </c>
      <c r="HA27" s="12">
        <v>0</v>
      </c>
      <c r="HB27" s="10">
        <v>0</v>
      </c>
      <c r="HC27" s="11">
        <v>0</v>
      </c>
      <c r="HD27" s="12">
        <v>0</v>
      </c>
      <c r="HE27" s="10">
        <v>0</v>
      </c>
      <c r="HF27" s="11">
        <v>0</v>
      </c>
      <c r="HG27" s="12">
        <v>0</v>
      </c>
      <c r="HH27" s="10">
        <v>0</v>
      </c>
      <c r="HI27" s="11">
        <v>0</v>
      </c>
      <c r="HJ27" s="12">
        <v>0</v>
      </c>
      <c r="HK27" s="10">
        <v>0</v>
      </c>
      <c r="HL27" s="11">
        <v>0</v>
      </c>
      <c r="HM27" s="12">
        <v>0</v>
      </c>
      <c r="HN27" s="10">
        <v>0</v>
      </c>
      <c r="HO27" s="11">
        <v>0</v>
      </c>
      <c r="HP27" s="12">
        <v>0</v>
      </c>
    </row>
    <row r="28" spans="1:224" s="2" customFormat="1" x14ac:dyDescent="0.25">
      <c r="A28" s="22" t="s">
        <v>193</v>
      </c>
      <c r="B28" s="28" t="s">
        <v>194</v>
      </c>
      <c r="C28" s="13">
        <v>-926475101.17000401</v>
      </c>
      <c r="D28" s="14">
        <v>-965611525.17287397</v>
      </c>
      <c r="E28" s="15">
        <v>-1045704262.00001</v>
      </c>
      <c r="F28" s="13">
        <v>-299661396.18000001</v>
      </c>
      <c r="G28" s="14">
        <v>-336363617.55608302</v>
      </c>
      <c r="H28" s="15">
        <v>-356117420.00000101</v>
      </c>
      <c r="I28" s="13">
        <v>-16569628.92</v>
      </c>
      <c r="J28" s="14">
        <v>-22682047.861703899</v>
      </c>
      <c r="K28" s="15">
        <v>-29493000</v>
      </c>
      <c r="L28" s="13">
        <v>-15948432.619999999</v>
      </c>
      <c r="M28" s="14">
        <v>-16465033.7258291</v>
      </c>
      <c r="N28" s="15">
        <v>-16948213</v>
      </c>
      <c r="O28" s="13">
        <v>-20869902.329999998</v>
      </c>
      <c r="P28" s="14">
        <v>-21440185.677330598</v>
      </c>
      <c r="Q28" s="15">
        <v>-23356136</v>
      </c>
      <c r="R28" s="13">
        <v>-8000989.1900000004</v>
      </c>
      <c r="S28" s="14">
        <v>-7807003.9494055398</v>
      </c>
      <c r="T28" s="15">
        <v>-7886000</v>
      </c>
      <c r="U28" s="13">
        <v>-59913187.649999999</v>
      </c>
      <c r="V28" s="14">
        <v>-63799166.397917099</v>
      </c>
      <c r="W28" s="15">
        <v>-67555999.999999896</v>
      </c>
      <c r="X28" s="13">
        <v>-12788934.98</v>
      </c>
      <c r="Y28" s="14">
        <v>-15324299.1855582</v>
      </c>
      <c r="Z28" s="15">
        <v>-15713645</v>
      </c>
      <c r="AA28" s="13">
        <v>-12143355.439999999</v>
      </c>
      <c r="AB28" s="14">
        <v>-12544665.4939472</v>
      </c>
      <c r="AC28" s="15">
        <v>-13894000</v>
      </c>
      <c r="AD28" s="13">
        <v>-4256194.7</v>
      </c>
      <c r="AE28" s="14">
        <v>-4450533.3006855203</v>
      </c>
      <c r="AF28" s="15">
        <v>-4471000</v>
      </c>
      <c r="AG28" s="13">
        <v>-6513154.6699999999</v>
      </c>
      <c r="AH28" s="14">
        <v>-6810170.52460605</v>
      </c>
      <c r="AI28" s="15">
        <v>-6817000</v>
      </c>
      <c r="AJ28" s="13">
        <v>-49646093.759999998</v>
      </c>
      <c r="AK28" s="14">
        <v>-46707473.506292596</v>
      </c>
      <c r="AL28" s="15">
        <v>-50375552.999999903</v>
      </c>
      <c r="AM28" s="13">
        <v>-22535132.98</v>
      </c>
      <c r="AN28" s="14">
        <v>-23978678.050393499</v>
      </c>
      <c r="AO28" s="15">
        <v>-25105000</v>
      </c>
      <c r="AP28" s="13">
        <v>-3361180.1</v>
      </c>
      <c r="AQ28" s="14">
        <v>-3002743.5035957</v>
      </c>
      <c r="AR28" s="15">
        <v>-3600000</v>
      </c>
      <c r="AS28" s="13">
        <v>-10599073.710000001</v>
      </c>
      <c r="AT28" s="14">
        <v>-11093627.338841001</v>
      </c>
      <c r="AU28" s="15">
        <v>-11159500</v>
      </c>
      <c r="AV28" s="13">
        <v>-433755.29</v>
      </c>
      <c r="AW28" s="14">
        <v>-464866.72902896203</v>
      </c>
      <c r="AX28" s="15">
        <v>-506000</v>
      </c>
      <c r="AY28" s="13">
        <v>-5990975.1000000099</v>
      </c>
      <c r="AZ28" s="14">
        <v>-5416439.1630052403</v>
      </c>
      <c r="BA28" s="15">
        <v>-6397950</v>
      </c>
      <c r="BB28" s="13">
        <v>-2304770.54</v>
      </c>
      <c r="BC28" s="14">
        <v>-2332999.9999998198</v>
      </c>
      <c r="BD28" s="15">
        <v>-2414000</v>
      </c>
      <c r="BE28" s="13">
        <v>-95021.440000000002</v>
      </c>
      <c r="BF28" s="14">
        <v>-131999.99999993099</v>
      </c>
      <c r="BG28" s="15">
        <v>-140500</v>
      </c>
      <c r="BH28" s="13">
        <v>-90680.07</v>
      </c>
      <c r="BI28" s="14">
        <v>-92999.999999951993</v>
      </c>
      <c r="BJ28" s="15">
        <v>-118000</v>
      </c>
      <c r="BK28" s="13">
        <v>-840127.35000000102</v>
      </c>
      <c r="BL28" s="14">
        <v>-869999.99999993097</v>
      </c>
      <c r="BM28" s="15">
        <v>-896000</v>
      </c>
      <c r="BN28" s="13">
        <v>-4525177.3</v>
      </c>
      <c r="BO28" s="14">
        <v>-4497999.9999998799</v>
      </c>
      <c r="BP28" s="15">
        <v>-4510000</v>
      </c>
      <c r="BQ28" s="13">
        <v>-2996710.59</v>
      </c>
      <c r="BR28" s="14">
        <v>-3019999.9999999199</v>
      </c>
      <c r="BS28" s="15">
        <v>-3020000</v>
      </c>
      <c r="BT28" s="13">
        <v>-3616957.77</v>
      </c>
      <c r="BU28" s="14">
        <v>-3671999.99999996</v>
      </c>
      <c r="BV28" s="15">
        <v>-3680500</v>
      </c>
      <c r="BW28" s="13">
        <v>-3623727.68</v>
      </c>
      <c r="BX28" s="14">
        <v>-3899449.1580143799</v>
      </c>
      <c r="BY28" s="15">
        <v>-4000000</v>
      </c>
      <c r="BZ28" s="13">
        <v>-281323.93</v>
      </c>
      <c r="CA28" s="14">
        <v>-325855.20518282597</v>
      </c>
      <c r="CB28" s="15">
        <v>-529000</v>
      </c>
      <c r="CC28" s="13">
        <v>-88538.18</v>
      </c>
      <c r="CD28" s="14">
        <v>-99999.999999969004</v>
      </c>
      <c r="CE28" s="15">
        <v>-139000</v>
      </c>
      <c r="CF28" s="13">
        <v>-4818810.4000000004</v>
      </c>
      <c r="CG28" s="14">
        <v>-3624999.9999999702</v>
      </c>
      <c r="CH28" s="15">
        <v>-4925000</v>
      </c>
      <c r="CI28" s="13">
        <v>-2792720.83</v>
      </c>
      <c r="CJ28" s="14">
        <v>-3048506.8771679802</v>
      </c>
      <c r="CK28" s="15">
        <v>-3145000</v>
      </c>
      <c r="CL28" s="13">
        <v>-15697876.869999999</v>
      </c>
      <c r="CM28" s="14">
        <v>-15768249.637136901</v>
      </c>
      <c r="CN28" s="15">
        <v>-15698250</v>
      </c>
      <c r="CO28" s="13">
        <v>-36813631.859999999</v>
      </c>
      <c r="CP28" s="14">
        <v>-37672266.1116734</v>
      </c>
      <c r="CQ28" s="15">
        <v>-42946320.999999903</v>
      </c>
      <c r="CR28" s="13">
        <v>-67008474.32</v>
      </c>
      <c r="CS28" s="14">
        <v>-68462719.126359299</v>
      </c>
      <c r="CT28" s="15">
        <v>-71713000</v>
      </c>
      <c r="CU28" s="13">
        <v>-52193499.25</v>
      </c>
      <c r="CV28" s="14">
        <v>-53096139.678466797</v>
      </c>
      <c r="CW28" s="15">
        <v>-58533000</v>
      </c>
      <c r="CX28" s="13">
        <v>-41296856.369999997</v>
      </c>
      <c r="CY28" s="14">
        <v>-41710010.281726703</v>
      </c>
      <c r="CZ28" s="15">
        <v>-41500000</v>
      </c>
      <c r="DA28" s="13">
        <v>0</v>
      </c>
      <c r="DB28" s="14">
        <v>0</v>
      </c>
      <c r="DC28" s="15">
        <v>0</v>
      </c>
      <c r="DD28" s="13">
        <v>-5337711.82</v>
      </c>
      <c r="DE28" s="14">
        <v>-5494999.9999999702</v>
      </c>
      <c r="DF28" s="15">
        <v>-7390000</v>
      </c>
      <c r="DG28" s="13">
        <v>-1045869.46</v>
      </c>
      <c r="DH28" s="14">
        <v>-1061261.8430858599</v>
      </c>
      <c r="DI28" s="15">
        <v>-1175500</v>
      </c>
      <c r="DJ28" s="13">
        <v>-47.94</v>
      </c>
      <c r="DK28" s="14">
        <v>0</v>
      </c>
      <c r="DL28" s="15">
        <v>0</v>
      </c>
      <c r="DM28" s="13">
        <v>-28949655.390000001</v>
      </c>
      <c r="DN28" s="14">
        <v>-29689265.933492702</v>
      </c>
      <c r="DO28" s="15">
        <v>-30388500</v>
      </c>
      <c r="DP28" s="13">
        <v>-27672354.140000001</v>
      </c>
      <c r="DQ28" s="14">
        <v>-28557009.353054799</v>
      </c>
      <c r="DR28" s="15">
        <v>-29060000</v>
      </c>
      <c r="DS28" s="13">
        <v>0</v>
      </c>
      <c r="DT28" s="14">
        <v>0</v>
      </c>
      <c r="DU28" s="15">
        <v>0</v>
      </c>
      <c r="DV28" s="13">
        <v>-7221688.7300000004</v>
      </c>
      <c r="DW28" s="14">
        <v>-7274999.9999999702</v>
      </c>
      <c r="DX28" s="15">
        <v>-8045000</v>
      </c>
      <c r="DY28" s="13">
        <v>-9.9499999999999993</v>
      </c>
      <c r="DZ28" s="14">
        <v>0</v>
      </c>
      <c r="EA28" s="15">
        <v>0</v>
      </c>
      <c r="EB28" s="13">
        <v>-92905.05</v>
      </c>
      <c r="EC28" s="14">
        <v>-105000</v>
      </c>
      <c r="ED28" s="15">
        <v>-110000</v>
      </c>
      <c r="EE28" s="13">
        <v>-13524953.91</v>
      </c>
      <c r="EF28" s="14">
        <v>-10329000</v>
      </c>
      <c r="EG28" s="15">
        <v>-13489000</v>
      </c>
      <c r="EH28" s="13">
        <v>-1929192.42</v>
      </c>
      <c r="EI28" s="14">
        <v>-2164999.9999999502</v>
      </c>
      <c r="EJ28" s="15">
        <v>-3620298</v>
      </c>
      <c r="EK28" s="13">
        <v>-36356426.390000001</v>
      </c>
      <c r="EL28" s="14">
        <v>-37471999.999999903</v>
      </c>
      <c r="EM28" s="15">
        <v>-43080000</v>
      </c>
      <c r="EN28" s="13">
        <v>0</v>
      </c>
      <c r="EO28" s="14">
        <v>0</v>
      </c>
      <c r="EP28" s="15">
        <v>0</v>
      </c>
      <c r="EQ28" s="13">
        <v>0</v>
      </c>
      <c r="ER28" s="14">
        <v>0</v>
      </c>
      <c r="ES28" s="15">
        <v>0</v>
      </c>
      <c r="ET28" s="13">
        <v>-55231.57</v>
      </c>
      <c r="EU28" s="14">
        <v>-64999.999999993997</v>
      </c>
      <c r="EV28" s="15">
        <v>0</v>
      </c>
      <c r="EW28" s="13">
        <v>-24941.13</v>
      </c>
      <c r="EX28" s="14">
        <v>-30878.575364419001</v>
      </c>
      <c r="EY28" s="15">
        <v>-47000</v>
      </c>
      <c r="EZ28" s="13">
        <v>-1223106.1200000001</v>
      </c>
      <c r="FA28" s="14">
        <v>-1496567.8446146001</v>
      </c>
      <c r="FB28" s="15">
        <v>-2980000</v>
      </c>
      <c r="FC28" s="13">
        <v>-4667755.97</v>
      </c>
      <c r="FD28" s="14">
        <v>-4706999.9999999497</v>
      </c>
      <c r="FE28" s="15">
        <v>-4700000</v>
      </c>
      <c r="FF28" s="13">
        <v>-4165642.61</v>
      </c>
      <c r="FG28" s="14">
        <v>-4235876.9166364903</v>
      </c>
      <c r="FH28" s="15">
        <v>-4265476</v>
      </c>
      <c r="FI28" s="13">
        <v>0</v>
      </c>
      <c r="FJ28" s="14">
        <v>0</v>
      </c>
      <c r="FK28" s="15">
        <v>0</v>
      </c>
      <c r="FL28" s="13">
        <v>-780537.76</v>
      </c>
      <c r="FM28" s="14">
        <v>0</v>
      </c>
      <c r="FN28" s="15">
        <v>0</v>
      </c>
      <c r="FO28" s="13">
        <v>-4743512.9800000004</v>
      </c>
      <c r="FP28" s="14">
        <v>-4761000</v>
      </c>
      <c r="FQ28" s="15">
        <v>0</v>
      </c>
      <c r="FR28" s="13">
        <v>-367265.46</v>
      </c>
      <c r="FS28" s="14">
        <v>0</v>
      </c>
      <c r="FT28" s="15">
        <v>0</v>
      </c>
      <c r="FU28" s="13">
        <v>0</v>
      </c>
      <c r="FV28" s="14">
        <v>0</v>
      </c>
      <c r="FW28" s="15">
        <v>0</v>
      </c>
      <c r="FX28" s="13">
        <v>0</v>
      </c>
      <c r="FY28" s="14">
        <v>12563083.3333333</v>
      </c>
      <c r="FZ28" s="15">
        <v>0</v>
      </c>
      <c r="GA28" s="13">
        <v>0</v>
      </c>
      <c r="GB28" s="14">
        <v>0</v>
      </c>
      <c r="GC28" s="15">
        <v>0</v>
      </c>
      <c r="GD28" s="13">
        <v>0</v>
      </c>
      <c r="GE28" s="14">
        <v>0</v>
      </c>
      <c r="GF28" s="15">
        <v>0</v>
      </c>
      <c r="GG28" s="13">
        <v>0</v>
      </c>
      <c r="GH28" s="14">
        <v>0</v>
      </c>
      <c r="GI28" s="15">
        <v>0</v>
      </c>
      <c r="GJ28" s="13">
        <v>0</v>
      </c>
      <c r="GK28" s="14">
        <v>-53000</v>
      </c>
      <c r="GL28" s="15">
        <v>-49500</v>
      </c>
      <c r="GM28" s="13">
        <v>0</v>
      </c>
      <c r="GN28" s="14">
        <v>0</v>
      </c>
      <c r="GO28" s="15">
        <v>0</v>
      </c>
      <c r="GP28" s="13">
        <v>0</v>
      </c>
      <c r="GQ28" s="14">
        <v>0</v>
      </c>
      <c r="GR28" s="15">
        <v>0</v>
      </c>
      <c r="GS28" s="13">
        <v>0</v>
      </c>
      <c r="GT28" s="14">
        <v>0</v>
      </c>
      <c r="GU28" s="15">
        <v>0</v>
      </c>
      <c r="GV28" s="13">
        <v>0</v>
      </c>
      <c r="GW28" s="14">
        <v>0</v>
      </c>
      <c r="GX28" s="15">
        <v>0</v>
      </c>
      <c r="GY28" s="13">
        <v>0</v>
      </c>
      <c r="GZ28" s="14">
        <v>0</v>
      </c>
      <c r="HA28" s="15">
        <v>0</v>
      </c>
      <c r="HB28" s="13">
        <v>0</v>
      </c>
      <c r="HC28" s="14">
        <v>0</v>
      </c>
      <c r="HD28" s="15">
        <v>0</v>
      </c>
      <c r="HE28" s="13">
        <v>0</v>
      </c>
      <c r="HF28" s="14">
        <v>0</v>
      </c>
      <c r="HG28" s="15">
        <v>0</v>
      </c>
      <c r="HH28" s="13">
        <v>0</v>
      </c>
      <c r="HI28" s="14">
        <v>0</v>
      </c>
      <c r="HJ28" s="15">
        <v>0</v>
      </c>
      <c r="HK28" s="13">
        <v>0</v>
      </c>
      <c r="HL28" s="14">
        <v>0</v>
      </c>
      <c r="HM28" s="15">
        <v>0</v>
      </c>
      <c r="HN28" s="13">
        <v>0</v>
      </c>
      <c r="HO28" s="14">
        <v>0</v>
      </c>
      <c r="HP28" s="15">
        <v>0</v>
      </c>
    </row>
    <row r="29" spans="1:224" x14ac:dyDescent="0.25">
      <c r="A29" s="23" t="s">
        <v>195</v>
      </c>
      <c r="B29" s="26" t="s">
        <v>196</v>
      </c>
      <c r="C29" s="7">
        <v>-24668301.82</v>
      </c>
      <c r="D29" s="8">
        <v>-27550384.222749699</v>
      </c>
      <c r="E29" s="9">
        <v>-25000000</v>
      </c>
      <c r="F29" s="7">
        <v>-24668301.82</v>
      </c>
      <c r="G29" s="8">
        <v>-25126217.556083102</v>
      </c>
      <c r="H29" s="9">
        <v>-25000000</v>
      </c>
      <c r="I29" s="7">
        <v>0</v>
      </c>
      <c r="J29" s="8">
        <v>0</v>
      </c>
      <c r="K29" s="9">
        <v>0</v>
      </c>
      <c r="L29" s="7">
        <v>0</v>
      </c>
      <c r="M29" s="8">
        <v>0</v>
      </c>
      <c r="N29" s="9">
        <v>0</v>
      </c>
      <c r="O29" s="7">
        <v>0</v>
      </c>
      <c r="P29" s="8">
        <v>0</v>
      </c>
      <c r="Q29" s="9">
        <v>0</v>
      </c>
      <c r="R29" s="7">
        <v>0</v>
      </c>
      <c r="S29" s="8">
        <v>0</v>
      </c>
      <c r="T29" s="9">
        <v>0</v>
      </c>
      <c r="U29" s="7">
        <v>0</v>
      </c>
      <c r="V29" s="8">
        <v>0</v>
      </c>
      <c r="W29" s="9">
        <v>0</v>
      </c>
      <c r="X29" s="7">
        <v>0</v>
      </c>
      <c r="Y29" s="8">
        <v>0</v>
      </c>
      <c r="Z29" s="9">
        <v>0</v>
      </c>
      <c r="AA29" s="7">
        <v>0</v>
      </c>
      <c r="AB29" s="8">
        <v>0</v>
      </c>
      <c r="AC29" s="9">
        <v>0</v>
      </c>
      <c r="AD29" s="7">
        <v>0</v>
      </c>
      <c r="AE29" s="8">
        <v>0</v>
      </c>
      <c r="AF29" s="9">
        <v>0</v>
      </c>
      <c r="AG29" s="7">
        <v>0</v>
      </c>
      <c r="AH29" s="8">
        <v>0</v>
      </c>
      <c r="AI29" s="9">
        <v>0</v>
      </c>
      <c r="AJ29" s="7">
        <v>0</v>
      </c>
      <c r="AK29" s="8">
        <v>0</v>
      </c>
      <c r="AL29" s="9">
        <v>0</v>
      </c>
      <c r="AM29" s="7">
        <v>0</v>
      </c>
      <c r="AN29" s="8">
        <v>0</v>
      </c>
      <c r="AO29" s="9">
        <v>0</v>
      </c>
      <c r="AP29" s="7">
        <v>0</v>
      </c>
      <c r="AQ29" s="8">
        <v>0</v>
      </c>
      <c r="AR29" s="9">
        <v>0</v>
      </c>
      <c r="AS29" s="7">
        <v>0</v>
      </c>
      <c r="AT29" s="8">
        <v>0</v>
      </c>
      <c r="AU29" s="9">
        <v>0</v>
      </c>
      <c r="AV29" s="7">
        <v>0</v>
      </c>
      <c r="AW29" s="8">
        <v>0</v>
      </c>
      <c r="AX29" s="9">
        <v>0</v>
      </c>
      <c r="AY29" s="7">
        <v>0</v>
      </c>
      <c r="AZ29" s="8">
        <v>0</v>
      </c>
      <c r="BA29" s="9">
        <v>0</v>
      </c>
      <c r="BB29" s="7">
        <v>0</v>
      </c>
      <c r="BC29" s="8">
        <v>0</v>
      </c>
      <c r="BD29" s="9">
        <v>0</v>
      </c>
      <c r="BE29" s="7">
        <v>0</v>
      </c>
      <c r="BF29" s="8">
        <v>0</v>
      </c>
      <c r="BG29" s="9">
        <v>0</v>
      </c>
      <c r="BH29" s="7">
        <v>0</v>
      </c>
      <c r="BI29" s="8">
        <v>0</v>
      </c>
      <c r="BJ29" s="9">
        <v>0</v>
      </c>
      <c r="BK29" s="7">
        <v>0</v>
      </c>
      <c r="BL29" s="8">
        <v>0</v>
      </c>
      <c r="BM29" s="9">
        <v>0</v>
      </c>
      <c r="BN29" s="7">
        <v>0</v>
      </c>
      <c r="BO29" s="8">
        <v>0</v>
      </c>
      <c r="BP29" s="9">
        <v>0</v>
      </c>
      <c r="BQ29" s="7">
        <v>0</v>
      </c>
      <c r="BR29" s="8">
        <v>0</v>
      </c>
      <c r="BS29" s="9">
        <v>0</v>
      </c>
      <c r="BT29" s="7">
        <v>0</v>
      </c>
      <c r="BU29" s="8">
        <v>0</v>
      </c>
      <c r="BV29" s="9">
        <v>0</v>
      </c>
      <c r="BW29" s="7">
        <v>0</v>
      </c>
      <c r="BX29" s="8">
        <v>0</v>
      </c>
      <c r="BY29" s="9">
        <v>0</v>
      </c>
      <c r="BZ29" s="7">
        <v>0</v>
      </c>
      <c r="CA29" s="8">
        <v>0</v>
      </c>
      <c r="CB29" s="9">
        <v>0</v>
      </c>
      <c r="CC29" s="7">
        <v>0</v>
      </c>
      <c r="CD29" s="8">
        <v>0</v>
      </c>
      <c r="CE29" s="9">
        <v>0</v>
      </c>
      <c r="CF29" s="7">
        <v>0</v>
      </c>
      <c r="CG29" s="8">
        <v>0</v>
      </c>
      <c r="CH29" s="9">
        <v>0</v>
      </c>
      <c r="CI29" s="7">
        <v>0</v>
      </c>
      <c r="CJ29" s="8">
        <v>0</v>
      </c>
      <c r="CK29" s="9">
        <v>0</v>
      </c>
      <c r="CL29" s="7">
        <v>0</v>
      </c>
      <c r="CM29" s="8">
        <v>0</v>
      </c>
      <c r="CN29" s="9">
        <v>0</v>
      </c>
      <c r="CO29" s="7">
        <v>0</v>
      </c>
      <c r="CP29" s="8">
        <v>0</v>
      </c>
      <c r="CQ29" s="9">
        <v>0</v>
      </c>
      <c r="CR29" s="7">
        <v>0</v>
      </c>
      <c r="CS29" s="8">
        <v>0</v>
      </c>
      <c r="CT29" s="9">
        <v>0</v>
      </c>
      <c r="CU29" s="7">
        <v>0</v>
      </c>
      <c r="CV29" s="8">
        <v>0</v>
      </c>
      <c r="CW29" s="9">
        <v>0</v>
      </c>
      <c r="CX29" s="7">
        <v>0</v>
      </c>
      <c r="CY29" s="8">
        <v>0</v>
      </c>
      <c r="CZ29" s="9">
        <v>0</v>
      </c>
      <c r="DA29" s="7">
        <v>0</v>
      </c>
      <c r="DB29" s="8">
        <v>0</v>
      </c>
      <c r="DC29" s="9">
        <v>0</v>
      </c>
      <c r="DD29" s="7">
        <v>0</v>
      </c>
      <c r="DE29" s="8">
        <v>0</v>
      </c>
      <c r="DF29" s="9">
        <v>0</v>
      </c>
      <c r="DG29" s="7">
        <v>0</v>
      </c>
      <c r="DH29" s="8">
        <v>0</v>
      </c>
      <c r="DI29" s="9">
        <v>0</v>
      </c>
      <c r="DJ29" s="7">
        <v>0</v>
      </c>
      <c r="DK29" s="8">
        <v>0</v>
      </c>
      <c r="DL29" s="9">
        <v>0</v>
      </c>
      <c r="DM29" s="7">
        <v>0</v>
      </c>
      <c r="DN29" s="8">
        <v>0</v>
      </c>
      <c r="DO29" s="9">
        <v>0</v>
      </c>
      <c r="DP29" s="7">
        <v>0</v>
      </c>
      <c r="DQ29" s="8">
        <v>0</v>
      </c>
      <c r="DR29" s="9">
        <v>0</v>
      </c>
      <c r="DS29" s="7">
        <v>0</v>
      </c>
      <c r="DT29" s="8">
        <v>0</v>
      </c>
      <c r="DU29" s="9">
        <v>0</v>
      </c>
      <c r="DV29" s="7">
        <v>0</v>
      </c>
      <c r="DW29" s="8">
        <v>0</v>
      </c>
      <c r="DX29" s="9">
        <v>0</v>
      </c>
      <c r="DY29" s="7">
        <v>0</v>
      </c>
      <c r="DZ29" s="8">
        <v>0</v>
      </c>
      <c r="EA29" s="9">
        <v>0</v>
      </c>
      <c r="EB29" s="7">
        <v>0</v>
      </c>
      <c r="EC29" s="8">
        <v>0</v>
      </c>
      <c r="ED29" s="9">
        <v>0</v>
      </c>
      <c r="EE29" s="7">
        <v>0</v>
      </c>
      <c r="EF29" s="8">
        <v>0</v>
      </c>
      <c r="EG29" s="9">
        <v>0</v>
      </c>
      <c r="EH29" s="7">
        <v>0</v>
      </c>
      <c r="EI29" s="8">
        <v>0</v>
      </c>
      <c r="EJ29" s="9">
        <v>0</v>
      </c>
      <c r="EK29" s="7">
        <v>0</v>
      </c>
      <c r="EL29" s="8">
        <v>0</v>
      </c>
      <c r="EM29" s="9">
        <v>0</v>
      </c>
      <c r="EN29" s="7">
        <v>0</v>
      </c>
      <c r="EO29" s="8">
        <v>0</v>
      </c>
      <c r="EP29" s="9">
        <v>0</v>
      </c>
      <c r="EQ29" s="7">
        <v>0</v>
      </c>
      <c r="ER29" s="8">
        <v>0</v>
      </c>
      <c r="ES29" s="9">
        <v>0</v>
      </c>
      <c r="ET29" s="7">
        <v>0</v>
      </c>
      <c r="EU29" s="8">
        <v>0</v>
      </c>
      <c r="EV29" s="9">
        <v>0</v>
      </c>
      <c r="EW29" s="7">
        <v>0</v>
      </c>
      <c r="EX29" s="8">
        <v>0</v>
      </c>
      <c r="EY29" s="9">
        <v>0</v>
      </c>
      <c r="EZ29" s="7">
        <v>0</v>
      </c>
      <c r="FA29" s="8">
        <v>0</v>
      </c>
      <c r="FB29" s="9">
        <v>0</v>
      </c>
      <c r="FC29" s="7">
        <v>0</v>
      </c>
      <c r="FD29" s="8">
        <v>0</v>
      </c>
      <c r="FE29" s="9">
        <v>0</v>
      </c>
      <c r="FF29" s="7">
        <v>0</v>
      </c>
      <c r="FG29" s="8">
        <v>0</v>
      </c>
      <c r="FH29" s="9">
        <v>0</v>
      </c>
      <c r="FI29" s="7">
        <v>0</v>
      </c>
      <c r="FJ29" s="8">
        <v>0</v>
      </c>
      <c r="FK29" s="9">
        <v>0</v>
      </c>
      <c r="FL29" s="7">
        <v>0</v>
      </c>
      <c r="FM29" s="8">
        <v>0</v>
      </c>
      <c r="FN29" s="9">
        <v>0</v>
      </c>
      <c r="FO29" s="7">
        <v>0</v>
      </c>
      <c r="FP29" s="8">
        <v>0</v>
      </c>
      <c r="FQ29" s="9">
        <v>0</v>
      </c>
      <c r="FR29" s="7">
        <v>0</v>
      </c>
      <c r="FS29" s="8">
        <v>0</v>
      </c>
      <c r="FT29" s="9">
        <v>0</v>
      </c>
      <c r="FU29" s="7">
        <v>0</v>
      </c>
      <c r="FV29" s="8">
        <v>0</v>
      </c>
      <c r="FW29" s="9">
        <v>0</v>
      </c>
      <c r="FX29" s="7">
        <v>0</v>
      </c>
      <c r="FY29" s="8">
        <v>-2424166.66666666</v>
      </c>
      <c r="FZ29" s="9">
        <v>0</v>
      </c>
      <c r="GA29" s="7">
        <v>0</v>
      </c>
      <c r="GB29" s="8">
        <v>0</v>
      </c>
      <c r="GC29" s="9">
        <v>0</v>
      </c>
      <c r="GD29" s="7">
        <v>0</v>
      </c>
      <c r="GE29" s="8">
        <v>0</v>
      </c>
      <c r="GF29" s="9">
        <v>0</v>
      </c>
      <c r="GG29" s="7">
        <v>0</v>
      </c>
      <c r="GH29" s="8">
        <v>0</v>
      </c>
      <c r="GI29" s="9">
        <v>0</v>
      </c>
      <c r="GJ29" s="7">
        <v>0</v>
      </c>
      <c r="GK29" s="8">
        <v>0</v>
      </c>
      <c r="GL29" s="9">
        <v>0</v>
      </c>
      <c r="GM29" s="7">
        <v>0</v>
      </c>
      <c r="GN29" s="8">
        <v>0</v>
      </c>
      <c r="GO29" s="9">
        <v>0</v>
      </c>
      <c r="GP29" s="7">
        <v>0</v>
      </c>
      <c r="GQ29" s="8">
        <v>0</v>
      </c>
      <c r="GR29" s="9">
        <v>0</v>
      </c>
      <c r="GS29" s="7">
        <v>0</v>
      </c>
      <c r="GT29" s="8">
        <v>0</v>
      </c>
      <c r="GU29" s="9">
        <v>0</v>
      </c>
      <c r="GV29" s="7">
        <v>0</v>
      </c>
      <c r="GW29" s="8">
        <v>0</v>
      </c>
      <c r="GX29" s="9">
        <v>0</v>
      </c>
      <c r="GY29" s="7">
        <v>0</v>
      </c>
      <c r="GZ29" s="8">
        <v>0</v>
      </c>
      <c r="HA29" s="9">
        <v>0</v>
      </c>
      <c r="HB29" s="7">
        <v>0</v>
      </c>
      <c r="HC29" s="8">
        <v>0</v>
      </c>
      <c r="HD29" s="9">
        <v>0</v>
      </c>
      <c r="HE29" s="7">
        <v>0</v>
      </c>
      <c r="HF29" s="8">
        <v>0</v>
      </c>
      <c r="HG29" s="9">
        <v>0</v>
      </c>
      <c r="HH29" s="7">
        <v>0</v>
      </c>
      <c r="HI29" s="8">
        <v>0</v>
      </c>
      <c r="HJ29" s="9">
        <v>0</v>
      </c>
      <c r="HK29" s="7">
        <v>0</v>
      </c>
      <c r="HL29" s="8">
        <v>0</v>
      </c>
      <c r="HM29" s="9">
        <v>0</v>
      </c>
      <c r="HN29" s="7">
        <v>0</v>
      </c>
      <c r="HO29" s="8">
        <v>0</v>
      </c>
      <c r="HP29" s="9">
        <v>0</v>
      </c>
    </row>
    <row r="30" spans="1:224" x14ac:dyDescent="0.25">
      <c r="A30" s="23" t="s">
        <v>197</v>
      </c>
      <c r="B30" s="26" t="s">
        <v>198</v>
      </c>
      <c r="C30" s="7">
        <v>-135328508.03</v>
      </c>
      <c r="D30" s="8">
        <v>-136059666.66666701</v>
      </c>
      <c r="E30" s="9">
        <v>-145000000</v>
      </c>
      <c r="F30" s="7">
        <v>-135328508.03</v>
      </c>
      <c r="G30" s="8">
        <v>-137500000</v>
      </c>
      <c r="H30" s="9">
        <v>-145000000</v>
      </c>
      <c r="I30" s="7">
        <v>0</v>
      </c>
      <c r="J30" s="8">
        <v>0</v>
      </c>
      <c r="K30" s="9">
        <v>0</v>
      </c>
      <c r="L30" s="7">
        <v>0</v>
      </c>
      <c r="M30" s="8">
        <v>0</v>
      </c>
      <c r="N30" s="9">
        <v>0</v>
      </c>
      <c r="O30" s="7">
        <v>0</v>
      </c>
      <c r="P30" s="8">
        <v>0</v>
      </c>
      <c r="Q30" s="9">
        <v>0</v>
      </c>
      <c r="R30" s="7">
        <v>0</v>
      </c>
      <c r="S30" s="8">
        <v>0</v>
      </c>
      <c r="T30" s="9">
        <v>0</v>
      </c>
      <c r="U30" s="7">
        <v>0</v>
      </c>
      <c r="V30" s="8">
        <v>0</v>
      </c>
      <c r="W30" s="9">
        <v>0</v>
      </c>
      <c r="X30" s="7">
        <v>0</v>
      </c>
      <c r="Y30" s="8">
        <v>0</v>
      </c>
      <c r="Z30" s="9">
        <v>0</v>
      </c>
      <c r="AA30" s="7">
        <v>0</v>
      </c>
      <c r="AB30" s="8">
        <v>0</v>
      </c>
      <c r="AC30" s="9">
        <v>0</v>
      </c>
      <c r="AD30" s="7">
        <v>0</v>
      </c>
      <c r="AE30" s="8">
        <v>0</v>
      </c>
      <c r="AF30" s="9">
        <v>0</v>
      </c>
      <c r="AG30" s="7">
        <v>0</v>
      </c>
      <c r="AH30" s="8">
        <v>0</v>
      </c>
      <c r="AI30" s="9">
        <v>0</v>
      </c>
      <c r="AJ30" s="7">
        <v>0</v>
      </c>
      <c r="AK30" s="8">
        <v>0</v>
      </c>
      <c r="AL30" s="9">
        <v>0</v>
      </c>
      <c r="AM30" s="7">
        <v>0</v>
      </c>
      <c r="AN30" s="8">
        <v>0</v>
      </c>
      <c r="AO30" s="9">
        <v>0</v>
      </c>
      <c r="AP30" s="7">
        <v>0</v>
      </c>
      <c r="AQ30" s="8">
        <v>0</v>
      </c>
      <c r="AR30" s="9">
        <v>0</v>
      </c>
      <c r="AS30" s="7">
        <v>0</v>
      </c>
      <c r="AT30" s="8">
        <v>0</v>
      </c>
      <c r="AU30" s="9">
        <v>0</v>
      </c>
      <c r="AV30" s="7">
        <v>0</v>
      </c>
      <c r="AW30" s="8">
        <v>0</v>
      </c>
      <c r="AX30" s="9">
        <v>0</v>
      </c>
      <c r="AY30" s="7">
        <v>0</v>
      </c>
      <c r="AZ30" s="8">
        <v>0</v>
      </c>
      <c r="BA30" s="9">
        <v>0</v>
      </c>
      <c r="BB30" s="7">
        <v>0</v>
      </c>
      <c r="BC30" s="8">
        <v>0</v>
      </c>
      <c r="BD30" s="9">
        <v>0</v>
      </c>
      <c r="BE30" s="7">
        <v>0</v>
      </c>
      <c r="BF30" s="8">
        <v>0</v>
      </c>
      <c r="BG30" s="9">
        <v>0</v>
      </c>
      <c r="BH30" s="7">
        <v>0</v>
      </c>
      <c r="BI30" s="8">
        <v>0</v>
      </c>
      <c r="BJ30" s="9">
        <v>0</v>
      </c>
      <c r="BK30" s="7">
        <v>0</v>
      </c>
      <c r="BL30" s="8">
        <v>0</v>
      </c>
      <c r="BM30" s="9">
        <v>0</v>
      </c>
      <c r="BN30" s="7">
        <v>0</v>
      </c>
      <c r="BO30" s="8">
        <v>0</v>
      </c>
      <c r="BP30" s="9">
        <v>0</v>
      </c>
      <c r="BQ30" s="7">
        <v>0</v>
      </c>
      <c r="BR30" s="8">
        <v>0</v>
      </c>
      <c r="BS30" s="9">
        <v>0</v>
      </c>
      <c r="BT30" s="7">
        <v>0</v>
      </c>
      <c r="BU30" s="8">
        <v>0</v>
      </c>
      <c r="BV30" s="9">
        <v>0</v>
      </c>
      <c r="BW30" s="7">
        <v>0</v>
      </c>
      <c r="BX30" s="8">
        <v>0</v>
      </c>
      <c r="BY30" s="9">
        <v>0</v>
      </c>
      <c r="BZ30" s="7">
        <v>0</v>
      </c>
      <c r="CA30" s="8">
        <v>0</v>
      </c>
      <c r="CB30" s="9">
        <v>0</v>
      </c>
      <c r="CC30" s="7">
        <v>0</v>
      </c>
      <c r="CD30" s="8">
        <v>0</v>
      </c>
      <c r="CE30" s="9">
        <v>0</v>
      </c>
      <c r="CF30" s="7">
        <v>0</v>
      </c>
      <c r="CG30" s="8">
        <v>0</v>
      </c>
      <c r="CH30" s="9">
        <v>0</v>
      </c>
      <c r="CI30" s="7">
        <v>0</v>
      </c>
      <c r="CJ30" s="8">
        <v>0</v>
      </c>
      <c r="CK30" s="9">
        <v>0</v>
      </c>
      <c r="CL30" s="7">
        <v>0</v>
      </c>
      <c r="CM30" s="8">
        <v>0</v>
      </c>
      <c r="CN30" s="9">
        <v>0</v>
      </c>
      <c r="CO30" s="7">
        <v>0</v>
      </c>
      <c r="CP30" s="8">
        <v>0</v>
      </c>
      <c r="CQ30" s="9">
        <v>0</v>
      </c>
      <c r="CR30" s="7">
        <v>0</v>
      </c>
      <c r="CS30" s="8">
        <v>0</v>
      </c>
      <c r="CT30" s="9">
        <v>0</v>
      </c>
      <c r="CU30" s="7">
        <v>0</v>
      </c>
      <c r="CV30" s="8">
        <v>0</v>
      </c>
      <c r="CW30" s="9">
        <v>0</v>
      </c>
      <c r="CX30" s="7">
        <v>0</v>
      </c>
      <c r="CY30" s="8">
        <v>0</v>
      </c>
      <c r="CZ30" s="9">
        <v>0</v>
      </c>
      <c r="DA30" s="7">
        <v>0</v>
      </c>
      <c r="DB30" s="8">
        <v>0</v>
      </c>
      <c r="DC30" s="9">
        <v>0</v>
      </c>
      <c r="DD30" s="7">
        <v>0</v>
      </c>
      <c r="DE30" s="8">
        <v>0</v>
      </c>
      <c r="DF30" s="9">
        <v>0</v>
      </c>
      <c r="DG30" s="7">
        <v>0</v>
      </c>
      <c r="DH30" s="8">
        <v>0</v>
      </c>
      <c r="DI30" s="9">
        <v>0</v>
      </c>
      <c r="DJ30" s="7">
        <v>0</v>
      </c>
      <c r="DK30" s="8">
        <v>0</v>
      </c>
      <c r="DL30" s="9">
        <v>0</v>
      </c>
      <c r="DM30" s="7">
        <v>0</v>
      </c>
      <c r="DN30" s="8">
        <v>0</v>
      </c>
      <c r="DO30" s="9">
        <v>0</v>
      </c>
      <c r="DP30" s="7">
        <v>0</v>
      </c>
      <c r="DQ30" s="8">
        <v>0</v>
      </c>
      <c r="DR30" s="9">
        <v>0</v>
      </c>
      <c r="DS30" s="7">
        <v>0</v>
      </c>
      <c r="DT30" s="8">
        <v>0</v>
      </c>
      <c r="DU30" s="9">
        <v>0</v>
      </c>
      <c r="DV30" s="7">
        <v>0</v>
      </c>
      <c r="DW30" s="8">
        <v>0</v>
      </c>
      <c r="DX30" s="9">
        <v>0</v>
      </c>
      <c r="DY30" s="7">
        <v>0</v>
      </c>
      <c r="DZ30" s="8">
        <v>0</v>
      </c>
      <c r="EA30" s="9">
        <v>0</v>
      </c>
      <c r="EB30" s="7">
        <v>0</v>
      </c>
      <c r="EC30" s="8">
        <v>0</v>
      </c>
      <c r="ED30" s="9">
        <v>0</v>
      </c>
      <c r="EE30" s="7">
        <v>0</v>
      </c>
      <c r="EF30" s="8">
        <v>0</v>
      </c>
      <c r="EG30" s="9">
        <v>0</v>
      </c>
      <c r="EH30" s="7">
        <v>0</v>
      </c>
      <c r="EI30" s="8">
        <v>0</v>
      </c>
      <c r="EJ30" s="9">
        <v>0</v>
      </c>
      <c r="EK30" s="7">
        <v>0</v>
      </c>
      <c r="EL30" s="8">
        <v>0</v>
      </c>
      <c r="EM30" s="9">
        <v>0</v>
      </c>
      <c r="EN30" s="7">
        <v>0</v>
      </c>
      <c r="EO30" s="8">
        <v>0</v>
      </c>
      <c r="EP30" s="9">
        <v>0</v>
      </c>
      <c r="EQ30" s="7">
        <v>0</v>
      </c>
      <c r="ER30" s="8">
        <v>0</v>
      </c>
      <c r="ES30" s="9">
        <v>0</v>
      </c>
      <c r="ET30" s="7">
        <v>0</v>
      </c>
      <c r="EU30" s="8">
        <v>0</v>
      </c>
      <c r="EV30" s="9">
        <v>0</v>
      </c>
      <c r="EW30" s="7">
        <v>0</v>
      </c>
      <c r="EX30" s="8">
        <v>0</v>
      </c>
      <c r="EY30" s="9">
        <v>0</v>
      </c>
      <c r="EZ30" s="7">
        <v>0</v>
      </c>
      <c r="FA30" s="8">
        <v>0</v>
      </c>
      <c r="FB30" s="9">
        <v>0</v>
      </c>
      <c r="FC30" s="7">
        <v>0</v>
      </c>
      <c r="FD30" s="8">
        <v>0</v>
      </c>
      <c r="FE30" s="9">
        <v>0</v>
      </c>
      <c r="FF30" s="7">
        <v>0</v>
      </c>
      <c r="FG30" s="8">
        <v>0</v>
      </c>
      <c r="FH30" s="9">
        <v>0</v>
      </c>
      <c r="FI30" s="7">
        <v>0</v>
      </c>
      <c r="FJ30" s="8">
        <v>0</v>
      </c>
      <c r="FK30" s="9">
        <v>0</v>
      </c>
      <c r="FL30" s="7">
        <v>0</v>
      </c>
      <c r="FM30" s="8">
        <v>0</v>
      </c>
      <c r="FN30" s="9">
        <v>0</v>
      </c>
      <c r="FO30" s="7">
        <v>0</v>
      </c>
      <c r="FP30" s="8">
        <v>0</v>
      </c>
      <c r="FQ30" s="9">
        <v>0</v>
      </c>
      <c r="FR30" s="7">
        <v>0</v>
      </c>
      <c r="FS30" s="8">
        <v>0</v>
      </c>
      <c r="FT30" s="9">
        <v>0</v>
      </c>
      <c r="FU30" s="7">
        <v>0</v>
      </c>
      <c r="FV30" s="8">
        <v>0</v>
      </c>
      <c r="FW30" s="9">
        <v>0</v>
      </c>
      <c r="FX30" s="7">
        <v>0</v>
      </c>
      <c r="FY30" s="8">
        <v>1440333.33333334</v>
      </c>
      <c r="FZ30" s="9">
        <v>0</v>
      </c>
      <c r="GA30" s="7">
        <v>0</v>
      </c>
      <c r="GB30" s="8">
        <v>0</v>
      </c>
      <c r="GC30" s="9">
        <v>0</v>
      </c>
      <c r="GD30" s="7">
        <v>0</v>
      </c>
      <c r="GE30" s="8">
        <v>0</v>
      </c>
      <c r="GF30" s="9">
        <v>0</v>
      </c>
      <c r="GG30" s="7">
        <v>0</v>
      </c>
      <c r="GH30" s="8">
        <v>0</v>
      </c>
      <c r="GI30" s="9">
        <v>0</v>
      </c>
      <c r="GJ30" s="7">
        <v>0</v>
      </c>
      <c r="GK30" s="8">
        <v>0</v>
      </c>
      <c r="GL30" s="9">
        <v>0</v>
      </c>
      <c r="GM30" s="7">
        <v>0</v>
      </c>
      <c r="GN30" s="8">
        <v>0</v>
      </c>
      <c r="GO30" s="9">
        <v>0</v>
      </c>
      <c r="GP30" s="7">
        <v>0</v>
      </c>
      <c r="GQ30" s="8">
        <v>0</v>
      </c>
      <c r="GR30" s="9">
        <v>0</v>
      </c>
      <c r="GS30" s="7">
        <v>0</v>
      </c>
      <c r="GT30" s="8">
        <v>0</v>
      </c>
      <c r="GU30" s="9">
        <v>0</v>
      </c>
      <c r="GV30" s="7">
        <v>0</v>
      </c>
      <c r="GW30" s="8">
        <v>0</v>
      </c>
      <c r="GX30" s="9">
        <v>0</v>
      </c>
      <c r="GY30" s="7">
        <v>0</v>
      </c>
      <c r="GZ30" s="8">
        <v>0</v>
      </c>
      <c r="HA30" s="9">
        <v>0</v>
      </c>
      <c r="HB30" s="7">
        <v>0</v>
      </c>
      <c r="HC30" s="8">
        <v>0</v>
      </c>
      <c r="HD30" s="9">
        <v>0</v>
      </c>
      <c r="HE30" s="7">
        <v>0</v>
      </c>
      <c r="HF30" s="8">
        <v>0</v>
      </c>
      <c r="HG30" s="9">
        <v>0</v>
      </c>
      <c r="HH30" s="7">
        <v>0</v>
      </c>
      <c r="HI30" s="8">
        <v>0</v>
      </c>
      <c r="HJ30" s="9">
        <v>0</v>
      </c>
      <c r="HK30" s="7">
        <v>0</v>
      </c>
      <c r="HL30" s="8">
        <v>0</v>
      </c>
      <c r="HM30" s="9">
        <v>0</v>
      </c>
      <c r="HN30" s="7">
        <v>0</v>
      </c>
      <c r="HO30" s="8">
        <v>0</v>
      </c>
      <c r="HP30" s="9">
        <v>0</v>
      </c>
    </row>
    <row r="31" spans="1:224" x14ac:dyDescent="0.25">
      <c r="A31" s="23" t="s">
        <v>199</v>
      </c>
      <c r="B31" s="26" t="s">
        <v>200</v>
      </c>
      <c r="C31" s="7">
        <v>-30679738.32</v>
      </c>
      <c r="D31" s="8">
        <v>-30530166.666666601</v>
      </c>
      <c r="E31" s="9">
        <v>-27500000</v>
      </c>
      <c r="F31" s="7">
        <v>0</v>
      </c>
      <c r="G31" s="8">
        <v>0</v>
      </c>
      <c r="H31" s="9">
        <v>0</v>
      </c>
      <c r="I31" s="7">
        <v>0</v>
      </c>
      <c r="J31" s="8">
        <v>0</v>
      </c>
      <c r="K31" s="9">
        <v>0</v>
      </c>
      <c r="L31" s="7">
        <v>0</v>
      </c>
      <c r="M31" s="8">
        <v>0</v>
      </c>
      <c r="N31" s="9">
        <v>0</v>
      </c>
      <c r="O31" s="7">
        <v>0</v>
      </c>
      <c r="P31" s="8">
        <v>0</v>
      </c>
      <c r="Q31" s="9">
        <v>0</v>
      </c>
      <c r="R31" s="7">
        <v>0</v>
      </c>
      <c r="S31" s="8">
        <v>0</v>
      </c>
      <c r="T31" s="9">
        <v>0</v>
      </c>
      <c r="U31" s="7">
        <v>0</v>
      </c>
      <c r="V31" s="8">
        <v>0</v>
      </c>
      <c r="W31" s="9">
        <v>0</v>
      </c>
      <c r="X31" s="7">
        <v>0</v>
      </c>
      <c r="Y31" s="8">
        <v>0</v>
      </c>
      <c r="Z31" s="9">
        <v>0</v>
      </c>
      <c r="AA31" s="7">
        <v>0</v>
      </c>
      <c r="AB31" s="8">
        <v>0</v>
      </c>
      <c r="AC31" s="9">
        <v>0</v>
      </c>
      <c r="AD31" s="7">
        <v>0</v>
      </c>
      <c r="AE31" s="8">
        <v>0</v>
      </c>
      <c r="AF31" s="9">
        <v>0</v>
      </c>
      <c r="AG31" s="7">
        <v>0</v>
      </c>
      <c r="AH31" s="8">
        <v>0</v>
      </c>
      <c r="AI31" s="9">
        <v>0</v>
      </c>
      <c r="AJ31" s="7">
        <v>-30186936.789999999</v>
      </c>
      <c r="AK31" s="8">
        <v>-25350166.666666601</v>
      </c>
      <c r="AL31" s="9">
        <v>-27000000</v>
      </c>
      <c r="AM31" s="7">
        <v>0</v>
      </c>
      <c r="AN31" s="8">
        <v>0</v>
      </c>
      <c r="AO31" s="9">
        <v>0</v>
      </c>
      <c r="AP31" s="7">
        <v>0</v>
      </c>
      <c r="AQ31" s="8">
        <v>0</v>
      </c>
      <c r="AR31" s="9">
        <v>0</v>
      </c>
      <c r="AS31" s="7">
        <v>0</v>
      </c>
      <c r="AT31" s="8">
        <v>0</v>
      </c>
      <c r="AU31" s="9">
        <v>0</v>
      </c>
      <c r="AV31" s="7">
        <v>0</v>
      </c>
      <c r="AW31" s="8">
        <v>0</v>
      </c>
      <c r="AX31" s="9">
        <v>0</v>
      </c>
      <c r="AY31" s="7">
        <v>0</v>
      </c>
      <c r="AZ31" s="8">
        <v>0</v>
      </c>
      <c r="BA31" s="9">
        <v>0</v>
      </c>
      <c r="BB31" s="7">
        <v>0</v>
      </c>
      <c r="BC31" s="8">
        <v>0</v>
      </c>
      <c r="BD31" s="9">
        <v>0</v>
      </c>
      <c r="BE31" s="7">
        <v>0</v>
      </c>
      <c r="BF31" s="8">
        <v>0</v>
      </c>
      <c r="BG31" s="9">
        <v>0</v>
      </c>
      <c r="BH31" s="7">
        <v>0</v>
      </c>
      <c r="BI31" s="8">
        <v>0</v>
      </c>
      <c r="BJ31" s="9">
        <v>0</v>
      </c>
      <c r="BK31" s="7">
        <v>0</v>
      </c>
      <c r="BL31" s="8">
        <v>0</v>
      </c>
      <c r="BM31" s="9">
        <v>0</v>
      </c>
      <c r="BN31" s="7">
        <v>0</v>
      </c>
      <c r="BO31" s="8">
        <v>0</v>
      </c>
      <c r="BP31" s="9">
        <v>0</v>
      </c>
      <c r="BQ31" s="7">
        <v>0</v>
      </c>
      <c r="BR31" s="8">
        <v>0</v>
      </c>
      <c r="BS31" s="9">
        <v>0</v>
      </c>
      <c r="BT31" s="7">
        <v>0</v>
      </c>
      <c r="BU31" s="8">
        <v>0</v>
      </c>
      <c r="BV31" s="9">
        <v>0</v>
      </c>
      <c r="BW31" s="7">
        <v>0</v>
      </c>
      <c r="BX31" s="8">
        <v>0</v>
      </c>
      <c r="BY31" s="9">
        <v>0</v>
      </c>
      <c r="BZ31" s="7">
        <v>0</v>
      </c>
      <c r="CA31" s="8">
        <v>0</v>
      </c>
      <c r="CB31" s="9">
        <v>0</v>
      </c>
      <c r="CC31" s="7">
        <v>0</v>
      </c>
      <c r="CD31" s="8">
        <v>0</v>
      </c>
      <c r="CE31" s="9">
        <v>0</v>
      </c>
      <c r="CF31" s="7">
        <v>0</v>
      </c>
      <c r="CG31" s="8">
        <v>0</v>
      </c>
      <c r="CH31" s="9">
        <v>0</v>
      </c>
      <c r="CI31" s="7">
        <v>0</v>
      </c>
      <c r="CJ31" s="8">
        <v>0</v>
      </c>
      <c r="CK31" s="9">
        <v>0</v>
      </c>
      <c r="CL31" s="7">
        <v>-492801.53</v>
      </c>
      <c r="CM31" s="8">
        <v>-499999.99999999203</v>
      </c>
      <c r="CN31" s="9">
        <v>-500000</v>
      </c>
      <c r="CO31" s="7">
        <v>0</v>
      </c>
      <c r="CP31" s="8">
        <v>0</v>
      </c>
      <c r="CQ31" s="9">
        <v>0</v>
      </c>
      <c r="CR31" s="7">
        <v>0</v>
      </c>
      <c r="CS31" s="8">
        <v>0</v>
      </c>
      <c r="CT31" s="9">
        <v>0</v>
      </c>
      <c r="CU31" s="7">
        <v>0</v>
      </c>
      <c r="CV31" s="8">
        <v>0</v>
      </c>
      <c r="CW31" s="9">
        <v>0</v>
      </c>
      <c r="CX31" s="7">
        <v>0</v>
      </c>
      <c r="CY31" s="8">
        <v>0</v>
      </c>
      <c r="CZ31" s="9">
        <v>0</v>
      </c>
      <c r="DA31" s="7">
        <v>0</v>
      </c>
      <c r="DB31" s="8">
        <v>0</v>
      </c>
      <c r="DC31" s="9">
        <v>0</v>
      </c>
      <c r="DD31" s="7">
        <v>0</v>
      </c>
      <c r="DE31" s="8">
        <v>0</v>
      </c>
      <c r="DF31" s="9">
        <v>0</v>
      </c>
      <c r="DG31" s="7">
        <v>0</v>
      </c>
      <c r="DH31" s="8">
        <v>0</v>
      </c>
      <c r="DI31" s="9">
        <v>0</v>
      </c>
      <c r="DJ31" s="7">
        <v>0</v>
      </c>
      <c r="DK31" s="8">
        <v>0</v>
      </c>
      <c r="DL31" s="9">
        <v>0</v>
      </c>
      <c r="DM31" s="7">
        <v>0</v>
      </c>
      <c r="DN31" s="8">
        <v>0</v>
      </c>
      <c r="DO31" s="9">
        <v>0</v>
      </c>
      <c r="DP31" s="7">
        <v>0</v>
      </c>
      <c r="DQ31" s="8">
        <v>0</v>
      </c>
      <c r="DR31" s="9">
        <v>0</v>
      </c>
      <c r="DS31" s="7">
        <v>0</v>
      </c>
      <c r="DT31" s="8">
        <v>0</v>
      </c>
      <c r="DU31" s="9">
        <v>0</v>
      </c>
      <c r="DV31" s="7">
        <v>0</v>
      </c>
      <c r="DW31" s="8">
        <v>0</v>
      </c>
      <c r="DX31" s="9">
        <v>0</v>
      </c>
      <c r="DY31" s="7">
        <v>0</v>
      </c>
      <c r="DZ31" s="8">
        <v>0</v>
      </c>
      <c r="EA31" s="9">
        <v>0</v>
      </c>
      <c r="EB31" s="7">
        <v>0</v>
      </c>
      <c r="EC31" s="8">
        <v>0</v>
      </c>
      <c r="ED31" s="9">
        <v>0</v>
      </c>
      <c r="EE31" s="7">
        <v>0</v>
      </c>
      <c r="EF31" s="8">
        <v>0</v>
      </c>
      <c r="EG31" s="9">
        <v>0</v>
      </c>
      <c r="EH31" s="7">
        <v>0</v>
      </c>
      <c r="EI31" s="8">
        <v>0</v>
      </c>
      <c r="EJ31" s="9">
        <v>0</v>
      </c>
      <c r="EK31" s="7">
        <v>0</v>
      </c>
      <c r="EL31" s="8">
        <v>0</v>
      </c>
      <c r="EM31" s="9">
        <v>0</v>
      </c>
      <c r="EN31" s="7">
        <v>0</v>
      </c>
      <c r="EO31" s="8">
        <v>0</v>
      </c>
      <c r="EP31" s="9">
        <v>0</v>
      </c>
      <c r="EQ31" s="7">
        <v>0</v>
      </c>
      <c r="ER31" s="8">
        <v>0</v>
      </c>
      <c r="ES31" s="9">
        <v>0</v>
      </c>
      <c r="ET31" s="7">
        <v>0</v>
      </c>
      <c r="EU31" s="8">
        <v>0</v>
      </c>
      <c r="EV31" s="9">
        <v>0</v>
      </c>
      <c r="EW31" s="7">
        <v>0</v>
      </c>
      <c r="EX31" s="8">
        <v>0</v>
      </c>
      <c r="EY31" s="9">
        <v>0</v>
      </c>
      <c r="EZ31" s="7">
        <v>0</v>
      </c>
      <c r="FA31" s="8">
        <v>0</v>
      </c>
      <c r="FB31" s="9">
        <v>0</v>
      </c>
      <c r="FC31" s="7">
        <v>0</v>
      </c>
      <c r="FD31" s="8">
        <v>0</v>
      </c>
      <c r="FE31" s="9">
        <v>0</v>
      </c>
      <c r="FF31" s="7">
        <v>0</v>
      </c>
      <c r="FG31" s="8">
        <v>0</v>
      </c>
      <c r="FH31" s="9">
        <v>0</v>
      </c>
      <c r="FI31" s="7">
        <v>0</v>
      </c>
      <c r="FJ31" s="8">
        <v>0</v>
      </c>
      <c r="FK31" s="9">
        <v>0</v>
      </c>
      <c r="FL31" s="7">
        <v>0</v>
      </c>
      <c r="FM31" s="8">
        <v>0</v>
      </c>
      <c r="FN31" s="9">
        <v>0</v>
      </c>
      <c r="FO31" s="7">
        <v>0</v>
      </c>
      <c r="FP31" s="8">
        <v>0</v>
      </c>
      <c r="FQ31" s="9">
        <v>0</v>
      </c>
      <c r="FR31" s="7">
        <v>0</v>
      </c>
      <c r="FS31" s="8">
        <v>0</v>
      </c>
      <c r="FT31" s="9">
        <v>0</v>
      </c>
      <c r="FU31" s="7">
        <v>0</v>
      </c>
      <c r="FV31" s="8">
        <v>0</v>
      </c>
      <c r="FW31" s="9">
        <v>0</v>
      </c>
      <c r="FX31" s="7">
        <v>0</v>
      </c>
      <c r="FY31" s="8">
        <v>-4680000</v>
      </c>
      <c r="FZ31" s="9">
        <v>0</v>
      </c>
      <c r="GA31" s="7">
        <v>0</v>
      </c>
      <c r="GB31" s="8">
        <v>0</v>
      </c>
      <c r="GC31" s="9">
        <v>0</v>
      </c>
      <c r="GD31" s="7">
        <v>0</v>
      </c>
      <c r="GE31" s="8">
        <v>0</v>
      </c>
      <c r="GF31" s="9">
        <v>0</v>
      </c>
      <c r="GG31" s="7">
        <v>0</v>
      </c>
      <c r="GH31" s="8">
        <v>0</v>
      </c>
      <c r="GI31" s="9">
        <v>0</v>
      </c>
      <c r="GJ31" s="7">
        <v>0</v>
      </c>
      <c r="GK31" s="8">
        <v>0</v>
      </c>
      <c r="GL31" s="9">
        <v>0</v>
      </c>
      <c r="GM31" s="7">
        <v>0</v>
      </c>
      <c r="GN31" s="8">
        <v>0</v>
      </c>
      <c r="GO31" s="9">
        <v>0</v>
      </c>
      <c r="GP31" s="7">
        <v>0</v>
      </c>
      <c r="GQ31" s="8">
        <v>0</v>
      </c>
      <c r="GR31" s="9">
        <v>0</v>
      </c>
      <c r="GS31" s="7">
        <v>0</v>
      </c>
      <c r="GT31" s="8">
        <v>0</v>
      </c>
      <c r="GU31" s="9">
        <v>0</v>
      </c>
      <c r="GV31" s="7">
        <v>0</v>
      </c>
      <c r="GW31" s="8">
        <v>0</v>
      </c>
      <c r="GX31" s="9">
        <v>0</v>
      </c>
      <c r="GY31" s="7">
        <v>0</v>
      </c>
      <c r="GZ31" s="8">
        <v>0</v>
      </c>
      <c r="HA31" s="9">
        <v>0</v>
      </c>
      <c r="HB31" s="7">
        <v>0</v>
      </c>
      <c r="HC31" s="8">
        <v>0</v>
      </c>
      <c r="HD31" s="9">
        <v>0</v>
      </c>
      <c r="HE31" s="7">
        <v>0</v>
      </c>
      <c r="HF31" s="8">
        <v>0</v>
      </c>
      <c r="HG31" s="9">
        <v>0</v>
      </c>
      <c r="HH31" s="7">
        <v>0</v>
      </c>
      <c r="HI31" s="8">
        <v>0</v>
      </c>
      <c r="HJ31" s="9">
        <v>0</v>
      </c>
      <c r="HK31" s="7">
        <v>0</v>
      </c>
      <c r="HL31" s="8">
        <v>0</v>
      </c>
      <c r="HM31" s="9">
        <v>0</v>
      </c>
      <c r="HN31" s="7">
        <v>0</v>
      </c>
      <c r="HO31" s="8">
        <v>0</v>
      </c>
      <c r="HP31" s="9">
        <v>0</v>
      </c>
    </row>
    <row r="32" spans="1:224" x14ac:dyDescent="0.25">
      <c r="A32" s="23" t="s">
        <v>201</v>
      </c>
      <c r="B32" s="26" t="s">
        <v>202</v>
      </c>
      <c r="C32" s="7">
        <v>-38416908.149999999</v>
      </c>
      <c r="D32" s="8">
        <v>-38799965.439160399</v>
      </c>
      <c r="E32" s="9">
        <v>-44964250</v>
      </c>
      <c r="F32" s="7">
        <v>0</v>
      </c>
      <c r="G32" s="8">
        <v>0</v>
      </c>
      <c r="H32" s="9">
        <v>0</v>
      </c>
      <c r="I32" s="7">
        <v>0</v>
      </c>
      <c r="J32" s="8">
        <v>0</v>
      </c>
      <c r="K32" s="9">
        <v>-12000</v>
      </c>
      <c r="L32" s="7">
        <v>0</v>
      </c>
      <c r="M32" s="8">
        <v>0</v>
      </c>
      <c r="N32" s="9">
        <v>0</v>
      </c>
      <c r="O32" s="7">
        <v>-302455.5</v>
      </c>
      <c r="P32" s="8">
        <v>-429999.99999999697</v>
      </c>
      <c r="Q32" s="9">
        <v>-250000</v>
      </c>
      <c r="R32" s="7">
        <v>0</v>
      </c>
      <c r="S32" s="8">
        <v>0</v>
      </c>
      <c r="T32" s="9">
        <v>0</v>
      </c>
      <c r="U32" s="7">
        <v>-15784852.710000001</v>
      </c>
      <c r="V32" s="8">
        <v>-18000003.541420199</v>
      </c>
      <c r="W32" s="9">
        <v>-20000000</v>
      </c>
      <c r="X32" s="7">
        <v>0</v>
      </c>
      <c r="Y32" s="8">
        <v>0</v>
      </c>
      <c r="Z32" s="9">
        <v>0</v>
      </c>
      <c r="AA32" s="7">
        <v>0</v>
      </c>
      <c r="AB32" s="8">
        <v>0</v>
      </c>
      <c r="AC32" s="9">
        <v>0</v>
      </c>
      <c r="AD32" s="7">
        <v>0</v>
      </c>
      <c r="AE32" s="8">
        <v>0</v>
      </c>
      <c r="AF32" s="9">
        <v>0</v>
      </c>
      <c r="AG32" s="7">
        <v>0</v>
      </c>
      <c r="AH32" s="8">
        <v>0</v>
      </c>
      <c r="AI32" s="9">
        <v>0</v>
      </c>
      <c r="AJ32" s="7">
        <v>-7224203.3200000003</v>
      </c>
      <c r="AK32" s="8">
        <v>-8339712.2606031802</v>
      </c>
      <c r="AL32" s="9">
        <v>-9500000</v>
      </c>
      <c r="AM32" s="7">
        <v>0</v>
      </c>
      <c r="AN32" s="8">
        <v>0</v>
      </c>
      <c r="AO32" s="9">
        <v>0</v>
      </c>
      <c r="AP32" s="7">
        <v>-231053.27</v>
      </c>
      <c r="AQ32" s="8">
        <v>-240000</v>
      </c>
      <c r="AR32" s="9">
        <v>-240000</v>
      </c>
      <c r="AS32" s="7">
        <v>-100943.24</v>
      </c>
      <c r="AT32" s="8">
        <v>-139999.99999999799</v>
      </c>
      <c r="AU32" s="9">
        <v>-70000</v>
      </c>
      <c r="AV32" s="7">
        <v>0</v>
      </c>
      <c r="AW32" s="8">
        <v>0</v>
      </c>
      <c r="AX32" s="9">
        <v>0</v>
      </c>
      <c r="AY32" s="7">
        <v>0</v>
      </c>
      <c r="AZ32" s="8">
        <v>0</v>
      </c>
      <c r="BA32" s="9">
        <v>0</v>
      </c>
      <c r="BB32" s="7">
        <v>0</v>
      </c>
      <c r="BC32" s="8">
        <v>0</v>
      </c>
      <c r="BD32" s="9">
        <v>0</v>
      </c>
      <c r="BE32" s="7">
        <v>0</v>
      </c>
      <c r="BF32" s="8">
        <v>0</v>
      </c>
      <c r="BG32" s="9">
        <v>0</v>
      </c>
      <c r="BH32" s="7">
        <v>0</v>
      </c>
      <c r="BI32" s="8">
        <v>0</v>
      </c>
      <c r="BJ32" s="9">
        <v>0</v>
      </c>
      <c r="BK32" s="7">
        <v>0</v>
      </c>
      <c r="BL32" s="8">
        <v>0</v>
      </c>
      <c r="BM32" s="9">
        <v>0</v>
      </c>
      <c r="BN32" s="7">
        <v>0</v>
      </c>
      <c r="BO32" s="8">
        <v>0</v>
      </c>
      <c r="BP32" s="9">
        <v>0</v>
      </c>
      <c r="BQ32" s="7">
        <v>0</v>
      </c>
      <c r="BR32" s="8">
        <v>0</v>
      </c>
      <c r="BS32" s="9">
        <v>0</v>
      </c>
      <c r="BT32" s="7">
        <v>0</v>
      </c>
      <c r="BU32" s="8">
        <v>0</v>
      </c>
      <c r="BV32" s="9">
        <v>0</v>
      </c>
      <c r="BW32" s="7">
        <v>0</v>
      </c>
      <c r="BX32" s="8">
        <v>0</v>
      </c>
      <c r="BY32" s="9">
        <v>0</v>
      </c>
      <c r="BZ32" s="7">
        <v>0</v>
      </c>
      <c r="CA32" s="8">
        <v>0</v>
      </c>
      <c r="CB32" s="9">
        <v>0</v>
      </c>
      <c r="CC32" s="7">
        <v>0</v>
      </c>
      <c r="CD32" s="8">
        <v>0</v>
      </c>
      <c r="CE32" s="9">
        <v>0</v>
      </c>
      <c r="CF32" s="7">
        <v>0</v>
      </c>
      <c r="CG32" s="8">
        <v>0</v>
      </c>
      <c r="CH32" s="9">
        <v>0</v>
      </c>
      <c r="CI32" s="7">
        <v>-45186.13</v>
      </c>
      <c r="CJ32" s="8">
        <v>-49999.999999995998</v>
      </c>
      <c r="CK32" s="9">
        <v>-50000</v>
      </c>
      <c r="CL32" s="7">
        <v>-12226959.800000001</v>
      </c>
      <c r="CM32" s="8">
        <v>-12250249.637137</v>
      </c>
      <c r="CN32" s="9">
        <v>-12250250</v>
      </c>
      <c r="CO32" s="7">
        <v>0</v>
      </c>
      <c r="CP32" s="8">
        <v>0</v>
      </c>
      <c r="CQ32" s="9">
        <v>0</v>
      </c>
      <c r="CR32" s="7">
        <v>0</v>
      </c>
      <c r="CS32" s="8">
        <v>0</v>
      </c>
      <c r="CT32" s="9">
        <v>0</v>
      </c>
      <c r="CU32" s="7">
        <v>0</v>
      </c>
      <c r="CV32" s="8">
        <v>0</v>
      </c>
      <c r="CW32" s="9">
        <v>0</v>
      </c>
      <c r="CX32" s="7">
        <v>0</v>
      </c>
      <c r="CY32" s="8">
        <v>0</v>
      </c>
      <c r="CZ32" s="9">
        <v>0</v>
      </c>
      <c r="DA32" s="7">
        <v>0</v>
      </c>
      <c r="DB32" s="8">
        <v>0</v>
      </c>
      <c r="DC32" s="9">
        <v>0</v>
      </c>
      <c r="DD32" s="7">
        <v>0</v>
      </c>
      <c r="DE32" s="8">
        <v>0</v>
      </c>
      <c r="DF32" s="9">
        <v>0</v>
      </c>
      <c r="DG32" s="7">
        <v>0</v>
      </c>
      <c r="DH32" s="8">
        <v>0</v>
      </c>
      <c r="DI32" s="9">
        <v>0</v>
      </c>
      <c r="DJ32" s="7">
        <v>0</v>
      </c>
      <c r="DK32" s="8">
        <v>0</v>
      </c>
      <c r="DL32" s="9">
        <v>0</v>
      </c>
      <c r="DM32" s="7">
        <v>0</v>
      </c>
      <c r="DN32" s="8">
        <v>0</v>
      </c>
      <c r="DO32" s="9">
        <v>0</v>
      </c>
      <c r="DP32" s="7">
        <v>0</v>
      </c>
      <c r="DQ32" s="8">
        <v>0</v>
      </c>
      <c r="DR32" s="9">
        <v>0</v>
      </c>
      <c r="DS32" s="7">
        <v>0</v>
      </c>
      <c r="DT32" s="8">
        <v>0</v>
      </c>
      <c r="DU32" s="9">
        <v>0</v>
      </c>
      <c r="DV32" s="7">
        <v>0</v>
      </c>
      <c r="DW32" s="8">
        <v>0</v>
      </c>
      <c r="DX32" s="9">
        <v>0</v>
      </c>
      <c r="DY32" s="7">
        <v>0</v>
      </c>
      <c r="DZ32" s="8">
        <v>0</v>
      </c>
      <c r="EA32" s="9">
        <v>0</v>
      </c>
      <c r="EB32" s="7">
        <v>0</v>
      </c>
      <c r="EC32" s="8">
        <v>0</v>
      </c>
      <c r="ED32" s="9">
        <v>0</v>
      </c>
      <c r="EE32" s="7">
        <v>0</v>
      </c>
      <c r="EF32" s="8">
        <v>0</v>
      </c>
      <c r="EG32" s="9">
        <v>0</v>
      </c>
      <c r="EH32" s="7">
        <v>0</v>
      </c>
      <c r="EI32" s="8">
        <v>0</v>
      </c>
      <c r="EJ32" s="9">
        <v>0</v>
      </c>
      <c r="EK32" s="7">
        <v>-2501254.1800000002</v>
      </c>
      <c r="EL32" s="8">
        <v>-2480000</v>
      </c>
      <c r="EM32" s="9">
        <v>-2592000</v>
      </c>
      <c r="EN32" s="7">
        <v>0</v>
      </c>
      <c r="EO32" s="8">
        <v>0</v>
      </c>
      <c r="EP32" s="9">
        <v>0</v>
      </c>
      <c r="EQ32" s="7">
        <v>0</v>
      </c>
      <c r="ER32" s="8">
        <v>0</v>
      </c>
      <c r="ES32" s="9">
        <v>0</v>
      </c>
      <c r="ET32" s="7">
        <v>0</v>
      </c>
      <c r="EU32" s="8">
        <v>0</v>
      </c>
      <c r="EV32" s="9">
        <v>0</v>
      </c>
      <c r="EW32" s="7">
        <v>0</v>
      </c>
      <c r="EX32" s="8">
        <v>0</v>
      </c>
      <c r="EY32" s="9">
        <v>0</v>
      </c>
      <c r="EZ32" s="7">
        <v>0</v>
      </c>
      <c r="FA32" s="8">
        <v>0</v>
      </c>
      <c r="FB32" s="9">
        <v>0</v>
      </c>
      <c r="FC32" s="7">
        <v>0</v>
      </c>
      <c r="FD32" s="8">
        <v>0</v>
      </c>
      <c r="FE32" s="9">
        <v>0</v>
      </c>
      <c r="FF32" s="7">
        <v>0</v>
      </c>
      <c r="FG32" s="8">
        <v>0</v>
      </c>
      <c r="FH32" s="9">
        <v>0</v>
      </c>
      <c r="FI32" s="7">
        <v>0</v>
      </c>
      <c r="FJ32" s="8">
        <v>0</v>
      </c>
      <c r="FK32" s="9">
        <v>0</v>
      </c>
      <c r="FL32" s="7">
        <v>0</v>
      </c>
      <c r="FM32" s="8">
        <v>0</v>
      </c>
      <c r="FN32" s="9">
        <v>0</v>
      </c>
      <c r="FO32" s="7">
        <v>0</v>
      </c>
      <c r="FP32" s="8">
        <v>0</v>
      </c>
      <c r="FQ32" s="9">
        <v>0</v>
      </c>
      <c r="FR32" s="7">
        <v>0</v>
      </c>
      <c r="FS32" s="8">
        <v>0</v>
      </c>
      <c r="FT32" s="9">
        <v>0</v>
      </c>
      <c r="FU32" s="7">
        <v>0</v>
      </c>
      <c r="FV32" s="8">
        <v>0</v>
      </c>
      <c r="FW32" s="9">
        <v>0</v>
      </c>
      <c r="FX32" s="7">
        <v>0</v>
      </c>
      <c r="FY32" s="8">
        <v>3130000</v>
      </c>
      <c r="FZ32" s="9">
        <v>0</v>
      </c>
      <c r="GA32" s="7">
        <v>0</v>
      </c>
      <c r="GB32" s="8">
        <v>0</v>
      </c>
      <c r="GC32" s="9">
        <v>0</v>
      </c>
      <c r="GD32" s="7">
        <v>0</v>
      </c>
      <c r="GE32" s="8">
        <v>0</v>
      </c>
      <c r="GF32" s="9">
        <v>0</v>
      </c>
      <c r="GG32" s="7">
        <v>0</v>
      </c>
      <c r="GH32" s="8">
        <v>0</v>
      </c>
      <c r="GI32" s="9">
        <v>0</v>
      </c>
      <c r="GJ32" s="7">
        <v>0</v>
      </c>
      <c r="GK32" s="8">
        <v>0</v>
      </c>
      <c r="GL32" s="9">
        <v>0</v>
      </c>
      <c r="GM32" s="7">
        <v>0</v>
      </c>
      <c r="GN32" s="8">
        <v>0</v>
      </c>
      <c r="GO32" s="9">
        <v>0</v>
      </c>
      <c r="GP32" s="7">
        <v>0</v>
      </c>
      <c r="GQ32" s="8">
        <v>0</v>
      </c>
      <c r="GR32" s="9">
        <v>0</v>
      </c>
      <c r="GS32" s="7">
        <v>0</v>
      </c>
      <c r="GT32" s="8">
        <v>0</v>
      </c>
      <c r="GU32" s="9">
        <v>0</v>
      </c>
      <c r="GV32" s="7">
        <v>0</v>
      </c>
      <c r="GW32" s="8">
        <v>0</v>
      </c>
      <c r="GX32" s="9">
        <v>0</v>
      </c>
      <c r="GY32" s="7">
        <v>0</v>
      </c>
      <c r="GZ32" s="8">
        <v>0</v>
      </c>
      <c r="HA32" s="9">
        <v>0</v>
      </c>
      <c r="HB32" s="7">
        <v>0</v>
      </c>
      <c r="HC32" s="8">
        <v>0</v>
      </c>
      <c r="HD32" s="9">
        <v>0</v>
      </c>
      <c r="HE32" s="7">
        <v>0</v>
      </c>
      <c r="HF32" s="8">
        <v>0</v>
      </c>
      <c r="HG32" s="9">
        <v>0</v>
      </c>
      <c r="HH32" s="7">
        <v>0</v>
      </c>
      <c r="HI32" s="8">
        <v>0</v>
      </c>
      <c r="HJ32" s="9">
        <v>0</v>
      </c>
      <c r="HK32" s="7">
        <v>0</v>
      </c>
      <c r="HL32" s="8">
        <v>0</v>
      </c>
      <c r="HM32" s="9">
        <v>0</v>
      </c>
      <c r="HN32" s="7">
        <v>0</v>
      </c>
      <c r="HO32" s="8">
        <v>0</v>
      </c>
      <c r="HP32" s="9">
        <v>0</v>
      </c>
    </row>
    <row r="33" spans="1:224" x14ac:dyDescent="0.25">
      <c r="A33" s="23" t="s">
        <v>203</v>
      </c>
      <c r="B33" s="26" t="s">
        <v>204</v>
      </c>
      <c r="C33" s="7">
        <v>-7877140.8200000003</v>
      </c>
      <c r="D33" s="8">
        <v>-8000000</v>
      </c>
      <c r="E33" s="9">
        <v>-8000000</v>
      </c>
      <c r="F33" s="7">
        <v>0</v>
      </c>
      <c r="G33" s="8">
        <v>0</v>
      </c>
      <c r="H33" s="9">
        <v>0</v>
      </c>
      <c r="I33" s="7">
        <v>0</v>
      </c>
      <c r="J33" s="8">
        <v>0</v>
      </c>
      <c r="K33" s="9">
        <v>0</v>
      </c>
      <c r="L33" s="7">
        <v>0</v>
      </c>
      <c r="M33" s="8">
        <v>0</v>
      </c>
      <c r="N33" s="9">
        <v>0</v>
      </c>
      <c r="O33" s="7">
        <v>0</v>
      </c>
      <c r="P33" s="8">
        <v>0</v>
      </c>
      <c r="Q33" s="9">
        <v>0</v>
      </c>
      <c r="R33" s="7">
        <v>0</v>
      </c>
      <c r="S33" s="8">
        <v>0</v>
      </c>
      <c r="T33" s="9">
        <v>0</v>
      </c>
      <c r="U33" s="7">
        <v>-7877140.8200000003</v>
      </c>
      <c r="V33" s="8">
        <v>-8000000</v>
      </c>
      <c r="W33" s="9">
        <v>-8000000</v>
      </c>
      <c r="X33" s="7">
        <v>0</v>
      </c>
      <c r="Y33" s="8">
        <v>0</v>
      </c>
      <c r="Z33" s="9">
        <v>0</v>
      </c>
      <c r="AA33" s="7">
        <v>0</v>
      </c>
      <c r="AB33" s="8">
        <v>0</v>
      </c>
      <c r="AC33" s="9">
        <v>0</v>
      </c>
      <c r="AD33" s="7">
        <v>0</v>
      </c>
      <c r="AE33" s="8">
        <v>0</v>
      </c>
      <c r="AF33" s="9">
        <v>0</v>
      </c>
      <c r="AG33" s="7">
        <v>0</v>
      </c>
      <c r="AH33" s="8">
        <v>0</v>
      </c>
      <c r="AI33" s="9">
        <v>0</v>
      </c>
      <c r="AJ33" s="7">
        <v>0</v>
      </c>
      <c r="AK33" s="8">
        <v>0</v>
      </c>
      <c r="AL33" s="9">
        <v>0</v>
      </c>
      <c r="AM33" s="7">
        <v>0</v>
      </c>
      <c r="AN33" s="8">
        <v>0</v>
      </c>
      <c r="AO33" s="9">
        <v>0</v>
      </c>
      <c r="AP33" s="7">
        <v>0</v>
      </c>
      <c r="AQ33" s="8">
        <v>0</v>
      </c>
      <c r="AR33" s="9">
        <v>0</v>
      </c>
      <c r="AS33" s="7">
        <v>0</v>
      </c>
      <c r="AT33" s="8">
        <v>0</v>
      </c>
      <c r="AU33" s="9">
        <v>0</v>
      </c>
      <c r="AV33" s="7">
        <v>0</v>
      </c>
      <c r="AW33" s="8">
        <v>0</v>
      </c>
      <c r="AX33" s="9">
        <v>0</v>
      </c>
      <c r="AY33" s="7">
        <v>0</v>
      </c>
      <c r="AZ33" s="8">
        <v>0</v>
      </c>
      <c r="BA33" s="9">
        <v>0</v>
      </c>
      <c r="BB33" s="7">
        <v>0</v>
      </c>
      <c r="BC33" s="8">
        <v>0</v>
      </c>
      <c r="BD33" s="9">
        <v>0</v>
      </c>
      <c r="BE33" s="7">
        <v>0</v>
      </c>
      <c r="BF33" s="8">
        <v>0</v>
      </c>
      <c r="BG33" s="9">
        <v>0</v>
      </c>
      <c r="BH33" s="7">
        <v>0</v>
      </c>
      <c r="BI33" s="8">
        <v>0</v>
      </c>
      <c r="BJ33" s="9">
        <v>0</v>
      </c>
      <c r="BK33" s="7">
        <v>0</v>
      </c>
      <c r="BL33" s="8">
        <v>0</v>
      </c>
      <c r="BM33" s="9">
        <v>0</v>
      </c>
      <c r="BN33" s="7">
        <v>0</v>
      </c>
      <c r="BO33" s="8">
        <v>0</v>
      </c>
      <c r="BP33" s="9">
        <v>0</v>
      </c>
      <c r="BQ33" s="7">
        <v>0</v>
      </c>
      <c r="BR33" s="8">
        <v>0</v>
      </c>
      <c r="BS33" s="9">
        <v>0</v>
      </c>
      <c r="BT33" s="7">
        <v>0</v>
      </c>
      <c r="BU33" s="8">
        <v>0</v>
      </c>
      <c r="BV33" s="9">
        <v>0</v>
      </c>
      <c r="BW33" s="7">
        <v>0</v>
      </c>
      <c r="BX33" s="8">
        <v>0</v>
      </c>
      <c r="BY33" s="9">
        <v>0</v>
      </c>
      <c r="BZ33" s="7">
        <v>0</v>
      </c>
      <c r="CA33" s="8">
        <v>0</v>
      </c>
      <c r="CB33" s="9">
        <v>0</v>
      </c>
      <c r="CC33" s="7">
        <v>0</v>
      </c>
      <c r="CD33" s="8">
        <v>0</v>
      </c>
      <c r="CE33" s="9">
        <v>0</v>
      </c>
      <c r="CF33" s="7">
        <v>0</v>
      </c>
      <c r="CG33" s="8">
        <v>0</v>
      </c>
      <c r="CH33" s="9">
        <v>0</v>
      </c>
      <c r="CI33" s="7">
        <v>0</v>
      </c>
      <c r="CJ33" s="8">
        <v>0</v>
      </c>
      <c r="CK33" s="9">
        <v>0</v>
      </c>
      <c r="CL33" s="7">
        <v>0</v>
      </c>
      <c r="CM33" s="8">
        <v>0</v>
      </c>
      <c r="CN33" s="9">
        <v>0</v>
      </c>
      <c r="CO33" s="7">
        <v>0</v>
      </c>
      <c r="CP33" s="8">
        <v>0</v>
      </c>
      <c r="CQ33" s="9">
        <v>0</v>
      </c>
      <c r="CR33" s="7">
        <v>0</v>
      </c>
      <c r="CS33" s="8">
        <v>0</v>
      </c>
      <c r="CT33" s="9">
        <v>0</v>
      </c>
      <c r="CU33" s="7">
        <v>0</v>
      </c>
      <c r="CV33" s="8">
        <v>0</v>
      </c>
      <c r="CW33" s="9">
        <v>0</v>
      </c>
      <c r="CX33" s="7">
        <v>0</v>
      </c>
      <c r="CY33" s="8">
        <v>0</v>
      </c>
      <c r="CZ33" s="9">
        <v>0</v>
      </c>
      <c r="DA33" s="7">
        <v>0</v>
      </c>
      <c r="DB33" s="8">
        <v>0</v>
      </c>
      <c r="DC33" s="9">
        <v>0</v>
      </c>
      <c r="DD33" s="7">
        <v>0</v>
      </c>
      <c r="DE33" s="8">
        <v>0</v>
      </c>
      <c r="DF33" s="9">
        <v>0</v>
      </c>
      <c r="DG33" s="7">
        <v>0</v>
      </c>
      <c r="DH33" s="8">
        <v>0</v>
      </c>
      <c r="DI33" s="9">
        <v>0</v>
      </c>
      <c r="DJ33" s="7">
        <v>0</v>
      </c>
      <c r="DK33" s="8">
        <v>0</v>
      </c>
      <c r="DL33" s="9">
        <v>0</v>
      </c>
      <c r="DM33" s="7">
        <v>0</v>
      </c>
      <c r="DN33" s="8">
        <v>0</v>
      </c>
      <c r="DO33" s="9">
        <v>0</v>
      </c>
      <c r="DP33" s="7">
        <v>0</v>
      </c>
      <c r="DQ33" s="8">
        <v>0</v>
      </c>
      <c r="DR33" s="9">
        <v>0</v>
      </c>
      <c r="DS33" s="7">
        <v>0</v>
      </c>
      <c r="DT33" s="8">
        <v>0</v>
      </c>
      <c r="DU33" s="9">
        <v>0</v>
      </c>
      <c r="DV33" s="7">
        <v>0</v>
      </c>
      <c r="DW33" s="8">
        <v>0</v>
      </c>
      <c r="DX33" s="9">
        <v>0</v>
      </c>
      <c r="DY33" s="7">
        <v>0</v>
      </c>
      <c r="DZ33" s="8">
        <v>0</v>
      </c>
      <c r="EA33" s="9">
        <v>0</v>
      </c>
      <c r="EB33" s="7">
        <v>0</v>
      </c>
      <c r="EC33" s="8">
        <v>0</v>
      </c>
      <c r="ED33" s="9">
        <v>0</v>
      </c>
      <c r="EE33" s="7">
        <v>0</v>
      </c>
      <c r="EF33" s="8">
        <v>0</v>
      </c>
      <c r="EG33" s="9">
        <v>0</v>
      </c>
      <c r="EH33" s="7">
        <v>0</v>
      </c>
      <c r="EI33" s="8">
        <v>0</v>
      </c>
      <c r="EJ33" s="9">
        <v>0</v>
      </c>
      <c r="EK33" s="7">
        <v>0</v>
      </c>
      <c r="EL33" s="8">
        <v>0</v>
      </c>
      <c r="EM33" s="9">
        <v>0</v>
      </c>
      <c r="EN33" s="7">
        <v>0</v>
      </c>
      <c r="EO33" s="8">
        <v>0</v>
      </c>
      <c r="EP33" s="9">
        <v>0</v>
      </c>
      <c r="EQ33" s="7">
        <v>0</v>
      </c>
      <c r="ER33" s="8">
        <v>0</v>
      </c>
      <c r="ES33" s="9">
        <v>0</v>
      </c>
      <c r="ET33" s="7">
        <v>0</v>
      </c>
      <c r="EU33" s="8">
        <v>0</v>
      </c>
      <c r="EV33" s="9">
        <v>0</v>
      </c>
      <c r="EW33" s="7">
        <v>0</v>
      </c>
      <c r="EX33" s="8">
        <v>0</v>
      </c>
      <c r="EY33" s="9">
        <v>0</v>
      </c>
      <c r="EZ33" s="7">
        <v>0</v>
      </c>
      <c r="FA33" s="8">
        <v>0</v>
      </c>
      <c r="FB33" s="9">
        <v>0</v>
      </c>
      <c r="FC33" s="7">
        <v>0</v>
      </c>
      <c r="FD33" s="8">
        <v>0</v>
      </c>
      <c r="FE33" s="9">
        <v>0</v>
      </c>
      <c r="FF33" s="7">
        <v>0</v>
      </c>
      <c r="FG33" s="8">
        <v>0</v>
      </c>
      <c r="FH33" s="9">
        <v>0</v>
      </c>
      <c r="FI33" s="7">
        <v>0</v>
      </c>
      <c r="FJ33" s="8">
        <v>0</v>
      </c>
      <c r="FK33" s="9">
        <v>0</v>
      </c>
      <c r="FL33" s="7">
        <v>0</v>
      </c>
      <c r="FM33" s="8">
        <v>0</v>
      </c>
      <c r="FN33" s="9">
        <v>0</v>
      </c>
      <c r="FO33" s="7">
        <v>0</v>
      </c>
      <c r="FP33" s="8">
        <v>0</v>
      </c>
      <c r="FQ33" s="9">
        <v>0</v>
      </c>
      <c r="FR33" s="7">
        <v>0</v>
      </c>
      <c r="FS33" s="8">
        <v>0</v>
      </c>
      <c r="FT33" s="9">
        <v>0</v>
      </c>
      <c r="FU33" s="7">
        <v>0</v>
      </c>
      <c r="FV33" s="8">
        <v>0</v>
      </c>
      <c r="FW33" s="9">
        <v>0</v>
      </c>
      <c r="FX33" s="7">
        <v>0</v>
      </c>
      <c r="FY33" s="8">
        <v>0</v>
      </c>
      <c r="FZ33" s="9">
        <v>0</v>
      </c>
      <c r="GA33" s="7">
        <v>0</v>
      </c>
      <c r="GB33" s="8">
        <v>0</v>
      </c>
      <c r="GC33" s="9">
        <v>0</v>
      </c>
      <c r="GD33" s="7">
        <v>0</v>
      </c>
      <c r="GE33" s="8">
        <v>0</v>
      </c>
      <c r="GF33" s="9">
        <v>0</v>
      </c>
      <c r="GG33" s="7">
        <v>0</v>
      </c>
      <c r="GH33" s="8">
        <v>0</v>
      </c>
      <c r="GI33" s="9">
        <v>0</v>
      </c>
      <c r="GJ33" s="7">
        <v>0</v>
      </c>
      <c r="GK33" s="8">
        <v>0</v>
      </c>
      <c r="GL33" s="9">
        <v>0</v>
      </c>
      <c r="GM33" s="7">
        <v>0</v>
      </c>
      <c r="GN33" s="8">
        <v>0</v>
      </c>
      <c r="GO33" s="9">
        <v>0</v>
      </c>
      <c r="GP33" s="7">
        <v>0</v>
      </c>
      <c r="GQ33" s="8">
        <v>0</v>
      </c>
      <c r="GR33" s="9">
        <v>0</v>
      </c>
      <c r="GS33" s="7">
        <v>0</v>
      </c>
      <c r="GT33" s="8">
        <v>0</v>
      </c>
      <c r="GU33" s="9">
        <v>0</v>
      </c>
      <c r="GV33" s="7">
        <v>0</v>
      </c>
      <c r="GW33" s="8">
        <v>0</v>
      </c>
      <c r="GX33" s="9">
        <v>0</v>
      </c>
      <c r="GY33" s="7">
        <v>0</v>
      </c>
      <c r="GZ33" s="8">
        <v>0</v>
      </c>
      <c r="HA33" s="9">
        <v>0</v>
      </c>
      <c r="HB33" s="7">
        <v>0</v>
      </c>
      <c r="HC33" s="8">
        <v>0</v>
      </c>
      <c r="HD33" s="9">
        <v>0</v>
      </c>
      <c r="HE33" s="7">
        <v>0</v>
      </c>
      <c r="HF33" s="8">
        <v>0</v>
      </c>
      <c r="HG33" s="9">
        <v>0</v>
      </c>
      <c r="HH33" s="7">
        <v>0</v>
      </c>
      <c r="HI33" s="8">
        <v>0</v>
      </c>
      <c r="HJ33" s="9">
        <v>0</v>
      </c>
      <c r="HK33" s="7">
        <v>0</v>
      </c>
      <c r="HL33" s="8">
        <v>0</v>
      </c>
      <c r="HM33" s="9">
        <v>0</v>
      </c>
      <c r="HN33" s="7">
        <v>0</v>
      </c>
      <c r="HO33" s="8">
        <v>0</v>
      </c>
      <c r="HP33" s="9">
        <v>0</v>
      </c>
    </row>
    <row r="34" spans="1:224" x14ac:dyDescent="0.25">
      <c r="A34" s="23" t="s">
        <v>205</v>
      </c>
      <c r="B34" s="26" t="s">
        <v>206</v>
      </c>
      <c r="C34" s="7">
        <v>-23070099.41</v>
      </c>
      <c r="D34" s="8">
        <v>-28000000</v>
      </c>
      <c r="E34" s="9">
        <v>-25000000</v>
      </c>
      <c r="F34" s="7">
        <v>0</v>
      </c>
      <c r="G34" s="8">
        <v>0</v>
      </c>
      <c r="H34" s="9">
        <v>0</v>
      </c>
      <c r="I34" s="7">
        <v>0</v>
      </c>
      <c r="J34" s="8">
        <v>0</v>
      </c>
      <c r="K34" s="9">
        <v>0</v>
      </c>
      <c r="L34" s="7">
        <v>0</v>
      </c>
      <c r="M34" s="8">
        <v>0</v>
      </c>
      <c r="N34" s="9">
        <v>0</v>
      </c>
      <c r="O34" s="7">
        <v>0</v>
      </c>
      <c r="P34" s="8">
        <v>0</v>
      </c>
      <c r="Q34" s="9">
        <v>0</v>
      </c>
      <c r="R34" s="7">
        <v>0</v>
      </c>
      <c r="S34" s="8">
        <v>0</v>
      </c>
      <c r="T34" s="9">
        <v>0</v>
      </c>
      <c r="U34" s="7">
        <v>-23070099.41</v>
      </c>
      <c r="V34" s="8">
        <v>-25000000</v>
      </c>
      <c r="W34" s="9">
        <v>-25000000</v>
      </c>
      <c r="X34" s="7">
        <v>0</v>
      </c>
      <c r="Y34" s="8">
        <v>0</v>
      </c>
      <c r="Z34" s="9">
        <v>0</v>
      </c>
      <c r="AA34" s="7">
        <v>0</v>
      </c>
      <c r="AB34" s="8">
        <v>0</v>
      </c>
      <c r="AC34" s="9">
        <v>0</v>
      </c>
      <c r="AD34" s="7">
        <v>0</v>
      </c>
      <c r="AE34" s="8">
        <v>0</v>
      </c>
      <c r="AF34" s="9">
        <v>0</v>
      </c>
      <c r="AG34" s="7">
        <v>0</v>
      </c>
      <c r="AH34" s="8">
        <v>0</v>
      </c>
      <c r="AI34" s="9">
        <v>0</v>
      </c>
      <c r="AJ34" s="7">
        <v>0</v>
      </c>
      <c r="AK34" s="8">
        <v>0</v>
      </c>
      <c r="AL34" s="9">
        <v>0</v>
      </c>
      <c r="AM34" s="7">
        <v>0</v>
      </c>
      <c r="AN34" s="8">
        <v>0</v>
      </c>
      <c r="AO34" s="9">
        <v>0</v>
      </c>
      <c r="AP34" s="7">
        <v>0</v>
      </c>
      <c r="AQ34" s="8">
        <v>0</v>
      </c>
      <c r="AR34" s="9">
        <v>0</v>
      </c>
      <c r="AS34" s="7">
        <v>0</v>
      </c>
      <c r="AT34" s="8">
        <v>0</v>
      </c>
      <c r="AU34" s="9">
        <v>0</v>
      </c>
      <c r="AV34" s="7">
        <v>0</v>
      </c>
      <c r="AW34" s="8">
        <v>0</v>
      </c>
      <c r="AX34" s="9">
        <v>0</v>
      </c>
      <c r="AY34" s="7">
        <v>0</v>
      </c>
      <c r="AZ34" s="8">
        <v>0</v>
      </c>
      <c r="BA34" s="9">
        <v>0</v>
      </c>
      <c r="BB34" s="7">
        <v>0</v>
      </c>
      <c r="BC34" s="8">
        <v>0</v>
      </c>
      <c r="BD34" s="9">
        <v>0</v>
      </c>
      <c r="BE34" s="7">
        <v>0</v>
      </c>
      <c r="BF34" s="8">
        <v>0</v>
      </c>
      <c r="BG34" s="9">
        <v>0</v>
      </c>
      <c r="BH34" s="7">
        <v>0</v>
      </c>
      <c r="BI34" s="8">
        <v>0</v>
      </c>
      <c r="BJ34" s="9">
        <v>0</v>
      </c>
      <c r="BK34" s="7">
        <v>0</v>
      </c>
      <c r="BL34" s="8">
        <v>0</v>
      </c>
      <c r="BM34" s="9">
        <v>0</v>
      </c>
      <c r="BN34" s="7">
        <v>0</v>
      </c>
      <c r="BO34" s="8">
        <v>0</v>
      </c>
      <c r="BP34" s="9">
        <v>0</v>
      </c>
      <c r="BQ34" s="7">
        <v>0</v>
      </c>
      <c r="BR34" s="8">
        <v>0</v>
      </c>
      <c r="BS34" s="9">
        <v>0</v>
      </c>
      <c r="BT34" s="7">
        <v>0</v>
      </c>
      <c r="BU34" s="8">
        <v>0</v>
      </c>
      <c r="BV34" s="9">
        <v>0</v>
      </c>
      <c r="BW34" s="7">
        <v>0</v>
      </c>
      <c r="BX34" s="8">
        <v>0</v>
      </c>
      <c r="BY34" s="9">
        <v>0</v>
      </c>
      <c r="BZ34" s="7">
        <v>0</v>
      </c>
      <c r="CA34" s="8">
        <v>0</v>
      </c>
      <c r="CB34" s="9">
        <v>0</v>
      </c>
      <c r="CC34" s="7">
        <v>0</v>
      </c>
      <c r="CD34" s="8">
        <v>0</v>
      </c>
      <c r="CE34" s="9">
        <v>0</v>
      </c>
      <c r="CF34" s="7">
        <v>0</v>
      </c>
      <c r="CG34" s="8">
        <v>0</v>
      </c>
      <c r="CH34" s="9">
        <v>0</v>
      </c>
      <c r="CI34" s="7">
        <v>0</v>
      </c>
      <c r="CJ34" s="8">
        <v>0</v>
      </c>
      <c r="CK34" s="9">
        <v>0</v>
      </c>
      <c r="CL34" s="7">
        <v>0</v>
      </c>
      <c r="CM34" s="8">
        <v>0</v>
      </c>
      <c r="CN34" s="9">
        <v>0</v>
      </c>
      <c r="CO34" s="7">
        <v>0</v>
      </c>
      <c r="CP34" s="8">
        <v>0</v>
      </c>
      <c r="CQ34" s="9">
        <v>0</v>
      </c>
      <c r="CR34" s="7">
        <v>0</v>
      </c>
      <c r="CS34" s="8">
        <v>0</v>
      </c>
      <c r="CT34" s="9">
        <v>0</v>
      </c>
      <c r="CU34" s="7">
        <v>0</v>
      </c>
      <c r="CV34" s="8">
        <v>0</v>
      </c>
      <c r="CW34" s="9">
        <v>0</v>
      </c>
      <c r="CX34" s="7">
        <v>0</v>
      </c>
      <c r="CY34" s="8">
        <v>0</v>
      </c>
      <c r="CZ34" s="9">
        <v>0</v>
      </c>
      <c r="DA34" s="7">
        <v>0</v>
      </c>
      <c r="DB34" s="8">
        <v>0</v>
      </c>
      <c r="DC34" s="9">
        <v>0</v>
      </c>
      <c r="DD34" s="7">
        <v>0</v>
      </c>
      <c r="DE34" s="8">
        <v>0</v>
      </c>
      <c r="DF34" s="9">
        <v>0</v>
      </c>
      <c r="DG34" s="7">
        <v>0</v>
      </c>
      <c r="DH34" s="8">
        <v>0</v>
      </c>
      <c r="DI34" s="9">
        <v>0</v>
      </c>
      <c r="DJ34" s="7">
        <v>0</v>
      </c>
      <c r="DK34" s="8">
        <v>0</v>
      </c>
      <c r="DL34" s="9">
        <v>0</v>
      </c>
      <c r="DM34" s="7">
        <v>0</v>
      </c>
      <c r="DN34" s="8">
        <v>0</v>
      </c>
      <c r="DO34" s="9">
        <v>0</v>
      </c>
      <c r="DP34" s="7">
        <v>0</v>
      </c>
      <c r="DQ34" s="8">
        <v>0</v>
      </c>
      <c r="DR34" s="9">
        <v>0</v>
      </c>
      <c r="DS34" s="7">
        <v>0</v>
      </c>
      <c r="DT34" s="8">
        <v>0</v>
      </c>
      <c r="DU34" s="9">
        <v>0</v>
      </c>
      <c r="DV34" s="7">
        <v>0</v>
      </c>
      <c r="DW34" s="8">
        <v>0</v>
      </c>
      <c r="DX34" s="9">
        <v>0</v>
      </c>
      <c r="DY34" s="7">
        <v>0</v>
      </c>
      <c r="DZ34" s="8">
        <v>0</v>
      </c>
      <c r="EA34" s="9">
        <v>0</v>
      </c>
      <c r="EB34" s="7">
        <v>0</v>
      </c>
      <c r="EC34" s="8">
        <v>0</v>
      </c>
      <c r="ED34" s="9">
        <v>0</v>
      </c>
      <c r="EE34" s="7">
        <v>0</v>
      </c>
      <c r="EF34" s="8">
        <v>0</v>
      </c>
      <c r="EG34" s="9">
        <v>0</v>
      </c>
      <c r="EH34" s="7">
        <v>0</v>
      </c>
      <c r="EI34" s="8">
        <v>0</v>
      </c>
      <c r="EJ34" s="9">
        <v>0</v>
      </c>
      <c r="EK34" s="7">
        <v>0</v>
      </c>
      <c r="EL34" s="8">
        <v>0</v>
      </c>
      <c r="EM34" s="9">
        <v>0</v>
      </c>
      <c r="EN34" s="7">
        <v>0</v>
      </c>
      <c r="EO34" s="8">
        <v>0</v>
      </c>
      <c r="EP34" s="9">
        <v>0</v>
      </c>
      <c r="EQ34" s="7">
        <v>0</v>
      </c>
      <c r="ER34" s="8">
        <v>0</v>
      </c>
      <c r="ES34" s="9">
        <v>0</v>
      </c>
      <c r="ET34" s="7">
        <v>0</v>
      </c>
      <c r="EU34" s="8">
        <v>0</v>
      </c>
      <c r="EV34" s="9">
        <v>0</v>
      </c>
      <c r="EW34" s="7">
        <v>0</v>
      </c>
      <c r="EX34" s="8">
        <v>0</v>
      </c>
      <c r="EY34" s="9">
        <v>0</v>
      </c>
      <c r="EZ34" s="7">
        <v>0</v>
      </c>
      <c r="FA34" s="8">
        <v>0</v>
      </c>
      <c r="FB34" s="9">
        <v>0</v>
      </c>
      <c r="FC34" s="7">
        <v>0</v>
      </c>
      <c r="FD34" s="8">
        <v>0</v>
      </c>
      <c r="FE34" s="9">
        <v>0</v>
      </c>
      <c r="FF34" s="7">
        <v>0</v>
      </c>
      <c r="FG34" s="8">
        <v>0</v>
      </c>
      <c r="FH34" s="9">
        <v>0</v>
      </c>
      <c r="FI34" s="7">
        <v>0</v>
      </c>
      <c r="FJ34" s="8">
        <v>0</v>
      </c>
      <c r="FK34" s="9">
        <v>0</v>
      </c>
      <c r="FL34" s="7">
        <v>0</v>
      </c>
      <c r="FM34" s="8">
        <v>0</v>
      </c>
      <c r="FN34" s="9">
        <v>0</v>
      </c>
      <c r="FO34" s="7">
        <v>0</v>
      </c>
      <c r="FP34" s="8">
        <v>0</v>
      </c>
      <c r="FQ34" s="9">
        <v>0</v>
      </c>
      <c r="FR34" s="7">
        <v>0</v>
      </c>
      <c r="FS34" s="8">
        <v>0</v>
      </c>
      <c r="FT34" s="9">
        <v>0</v>
      </c>
      <c r="FU34" s="7">
        <v>0</v>
      </c>
      <c r="FV34" s="8">
        <v>0</v>
      </c>
      <c r="FW34" s="9">
        <v>0</v>
      </c>
      <c r="FX34" s="7">
        <v>0</v>
      </c>
      <c r="FY34" s="8">
        <v>-3000000</v>
      </c>
      <c r="FZ34" s="9">
        <v>0</v>
      </c>
      <c r="GA34" s="7">
        <v>0</v>
      </c>
      <c r="GB34" s="8">
        <v>0</v>
      </c>
      <c r="GC34" s="9">
        <v>0</v>
      </c>
      <c r="GD34" s="7">
        <v>0</v>
      </c>
      <c r="GE34" s="8">
        <v>0</v>
      </c>
      <c r="GF34" s="9">
        <v>0</v>
      </c>
      <c r="GG34" s="7">
        <v>0</v>
      </c>
      <c r="GH34" s="8">
        <v>0</v>
      </c>
      <c r="GI34" s="9">
        <v>0</v>
      </c>
      <c r="GJ34" s="7">
        <v>0</v>
      </c>
      <c r="GK34" s="8">
        <v>0</v>
      </c>
      <c r="GL34" s="9">
        <v>0</v>
      </c>
      <c r="GM34" s="7">
        <v>0</v>
      </c>
      <c r="GN34" s="8">
        <v>0</v>
      </c>
      <c r="GO34" s="9">
        <v>0</v>
      </c>
      <c r="GP34" s="7">
        <v>0</v>
      </c>
      <c r="GQ34" s="8">
        <v>0</v>
      </c>
      <c r="GR34" s="9">
        <v>0</v>
      </c>
      <c r="GS34" s="7">
        <v>0</v>
      </c>
      <c r="GT34" s="8">
        <v>0</v>
      </c>
      <c r="GU34" s="9">
        <v>0</v>
      </c>
      <c r="GV34" s="7">
        <v>0</v>
      </c>
      <c r="GW34" s="8">
        <v>0</v>
      </c>
      <c r="GX34" s="9">
        <v>0</v>
      </c>
      <c r="GY34" s="7">
        <v>0</v>
      </c>
      <c r="GZ34" s="8">
        <v>0</v>
      </c>
      <c r="HA34" s="9">
        <v>0</v>
      </c>
      <c r="HB34" s="7">
        <v>0</v>
      </c>
      <c r="HC34" s="8">
        <v>0</v>
      </c>
      <c r="HD34" s="9">
        <v>0</v>
      </c>
      <c r="HE34" s="7">
        <v>0</v>
      </c>
      <c r="HF34" s="8">
        <v>0</v>
      </c>
      <c r="HG34" s="9">
        <v>0</v>
      </c>
      <c r="HH34" s="7">
        <v>0</v>
      </c>
      <c r="HI34" s="8">
        <v>0</v>
      </c>
      <c r="HJ34" s="9">
        <v>0</v>
      </c>
      <c r="HK34" s="7">
        <v>0</v>
      </c>
      <c r="HL34" s="8">
        <v>0</v>
      </c>
      <c r="HM34" s="9">
        <v>0</v>
      </c>
      <c r="HN34" s="7">
        <v>0</v>
      </c>
      <c r="HO34" s="8">
        <v>0</v>
      </c>
      <c r="HP34" s="9">
        <v>0</v>
      </c>
    </row>
    <row r="35" spans="1:224" x14ac:dyDescent="0.25">
      <c r="A35" s="23" t="s">
        <v>207</v>
      </c>
      <c r="B35" s="26" t="s">
        <v>208</v>
      </c>
      <c r="C35" s="7">
        <v>-658704.35</v>
      </c>
      <c r="D35" s="8">
        <v>-879999.99999999604</v>
      </c>
      <c r="E35" s="9">
        <v>-880000</v>
      </c>
      <c r="F35" s="7">
        <v>0</v>
      </c>
      <c r="G35" s="8">
        <v>0</v>
      </c>
      <c r="H35" s="9">
        <v>0</v>
      </c>
      <c r="I35" s="7">
        <v>0</v>
      </c>
      <c r="J35" s="8">
        <v>0</v>
      </c>
      <c r="K35" s="9">
        <v>0</v>
      </c>
      <c r="L35" s="7">
        <v>0</v>
      </c>
      <c r="M35" s="8">
        <v>0</v>
      </c>
      <c r="N35" s="9">
        <v>0</v>
      </c>
      <c r="O35" s="7">
        <v>0</v>
      </c>
      <c r="P35" s="8">
        <v>0</v>
      </c>
      <c r="Q35" s="9">
        <v>0</v>
      </c>
      <c r="R35" s="7">
        <v>0</v>
      </c>
      <c r="S35" s="8">
        <v>0</v>
      </c>
      <c r="T35" s="9">
        <v>0</v>
      </c>
      <c r="U35" s="7">
        <v>0</v>
      </c>
      <c r="V35" s="8">
        <v>0</v>
      </c>
      <c r="W35" s="9">
        <v>0</v>
      </c>
      <c r="X35" s="7">
        <v>0</v>
      </c>
      <c r="Y35" s="8">
        <v>0</v>
      </c>
      <c r="Z35" s="9">
        <v>0</v>
      </c>
      <c r="AA35" s="7">
        <v>0</v>
      </c>
      <c r="AB35" s="8">
        <v>0</v>
      </c>
      <c r="AC35" s="9">
        <v>0</v>
      </c>
      <c r="AD35" s="7">
        <v>0</v>
      </c>
      <c r="AE35" s="8">
        <v>0</v>
      </c>
      <c r="AF35" s="9">
        <v>0</v>
      </c>
      <c r="AG35" s="7">
        <v>0</v>
      </c>
      <c r="AH35" s="8">
        <v>0</v>
      </c>
      <c r="AI35" s="9">
        <v>0</v>
      </c>
      <c r="AJ35" s="7">
        <v>0</v>
      </c>
      <c r="AK35" s="8">
        <v>0</v>
      </c>
      <c r="AL35" s="9">
        <v>0</v>
      </c>
      <c r="AM35" s="7">
        <v>0</v>
      </c>
      <c r="AN35" s="8">
        <v>0</v>
      </c>
      <c r="AO35" s="9">
        <v>0</v>
      </c>
      <c r="AP35" s="7">
        <v>0</v>
      </c>
      <c r="AQ35" s="8">
        <v>0</v>
      </c>
      <c r="AR35" s="9">
        <v>0</v>
      </c>
      <c r="AS35" s="7">
        <v>0</v>
      </c>
      <c r="AT35" s="8">
        <v>0</v>
      </c>
      <c r="AU35" s="9">
        <v>0</v>
      </c>
      <c r="AV35" s="7">
        <v>0</v>
      </c>
      <c r="AW35" s="8">
        <v>0</v>
      </c>
      <c r="AX35" s="9">
        <v>0</v>
      </c>
      <c r="AY35" s="7">
        <v>0</v>
      </c>
      <c r="AZ35" s="8">
        <v>0</v>
      </c>
      <c r="BA35" s="9">
        <v>0</v>
      </c>
      <c r="BB35" s="7">
        <v>0</v>
      </c>
      <c r="BC35" s="8">
        <v>0</v>
      </c>
      <c r="BD35" s="9">
        <v>0</v>
      </c>
      <c r="BE35" s="7">
        <v>0</v>
      </c>
      <c r="BF35" s="8">
        <v>0</v>
      </c>
      <c r="BG35" s="9">
        <v>0</v>
      </c>
      <c r="BH35" s="7">
        <v>0</v>
      </c>
      <c r="BI35" s="8">
        <v>0</v>
      </c>
      <c r="BJ35" s="9">
        <v>0</v>
      </c>
      <c r="BK35" s="7">
        <v>0</v>
      </c>
      <c r="BL35" s="8">
        <v>0</v>
      </c>
      <c r="BM35" s="9">
        <v>0</v>
      </c>
      <c r="BN35" s="7">
        <v>0</v>
      </c>
      <c r="BO35" s="8">
        <v>0</v>
      </c>
      <c r="BP35" s="9">
        <v>0</v>
      </c>
      <c r="BQ35" s="7">
        <v>0</v>
      </c>
      <c r="BR35" s="8">
        <v>0</v>
      </c>
      <c r="BS35" s="9">
        <v>0</v>
      </c>
      <c r="BT35" s="7">
        <v>0</v>
      </c>
      <c r="BU35" s="8">
        <v>0</v>
      </c>
      <c r="BV35" s="9">
        <v>0</v>
      </c>
      <c r="BW35" s="7">
        <v>-658704.35</v>
      </c>
      <c r="BX35" s="8">
        <v>-879999.99999999604</v>
      </c>
      <c r="BY35" s="9">
        <v>-880000</v>
      </c>
      <c r="BZ35" s="7">
        <v>0</v>
      </c>
      <c r="CA35" s="8">
        <v>0</v>
      </c>
      <c r="CB35" s="9">
        <v>0</v>
      </c>
      <c r="CC35" s="7">
        <v>0</v>
      </c>
      <c r="CD35" s="8">
        <v>0</v>
      </c>
      <c r="CE35" s="9">
        <v>0</v>
      </c>
      <c r="CF35" s="7">
        <v>0</v>
      </c>
      <c r="CG35" s="8">
        <v>0</v>
      </c>
      <c r="CH35" s="9">
        <v>0</v>
      </c>
      <c r="CI35" s="7">
        <v>0</v>
      </c>
      <c r="CJ35" s="8">
        <v>0</v>
      </c>
      <c r="CK35" s="9">
        <v>0</v>
      </c>
      <c r="CL35" s="7">
        <v>0</v>
      </c>
      <c r="CM35" s="8">
        <v>0</v>
      </c>
      <c r="CN35" s="9">
        <v>0</v>
      </c>
      <c r="CO35" s="7">
        <v>0</v>
      </c>
      <c r="CP35" s="8">
        <v>0</v>
      </c>
      <c r="CQ35" s="9">
        <v>0</v>
      </c>
      <c r="CR35" s="7">
        <v>0</v>
      </c>
      <c r="CS35" s="8">
        <v>0</v>
      </c>
      <c r="CT35" s="9">
        <v>0</v>
      </c>
      <c r="CU35" s="7">
        <v>0</v>
      </c>
      <c r="CV35" s="8">
        <v>0</v>
      </c>
      <c r="CW35" s="9">
        <v>0</v>
      </c>
      <c r="CX35" s="7">
        <v>0</v>
      </c>
      <c r="CY35" s="8">
        <v>0</v>
      </c>
      <c r="CZ35" s="9">
        <v>0</v>
      </c>
      <c r="DA35" s="7">
        <v>0</v>
      </c>
      <c r="DB35" s="8">
        <v>0</v>
      </c>
      <c r="DC35" s="9">
        <v>0</v>
      </c>
      <c r="DD35" s="7">
        <v>0</v>
      </c>
      <c r="DE35" s="8">
        <v>0</v>
      </c>
      <c r="DF35" s="9">
        <v>0</v>
      </c>
      <c r="DG35" s="7">
        <v>0</v>
      </c>
      <c r="DH35" s="8">
        <v>0</v>
      </c>
      <c r="DI35" s="9">
        <v>0</v>
      </c>
      <c r="DJ35" s="7">
        <v>0</v>
      </c>
      <c r="DK35" s="8">
        <v>0</v>
      </c>
      <c r="DL35" s="9">
        <v>0</v>
      </c>
      <c r="DM35" s="7">
        <v>0</v>
      </c>
      <c r="DN35" s="8">
        <v>0</v>
      </c>
      <c r="DO35" s="9">
        <v>0</v>
      </c>
      <c r="DP35" s="7">
        <v>0</v>
      </c>
      <c r="DQ35" s="8">
        <v>0</v>
      </c>
      <c r="DR35" s="9">
        <v>0</v>
      </c>
      <c r="DS35" s="7">
        <v>0</v>
      </c>
      <c r="DT35" s="8">
        <v>0</v>
      </c>
      <c r="DU35" s="9">
        <v>0</v>
      </c>
      <c r="DV35" s="7">
        <v>0</v>
      </c>
      <c r="DW35" s="8">
        <v>0</v>
      </c>
      <c r="DX35" s="9">
        <v>0</v>
      </c>
      <c r="DY35" s="7">
        <v>0</v>
      </c>
      <c r="DZ35" s="8">
        <v>0</v>
      </c>
      <c r="EA35" s="9">
        <v>0</v>
      </c>
      <c r="EB35" s="7">
        <v>0</v>
      </c>
      <c r="EC35" s="8">
        <v>0</v>
      </c>
      <c r="ED35" s="9">
        <v>0</v>
      </c>
      <c r="EE35" s="7">
        <v>0</v>
      </c>
      <c r="EF35" s="8">
        <v>0</v>
      </c>
      <c r="EG35" s="9">
        <v>0</v>
      </c>
      <c r="EH35" s="7">
        <v>0</v>
      </c>
      <c r="EI35" s="8">
        <v>0</v>
      </c>
      <c r="EJ35" s="9">
        <v>0</v>
      </c>
      <c r="EK35" s="7">
        <v>0</v>
      </c>
      <c r="EL35" s="8">
        <v>0</v>
      </c>
      <c r="EM35" s="9">
        <v>0</v>
      </c>
      <c r="EN35" s="7">
        <v>0</v>
      </c>
      <c r="EO35" s="8">
        <v>0</v>
      </c>
      <c r="EP35" s="9">
        <v>0</v>
      </c>
      <c r="EQ35" s="7">
        <v>0</v>
      </c>
      <c r="ER35" s="8">
        <v>0</v>
      </c>
      <c r="ES35" s="9">
        <v>0</v>
      </c>
      <c r="ET35" s="7">
        <v>0</v>
      </c>
      <c r="EU35" s="8">
        <v>0</v>
      </c>
      <c r="EV35" s="9">
        <v>0</v>
      </c>
      <c r="EW35" s="7">
        <v>0</v>
      </c>
      <c r="EX35" s="8">
        <v>0</v>
      </c>
      <c r="EY35" s="9">
        <v>0</v>
      </c>
      <c r="EZ35" s="7">
        <v>0</v>
      </c>
      <c r="FA35" s="8">
        <v>0</v>
      </c>
      <c r="FB35" s="9">
        <v>0</v>
      </c>
      <c r="FC35" s="7">
        <v>0</v>
      </c>
      <c r="FD35" s="8">
        <v>0</v>
      </c>
      <c r="FE35" s="9">
        <v>0</v>
      </c>
      <c r="FF35" s="7">
        <v>0</v>
      </c>
      <c r="FG35" s="8">
        <v>0</v>
      </c>
      <c r="FH35" s="9">
        <v>0</v>
      </c>
      <c r="FI35" s="7">
        <v>0</v>
      </c>
      <c r="FJ35" s="8">
        <v>0</v>
      </c>
      <c r="FK35" s="9">
        <v>0</v>
      </c>
      <c r="FL35" s="7">
        <v>0</v>
      </c>
      <c r="FM35" s="8">
        <v>0</v>
      </c>
      <c r="FN35" s="9">
        <v>0</v>
      </c>
      <c r="FO35" s="7">
        <v>0</v>
      </c>
      <c r="FP35" s="8">
        <v>0</v>
      </c>
      <c r="FQ35" s="9">
        <v>0</v>
      </c>
      <c r="FR35" s="7">
        <v>0</v>
      </c>
      <c r="FS35" s="8">
        <v>0</v>
      </c>
      <c r="FT35" s="9">
        <v>0</v>
      </c>
      <c r="FU35" s="7">
        <v>0</v>
      </c>
      <c r="FV35" s="8">
        <v>0</v>
      </c>
      <c r="FW35" s="9">
        <v>0</v>
      </c>
      <c r="FX35" s="7">
        <v>0</v>
      </c>
      <c r="FY35" s="8">
        <v>0</v>
      </c>
      <c r="FZ35" s="9">
        <v>0</v>
      </c>
      <c r="GA35" s="7">
        <v>0</v>
      </c>
      <c r="GB35" s="8">
        <v>0</v>
      </c>
      <c r="GC35" s="9">
        <v>0</v>
      </c>
      <c r="GD35" s="7">
        <v>0</v>
      </c>
      <c r="GE35" s="8">
        <v>0</v>
      </c>
      <c r="GF35" s="9">
        <v>0</v>
      </c>
      <c r="GG35" s="7">
        <v>0</v>
      </c>
      <c r="GH35" s="8">
        <v>0</v>
      </c>
      <c r="GI35" s="9">
        <v>0</v>
      </c>
      <c r="GJ35" s="7">
        <v>0</v>
      </c>
      <c r="GK35" s="8">
        <v>0</v>
      </c>
      <c r="GL35" s="9">
        <v>0</v>
      </c>
      <c r="GM35" s="7">
        <v>0</v>
      </c>
      <c r="GN35" s="8">
        <v>0</v>
      </c>
      <c r="GO35" s="9">
        <v>0</v>
      </c>
      <c r="GP35" s="7">
        <v>0</v>
      </c>
      <c r="GQ35" s="8">
        <v>0</v>
      </c>
      <c r="GR35" s="9">
        <v>0</v>
      </c>
      <c r="GS35" s="7">
        <v>0</v>
      </c>
      <c r="GT35" s="8">
        <v>0</v>
      </c>
      <c r="GU35" s="9">
        <v>0</v>
      </c>
      <c r="GV35" s="7">
        <v>0</v>
      </c>
      <c r="GW35" s="8">
        <v>0</v>
      </c>
      <c r="GX35" s="9">
        <v>0</v>
      </c>
      <c r="GY35" s="7">
        <v>0</v>
      </c>
      <c r="GZ35" s="8">
        <v>0</v>
      </c>
      <c r="HA35" s="9">
        <v>0</v>
      </c>
      <c r="HB35" s="7">
        <v>0</v>
      </c>
      <c r="HC35" s="8">
        <v>0</v>
      </c>
      <c r="HD35" s="9">
        <v>0</v>
      </c>
      <c r="HE35" s="7">
        <v>0</v>
      </c>
      <c r="HF35" s="8">
        <v>0</v>
      </c>
      <c r="HG35" s="9">
        <v>0</v>
      </c>
      <c r="HH35" s="7">
        <v>0</v>
      </c>
      <c r="HI35" s="8">
        <v>0</v>
      </c>
      <c r="HJ35" s="9">
        <v>0</v>
      </c>
      <c r="HK35" s="7">
        <v>0</v>
      </c>
      <c r="HL35" s="8">
        <v>0</v>
      </c>
      <c r="HM35" s="9">
        <v>0</v>
      </c>
      <c r="HN35" s="7">
        <v>0</v>
      </c>
      <c r="HO35" s="8">
        <v>0</v>
      </c>
      <c r="HP35" s="9">
        <v>0</v>
      </c>
    </row>
    <row r="36" spans="1:224" x14ac:dyDescent="0.25">
      <c r="A36" s="23" t="s">
        <v>209</v>
      </c>
      <c r="B36" s="26" t="s">
        <v>210</v>
      </c>
      <c r="C36" s="7">
        <v>-87892.57</v>
      </c>
      <c r="D36" s="8">
        <v>-99999.999999995998</v>
      </c>
      <c r="E36" s="9">
        <v>-100000</v>
      </c>
      <c r="F36" s="7">
        <v>0</v>
      </c>
      <c r="G36" s="8">
        <v>0</v>
      </c>
      <c r="H36" s="9">
        <v>0</v>
      </c>
      <c r="I36" s="7">
        <v>0</v>
      </c>
      <c r="J36" s="8">
        <v>0</v>
      </c>
      <c r="K36" s="9">
        <v>0</v>
      </c>
      <c r="L36" s="7">
        <v>0</v>
      </c>
      <c r="M36" s="8">
        <v>0</v>
      </c>
      <c r="N36" s="9">
        <v>0</v>
      </c>
      <c r="O36" s="7">
        <v>0</v>
      </c>
      <c r="P36" s="8">
        <v>0</v>
      </c>
      <c r="Q36" s="9">
        <v>0</v>
      </c>
      <c r="R36" s="7">
        <v>0</v>
      </c>
      <c r="S36" s="8">
        <v>0</v>
      </c>
      <c r="T36" s="9">
        <v>0</v>
      </c>
      <c r="U36" s="7">
        <v>0</v>
      </c>
      <c r="V36" s="8">
        <v>0</v>
      </c>
      <c r="W36" s="9">
        <v>0</v>
      </c>
      <c r="X36" s="7">
        <v>0</v>
      </c>
      <c r="Y36" s="8">
        <v>0</v>
      </c>
      <c r="Z36" s="9">
        <v>0</v>
      </c>
      <c r="AA36" s="7">
        <v>0</v>
      </c>
      <c r="AB36" s="8">
        <v>0</v>
      </c>
      <c r="AC36" s="9">
        <v>0</v>
      </c>
      <c r="AD36" s="7">
        <v>0</v>
      </c>
      <c r="AE36" s="8">
        <v>0</v>
      </c>
      <c r="AF36" s="9">
        <v>0</v>
      </c>
      <c r="AG36" s="7">
        <v>0</v>
      </c>
      <c r="AH36" s="8">
        <v>0</v>
      </c>
      <c r="AI36" s="9">
        <v>0</v>
      </c>
      <c r="AJ36" s="7">
        <v>0</v>
      </c>
      <c r="AK36" s="8">
        <v>0</v>
      </c>
      <c r="AL36" s="9">
        <v>0</v>
      </c>
      <c r="AM36" s="7">
        <v>0</v>
      </c>
      <c r="AN36" s="8">
        <v>0</v>
      </c>
      <c r="AO36" s="9">
        <v>0</v>
      </c>
      <c r="AP36" s="7">
        <v>0</v>
      </c>
      <c r="AQ36" s="8">
        <v>0</v>
      </c>
      <c r="AR36" s="9">
        <v>0</v>
      </c>
      <c r="AS36" s="7">
        <v>0</v>
      </c>
      <c r="AT36" s="8">
        <v>0</v>
      </c>
      <c r="AU36" s="9">
        <v>0</v>
      </c>
      <c r="AV36" s="7">
        <v>0</v>
      </c>
      <c r="AW36" s="8">
        <v>0</v>
      </c>
      <c r="AX36" s="9">
        <v>0</v>
      </c>
      <c r="AY36" s="7">
        <v>0</v>
      </c>
      <c r="AZ36" s="8">
        <v>0</v>
      </c>
      <c r="BA36" s="9">
        <v>0</v>
      </c>
      <c r="BB36" s="7">
        <v>0</v>
      </c>
      <c r="BC36" s="8">
        <v>0</v>
      </c>
      <c r="BD36" s="9">
        <v>0</v>
      </c>
      <c r="BE36" s="7">
        <v>0</v>
      </c>
      <c r="BF36" s="8">
        <v>0</v>
      </c>
      <c r="BG36" s="9">
        <v>0</v>
      </c>
      <c r="BH36" s="7">
        <v>0</v>
      </c>
      <c r="BI36" s="8">
        <v>0</v>
      </c>
      <c r="BJ36" s="9">
        <v>0</v>
      </c>
      <c r="BK36" s="7">
        <v>0</v>
      </c>
      <c r="BL36" s="8">
        <v>0</v>
      </c>
      <c r="BM36" s="9">
        <v>0</v>
      </c>
      <c r="BN36" s="7">
        <v>0</v>
      </c>
      <c r="BO36" s="8">
        <v>0</v>
      </c>
      <c r="BP36" s="9">
        <v>0</v>
      </c>
      <c r="BQ36" s="7">
        <v>0</v>
      </c>
      <c r="BR36" s="8">
        <v>0</v>
      </c>
      <c r="BS36" s="9">
        <v>0</v>
      </c>
      <c r="BT36" s="7">
        <v>0</v>
      </c>
      <c r="BU36" s="8">
        <v>0</v>
      </c>
      <c r="BV36" s="9">
        <v>0</v>
      </c>
      <c r="BW36" s="7">
        <v>0</v>
      </c>
      <c r="BX36" s="8">
        <v>0</v>
      </c>
      <c r="BY36" s="9">
        <v>0</v>
      </c>
      <c r="BZ36" s="7">
        <v>0</v>
      </c>
      <c r="CA36" s="8">
        <v>0</v>
      </c>
      <c r="CB36" s="9">
        <v>0</v>
      </c>
      <c r="CC36" s="7">
        <v>0</v>
      </c>
      <c r="CD36" s="8">
        <v>0</v>
      </c>
      <c r="CE36" s="9">
        <v>0</v>
      </c>
      <c r="CF36" s="7">
        <v>0</v>
      </c>
      <c r="CG36" s="8">
        <v>0</v>
      </c>
      <c r="CH36" s="9">
        <v>0</v>
      </c>
      <c r="CI36" s="7">
        <v>-87892.57</v>
      </c>
      <c r="CJ36" s="8">
        <v>-99999.999999995998</v>
      </c>
      <c r="CK36" s="9">
        <v>-100000</v>
      </c>
      <c r="CL36" s="7">
        <v>0</v>
      </c>
      <c r="CM36" s="8">
        <v>0</v>
      </c>
      <c r="CN36" s="9">
        <v>0</v>
      </c>
      <c r="CO36" s="7">
        <v>0</v>
      </c>
      <c r="CP36" s="8">
        <v>0</v>
      </c>
      <c r="CQ36" s="9">
        <v>0</v>
      </c>
      <c r="CR36" s="7">
        <v>0</v>
      </c>
      <c r="CS36" s="8">
        <v>0</v>
      </c>
      <c r="CT36" s="9">
        <v>0</v>
      </c>
      <c r="CU36" s="7">
        <v>0</v>
      </c>
      <c r="CV36" s="8">
        <v>0</v>
      </c>
      <c r="CW36" s="9">
        <v>0</v>
      </c>
      <c r="CX36" s="7">
        <v>0</v>
      </c>
      <c r="CY36" s="8">
        <v>0</v>
      </c>
      <c r="CZ36" s="9">
        <v>0</v>
      </c>
      <c r="DA36" s="7">
        <v>0</v>
      </c>
      <c r="DB36" s="8">
        <v>0</v>
      </c>
      <c r="DC36" s="9">
        <v>0</v>
      </c>
      <c r="DD36" s="7">
        <v>0</v>
      </c>
      <c r="DE36" s="8">
        <v>0</v>
      </c>
      <c r="DF36" s="9">
        <v>0</v>
      </c>
      <c r="DG36" s="7">
        <v>0</v>
      </c>
      <c r="DH36" s="8">
        <v>0</v>
      </c>
      <c r="DI36" s="9">
        <v>0</v>
      </c>
      <c r="DJ36" s="7">
        <v>0</v>
      </c>
      <c r="DK36" s="8">
        <v>0</v>
      </c>
      <c r="DL36" s="9">
        <v>0</v>
      </c>
      <c r="DM36" s="7">
        <v>0</v>
      </c>
      <c r="DN36" s="8">
        <v>0</v>
      </c>
      <c r="DO36" s="9">
        <v>0</v>
      </c>
      <c r="DP36" s="7">
        <v>0</v>
      </c>
      <c r="DQ36" s="8">
        <v>0</v>
      </c>
      <c r="DR36" s="9">
        <v>0</v>
      </c>
      <c r="DS36" s="7">
        <v>0</v>
      </c>
      <c r="DT36" s="8">
        <v>0</v>
      </c>
      <c r="DU36" s="9">
        <v>0</v>
      </c>
      <c r="DV36" s="7">
        <v>0</v>
      </c>
      <c r="DW36" s="8">
        <v>0</v>
      </c>
      <c r="DX36" s="9">
        <v>0</v>
      </c>
      <c r="DY36" s="7">
        <v>0</v>
      </c>
      <c r="DZ36" s="8">
        <v>0</v>
      </c>
      <c r="EA36" s="9">
        <v>0</v>
      </c>
      <c r="EB36" s="7">
        <v>0</v>
      </c>
      <c r="EC36" s="8">
        <v>0</v>
      </c>
      <c r="ED36" s="9">
        <v>0</v>
      </c>
      <c r="EE36" s="7">
        <v>0</v>
      </c>
      <c r="EF36" s="8">
        <v>0</v>
      </c>
      <c r="EG36" s="9">
        <v>0</v>
      </c>
      <c r="EH36" s="7">
        <v>0</v>
      </c>
      <c r="EI36" s="8">
        <v>0</v>
      </c>
      <c r="EJ36" s="9">
        <v>0</v>
      </c>
      <c r="EK36" s="7">
        <v>0</v>
      </c>
      <c r="EL36" s="8">
        <v>0</v>
      </c>
      <c r="EM36" s="9">
        <v>0</v>
      </c>
      <c r="EN36" s="7">
        <v>0</v>
      </c>
      <c r="EO36" s="8">
        <v>0</v>
      </c>
      <c r="EP36" s="9">
        <v>0</v>
      </c>
      <c r="EQ36" s="7">
        <v>0</v>
      </c>
      <c r="ER36" s="8">
        <v>0</v>
      </c>
      <c r="ES36" s="9">
        <v>0</v>
      </c>
      <c r="ET36" s="7">
        <v>0</v>
      </c>
      <c r="EU36" s="8">
        <v>0</v>
      </c>
      <c r="EV36" s="9">
        <v>0</v>
      </c>
      <c r="EW36" s="7">
        <v>0</v>
      </c>
      <c r="EX36" s="8">
        <v>0</v>
      </c>
      <c r="EY36" s="9">
        <v>0</v>
      </c>
      <c r="EZ36" s="7">
        <v>0</v>
      </c>
      <c r="FA36" s="8">
        <v>0</v>
      </c>
      <c r="FB36" s="9">
        <v>0</v>
      </c>
      <c r="FC36" s="7">
        <v>0</v>
      </c>
      <c r="FD36" s="8">
        <v>0</v>
      </c>
      <c r="FE36" s="9">
        <v>0</v>
      </c>
      <c r="FF36" s="7">
        <v>0</v>
      </c>
      <c r="FG36" s="8">
        <v>0</v>
      </c>
      <c r="FH36" s="9">
        <v>0</v>
      </c>
      <c r="FI36" s="7">
        <v>0</v>
      </c>
      <c r="FJ36" s="8">
        <v>0</v>
      </c>
      <c r="FK36" s="9">
        <v>0</v>
      </c>
      <c r="FL36" s="7">
        <v>0</v>
      </c>
      <c r="FM36" s="8">
        <v>0</v>
      </c>
      <c r="FN36" s="9">
        <v>0</v>
      </c>
      <c r="FO36" s="7">
        <v>0</v>
      </c>
      <c r="FP36" s="8">
        <v>0</v>
      </c>
      <c r="FQ36" s="9">
        <v>0</v>
      </c>
      <c r="FR36" s="7">
        <v>0</v>
      </c>
      <c r="FS36" s="8">
        <v>0</v>
      </c>
      <c r="FT36" s="9">
        <v>0</v>
      </c>
      <c r="FU36" s="7">
        <v>0</v>
      </c>
      <c r="FV36" s="8">
        <v>0</v>
      </c>
      <c r="FW36" s="9">
        <v>0</v>
      </c>
      <c r="FX36" s="7">
        <v>0</v>
      </c>
      <c r="FY36" s="8">
        <v>0</v>
      </c>
      <c r="FZ36" s="9">
        <v>0</v>
      </c>
      <c r="GA36" s="7">
        <v>0</v>
      </c>
      <c r="GB36" s="8">
        <v>0</v>
      </c>
      <c r="GC36" s="9">
        <v>0</v>
      </c>
      <c r="GD36" s="7">
        <v>0</v>
      </c>
      <c r="GE36" s="8">
        <v>0</v>
      </c>
      <c r="GF36" s="9">
        <v>0</v>
      </c>
      <c r="GG36" s="7">
        <v>0</v>
      </c>
      <c r="GH36" s="8">
        <v>0</v>
      </c>
      <c r="GI36" s="9">
        <v>0</v>
      </c>
      <c r="GJ36" s="7">
        <v>0</v>
      </c>
      <c r="GK36" s="8">
        <v>0</v>
      </c>
      <c r="GL36" s="9">
        <v>0</v>
      </c>
      <c r="GM36" s="7">
        <v>0</v>
      </c>
      <c r="GN36" s="8">
        <v>0</v>
      </c>
      <c r="GO36" s="9">
        <v>0</v>
      </c>
      <c r="GP36" s="7">
        <v>0</v>
      </c>
      <c r="GQ36" s="8">
        <v>0</v>
      </c>
      <c r="GR36" s="9">
        <v>0</v>
      </c>
      <c r="GS36" s="7">
        <v>0</v>
      </c>
      <c r="GT36" s="8">
        <v>0</v>
      </c>
      <c r="GU36" s="9">
        <v>0</v>
      </c>
      <c r="GV36" s="7">
        <v>0</v>
      </c>
      <c r="GW36" s="8">
        <v>0</v>
      </c>
      <c r="GX36" s="9">
        <v>0</v>
      </c>
      <c r="GY36" s="7">
        <v>0</v>
      </c>
      <c r="GZ36" s="8">
        <v>0</v>
      </c>
      <c r="HA36" s="9">
        <v>0</v>
      </c>
      <c r="HB36" s="7">
        <v>0</v>
      </c>
      <c r="HC36" s="8">
        <v>0</v>
      </c>
      <c r="HD36" s="9">
        <v>0</v>
      </c>
      <c r="HE36" s="7">
        <v>0</v>
      </c>
      <c r="HF36" s="8">
        <v>0</v>
      </c>
      <c r="HG36" s="9">
        <v>0</v>
      </c>
      <c r="HH36" s="7">
        <v>0</v>
      </c>
      <c r="HI36" s="8">
        <v>0</v>
      </c>
      <c r="HJ36" s="9">
        <v>0</v>
      </c>
      <c r="HK36" s="7">
        <v>0</v>
      </c>
      <c r="HL36" s="8">
        <v>0</v>
      </c>
      <c r="HM36" s="9">
        <v>0</v>
      </c>
      <c r="HN36" s="7">
        <v>0</v>
      </c>
      <c r="HO36" s="8">
        <v>0</v>
      </c>
      <c r="HP36" s="9">
        <v>0</v>
      </c>
    </row>
    <row r="37" spans="1:224" x14ac:dyDescent="0.25">
      <c r="A37" s="23" t="s">
        <v>211</v>
      </c>
      <c r="B37" s="26" t="s">
        <v>212</v>
      </c>
      <c r="C37" s="7">
        <v>-25115159.989999998</v>
      </c>
      <c r="D37" s="8">
        <v>-26200333.333333299</v>
      </c>
      <c r="E37" s="9">
        <v>-31000000</v>
      </c>
      <c r="F37" s="7">
        <v>-25115159.989999998</v>
      </c>
      <c r="G37" s="8">
        <v>-38667333.333333299</v>
      </c>
      <c r="H37" s="9">
        <v>-31000000</v>
      </c>
      <c r="I37" s="7">
        <v>0</v>
      </c>
      <c r="J37" s="8">
        <v>0</v>
      </c>
      <c r="K37" s="9">
        <v>0</v>
      </c>
      <c r="L37" s="7">
        <v>0</v>
      </c>
      <c r="M37" s="8">
        <v>0</v>
      </c>
      <c r="N37" s="9">
        <v>0</v>
      </c>
      <c r="O37" s="7">
        <v>0</v>
      </c>
      <c r="P37" s="8">
        <v>0</v>
      </c>
      <c r="Q37" s="9">
        <v>0</v>
      </c>
      <c r="R37" s="7">
        <v>0</v>
      </c>
      <c r="S37" s="8">
        <v>0</v>
      </c>
      <c r="T37" s="9">
        <v>0</v>
      </c>
      <c r="U37" s="7">
        <v>0</v>
      </c>
      <c r="V37" s="8">
        <v>0</v>
      </c>
      <c r="W37" s="9">
        <v>0</v>
      </c>
      <c r="X37" s="7">
        <v>0</v>
      </c>
      <c r="Y37" s="8">
        <v>0</v>
      </c>
      <c r="Z37" s="9">
        <v>0</v>
      </c>
      <c r="AA37" s="7">
        <v>0</v>
      </c>
      <c r="AB37" s="8">
        <v>0</v>
      </c>
      <c r="AC37" s="9">
        <v>0</v>
      </c>
      <c r="AD37" s="7">
        <v>0</v>
      </c>
      <c r="AE37" s="8">
        <v>0</v>
      </c>
      <c r="AF37" s="9">
        <v>0</v>
      </c>
      <c r="AG37" s="7">
        <v>0</v>
      </c>
      <c r="AH37" s="8">
        <v>0</v>
      </c>
      <c r="AI37" s="9">
        <v>0</v>
      </c>
      <c r="AJ37" s="7">
        <v>0</v>
      </c>
      <c r="AK37" s="8">
        <v>0</v>
      </c>
      <c r="AL37" s="9">
        <v>0</v>
      </c>
      <c r="AM37" s="7">
        <v>0</v>
      </c>
      <c r="AN37" s="8">
        <v>0</v>
      </c>
      <c r="AO37" s="9">
        <v>0</v>
      </c>
      <c r="AP37" s="7">
        <v>0</v>
      </c>
      <c r="AQ37" s="8">
        <v>0</v>
      </c>
      <c r="AR37" s="9">
        <v>0</v>
      </c>
      <c r="AS37" s="7">
        <v>0</v>
      </c>
      <c r="AT37" s="8">
        <v>0</v>
      </c>
      <c r="AU37" s="9">
        <v>0</v>
      </c>
      <c r="AV37" s="7">
        <v>0</v>
      </c>
      <c r="AW37" s="8">
        <v>0</v>
      </c>
      <c r="AX37" s="9">
        <v>0</v>
      </c>
      <c r="AY37" s="7">
        <v>0</v>
      </c>
      <c r="AZ37" s="8">
        <v>0</v>
      </c>
      <c r="BA37" s="9">
        <v>0</v>
      </c>
      <c r="BB37" s="7">
        <v>0</v>
      </c>
      <c r="BC37" s="8">
        <v>0</v>
      </c>
      <c r="BD37" s="9">
        <v>0</v>
      </c>
      <c r="BE37" s="7">
        <v>0</v>
      </c>
      <c r="BF37" s="8">
        <v>0</v>
      </c>
      <c r="BG37" s="9">
        <v>0</v>
      </c>
      <c r="BH37" s="7">
        <v>0</v>
      </c>
      <c r="BI37" s="8">
        <v>0</v>
      </c>
      <c r="BJ37" s="9">
        <v>0</v>
      </c>
      <c r="BK37" s="7">
        <v>0</v>
      </c>
      <c r="BL37" s="8">
        <v>0</v>
      </c>
      <c r="BM37" s="9">
        <v>0</v>
      </c>
      <c r="BN37" s="7">
        <v>0</v>
      </c>
      <c r="BO37" s="8">
        <v>0</v>
      </c>
      <c r="BP37" s="9">
        <v>0</v>
      </c>
      <c r="BQ37" s="7">
        <v>0</v>
      </c>
      <c r="BR37" s="8">
        <v>0</v>
      </c>
      <c r="BS37" s="9">
        <v>0</v>
      </c>
      <c r="BT37" s="7">
        <v>0</v>
      </c>
      <c r="BU37" s="8">
        <v>0</v>
      </c>
      <c r="BV37" s="9">
        <v>0</v>
      </c>
      <c r="BW37" s="7">
        <v>0</v>
      </c>
      <c r="BX37" s="8">
        <v>0</v>
      </c>
      <c r="BY37" s="9">
        <v>0</v>
      </c>
      <c r="BZ37" s="7">
        <v>0</v>
      </c>
      <c r="CA37" s="8">
        <v>0</v>
      </c>
      <c r="CB37" s="9">
        <v>0</v>
      </c>
      <c r="CC37" s="7">
        <v>0</v>
      </c>
      <c r="CD37" s="8">
        <v>0</v>
      </c>
      <c r="CE37" s="9">
        <v>0</v>
      </c>
      <c r="CF37" s="7">
        <v>0</v>
      </c>
      <c r="CG37" s="8">
        <v>0</v>
      </c>
      <c r="CH37" s="9">
        <v>0</v>
      </c>
      <c r="CI37" s="7">
        <v>0</v>
      </c>
      <c r="CJ37" s="8">
        <v>0</v>
      </c>
      <c r="CK37" s="9">
        <v>0</v>
      </c>
      <c r="CL37" s="7">
        <v>0</v>
      </c>
      <c r="CM37" s="8">
        <v>0</v>
      </c>
      <c r="CN37" s="9">
        <v>0</v>
      </c>
      <c r="CO37" s="7">
        <v>0</v>
      </c>
      <c r="CP37" s="8">
        <v>0</v>
      </c>
      <c r="CQ37" s="9">
        <v>0</v>
      </c>
      <c r="CR37" s="7">
        <v>0</v>
      </c>
      <c r="CS37" s="8">
        <v>0</v>
      </c>
      <c r="CT37" s="9">
        <v>0</v>
      </c>
      <c r="CU37" s="7">
        <v>0</v>
      </c>
      <c r="CV37" s="8">
        <v>0</v>
      </c>
      <c r="CW37" s="9">
        <v>0</v>
      </c>
      <c r="CX37" s="7">
        <v>0</v>
      </c>
      <c r="CY37" s="8">
        <v>0</v>
      </c>
      <c r="CZ37" s="9">
        <v>0</v>
      </c>
      <c r="DA37" s="7">
        <v>0</v>
      </c>
      <c r="DB37" s="8">
        <v>0</v>
      </c>
      <c r="DC37" s="9">
        <v>0</v>
      </c>
      <c r="DD37" s="7">
        <v>0</v>
      </c>
      <c r="DE37" s="8">
        <v>0</v>
      </c>
      <c r="DF37" s="9">
        <v>0</v>
      </c>
      <c r="DG37" s="7">
        <v>0</v>
      </c>
      <c r="DH37" s="8">
        <v>0</v>
      </c>
      <c r="DI37" s="9">
        <v>0</v>
      </c>
      <c r="DJ37" s="7">
        <v>0</v>
      </c>
      <c r="DK37" s="8">
        <v>0</v>
      </c>
      <c r="DL37" s="9">
        <v>0</v>
      </c>
      <c r="DM37" s="7">
        <v>0</v>
      </c>
      <c r="DN37" s="8">
        <v>0</v>
      </c>
      <c r="DO37" s="9">
        <v>0</v>
      </c>
      <c r="DP37" s="7">
        <v>0</v>
      </c>
      <c r="DQ37" s="8">
        <v>0</v>
      </c>
      <c r="DR37" s="9">
        <v>0</v>
      </c>
      <c r="DS37" s="7">
        <v>0</v>
      </c>
      <c r="DT37" s="8">
        <v>0</v>
      </c>
      <c r="DU37" s="9">
        <v>0</v>
      </c>
      <c r="DV37" s="7">
        <v>0</v>
      </c>
      <c r="DW37" s="8">
        <v>0</v>
      </c>
      <c r="DX37" s="9">
        <v>0</v>
      </c>
      <c r="DY37" s="7">
        <v>0</v>
      </c>
      <c r="DZ37" s="8">
        <v>0</v>
      </c>
      <c r="EA37" s="9">
        <v>0</v>
      </c>
      <c r="EB37" s="7">
        <v>0</v>
      </c>
      <c r="EC37" s="8">
        <v>0</v>
      </c>
      <c r="ED37" s="9">
        <v>0</v>
      </c>
      <c r="EE37" s="7">
        <v>0</v>
      </c>
      <c r="EF37" s="8">
        <v>0</v>
      </c>
      <c r="EG37" s="9">
        <v>0</v>
      </c>
      <c r="EH37" s="7">
        <v>0</v>
      </c>
      <c r="EI37" s="8">
        <v>0</v>
      </c>
      <c r="EJ37" s="9">
        <v>0</v>
      </c>
      <c r="EK37" s="7">
        <v>0</v>
      </c>
      <c r="EL37" s="8">
        <v>0</v>
      </c>
      <c r="EM37" s="9">
        <v>0</v>
      </c>
      <c r="EN37" s="7">
        <v>0</v>
      </c>
      <c r="EO37" s="8">
        <v>0</v>
      </c>
      <c r="EP37" s="9">
        <v>0</v>
      </c>
      <c r="EQ37" s="7">
        <v>0</v>
      </c>
      <c r="ER37" s="8">
        <v>0</v>
      </c>
      <c r="ES37" s="9">
        <v>0</v>
      </c>
      <c r="ET37" s="7">
        <v>0</v>
      </c>
      <c r="EU37" s="8">
        <v>0</v>
      </c>
      <c r="EV37" s="9">
        <v>0</v>
      </c>
      <c r="EW37" s="7">
        <v>0</v>
      </c>
      <c r="EX37" s="8">
        <v>0</v>
      </c>
      <c r="EY37" s="9">
        <v>0</v>
      </c>
      <c r="EZ37" s="7">
        <v>0</v>
      </c>
      <c r="FA37" s="8">
        <v>0</v>
      </c>
      <c r="FB37" s="9">
        <v>0</v>
      </c>
      <c r="FC37" s="7">
        <v>0</v>
      </c>
      <c r="FD37" s="8">
        <v>0</v>
      </c>
      <c r="FE37" s="9">
        <v>0</v>
      </c>
      <c r="FF37" s="7">
        <v>0</v>
      </c>
      <c r="FG37" s="8">
        <v>0</v>
      </c>
      <c r="FH37" s="9">
        <v>0</v>
      </c>
      <c r="FI37" s="7">
        <v>0</v>
      </c>
      <c r="FJ37" s="8">
        <v>0</v>
      </c>
      <c r="FK37" s="9">
        <v>0</v>
      </c>
      <c r="FL37" s="7">
        <v>0</v>
      </c>
      <c r="FM37" s="8">
        <v>0</v>
      </c>
      <c r="FN37" s="9">
        <v>0</v>
      </c>
      <c r="FO37" s="7">
        <v>0</v>
      </c>
      <c r="FP37" s="8">
        <v>0</v>
      </c>
      <c r="FQ37" s="9">
        <v>0</v>
      </c>
      <c r="FR37" s="7">
        <v>0</v>
      </c>
      <c r="FS37" s="8">
        <v>0</v>
      </c>
      <c r="FT37" s="9">
        <v>0</v>
      </c>
      <c r="FU37" s="7">
        <v>0</v>
      </c>
      <c r="FV37" s="8">
        <v>0</v>
      </c>
      <c r="FW37" s="9">
        <v>0</v>
      </c>
      <c r="FX37" s="7">
        <v>0</v>
      </c>
      <c r="FY37" s="8">
        <v>12467000</v>
      </c>
      <c r="FZ37" s="9">
        <v>0</v>
      </c>
      <c r="GA37" s="7">
        <v>0</v>
      </c>
      <c r="GB37" s="8">
        <v>0</v>
      </c>
      <c r="GC37" s="9">
        <v>0</v>
      </c>
      <c r="GD37" s="7">
        <v>0</v>
      </c>
      <c r="GE37" s="8">
        <v>0</v>
      </c>
      <c r="GF37" s="9">
        <v>0</v>
      </c>
      <c r="GG37" s="7">
        <v>0</v>
      </c>
      <c r="GH37" s="8">
        <v>0</v>
      </c>
      <c r="GI37" s="9">
        <v>0</v>
      </c>
      <c r="GJ37" s="7">
        <v>0</v>
      </c>
      <c r="GK37" s="8">
        <v>0</v>
      </c>
      <c r="GL37" s="9">
        <v>0</v>
      </c>
      <c r="GM37" s="7">
        <v>0</v>
      </c>
      <c r="GN37" s="8">
        <v>0</v>
      </c>
      <c r="GO37" s="9">
        <v>0</v>
      </c>
      <c r="GP37" s="7">
        <v>0</v>
      </c>
      <c r="GQ37" s="8">
        <v>0</v>
      </c>
      <c r="GR37" s="9">
        <v>0</v>
      </c>
      <c r="GS37" s="7">
        <v>0</v>
      </c>
      <c r="GT37" s="8">
        <v>0</v>
      </c>
      <c r="GU37" s="9">
        <v>0</v>
      </c>
      <c r="GV37" s="7">
        <v>0</v>
      </c>
      <c r="GW37" s="8">
        <v>0</v>
      </c>
      <c r="GX37" s="9">
        <v>0</v>
      </c>
      <c r="GY37" s="7">
        <v>0</v>
      </c>
      <c r="GZ37" s="8">
        <v>0</v>
      </c>
      <c r="HA37" s="9">
        <v>0</v>
      </c>
      <c r="HB37" s="7">
        <v>0</v>
      </c>
      <c r="HC37" s="8">
        <v>0</v>
      </c>
      <c r="HD37" s="9">
        <v>0</v>
      </c>
      <c r="HE37" s="7">
        <v>0</v>
      </c>
      <c r="HF37" s="8">
        <v>0</v>
      </c>
      <c r="HG37" s="9">
        <v>0</v>
      </c>
      <c r="HH37" s="7">
        <v>0</v>
      </c>
      <c r="HI37" s="8">
        <v>0</v>
      </c>
      <c r="HJ37" s="9">
        <v>0</v>
      </c>
      <c r="HK37" s="7">
        <v>0</v>
      </c>
      <c r="HL37" s="8">
        <v>0</v>
      </c>
      <c r="HM37" s="9">
        <v>0</v>
      </c>
      <c r="HN37" s="7">
        <v>0</v>
      </c>
      <c r="HO37" s="8">
        <v>0</v>
      </c>
      <c r="HP37" s="9">
        <v>0</v>
      </c>
    </row>
    <row r="38" spans="1:224" x14ac:dyDescent="0.25">
      <c r="A38" s="23" t="s">
        <v>213</v>
      </c>
      <c r="B38" s="26" t="s">
        <v>214</v>
      </c>
      <c r="C38" s="7">
        <v>-26386706.449999999</v>
      </c>
      <c r="D38" s="8">
        <v>-25584977.363788299</v>
      </c>
      <c r="E38" s="9">
        <v>-28705999.999999899</v>
      </c>
      <c r="F38" s="7">
        <v>-3105651.04</v>
      </c>
      <c r="G38" s="8">
        <v>-3250000</v>
      </c>
      <c r="H38" s="9">
        <v>-3400000</v>
      </c>
      <c r="I38" s="7">
        <v>0</v>
      </c>
      <c r="J38" s="8">
        <v>0</v>
      </c>
      <c r="K38" s="9">
        <v>0</v>
      </c>
      <c r="L38" s="7">
        <v>0</v>
      </c>
      <c r="M38" s="8">
        <v>0</v>
      </c>
      <c r="N38" s="9">
        <v>0</v>
      </c>
      <c r="O38" s="7">
        <v>-65915.7</v>
      </c>
      <c r="P38" s="8">
        <v>-19999.999999997999</v>
      </c>
      <c r="Q38" s="9">
        <v>-20000</v>
      </c>
      <c r="R38" s="7">
        <v>-5752631.5499999998</v>
      </c>
      <c r="S38" s="8">
        <v>-5630003.9494056497</v>
      </c>
      <c r="T38" s="9">
        <v>-5800000</v>
      </c>
      <c r="U38" s="7">
        <v>-4106140.27</v>
      </c>
      <c r="V38" s="8">
        <v>-3810000</v>
      </c>
      <c r="W38" s="9">
        <v>-3810000</v>
      </c>
      <c r="X38" s="7">
        <v>0</v>
      </c>
      <c r="Y38" s="8">
        <v>0</v>
      </c>
      <c r="Z38" s="9">
        <v>0</v>
      </c>
      <c r="AA38" s="7">
        <v>-1128769.3899999999</v>
      </c>
      <c r="AB38" s="8">
        <v>-1200000</v>
      </c>
      <c r="AC38" s="9">
        <v>-1354000</v>
      </c>
      <c r="AD38" s="7">
        <v>0</v>
      </c>
      <c r="AE38" s="8">
        <v>0</v>
      </c>
      <c r="AF38" s="9">
        <v>0</v>
      </c>
      <c r="AG38" s="7">
        <v>0</v>
      </c>
      <c r="AH38" s="8">
        <v>0</v>
      </c>
      <c r="AI38" s="9">
        <v>0</v>
      </c>
      <c r="AJ38" s="7">
        <v>-1914696.59</v>
      </c>
      <c r="AK38" s="8">
        <v>-2373679.4088748801</v>
      </c>
      <c r="AL38" s="9">
        <v>-3000000</v>
      </c>
      <c r="AM38" s="7">
        <v>-478849.95</v>
      </c>
      <c r="AN38" s="8">
        <v>-599999.99999999302</v>
      </c>
      <c r="AO38" s="9">
        <v>-500000</v>
      </c>
      <c r="AP38" s="7">
        <v>-141348.22</v>
      </c>
      <c r="AQ38" s="8">
        <v>-109999.999999992</v>
      </c>
      <c r="AR38" s="9">
        <v>-200000</v>
      </c>
      <c r="AS38" s="7">
        <v>-6901404.2400000002</v>
      </c>
      <c r="AT38" s="8">
        <v>-7235627.3388410797</v>
      </c>
      <c r="AU38" s="9">
        <v>-7700000</v>
      </c>
      <c r="AV38" s="7">
        <v>0</v>
      </c>
      <c r="AW38" s="8">
        <v>0</v>
      </c>
      <c r="AX38" s="9">
        <v>0</v>
      </c>
      <c r="AY38" s="7">
        <v>0</v>
      </c>
      <c r="AZ38" s="8">
        <v>0</v>
      </c>
      <c r="BA38" s="9">
        <v>0</v>
      </c>
      <c r="BB38" s="7">
        <v>0</v>
      </c>
      <c r="BC38" s="8">
        <v>0</v>
      </c>
      <c r="BD38" s="9">
        <v>0</v>
      </c>
      <c r="BE38" s="7">
        <v>0</v>
      </c>
      <c r="BF38" s="8">
        <v>0</v>
      </c>
      <c r="BG38" s="9">
        <v>0</v>
      </c>
      <c r="BH38" s="7">
        <v>0</v>
      </c>
      <c r="BI38" s="8">
        <v>0</v>
      </c>
      <c r="BJ38" s="9">
        <v>0</v>
      </c>
      <c r="BK38" s="7">
        <v>0</v>
      </c>
      <c r="BL38" s="8">
        <v>0</v>
      </c>
      <c r="BM38" s="9">
        <v>0</v>
      </c>
      <c r="BN38" s="7">
        <v>0</v>
      </c>
      <c r="BO38" s="8">
        <v>0</v>
      </c>
      <c r="BP38" s="9">
        <v>0</v>
      </c>
      <c r="BQ38" s="7">
        <v>0</v>
      </c>
      <c r="BR38" s="8">
        <v>0</v>
      </c>
      <c r="BS38" s="9">
        <v>0</v>
      </c>
      <c r="BT38" s="7">
        <v>0</v>
      </c>
      <c r="BU38" s="8">
        <v>0</v>
      </c>
      <c r="BV38" s="9">
        <v>0</v>
      </c>
      <c r="BW38" s="7">
        <v>0</v>
      </c>
      <c r="BX38" s="8">
        <v>0</v>
      </c>
      <c r="BY38" s="9">
        <v>0</v>
      </c>
      <c r="BZ38" s="7">
        <v>0</v>
      </c>
      <c r="CA38" s="8">
        <v>0</v>
      </c>
      <c r="CB38" s="9">
        <v>0</v>
      </c>
      <c r="CC38" s="7">
        <v>0</v>
      </c>
      <c r="CD38" s="8">
        <v>0</v>
      </c>
      <c r="CE38" s="9">
        <v>0</v>
      </c>
      <c r="CF38" s="7">
        <v>0</v>
      </c>
      <c r="CG38" s="8">
        <v>0</v>
      </c>
      <c r="CH38" s="9">
        <v>0</v>
      </c>
      <c r="CI38" s="7">
        <v>-1289847.43</v>
      </c>
      <c r="CJ38" s="8">
        <v>-1400000</v>
      </c>
      <c r="CK38" s="9">
        <v>-1400000</v>
      </c>
      <c r="CL38" s="7">
        <v>-325426.15999999997</v>
      </c>
      <c r="CM38" s="8">
        <v>-299999.999999994</v>
      </c>
      <c r="CN38" s="9">
        <v>-300000</v>
      </c>
      <c r="CO38" s="7">
        <v>0</v>
      </c>
      <c r="CP38" s="8">
        <v>0</v>
      </c>
      <c r="CQ38" s="9">
        <v>0</v>
      </c>
      <c r="CR38" s="7">
        <v>0</v>
      </c>
      <c r="CS38" s="8">
        <v>0</v>
      </c>
      <c r="CT38" s="9">
        <v>0</v>
      </c>
      <c r="CU38" s="7">
        <v>0</v>
      </c>
      <c r="CV38" s="8">
        <v>0</v>
      </c>
      <c r="CW38" s="9">
        <v>0</v>
      </c>
      <c r="CX38" s="7">
        <v>0</v>
      </c>
      <c r="CY38" s="8">
        <v>0</v>
      </c>
      <c r="CZ38" s="9">
        <v>0</v>
      </c>
      <c r="DA38" s="7">
        <v>0</v>
      </c>
      <c r="DB38" s="8">
        <v>0</v>
      </c>
      <c r="DC38" s="9">
        <v>0</v>
      </c>
      <c r="DD38" s="7">
        <v>0</v>
      </c>
      <c r="DE38" s="8">
        <v>0</v>
      </c>
      <c r="DF38" s="9">
        <v>0</v>
      </c>
      <c r="DG38" s="7">
        <v>0</v>
      </c>
      <c r="DH38" s="8">
        <v>0</v>
      </c>
      <c r="DI38" s="9">
        <v>0</v>
      </c>
      <c r="DJ38" s="7">
        <v>0</v>
      </c>
      <c r="DK38" s="8">
        <v>0</v>
      </c>
      <c r="DL38" s="9">
        <v>0</v>
      </c>
      <c r="DM38" s="7">
        <v>0</v>
      </c>
      <c r="DN38" s="8">
        <v>0</v>
      </c>
      <c r="DO38" s="9">
        <v>0</v>
      </c>
      <c r="DP38" s="7">
        <v>0</v>
      </c>
      <c r="DQ38" s="8">
        <v>0</v>
      </c>
      <c r="DR38" s="9">
        <v>0</v>
      </c>
      <c r="DS38" s="7">
        <v>0</v>
      </c>
      <c r="DT38" s="8">
        <v>0</v>
      </c>
      <c r="DU38" s="9">
        <v>0</v>
      </c>
      <c r="DV38" s="7">
        <v>0</v>
      </c>
      <c r="DW38" s="8">
        <v>0</v>
      </c>
      <c r="DX38" s="9">
        <v>0</v>
      </c>
      <c r="DY38" s="7">
        <v>0</v>
      </c>
      <c r="DZ38" s="8">
        <v>0</v>
      </c>
      <c r="EA38" s="9">
        <v>0</v>
      </c>
      <c r="EB38" s="7">
        <v>-92905.05</v>
      </c>
      <c r="EC38" s="8">
        <v>-105000</v>
      </c>
      <c r="ED38" s="9">
        <v>-110000</v>
      </c>
      <c r="EE38" s="7">
        <v>0</v>
      </c>
      <c r="EF38" s="8">
        <v>0</v>
      </c>
      <c r="EG38" s="9">
        <v>0</v>
      </c>
      <c r="EH38" s="7">
        <v>0</v>
      </c>
      <c r="EI38" s="8">
        <v>0</v>
      </c>
      <c r="EJ38" s="9">
        <v>0</v>
      </c>
      <c r="EK38" s="7">
        <v>-1083120.8600000001</v>
      </c>
      <c r="EL38" s="8">
        <v>-799999.99999999895</v>
      </c>
      <c r="EM38" s="9">
        <v>-1112000</v>
      </c>
      <c r="EN38" s="7">
        <v>0</v>
      </c>
      <c r="EO38" s="8">
        <v>0</v>
      </c>
      <c r="EP38" s="9">
        <v>0</v>
      </c>
      <c r="EQ38" s="7">
        <v>0</v>
      </c>
      <c r="ER38" s="8">
        <v>0</v>
      </c>
      <c r="ES38" s="9">
        <v>0</v>
      </c>
      <c r="ET38" s="7">
        <v>0</v>
      </c>
      <c r="EU38" s="8">
        <v>0</v>
      </c>
      <c r="EV38" s="9">
        <v>0</v>
      </c>
      <c r="EW38" s="7">
        <v>0</v>
      </c>
      <c r="EX38" s="8">
        <v>0</v>
      </c>
      <c r="EY38" s="9">
        <v>0</v>
      </c>
      <c r="EZ38" s="7">
        <v>0</v>
      </c>
      <c r="FA38" s="8">
        <v>0</v>
      </c>
      <c r="FB38" s="9">
        <v>0</v>
      </c>
      <c r="FC38" s="7">
        <v>0</v>
      </c>
      <c r="FD38" s="8">
        <v>0</v>
      </c>
      <c r="FE38" s="9">
        <v>0</v>
      </c>
      <c r="FF38" s="7">
        <v>0</v>
      </c>
      <c r="FG38" s="8">
        <v>0</v>
      </c>
      <c r="FH38" s="9">
        <v>0</v>
      </c>
      <c r="FI38" s="7">
        <v>0</v>
      </c>
      <c r="FJ38" s="8">
        <v>0</v>
      </c>
      <c r="FK38" s="9">
        <v>0</v>
      </c>
      <c r="FL38" s="7">
        <v>0</v>
      </c>
      <c r="FM38" s="8">
        <v>0</v>
      </c>
      <c r="FN38" s="9">
        <v>0</v>
      </c>
      <c r="FO38" s="7">
        <v>0</v>
      </c>
      <c r="FP38" s="8">
        <v>0</v>
      </c>
      <c r="FQ38" s="9">
        <v>0</v>
      </c>
      <c r="FR38" s="7">
        <v>0</v>
      </c>
      <c r="FS38" s="8">
        <v>0</v>
      </c>
      <c r="FT38" s="9">
        <v>0</v>
      </c>
      <c r="FU38" s="7">
        <v>0</v>
      </c>
      <c r="FV38" s="8">
        <v>0</v>
      </c>
      <c r="FW38" s="9">
        <v>0</v>
      </c>
      <c r="FX38" s="7">
        <v>0</v>
      </c>
      <c r="FY38" s="8">
        <v>1249333.33333333</v>
      </c>
      <c r="FZ38" s="9">
        <v>0</v>
      </c>
      <c r="GA38" s="7">
        <v>0</v>
      </c>
      <c r="GB38" s="8">
        <v>0</v>
      </c>
      <c r="GC38" s="9">
        <v>0</v>
      </c>
      <c r="GD38" s="7">
        <v>0</v>
      </c>
      <c r="GE38" s="8">
        <v>0</v>
      </c>
      <c r="GF38" s="9">
        <v>0</v>
      </c>
      <c r="GG38" s="7">
        <v>0</v>
      </c>
      <c r="GH38" s="8">
        <v>0</v>
      </c>
      <c r="GI38" s="9">
        <v>0</v>
      </c>
      <c r="GJ38" s="7">
        <v>0</v>
      </c>
      <c r="GK38" s="8">
        <v>0</v>
      </c>
      <c r="GL38" s="9">
        <v>0</v>
      </c>
      <c r="GM38" s="7">
        <v>0</v>
      </c>
      <c r="GN38" s="8">
        <v>0</v>
      </c>
      <c r="GO38" s="9">
        <v>0</v>
      </c>
      <c r="GP38" s="7">
        <v>0</v>
      </c>
      <c r="GQ38" s="8">
        <v>0</v>
      </c>
      <c r="GR38" s="9">
        <v>0</v>
      </c>
      <c r="GS38" s="7">
        <v>0</v>
      </c>
      <c r="GT38" s="8">
        <v>0</v>
      </c>
      <c r="GU38" s="9">
        <v>0</v>
      </c>
      <c r="GV38" s="7">
        <v>0</v>
      </c>
      <c r="GW38" s="8">
        <v>0</v>
      </c>
      <c r="GX38" s="9">
        <v>0</v>
      </c>
      <c r="GY38" s="7">
        <v>0</v>
      </c>
      <c r="GZ38" s="8">
        <v>0</v>
      </c>
      <c r="HA38" s="9">
        <v>0</v>
      </c>
      <c r="HB38" s="7">
        <v>0</v>
      </c>
      <c r="HC38" s="8">
        <v>0</v>
      </c>
      <c r="HD38" s="9">
        <v>0</v>
      </c>
      <c r="HE38" s="7">
        <v>0</v>
      </c>
      <c r="HF38" s="8">
        <v>0</v>
      </c>
      <c r="HG38" s="9">
        <v>0</v>
      </c>
      <c r="HH38" s="7">
        <v>0</v>
      </c>
      <c r="HI38" s="8">
        <v>0</v>
      </c>
      <c r="HJ38" s="9">
        <v>0</v>
      </c>
      <c r="HK38" s="7">
        <v>0</v>
      </c>
      <c r="HL38" s="8">
        <v>0</v>
      </c>
      <c r="HM38" s="9">
        <v>0</v>
      </c>
      <c r="HN38" s="7">
        <v>0</v>
      </c>
      <c r="HO38" s="8">
        <v>0</v>
      </c>
      <c r="HP38" s="9">
        <v>0</v>
      </c>
    </row>
    <row r="39" spans="1:224" x14ac:dyDescent="0.25">
      <c r="A39" s="23" t="s">
        <v>215</v>
      </c>
      <c r="B39" s="26" t="s">
        <v>216</v>
      </c>
      <c r="C39" s="7">
        <v>-2139000</v>
      </c>
      <c r="D39" s="8">
        <v>4.0745362639427201E-10</v>
      </c>
      <c r="E39" s="9">
        <v>-2200000</v>
      </c>
      <c r="F39" s="7">
        <v>-2139000</v>
      </c>
      <c r="G39" s="8">
        <v>-2200000</v>
      </c>
      <c r="H39" s="9">
        <v>-2200000</v>
      </c>
      <c r="I39" s="7">
        <v>0</v>
      </c>
      <c r="J39" s="8">
        <v>0</v>
      </c>
      <c r="K39" s="9">
        <v>0</v>
      </c>
      <c r="L39" s="7">
        <v>0</v>
      </c>
      <c r="M39" s="8">
        <v>0</v>
      </c>
      <c r="N39" s="9">
        <v>0</v>
      </c>
      <c r="O39" s="7">
        <v>0</v>
      </c>
      <c r="P39" s="8">
        <v>0</v>
      </c>
      <c r="Q39" s="9">
        <v>0</v>
      </c>
      <c r="R39" s="7">
        <v>0</v>
      </c>
      <c r="S39" s="8">
        <v>0</v>
      </c>
      <c r="T39" s="9">
        <v>0</v>
      </c>
      <c r="U39" s="7">
        <v>0</v>
      </c>
      <c r="V39" s="8">
        <v>0</v>
      </c>
      <c r="W39" s="9">
        <v>0</v>
      </c>
      <c r="X39" s="7">
        <v>0</v>
      </c>
      <c r="Y39" s="8">
        <v>0</v>
      </c>
      <c r="Z39" s="9">
        <v>0</v>
      </c>
      <c r="AA39" s="7">
        <v>0</v>
      </c>
      <c r="AB39" s="8">
        <v>0</v>
      </c>
      <c r="AC39" s="9">
        <v>0</v>
      </c>
      <c r="AD39" s="7">
        <v>0</v>
      </c>
      <c r="AE39" s="8">
        <v>0</v>
      </c>
      <c r="AF39" s="9">
        <v>0</v>
      </c>
      <c r="AG39" s="7">
        <v>0</v>
      </c>
      <c r="AH39" s="8">
        <v>0</v>
      </c>
      <c r="AI39" s="9">
        <v>0</v>
      </c>
      <c r="AJ39" s="7">
        <v>0</v>
      </c>
      <c r="AK39" s="8">
        <v>0</v>
      </c>
      <c r="AL39" s="9">
        <v>0</v>
      </c>
      <c r="AM39" s="7">
        <v>0</v>
      </c>
      <c r="AN39" s="8">
        <v>0</v>
      </c>
      <c r="AO39" s="9">
        <v>0</v>
      </c>
      <c r="AP39" s="7">
        <v>0</v>
      </c>
      <c r="AQ39" s="8">
        <v>0</v>
      </c>
      <c r="AR39" s="9">
        <v>0</v>
      </c>
      <c r="AS39" s="7">
        <v>0</v>
      </c>
      <c r="AT39" s="8">
        <v>0</v>
      </c>
      <c r="AU39" s="9">
        <v>0</v>
      </c>
      <c r="AV39" s="7">
        <v>0</v>
      </c>
      <c r="AW39" s="8">
        <v>0</v>
      </c>
      <c r="AX39" s="9">
        <v>0</v>
      </c>
      <c r="AY39" s="7">
        <v>0</v>
      </c>
      <c r="AZ39" s="8">
        <v>0</v>
      </c>
      <c r="BA39" s="9">
        <v>0</v>
      </c>
      <c r="BB39" s="7">
        <v>0</v>
      </c>
      <c r="BC39" s="8">
        <v>0</v>
      </c>
      <c r="BD39" s="9">
        <v>0</v>
      </c>
      <c r="BE39" s="7">
        <v>0</v>
      </c>
      <c r="BF39" s="8">
        <v>0</v>
      </c>
      <c r="BG39" s="9">
        <v>0</v>
      </c>
      <c r="BH39" s="7">
        <v>0</v>
      </c>
      <c r="BI39" s="8">
        <v>0</v>
      </c>
      <c r="BJ39" s="9">
        <v>0</v>
      </c>
      <c r="BK39" s="7">
        <v>0</v>
      </c>
      <c r="BL39" s="8">
        <v>0</v>
      </c>
      <c r="BM39" s="9">
        <v>0</v>
      </c>
      <c r="BN39" s="7">
        <v>0</v>
      </c>
      <c r="BO39" s="8">
        <v>0</v>
      </c>
      <c r="BP39" s="9">
        <v>0</v>
      </c>
      <c r="BQ39" s="7">
        <v>0</v>
      </c>
      <c r="BR39" s="8">
        <v>0</v>
      </c>
      <c r="BS39" s="9">
        <v>0</v>
      </c>
      <c r="BT39" s="7">
        <v>0</v>
      </c>
      <c r="BU39" s="8">
        <v>0</v>
      </c>
      <c r="BV39" s="9">
        <v>0</v>
      </c>
      <c r="BW39" s="7">
        <v>0</v>
      </c>
      <c r="BX39" s="8">
        <v>0</v>
      </c>
      <c r="BY39" s="9">
        <v>0</v>
      </c>
      <c r="BZ39" s="7">
        <v>0</v>
      </c>
      <c r="CA39" s="8">
        <v>0</v>
      </c>
      <c r="CB39" s="9">
        <v>0</v>
      </c>
      <c r="CC39" s="7">
        <v>0</v>
      </c>
      <c r="CD39" s="8">
        <v>0</v>
      </c>
      <c r="CE39" s="9">
        <v>0</v>
      </c>
      <c r="CF39" s="7">
        <v>0</v>
      </c>
      <c r="CG39" s="8">
        <v>0</v>
      </c>
      <c r="CH39" s="9">
        <v>0</v>
      </c>
      <c r="CI39" s="7">
        <v>0</v>
      </c>
      <c r="CJ39" s="8">
        <v>0</v>
      </c>
      <c r="CK39" s="9">
        <v>0</v>
      </c>
      <c r="CL39" s="7">
        <v>0</v>
      </c>
      <c r="CM39" s="8">
        <v>0</v>
      </c>
      <c r="CN39" s="9">
        <v>0</v>
      </c>
      <c r="CO39" s="7">
        <v>0</v>
      </c>
      <c r="CP39" s="8">
        <v>0</v>
      </c>
      <c r="CQ39" s="9">
        <v>0</v>
      </c>
      <c r="CR39" s="7">
        <v>0</v>
      </c>
      <c r="CS39" s="8">
        <v>0</v>
      </c>
      <c r="CT39" s="9">
        <v>0</v>
      </c>
      <c r="CU39" s="7">
        <v>0</v>
      </c>
      <c r="CV39" s="8">
        <v>0</v>
      </c>
      <c r="CW39" s="9">
        <v>0</v>
      </c>
      <c r="CX39" s="7">
        <v>0</v>
      </c>
      <c r="CY39" s="8">
        <v>0</v>
      </c>
      <c r="CZ39" s="9">
        <v>0</v>
      </c>
      <c r="DA39" s="7">
        <v>0</v>
      </c>
      <c r="DB39" s="8">
        <v>0</v>
      </c>
      <c r="DC39" s="9">
        <v>0</v>
      </c>
      <c r="DD39" s="7">
        <v>0</v>
      </c>
      <c r="DE39" s="8">
        <v>0</v>
      </c>
      <c r="DF39" s="9">
        <v>0</v>
      </c>
      <c r="DG39" s="7">
        <v>0</v>
      </c>
      <c r="DH39" s="8">
        <v>0</v>
      </c>
      <c r="DI39" s="9">
        <v>0</v>
      </c>
      <c r="DJ39" s="7">
        <v>0</v>
      </c>
      <c r="DK39" s="8">
        <v>0</v>
      </c>
      <c r="DL39" s="9">
        <v>0</v>
      </c>
      <c r="DM39" s="7">
        <v>0</v>
      </c>
      <c r="DN39" s="8">
        <v>0</v>
      </c>
      <c r="DO39" s="9">
        <v>0</v>
      </c>
      <c r="DP39" s="7">
        <v>0</v>
      </c>
      <c r="DQ39" s="8">
        <v>0</v>
      </c>
      <c r="DR39" s="9">
        <v>0</v>
      </c>
      <c r="DS39" s="7">
        <v>0</v>
      </c>
      <c r="DT39" s="8">
        <v>0</v>
      </c>
      <c r="DU39" s="9">
        <v>0</v>
      </c>
      <c r="DV39" s="7">
        <v>0</v>
      </c>
      <c r="DW39" s="8">
        <v>0</v>
      </c>
      <c r="DX39" s="9">
        <v>0</v>
      </c>
      <c r="DY39" s="7">
        <v>0</v>
      </c>
      <c r="DZ39" s="8">
        <v>0</v>
      </c>
      <c r="EA39" s="9">
        <v>0</v>
      </c>
      <c r="EB39" s="7">
        <v>0</v>
      </c>
      <c r="EC39" s="8">
        <v>0</v>
      </c>
      <c r="ED39" s="9">
        <v>0</v>
      </c>
      <c r="EE39" s="7">
        <v>0</v>
      </c>
      <c r="EF39" s="8">
        <v>0</v>
      </c>
      <c r="EG39" s="9">
        <v>0</v>
      </c>
      <c r="EH39" s="7">
        <v>0</v>
      </c>
      <c r="EI39" s="8">
        <v>0</v>
      </c>
      <c r="EJ39" s="9">
        <v>0</v>
      </c>
      <c r="EK39" s="7">
        <v>0</v>
      </c>
      <c r="EL39" s="8">
        <v>0</v>
      </c>
      <c r="EM39" s="9">
        <v>0</v>
      </c>
      <c r="EN39" s="7">
        <v>0</v>
      </c>
      <c r="EO39" s="8">
        <v>0</v>
      </c>
      <c r="EP39" s="9">
        <v>0</v>
      </c>
      <c r="EQ39" s="7">
        <v>0</v>
      </c>
      <c r="ER39" s="8">
        <v>0</v>
      </c>
      <c r="ES39" s="9">
        <v>0</v>
      </c>
      <c r="ET39" s="7">
        <v>0</v>
      </c>
      <c r="EU39" s="8">
        <v>0</v>
      </c>
      <c r="EV39" s="9">
        <v>0</v>
      </c>
      <c r="EW39" s="7">
        <v>0</v>
      </c>
      <c r="EX39" s="8">
        <v>0</v>
      </c>
      <c r="EY39" s="9">
        <v>0</v>
      </c>
      <c r="EZ39" s="7">
        <v>0</v>
      </c>
      <c r="FA39" s="8">
        <v>0</v>
      </c>
      <c r="FB39" s="9">
        <v>0</v>
      </c>
      <c r="FC39" s="7">
        <v>0</v>
      </c>
      <c r="FD39" s="8">
        <v>0</v>
      </c>
      <c r="FE39" s="9">
        <v>0</v>
      </c>
      <c r="FF39" s="7">
        <v>0</v>
      </c>
      <c r="FG39" s="8">
        <v>0</v>
      </c>
      <c r="FH39" s="9">
        <v>0</v>
      </c>
      <c r="FI39" s="7">
        <v>0</v>
      </c>
      <c r="FJ39" s="8">
        <v>0</v>
      </c>
      <c r="FK39" s="9">
        <v>0</v>
      </c>
      <c r="FL39" s="7">
        <v>0</v>
      </c>
      <c r="FM39" s="8">
        <v>0</v>
      </c>
      <c r="FN39" s="9">
        <v>0</v>
      </c>
      <c r="FO39" s="7">
        <v>0</v>
      </c>
      <c r="FP39" s="8">
        <v>0</v>
      </c>
      <c r="FQ39" s="9">
        <v>0</v>
      </c>
      <c r="FR39" s="7">
        <v>0</v>
      </c>
      <c r="FS39" s="8">
        <v>0</v>
      </c>
      <c r="FT39" s="9">
        <v>0</v>
      </c>
      <c r="FU39" s="7">
        <v>0</v>
      </c>
      <c r="FV39" s="8">
        <v>0</v>
      </c>
      <c r="FW39" s="9">
        <v>0</v>
      </c>
      <c r="FX39" s="7">
        <v>0</v>
      </c>
      <c r="FY39" s="8">
        <v>2200000</v>
      </c>
      <c r="FZ39" s="9">
        <v>0</v>
      </c>
      <c r="GA39" s="7">
        <v>0</v>
      </c>
      <c r="GB39" s="8">
        <v>0</v>
      </c>
      <c r="GC39" s="9">
        <v>0</v>
      </c>
      <c r="GD39" s="7">
        <v>0</v>
      </c>
      <c r="GE39" s="8">
        <v>0</v>
      </c>
      <c r="GF39" s="9">
        <v>0</v>
      </c>
      <c r="GG39" s="7">
        <v>0</v>
      </c>
      <c r="GH39" s="8">
        <v>0</v>
      </c>
      <c r="GI39" s="9">
        <v>0</v>
      </c>
      <c r="GJ39" s="7">
        <v>0</v>
      </c>
      <c r="GK39" s="8">
        <v>0</v>
      </c>
      <c r="GL39" s="9">
        <v>0</v>
      </c>
      <c r="GM39" s="7">
        <v>0</v>
      </c>
      <c r="GN39" s="8">
        <v>0</v>
      </c>
      <c r="GO39" s="9">
        <v>0</v>
      </c>
      <c r="GP39" s="7">
        <v>0</v>
      </c>
      <c r="GQ39" s="8">
        <v>0</v>
      </c>
      <c r="GR39" s="9">
        <v>0</v>
      </c>
      <c r="GS39" s="7">
        <v>0</v>
      </c>
      <c r="GT39" s="8">
        <v>0</v>
      </c>
      <c r="GU39" s="9">
        <v>0</v>
      </c>
      <c r="GV39" s="7">
        <v>0</v>
      </c>
      <c r="GW39" s="8">
        <v>0</v>
      </c>
      <c r="GX39" s="9">
        <v>0</v>
      </c>
      <c r="GY39" s="7">
        <v>0</v>
      </c>
      <c r="GZ39" s="8">
        <v>0</v>
      </c>
      <c r="HA39" s="9">
        <v>0</v>
      </c>
      <c r="HB39" s="7">
        <v>0</v>
      </c>
      <c r="HC39" s="8">
        <v>0</v>
      </c>
      <c r="HD39" s="9">
        <v>0</v>
      </c>
      <c r="HE39" s="7">
        <v>0</v>
      </c>
      <c r="HF39" s="8">
        <v>0</v>
      </c>
      <c r="HG39" s="9">
        <v>0</v>
      </c>
      <c r="HH39" s="7">
        <v>0</v>
      </c>
      <c r="HI39" s="8">
        <v>0</v>
      </c>
      <c r="HJ39" s="9">
        <v>0</v>
      </c>
      <c r="HK39" s="7">
        <v>0</v>
      </c>
      <c r="HL39" s="8">
        <v>0</v>
      </c>
      <c r="HM39" s="9">
        <v>0</v>
      </c>
      <c r="HN39" s="7">
        <v>0</v>
      </c>
      <c r="HO39" s="8">
        <v>0</v>
      </c>
      <c r="HP39" s="9">
        <v>0</v>
      </c>
    </row>
    <row r="40" spans="1:224" x14ac:dyDescent="0.25">
      <c r="A40" s="23" t="s">
        <v>217</v>
      </c>
      <c r="B40" s="26" t="s">
        <v>218</v>
      </c>
      <c r="C40" s="7">
        <v>-4198600</v>
      </c>
      <c r="D40" s="8">
        <v>-15000000</v>
      </c>
      <c r="E40" s="9">
        <v>-15000000</v>
      </c>
      <c r="F40" s="7">
        <v>-4198600</v>
      </c>
      <c r="G40" s="8">
        <v>-15000000</v>
      </c>
      <c r="H40" s="9">
        <v>-15000000</v>
      </c>
      <c r="I40" s="7">
        <v>0</v>
      </c>
      <c r="J40" s="8">
        <v>0</v>
      </c>
      <c r="K40" s="9">
        <v>0</v>
      </c>
      <c r="L40" s="7">
        <v>0</v>
      </c>
      <c r="M40" s="8">
        <v>0</v>
      </c>
      <c r="N40" s="9">
        <v>0</v>
      </c>
      <c r="O40" s="7">
        <v>0</v>
      </c>
      <c r="P40" s="8">
        <v>0</v>
      </c>
      <c r="Q40" s="9">
        <v>0</v>
      </c>
      <c r="R40" s="7">
        <v>0</v>
      </c>
      <c r="S40" s="8">
        <v>0</v>
      </c>
      <c r="T40" s="9">
        <v>0</v>
      </c>
      <c r="U40" s="7">
        <v>0</v>
      </c>
      <c r="V40" s="8">
        <v>0</v>
      </c>
      <c r="W40" s="9">
        <v>0</v>
      </c>
      <c r="X40" s="7">
        <v>0</v>
      </c>
      <c r="Y40" s="8">
        <v>0</v>
      </c>
      <c r="Z40" s="9">
        <v>0</v>
      </c>
      <c r="AA40" s="7">
        <v>0</v>
      </c>
      <c r="AB40" s="8">
        <v>0</v>
      </c>
      <c r="AC40" s="9">
        <v>0</v>
      </c>
      <c r="AD40" s="7">
        <v>0</v>
      </c>
      <c r="AE40" s="8">
        <v>0</v>
      </c>
      <c r="AF40" s="9">
        <v>0</v>
      </c>
      <c r="AG40" s="7">
        <v>0</v>
      </c>
      <c r="AH40" s="8">
        <v>0</v>
      </c>
      <c r="AI40" s="9">
        <v>0</v>
      </c>
      <c r="AJ40" s="7">
        <v>0</v>
      </c>
      <c r="AK40" s="8">
        <v>0</v>
      </c>
      <c r="AL40" s="9">
        <v>0</v>
      </c>
      <c r="AM40" s="7">
        <v>0</v>
      </c>
      <c r="AN40" s="8">
        <v>0</v>
      </c>
      <c r="AO40" s="9">
        <v>0</v>
      </c>
      <c r="AP40" s="7">
        <v>0</v>
      </c>
      <c r="AQ40" s="8">
        <v>0</v>
      </c>
      <c r="AR40" s="9">
        <v>0</v>
      </c>
      <c r="AS40" s="7">
        <v>0</v>
      </c>
      <c r="AT40" s="8">
        <v>0</v>
      </c>
      <c r="AU40" s="9">
        <v>0</v>
      </c>
      <c r="AV40" s="7">
        <v>0</v>
      </c>
      <c r="AW40" s="8">
        <v>0</v>
      </c>
      <c r="AX40" s="9">
        <v>0</v>
      </c>
      <c r="AY40" s="7">
        <v>0</v>
      </c>
      <c r="AZ40" s="8">
        <v>0</v>
      </c>
      <c r="BA40" s="9">
        <v>0</v>
      </c>
      <c r="BB40" s="7">
        <v>0</v>
      </c>
      <c r="BC40" s="8">
        <v>0</v>
      </c>
      <c r="BD40" s="9">
        <v>0</v>
      </c>
      <c r="BE40" s="7">
        <v>0</v>
      </c>
      <c r="BF40" s="8">
        <v>0</v>
      </c>
      <c r="BG40" s="9">
        <v>0</v>
      </c>
      <c r="BH40" s="7">
        <v>0</v>
      </c>
      <c r="BI40" s="8">
        <v>0</v>
      </c>
      <c r="BJ40" s="9">
        <v>0</v>
      </c>
      <c r="BK40" s="7">
        <v>0</v>
      </c>
      <c r="BL40" s="8">
        <v>0</v>
      </c>
      <c r="BM40" s="9">
        <v>0</v>
      </c>
      <c r="BN40" s="7">
        <v>0</v>
      </c>
      <c r="BO40" s="8">
        <v>0</v>
      </c>
      <c r="BP40" s="9">
        <v>0</v>
      </c>
      <c r="BQ40" s="7">
        <v>0</v>
      </c>
      <c r="BR40" s="8">
        <v>0</v>
      </c>
      <c r="BS40" s="9">
        <v>0</v>
      </c>
      <c r="BT40" s="7">
        <v>0</v>
      </c>
      <c r="BU40" s="8">
        <v>0</v>
      </c>
      <c r="BV40" s="9">
        <v>0</v>
      </c>
      <c r="BW40" s="7">
        <v>0</v>
      </c>
      <c r="BX40" s="8">
        <v>0</v>
      </c>
      <c r="BY40" s="9">
        <v>0</v>
      </c>
      <c r="BZ40" s="7">
        <v>0</v>
      </c>
      <c r="CA40" s="8">
        <v>0</v>
      </c>
      <c r="CB40" s="9">
        <v>0</v>
      </c>
      <c r="CC40" s="7">
        <v>0</v>
      </c>
      <c r="CD40" s="8">
        <v>0</v>
      </c>
      <c r="CE40" s="9">
        <v>0</v>
      </c>
      <c r="CF40" s="7">
        <v>0</v>
      </c>
      <c r="CG40" s="8">
        <v>0</v>
      </c>
      <c r="CH40" s="9">
        <v>0</v>
      </c>
      <c r="CI40" s="7">
        <v>0</v>
      </c>
      <c r="CJ40" s="8">
        <v>0</v>
      </c>
      <c r="CK40" s="9">
        <v>0</v>
      </c>
      <c r="CL40" s="7">
        <v>0</v>
      </c>
      <c r="CM40" s="8">
        <v>0</v>
      </c>
      <c r="CN40" s="9">
        <v>0</v>
      </c>
      <c r="CO40" s="7">
        <v>0</v>
      </c>
      <c r="CP40" s="8">
        <v>0</v>
      </c>
      <c r="CQ40" s="9">
        <v>0</v>
      </c>
      <c r="CR40" s="7">
        <v>0</v>
      </c>
      <c r="CS40" s="8">
        <v>0</v>
      </c>
      <c r="CT40" s="9">
        <v>0</v>
      </c>
      <c r="CU40" s="7">
        <v>0</v>
      </c>
      <c r="CV40" s="8">
        <v>0</v>
      </c>
      <c r="CW40" s="9">
        <v>0</v>
      </c>
      <c r="CX40" s="7">
        <v>0</v>
      </c>
      <c r="CY40" s="8">
        <v>0</v>
      </c>
      <c r="CZ40" s="9">
        <v>0</v>
      </c>
      <c r="DA40" s="7">
        <v>0</v>
      </c>
      <c r="DB40" s="8">
        <v>0</v>
      </c>
      <c r="DC40" s="9">
        <v>0</v>
      </c>
      <c r="DD40" s="7">
        <v>0</v>
      </c>
      <c r="DE40" s="8">
        <v>0</v>
      </c>
      <c r="DF40" s="9">
        <v>0</v>
      </c>
      <c r="DG40" s="7">
        <v>0</v>
      </c>
      <c r="DH40" s="8">
        <v>0</v>
      </c>
      <c r="DI40" s="9">
        <v>0</v>
      </c>
      <c r="DJ40" s="7">
        <v>0</v>
      </c>
      <c r="DK40" s="8">
        <v>0</v>
      </c>
      <c r="DL40" s="9">
        <v>0</v>
      </c>
      <c r="DM40" s="7">
        <v>0</v>
      </c>
      <c r="DN40" s="8">
        <v>0</v>
      </c>
      <c r="DO40" s="9">
        <v>0</v>
      </c>
      <c r="DP40" s="7">
        <v>0</v>
      </c>
      <c r="DQ40" s="8">
        <v>0</v>
      </c>
      <c r="DR40" s="9">
        <v>0</v>
      </c>
      <c r="DS40" s="7">
        <v>0</v>
      </c>
      <c r="DT40" s="8">
        <v>0</v>
      </c>
      <c r="DU40" s="9">
        <v>0</v>
      </c>
      <c r="DV40" s="7">
        <v>0</v>
      </c>
      <c r="DW40" s="8">
        <v>0</v>
      </c>
      <c r="DX40" s="9">
        <v>0</v>
      </c>
      <c r="DY40" s="7">
        <v>0</v>
      </c>
      <c r="DZ40" s="8">
        <v>0</v>
      </c>
      <c r="EA40" s="9">
        <v>0</v>
      </c>
      <c r="EB40" s="7">
        <v>0</v>
      </c>
      <c r="EC40" s="8">
        <v>0</v>
      </c>
      <c r="ED40" s="9">
        <v>0</v>
      </c>
      <c r="EE40" s="7">
        <v>0</v>
      </c>
      <c r="EF40" s="8">
        <v>0</v>
      </c>
      <c r="EG40" s="9">
        <v>0</v>
      </c>
      <c r="EH40" s="7">
        <v>0</v>
      </c>
      <c r="EI40" s="8">
        <v>0</v>
      </c>
      <c r="EJ40" s="9">
        <v>0</v>
      </c>
      <c r="EK40" s="7">
        <v>0</v>
      </c>
      <c r="EL40" s="8">
        <v>0</v>
      </c>
      <c r="EM40" s="9">
        <v>0</v>
      </c>
      <c r="EN40" s="7">
        <v>0</v>
      </c>
      <c r="EO40" s="8">
        <v>0</v>
      </c>
      <c r="EP40" s="9">
        <v>0</v>
      </c>
      <c r="EQ40" s="7">
        <v>0</v>
      </c>
      <c r="ER40" s="8">
        <v>0</v>
      </c>
      <c r="ES40" s="9">
        <v>0</v>
      </c>
      <c r="ET40" s="7">
        <v>0</v>
      </c>
      <c r="EU40" s="8">
        <v>0</v>
      </c>
      <c r="EV40" s="9">
        <v>0</v>
      </c>
      <c r="EW40" s="7">
        <v>0</v>
      </c>
      <c r="EX40" s="8">
        <v>0</v>
      </c>
      <c r="EY40" s="9">
        <v>0</v>
      </c>
      <c r="EZ40" s="7">
        <v>0</v>
      </c>
      <c r="FA40" s="8">
        <v>0</v>
      </c>
      <c r="FB40" s="9">
        <v>0</v>
      </c>
      <c r="FC40" s="7">
        <v>0</v>
      </c>
      <c r="FD40" s="8">
        <v>0</v>
      </c>
      <c r="FE40" s="9">
        <v>0</v>
      </c>
      <c r="FF40" s="7">
        <v>0</v>
      </c>
      <c r="FG40" s="8">
        <v>0</v>
      </c>
      <c r="FH40" s="9">
        <v>0</v>
      </c>
      <c r="FI40" s="7">
        <v>0</v>
      </c>
      <c r="FJ40" s="8">
        <v>0</v>
      </c>
      <c r="FK40" s="9">
        <v>0</v>
      </c>
      <c r="FL40" s="7">
        <v>0</v>
      </c>
      <c r="FM40" s="8">
        <v>0</v>
      </c>
      <c r="FN40" s="9">
        <v>0</v>
      </c>
      <c r="FO40" s="7">
        <v>0</v>
      </c>
      <c r="FP40" s="8">
        <v>0</v>
      </c>
      <c r="FQ40" s="9">
        <v>0</v>
      </c>
      <c r="FR40" s="7">
        <v>0</v>
      </c>
      <c r="FS40" s="8">
        <v>0</v>
      </c>
      <c r="FT40" s="9">
        <v>0</v>
      </c>
      <c r="FU40" s="7">
        <v>0</v>
      </c>
      <c r="FV40" s="8">
        <v>0</v>
      </c>
      <c r="FW40" s="9">
        <v>0</v>
      </c>
      <c r="FX40" s="7">
        <v>0</v>
      </c>
      <c r="FY40" s="8">
        <v>0</v>
      </c>
      <c r="FZ40" s="9">
        <v>0</v>
      </c>
      <c r="GA40" s="7">
        <v>0</v>
      </c>
      <c r="GB40" s="8">
        <v>0</v>
      </c>
      <c r="GC40" s="9">
        <v>0</v>
      </c>
      <c r="GD40" s="7">
        <v>0</v>
      </c>
      <c r="GE40" s="8">
        <v>0</v>
      </c>
      <c r="GF40" s="9">
        <v>0</v>
      </c>
      <c r="GG40" s="7">
        <v>0</v>
      </c>
      <c r="GH40" s="8">
        <v>0</v>
      </c>
      <c r="GI40" s="9">
        <v>0</v>
      </c>
      <c r="GJ40" s="7">
        <v>0</v>
      </c>
      <c r="GK40" s="8">
        <v>0</v>
      </c>
      <c r="GL40" s="9">
        <v>0</v>
      </c>
      <c r="GM40" s="7">
        <v>0</v>
      </c>
      <c r="GN40" s="8">
        <v>0</v>
      </c>
      <c r="GO40" s="9">
        <v>0</v>
      </c>
      <c r="GP40" s="7">
        <v>0</v>
      </c>
      <c r="GQ40" s="8">
        <v>0</v>
      </c>
      <c r="GR40" s="9">
        <v>0</v>
      </c>
      <c r="GS40" s="7">
        <v>0</v>
      </c>
      <c r="GT40" s="8">
        <v>0</v>
      </c>
      <c r="GU40" s="9">
        <v>0</v>
      </c>
      <c r="GV40" s="7">
        <v>0</v>
      </c>
      <c r="GW40" s="8">
        <v>0</v>
      </c>
      <c r="GX40" s="9">
        <v>0</v>
      </c>
      <c r="GY40" s="7">
        <v>0</v>
      </c>
      <c r="GZ40" s="8">
        <v>0</v>
      </c>
      <c r="HA40" s="9">
        <v>0</v>
      </c>
      <c r="HB40" s="7">
        <v>0</v>
      </c>
      <c r="HC40" s="8">
        <v>0</v>
      </c>
      <c r="HD40" s="9">
        <v>0</v>
      </c>
      <c r="HE40" s="7">
        <v>0</v>
      </c>
      <c r="HF40" s="8">
        <v>0</v>
      </c>
      <c r="HG40" s="9">
        <v>0</v>
      </c>
      <c r="HH40" s="7">
        <v>0</v>
      </c>
      <c r="HI40" s="8">
        <v>0</v>
      </c>
      <c r="HJ40" s="9">
        <v>0</v>
      </c>
      <c r="HK40" s="7">
        <v>0</v>
      </c>
      <c r="HL40" s="8">
        <v>0</v>
      </c>
      <c r="HM40" s="9">
        <v>0</v>
      </c>
      <c r="HN40" s="7">
        <v>0</v>
      </c>
      <c r="HO40" s="8">
        <v>0</v>
      </c>
      <c r="HP40" s="9">
        <v>0</v>
      </c>
    </row>
    <row r="41" spans="1:224" x14ac:dyDescent="0.25">
      <c r="A41" s="23" t="s">
        <v>219</v>
      </c>
      <c r="B41" s="26" t="s">
        <v>220</v>
      </c>
      <c r="C41" s="7">
        <v>-720000</v>
      </c>
      <c r="D41" s="8">
        <v>0</v>
      </c>
      <c r="E41" s="9">
        <v>-3000000</v>
      </c>
      <c r="F41" s="7">
        <v>-720000</v>
      </c>
      <c r="G41" s="8">
        <v>-2160000</v>
      </c>
      <c r="H41" s="9">
        <v>-3000000</v>
      </c>
      <c r="I41" s="7">
        <v>0</v>
      </c>
      <c r="J41" s="8">
        <v>0</v>
      </c>
      <c r="K41" s="9">
        <v>0</v>
      </c>
      <c r="L41" s="7">
        <v>0</v>
      </c>
      <c r="M41" s="8">
        <v>0</v>
      </c>
      <c r="N41" s="9">
        <v>0</v>
      </c>
      <c r="O41" s="7">
        <v>0</v>
      </c>
      <c r="P41" s="8">
        <v>0</v>
      </c>
      <c r="Q41" s="9">
        <v>0</v>
      </c>
      <c r="R41" s="7">
        <v>0</v>
      </c>
      <c r="S41" s="8">
        <v>0</v>
      </c>
      <c r="T41" s="9">
        <v>0</v>
      </c>
      <c r="U41" s="7">
        <v>0</v>
      </c>
      <c r="V41" s="8">
        <v>0</v>
      </c>
      <c r="W41" s="9">
        <v>0</v>
      </c>
      <c r="X41" s="7">
        <v>0</v>
      </c>
      <c r="Y41" s="8">
        <v>0</v>
      </c>
      <c r="Z41" s="9">
        <v>0</v>
      </c>
      <c r="AA41" s="7">
        <v>0</v>
      </c>
      <c r="AB41" s="8">
        <v>0</v>
      </c>
      <c r="AC41" s="9">
        <v>0</v>
      </c>
      <c r="AD41" s="7">
        <v>0</v>
      </c>
      <c r="AE41" s="8">
        <v>0</v>
      </c>
      <c r="AF41" s="9">
        <v>0</v>
      </c>
      <c r="AG41" s="7">
        <v>0</v>
      </c>
      <c r="AH41" s="8">
        <v>0</v>
      </c>
      <c r="AI41" s="9">
        <v>0</v>
      </c>
      <c r="AJ41" s="7">
        <v>0</v>
      </c>
      <c r="AK41" s="8">
        <v>0</v>
      </c>
      <c r="AL41" s="9">
        <v>0</v>
      </c>
      <c r="AM41" s="7">
        <v>0</v>
      </c>
      <c r="AN41" s="8">
        <v>0</v>
      </c>
      <c r="AO41" s="9">
        <v>0</v>
      </c>
      <c r="AP41" s="7">
        <v>0</v>
      </c>
      <c r="AQ41" s="8">
        <v>0</v>
      </c>
      <c r="AR41" s="9">
        <v>0</v>
      </c>
      <c r="AS41" s="7">
        <v>0</v>
      </c>
      <c r="AT41" s="8">
        <v>0</v>
      </c>
      <c r="AU41" s="9">
        <v>0</v>
      </c>
      <c r="AV41" s="7">
        <v>0</v>
      </c>
      <c r="AW41" s="8">
        <v>0</v>
      </c>
      <c r="AX41" s="9">
        <v>0</v>
      </c>
      <c r="AY41" s="7">
        <v>0</v>
      </c>
      <c r="AZ41" s="8">
        <v>0</v>
      </c>
      <c r="BA41" s="9">
        <v>0</v>
      </c>
      <c r="BB41" s="7">
        <v>0</v>
      </c>
      <c r="BC41" s="8">
        <v>0</v>
      </c>
      <c r="BD41" s="9">
        <v>0</v>
      </c>
      <c r="BE41" s="7">
        <v>0</v>
      </c>
      <c r="BF41" s="8">
        <v>0</v>
      </c>
      <c r="BG41" s="9">
        <v>0</v>
      </c>
      <c r="BH41" s="7">
        <v>0</v>
      </c>
      <c r="BI41" s="8">
        <v>0</v>
      </c>
      <c r="BJ41" s="9">
        <v>0</v>
      </c>
      <c r="BK41" s="7">
        <v>0</v>
      </c>
      <c r="BL41" s="8">
        <v>0</v>
      </c>
      <c r="BM41" s="9">
        <v>0</v>
      </c>
      <c r="BN41" s="7">
        <v>0</v>
      </c>
      <c r="BO41" s="8">
        <v>0</v>
      </c>
      <c r="BP41" s="9">
        <v>0</v>
      </c>
      <c r="BQ41" s="7">
        <v>0</v>
      </c>
      <c r="BR41" s="8">
        <v>0</v>
      </c>
      <c r="BS41" s="9">
        <v>0</v>
      </c>
      <c r="BT41" s="7">
        <v>0</v>
      </c>
      <c r="BU41" s="8">
        <v>0</v>
      </c>
      <c r="BV41" s="9">
        <v>0</v>
      </c>
      <c r="BW41" s="7">
        <v>0</v>
      </c>
      <c r="BX41" s="8">
        <v>0</v>
      </c>
      <c r="BY41" s="9">
        <v>0</v>
      </c>
      <c r="BZ41" s="7">
        <v>0</v>
      </c>
      <c r="CA41" s="8">
        <v>0</v>
      </c>
      <c r="CB41" s="9">
        <v>0</v>
      </c>
      <c r="CC41" s="7">
        <v>0</v>
      </c>
      <c r="CD41" s="8">
        <v>0</v>
      </c>
      <c r="CE41" s="9">
        <v>0</v>
      </c>
      <c r="CF41" s="7">
        <v>0</v>
      </c>
      <c r="CG41" s="8">
        <v>0</v>
      </c>
      <c r="CH41" s="9">
        <v>0</v>
      </c>
      <c r="CI41" s="7">
        <v>0</v>
      </c>
      <c r="CJ41" s="8">
        <v>0</v>
      </c>
      <c r="CK41" s="9">
        <v>0</v>
      </c>
      <c r="CL41" s="7">
        <v>0</v>
      </c>
      <c r="CM41" s="8">
        <v>0</v>
      </c>
      <c r="CN41" s="9">
        <v>0</v>
      </c>
      <c r="CO41" s="7">
        <v>0</v>
      </c>
      <c r="CP41" s="8">
        <v>0</v>
      </c>
      <c r="CQ41" s="9">
        <v>0</v>
      </c>
      <c r="CR41" s="7">
        <v>0</v>
      </c>
      <c r="CS41" s="8">
        <v>0</v>
      </c>
      <c r="CT41" s="9">
        <v>0</v>
      </c>
      <c r="CU41" s="7">
        <v>0</v>
      </c>
      <c r="CV41" s="8">
        <v>0</v>
      </c>
      <c r="CW41" s="9">
        <v>0</v>
      </c>
      <c r="CX41" s="7">
        <v>0</v>
      </c>
      <c r="CY41" s="8">
        <v>0</v>
      </c>
      <c r="CZ41" s="9">
        <v>0</v>
      </c>
      <c r="DA41" s="7">
        <v>0</v>
      </c>
      <c r="DB41" s="8">
        <v>0</v>
      </c>
      <c r="DC41" s="9">
        <v>0</v>
      </c>
      <c r="DD41" s="7">
        <v>0</v>
      </c>
      <c r="DE41" s="8">
        <v>0</v>
      </c>
      <c r="DF41" s="9">
        <v>0</v>
      </c>
      <c r="DG41" s="7">
        <v>0</v>
      </c>
      <c r="DH41" s="8">
        <v>0</v>
      </c>
      <c r="DI41" s="9">
        <v>0</v>
      </c>
      <c r="DJ41" s="7">
        <v>0</v>
      </c>
      <c r="DK41" s="8">
        <v>0</v>
      </c>
      <c r="DL41" s="9">
        <v>0</v>
      </c>
      <c r="DM41" s="7">
        <v>0</v>
      </c>
      <c r="DN41" s="8">
        <v>0</v>
      </c>
      <c r="DO41" s="9">
        <v>0</v>
      </c>
      <c r="DP41" s="7">
        <v>0</v>
      </c>
      <c r="DQ41" s="8">
        <v>0</v>
      </c>
      <c r="DR41" s="9">
        <v>0</v>
      </c>
      <c r="DS41" s="7">
        <v>0</v>
      </c>
      <c r="DT41" s="8">
        <v>0</v>
      </c>
      <c r="DU41" s="9">
        <v>0</v>
      </c>
      <c r="DV41" s="7">
        <v>0</v>
      </c>
      <c r="DW41" s="8">
        <v>0</v>
      </c>
      <c r="DX41" s="9">
        <v>0</v>
      </c>
      <c r="DY41" s="7">
        <v>0</v>
      </c>
      <c r="DZ41" s="8">
        <v>0</v>
      </c>
      <c r="EA41" s="9">
        <v>0</v>
      </c>
      <c r="EB41" s="7">
        <v>0</v>
      </c>
      <c r="EC41" s="8">
        <v>0</v>
      </c>
      <c r="ED41" s="9">
        <v>0</v>
      </c>
      <c r="EE41" s="7">
        <v>0</v>
      </c>
      <c r="EF41" s="8">
        <v>0</v>
      </c>
      <c r="EG41" s="9">
        <v>0</v>
      </c>
      <c r="EH41" s="7">
        <v>0</v>
      </c>
      <c r="EI41" s="8">
        <v>0</v>
      </c>
      <c r="EJ41" s="9">
        <v>0</v>
      </c>
      <c r="EK41" s="7">
        <v>0</v>
      </c>
      <c r="EL41" s="8">
        <v>0</v>
      </c>
      <c r="EM41" s="9">
        <v>0</v>
      </c>
      <c r="EN41" s="7">
        <v>0</v>
      </c>
      <c r="EO41" s="8">
        <v>0</v>
      </c>
      <c r="EP41" s="9">
        <v>0</v>
      </c>
      <c r="EQ41" s="7">
        <v>0</v>
      </c>
      <c r="ER41" s="8">
        <v>0</v>
      </c>
      <c r="ES41" s="9">
        <v>0</v>
      </c>
      <c r="ET41" s="7">
        <v>0</v>
      </c>
      <c r="EU41" s="8">
        <v>0</v>
      </c>
      <c r="EV41" s="9">
        <v>0</v>
      </c>
      <c r="EW41" s="7">
        <v>0</v>
      </c>
      <c r="EX41" s="8">
        <v>0</v>
      </c>
      <c r="EY41" s="9">
        <v>0</v>
      </c>
      <c r="EZ41" s="7">
        <v>0</v>
      </c>
      <c r="FA41" s="8">
        <v>0</v>
      </c>
      <c r="FB41" s="9">
        <v>0</v>
      </c>
      <c r="FC41" s="7">
        <v>0</v>
      </c>
      <c r="FD41" s="8">
        <v>0</v>
      </c>
      <c r="FE41" s="9">
        <v>0</v>
      </c>
      <c r="FF41" s="7">
        <v>0</v>
      </c>
      <c r="FG41" s="8">
        <v>0</v>
      </c>
      <c r="FH41" s="9">
        <v>0</v>
      </c>
      <c r="FI41" s="7">
        <v>0</v>
      </c>
      <c r="FJ41" s="8">
        <v>0</v>
      </c>
      <c r="FK41" s="9">
        <v>0</v>
      </c>
      <c r="FL41" s="7">
        <v>0</v>
      </c>
      <c r="FM41" s="8">
        <v>0</v>
      </c>
      <c r="FN41" s="9">
        <v>0</v>
      </c>
      <c r="FO41" s="7">
        <v>0</v>
      </c>
      <c r="FP41" s="8">
        <v>0</v>
      </c>
      <c r="FQ41" s="9">
        <v>0</v>
      </c>
      <c r="FR41" s="7">
        <v>0</v>
      </c>
      <c r="FS41" s="8">
        <v>0</v>
      </c>
      <c r="FT41" s="9">
        <v>0</v>
      </c>
      <c r="FU41" s="7">
        <v>0</v>
      </c>
      <c r="FV41" s="8">
        <v>0</v>
      </c>
      <c r="FW41" s="9">
        <v>0</v>
      </c>
      <c r="FX41" s="7">
        <v>0</v>
      </c>
      <c r="FY41" s="8">
        <v>2160000</v>
      </c>
      <c r="FZ41" s="9">
        <v>0</v>
      </c>
      <c r="GA41" s="7">
        <v>0</v>
      </c>
      <c r="GB41" s="8">
        <v>0</v>
      </c>
      <c r="GC41" s="9">
        <v>0</v>
      </c>
      <c r="GD41" s="7">
        <v>0</v>
      </c>
      <c r="GE41" s="8">
        <v>0</v>
      </c>
      <c r="GF41" s="9">
        <v>0</v>
      </c>
      <c r="GG41" s="7">
        <v>0</v>
      </c>
      <c r="GH41" s="8">
        <v>0</v>
      </c>
      <c r="GI41" s="9">
        <v>0</v>
      </c>
      <c r="GJ41" s="7">
        <v>0</v>
      </c>
      <c r="GK41" s="8">
        <v>0</v>
      </c>
      <c r="GL41" s="9">
        <v>0</v>
      </c>
      <c r="GM41" s="7">
        <v>0</v>
      </c>
      <c r="GN41" s="8">
        <v>0</v>
      </c>
      <c r="GO41" s="9">
        <v>0</v>
      </c>
      <c r="GP41" s="7">
        <v>0</v>
      </c>
      <c r="GQ41" s="8">
        <v>0</v>
      </c>
      <c r="GR41" s="9">
        <v>0</v>
      </c>
      <c r="GS41" s="7">
        <v>0</v>
      </c>
      <c r="GT41" s="8">
        <v>0</v>
      </c>
      <c r="GU41" s="9">
        <v>0</v>
      </c>
      <c r="GV41" s="7">
        <v>0</v>
      </c>
      <c r="GW41" s="8">
        <v>0</v>
      </c>
      <c r="GX41" s="9">
        <v>0</v>
      </c>
      <c r="GY41" s="7">
        <v>0</v>
      </c>
      <c r="GZ41" s="8">
        <v>0</v>
      </c>
      <c r="HA41" s="9">
        <v>0</v>
      </c>
      <c r="HB41" s="7">
        <v>0</v>
      </c>
      <c r="HC41" s="8">
        <v>0</v>
      </c>
      <c r="HD41" s="9">
        <v>0</v>
      </c>
      <c r="HE41" s="7">
        <v>0</v>
      </c>
      <c r="HF41" s="8">
        <v>0</v>
      </c>
      <c r="HG41" s="9">
        <v>0</v>
      </c>
      <c r="HH41" s="7">
        <v>0</v>
      </c>
      <c r="HI41" s="8">
        <v>0</v>
      </c>
      <c r="HJ41" s="9">
        <v>0</v>
      </c>
      <c r="HK41" s="7">
        <v>0</v>
      </c>
      <c r="HL41" s="8">
        <v>0</v>
      </c>
      <c r="HM41" s="9">
        <v>0</v>
      </c>
      <c r="HN41" s="7">
        <v>0</v>
      </c>
      <c r="HO41" s="8">
        <v>0</v>
      </c>
      <c r="HP41" s="9">
        <v>0</v>
      </c>
    </row>
    <row r="42" spans="1:224" x14ac:dyDescent="0.25">
      <c r="A42" s="23" t="s">
        <v>221</v>
      </c>
      <c r="B42" s="26" t="s">
        <v>222</v>
      </c>
      <c r="C42" s="7">
        <v>-187234345.30000001</v>
      </c>
      <c r="D42" s="8">
        <v>-186118555.40437201</v>
      </c>
      <c r="E42" s="9">
        <v>-197479135</v>
      </c>
      <c r="F42" s="7">
        <v>-488023.94</v>
      </c>
      <c r="G42" s="8">
        <v>-499999.99999998597</v>
      </c>
      <c r="H42" s="9">
        <v>-480000</v>
      </c>
      <c r="I42" s="7">
        <v>-136583.9</v>
      </c>
      <c r="J42" s="8">
        <v>-143999.999999978</v>
      </c>
      <c r="K42" s="9">
        <v>-170000</v>
      </c>
      <c r="L42" s="7">
        <v>-115869.11</v>
      </c>
      <c r="M42" s="8">
        <v>-114999.999999979</v>
      </c>
      <c r="N42" s="9">
        <v>-115000</v>
      </c>
      <c r="O42" s="7">
        <v>-52027.87</v>
      </c>
      <c r="P42" s="8">
        <v>-54999.999999981002</v>
      </c>
      <c r="Q42" s="9">
        <v>-50000</v>
      </c>
      <c r="R42" s="7">
        <v>-10136.48</v>
      </c>
      <c r="S42" s="8">
        <v>-9999.9999999949996</v>
      </c>
      <c r="T42" s="9">
        <v>-10000</v>
      </c>
      <c r="U42" s="7">
        <v>-12884.74</v>
      </c>
      <c r="V42" s="8">
        <v>-9999.9999999989996</v>
      </c>
      <c r="W42" s="9">
        <v>-10000</v>
      </c>
      <c r="X42" s="7">
        <v>-726136.07</v>
      </c>
      <c r="Y42" s="8">
        <v>-1120199.99999999</v>
      </c>
      <c r="Z42" s="9">
        <v>-1200000</v>
      </c>
      <c r="AA42" s="7">
        <v>-1644007.97</v>
      </c>
      <c r="AB42" s="8">
        <v>-1700327.9220878901</v>
      </c>
      <c r="AC42" s="9">
        <v>-1500000</v>
      </c>
      <c r="AD42" s="7">
        <v>-595859.49</v>
      </c>
      <c r="AE42" s="8">
        <v>-635533.30068557698</v>
      </c>
      <c r="AF42" s="9">
        <v>-700000</v>
      </c>
      <c r="AG42" s="7">
        <v>-642307.07999999996</v>
      </c>
      <c r="AH42" s="8">
        <v>-649999.99999997404</v>
      </c>
      <c r="AI42" s="9">
        <v>-800000</v>
      </c>
      <c r="AJ42" s="7">
        <v>-12739.49</v>
      </c>
      <c r="AK42" s="8">
        <v>-9999.9999999970005</v>
      </c>
      <c r="AL42" s="9">
        <v>0</v>
      </c>
      <c r="AM42" s="7">
        <v>-32273.7</v>
      </c>
      <c r="AN42" s="8">
        <v>-34999.999999995001</v>
      </c>
      <c r="AO42" s="9">
        <v>-35000</v>
      </c>
      <c r="AP42" s="7">
        <v>-1166.24</v>
      </c>
      <c r="AQ42" s="8">
        <v>-2999.999999999</v>
      </c>
      <c r="AR42" s="9">
        <v>-3000</v>
      </c>
      <c r="AS42" s="7">
        <v>0</v>
      </c>
      <c r="AT42" s="8">
        <v>0</v>
      </c>
      <c r="AU42" s="9">
        <v>0</v>
      </c>
      <c r="AV42" s="7">
        <v>0</v>
      </c>
      <c r="AW42" s="8">
        <v>0</v>
      </c>
      <c r="AX42" s="9">
        <v>0</v>
      </c>
      <c r="AY42" s="7">
        <v>-81345.69</v>
      </c>
      <c r="AZ42" s="8">
        <v>-89999.999999983003</v>
      </c>
      <c r="BA42" s="9">
        <v>-81000</v>
      </c>
      <c r="BB42" s="7">
        <v>-44775.28</v>
      </c>
      <c r="BC42" s="8">
        <v>-44999.999999988002</v>
      </c>
      <c r="BD42" s="9">
        <v>-55000</v>
      </c>
      <c r="BE42" s="7">
        <v>-1471.8</v>
      </c>
      <c r="BF42" s="8">
        <v>-32000</v>
      </c>
      <c r="BG42" s="9">
        <v>-32000</v>
      </c>
      <c r="BH42" s="7">
        <v>-17520.919999999998</v>
      </c>
      <c r="BI42" s="8">
        <v>-16999.999999994001</v>
      </c>
      <c r="BJ42" s="9">
        <v>-17000</v>
      </c>
      <c r="BK42" s="7">
        <v>-54441.279999999999</v>
      </c>
      <c r="BL42" s="8">
        <v>-64999.999999995001</v>
      </c>
      <c r="BM42" s="9">
        <v>-70000</v>
      </c>
      <c r="BN42" s="7">
        <v>-50917.89</v>
      </c>
      <c r="BO42" s="8">
        <v>-44999.999999986998</v>
      </c>
      <c r="BP42" s="9">
        <v>-45000</v>
      </c>
      <c r="BQ42" s="7">
        <v>-624.41999999999996</v>
      </c>
      <c r="BR42" s="8">
        <v>-3000</v>
      </c>
      <c r="BS42" s="9">
        <v>-1500</v>
      </c>
      <c r="BT42" s="7">
        <v>0</v>
      </c>
      <c r="BU42" s="8">
        <v>0</v>
      </c>
      <c r="BV42" s="9">
        <v>-500</v>
      </c>
      <c r="BW42" s="7">
        <v>0</v>
      </c>
      <c r="BX42" s="8">
        <v>0</v>
      </c>
      <c r="BY42" s="9">
        <v>0</v>
      </c>
      <c r="BZ42" s="7">
        <v>-2649.25</v>
      </c>
      <c r="CA42" s="8">
        <v>-12000</v>
      </c>
      <c r="CB42" s="9">
        <v>-12000</v>
      </c>
      <c r="CC42" s="7">
        <v>-4404.3999999999996</v>
      </c>
      <c r="CD42" s="8">
        <v>-5000</v>
      </c>
      <c r="CE42" s="9">
        <v>-5000</v>
      </c>
      <c r="CF42" s="7">
        <v>-4386018.72</v>
      </c>
      <c r="CG42" s="8">
        <v>-3200000</v>
      </c>
      <c r="CH42" s="9">
        <v>-4500000</v>
      </c>
      <c r="CI42" s="7">
        <v>0</v>
      </c>
      <c r="CJ42" s="8">
        <v>0</v>
      </c>
      <c r="CK42" s="9">
        <v>0</v>
      </c>
      <c r="CL42" s="7">
        <v>-8342.82</v>
      </c>
      <c r="CM42" s="8">
        <v>-14999.999999991</v>
      </c>
      <c r="CN42" s="9">
        <v>-15000</v>
      </c>
      <c r="CO42" s="7">
        <v>-25827848.239999998</v>
      </c>
      <c r="CP42" s="8">
        <v>-26399687.813686799</v>
      </c>
      <c r="CQ42" s="9">
        <v>-29550000</v>
      </c>
      <c r="CR42" s="7">
        <v>-65290119.07</v>
      </c>
      <c r="CS42" s="8">
        <v>-66749719.126359403</v>
      </c>
      <c r="CT42" s="9">
        <v>-70000000</v>
      </c>
      <c r="CU42" s="7">
        <v>0</v>
      </c>
      <c r="CV42" s="8">
        <v>0</v>
      </c>
      <c r="CW42" s="9">
        <v>0</v>
      </c>
      <c r="CX42" s="7">
        <v>-15941859.59</v>
      </c>
      <c r="CY42" s="8">
        <v>-15200000</v>
      </c>
      <c r="CZ42" s="9">
        <v>-15150000</v>
      </c>
      <c r="DA42" s="7">
        <v>0</v>
      </c>
      <c r="DB42" s="8">
        <v>0</v>
      </c>
      <c r="DC42" s="9">
        <v>0</v>
      </c>
      <c r="DD42" s="7">
        <v>-4450927.38</v>
      </c>
      <c r="DE42" s="8">
        <v>-4564999.9999999898</v>
      </c>
      <c r="DF42" s="9">
        <v>-6300000</v>
      </c>
      <c r="DG42" s="7">
        <v>-622714.9</v>
      </c>
      <c r="DH42" s="8">
        <v>-630999.99999999697</v>
      </c>
      <c r="DI42" s="9">
        <v>-700000</v>
      </c>
      <c r="DJ42" s="7">
        <v>0</v>
      </c>
      <c r="DK42" s="8">
        <v>0</v>
      </c>
      <c r="DL42" s="9">
        <v>0</v>
      </c>
      <c r="DM42" s="7">
        <v>-28368917.899999999</v>
      </c>
      <c r="DN42" s="8">
        <v>-28854000</v>
      </c>
      <c r="DO42" s="9">
        <v>-29431000</v>
      </c>
      <c r="DP42" s="7">
        <v>-26998394.629999999</v>
      </c>
      <c r="DQ42" s="8">
        <v>-27814920.5748858</v>
      </c>
      <c r="DR42" s="9">
        <v>-28300000</v>
      </c>
      <c r="DS42" s="7">
        <v>0</v>
      </c>
      <c r="DT42" s="8">
        <v>0</v>
      </c>
      <c r="DU42" s="9">
        <v>0</v>
      </c>
      <c r="DV42" s="7">
        <v>-5184790.24</v>
      </c>
      <c r="DW42" s="8">
        <v>-5279999.9999999898</v>
      </c>
      <c r="DX42" s="9">
        <v>-5930000</v>
      </c>
      <c r="DY42" s="7">
        <v>0</v>
      </c>
      <c r="DZ42" s="8">
        <v>0</v>
      </c>
      <c r="EA42" s="9">
        <v>0</v>
      </c>
      <c r="EB42" s="7">
        <v>0</v>
      </c>
      <c r="EC42" s="8">
        <v>0</v>
      </c>
      <c r="ED42" s="9">
        <v>0</v>
      </c>
      <c r="EE42" s="7">
        <v>0</v>
      </c>
      <c r="EF42" s="8">
        <v>0</v>
      </c>
      <c r="EG42" s="9">
        <v>0</v>
      </c>
      <c r="EH42" s="7">
        <v>-42054.84</v>
      </c>
      <c r="EI42" s="8">
        <v>-24999.999999993001</v>
      </c>
      <c r="EJ42" s="9">
        <v>-11454</v>
      </c>
      <c r="EK42" s="7">
        <v>-1060599.1100000001</v>
      </c>
      <c r="EL42" s="8">
        <v>-1019999.99999998</v>
      </c>
      <c r="EM42" s="9">
        <v>-1012000</v>
      </c>
      <c r="EN42" s="7">
        <v>0</v>
      </c>
      <c r="EO42" s="8">
        <v>0</v>
      </c>
      <c r="EP42" s="9">
        <v>0</v>
      </c>
      <c r="EQ42" s="7">
        <v>0</v>
      </c>
      <c r="ER42" s="8">
        <v>0</v>
      </c>
      <c r="ES42" s="9">
        <v>0</v>
      </c>
      <c r="ET42" s="7">
        <v>-52811.57</v>
      </c>
      <c r="EU42" s="8">
        <v>-61999.999999993997</v>
      </c>
      <c r="EV42" s="9">
        <v>0</v>
      </c>
      <c r="EW42" s="7">
        <v>0</v>
      </c>
      <c r="EX42" s="8">
        <v>0</v>
      </c>
      <c r="EY42" s="9">
        <v>0</v>
      </c>
      <c r="EZ42" s="7">
        <v>0</v>
      </c>
      <c r="FA42" s="8">
        <v>0</v>
      </c>
      <c r="FB42" s="9">
        <v>0</v>
      </c>
      <c r="FC42" s="7">
        <v>-469354.57</v>
      </c>
      <c r="FD42" s="8">
        <v>-449999.999999994</v>
      </c>
      <c r="FE42" s="9">
        <v>-433000</v>
      </c>
      <c r="FF42" s="7">
        <v>-782113.37</v>
      </c>
      <c r="FG42" s="8">
        <v>-799999.99999998801</v>
      </c>
      <c r="FH42" s="9">
        <v>-754681</v>
      </c>
      <c r="FI42" s="7">
        <v>0</v>
      </c>
      <c r="FJ42" s="8">
        <v>0</v>
      </c>
      <c r="FK42" s="9">
        <v>0</v>
      </c>
      <c r="FL42" s="7">
        <v>-34943.25</v>
      </c>
      <c r="FM42" s="8">
        <v>0</v>
      </c>
      <c r="FN42" s="9">
        <v>0</v>
      </c>
      <c r="FO42" s="7">
        <v>-2669805.34</v>
      </c>
      <c r="FP42" s="8">
        <v>-4761000</v>
      </c>
      <c r="FQ42" s="9">
        <v>0</v>
      </c>
      <c r="FR42" s="7">
        <v>-314562.75</v>
      </c>
      <c r="FS42" s="8">
        <v>0</v>
      </c>
      <c r="FT42" s="9">
        <v>0</v>
      </c>
      <c r="FU42" s="7">
        <v>0</v>
      </c>
      <c r="FV42" s="8">
        <v>0</v>
      </c>
      <c r="FW42" s="9">
        <v>0</v>
      </c>
      <c r="FX42" s="7">
        <v>0</v>
      </c>
      <c r="FY42" s="8">
        <v>5010833.3333333302</v>
      </c>
      <c r="FZ42" s="9">
        <v>0</v>
      </c>
      <c r="GA42" s="7">
        <v>0</v>
      </c>
      <c r="GB42" s="8">
        <v>0</v>
      </c>
      <c r="GC42" s="9">
        <v>0</v>
      </c>
      <c r="GD42" s="7">
        <v>0</v>
      </c>
      <c r="GE42" s="8">
        <v>0</v>
      </c>
      <c r="GF42" s="9">
        <v>0</v>
      </c>
      <c r="GG42" s="7">
        <v>0</v>
      </c>
      <c r="GH42" s="8">
        <v>0</v>
      </c>
      <c r="GI42" s="9">
        <v>0</v>
      </c>
      <c r="GJ42" s="7">
        <v>0</v>
      </c>
      <c r="GK42" s="8">
        <v>0</v>
      </c>
      <c r="GL42" s="9">
        <v>0</v>
      </c>
      <c r="GM42" s="7">
        <v>0</v>
      </c>
      <c r="GN42" s="8">
        <v>0</v>
      </c>
      <c r="GO42" s="9">
        <v>0</v>
      </c>
      <c r="GP42" s="7">
        <v>0</v>
      </c>
      <c r="GQ42" s="8">
        <v>0</v>
      </c>
      <c r="GR42" s="9">
        <v>0</v>
      </c>
      <c r="GS42" s="7">
        <v>0</v>
      </c>
      <c r="GT42" s="8">
        <v>0</v>
      </c>
      <c r="GU42" s="9">
        <v>0</v>
      </c>
      <c r="GV42" s="7">
        <v>0</v>
      </c>
      <c r="GW42" s="8">
        <v>0</v>
      </c>
      <c r="GX42" s="9">
        <v>0</v>
      </c>
      <c r="GY42" s="7">
        <v>0</v>
      </c>
      <c r="GZ42" s="8">
        <v>0</v>
      </c>
      <c r="HA42" s="9">
        <v>0</v>
      </c>
      <c r="HB42" s="7">
        <v>0</v>
      </c>
      <c r="HC42" s="8">
        <v>0</v>
      </c>
      <c r="HD42" s="9">
        <v>0</v>
      </c>
      <c r="HE42" s="7">
        <v>0</v>
      </c>
      <c r="HF42" s="8">
        <v>0</v>
      </c>
      <c r="HG42" s="9">
        <v>0</v>
      </c>
      <c r="HH42" s="7">
        <v>0</v>
      </c>
      <c r="HI42" s="8">
        <v>0</v>
      </c>
      <c r="HJ42" s="9">
        <v>0</v>
      </c>
      <c r="HK42" s="7">
        <v>0</v>
      </c>
      <c r="HL42" s="8">
        <v>0</v>
      </c>
      <c r="HM42" s="9">
        <v>0</v>
      </c>
      <c r="HN42" s="7">
        <v>0</v>
      </c>
      <c r="HO42" s="8">
        <v>0</v>
      </c>
      <c r="HP42" s="9">
        <v>0</v>
      </c>
    </row>
    <row r="43" spans="1:224" x14ac:dyDescent="0.25">
      <c r="A43" s="23" t="s">
        <v>223</v>
      </c>
      <c r="B43" s="26" t="s">
        <v>224</v>
      </c>
      <c r="C43" s="7">
        <v>-1323719.8600000001</v>
      </c>
      <c r="D43" s="8">
        <v>-1185999.99999999</v>
      </c>
      <c r="E43" s="9">
        <v>-1025850</v>
      </c>
      <c r="F43" s="7">
        <v>0</v>
      </c>
      <c r="G43" s="8">
        <v>0</v>
      </c>
      <c r="H43" s="9">
        <v>0</v>
      </c>
      <c r="I43" s="7">
        <v>-2530.36</v>
      </c>
      <c r="J43" s="8">
        <v>-5000</v>
      </c>
      <c r="K43" s="9">
        <v>-4000</v>
      </c>
      <c r="L43" s="7">
        <v>-1034318.09</v>
      </c>
      <c r="M43" s="8">
        <v>-979999.99999999604</v>
      </c>
      <c r="N43" s="9">
        <v>-1016000</v>
      </c>
      <c r="O43" s="7">
        <v>0</v>
      </c>
      <c r="P43" s="8">
        <v>0</v>
      </c>
      <c r="Q43" s="9">
        <v>0</v>
      </c>
      <c r="R43" s="7">
        <v>-286238.82</v>
      </c>
      <c r="S43" s="8">
        <v>-126999.99999999801</v>
      </c>
      <c r="T43" s="9">
        <v>0</v>
      </c>
      <c r="U43" s="7">
        <v>0</v>
      </c>
      <c r="V43" s="8">
        <v>0</v>
      </c>
      <c r="W43" s="9">
        <v>0</v>
      </c>
      <c r="X43" s="7">
        <v>0</v>
      </c>
      <c r="Y43" s="8">
        <v>0</v>
      </c>
      <c r="Z43" s="9">
        <v>-5000</v>
      </c>
      <c r="AA43" s="7">
        <v>0</v>
      </c>
      <c r="AB43" s="8">
        <v>0</v>
      </c>
      <c r="AC43" s="9">
        <v>0</v>
      </c>
      <c r="AD43" s="7">
        <v>0</v>
      </c>
      <c r="AE43" s="8">
        <v>0</v>
      </c>
      <c r="AF43" s="9">
        <v>0</v>
      </c>
      <c r="AG43" s="7">
        <v>-632.59</v>
      </c>
      <c r="AH43" s="8">
        <v>-1000</v>
      </c>
      <c r="AI43" s="9">
        <v>0</v>
      </c>
      <c r="AJ43" s="7">
        <v>0</v>
      </c>
      <c r="AK43" s="8">
        <v>0</v>
      </c>
      <c r="AL43" s="9">
        <v>0</v>
      </c>
      <c r="AM43" s="7">
        <v>0</v>
      </c>
      <c r="AN43" s="8">
        <v>0</v>
      </c>
      <c r="AO43" s="9">
        <v>0</v>
      </c>
      <c r="AP43" s="7">
        <v>0</v>
      </c>
      <c r="AQ43" s="8">
        <v>0</v>
      </c>
      <c r="AR43" s="9">
        <v>0</v>
      </c>
      <c r="AS43" s="7">
        <v>0</v>
      </c>
      <c r="AT43" s="8">
        <v>0</v>
      </c>
      <c r="AU43" s="9">
        <v>0</v>
      </c>
      <c r="AV43" s="7">
        <v>0</v>
      </c>
      <c r="AW43" s="8">
        <v>0</v>
      </c>
      <c r="AX43" s="9">
        <v>0</v>
      </c>
      <c r="AY43" s="7">
        <v>0</v>
      </c>
      <c r="AZ43" s="8">
        <v>0</v>
      </c>
      <c r="BA43" s="9">
        <v>-850</v>
      </c>
      <c r="BB43" s="7">
        <v>0</v>
      </c>
      <c r="BC43" s="8">
        <v>0</v>
      </c>
      <c r="BD43" s="9">
        <v>0</v>
      </c>
      <c r="BE43" s="7">
        <v>0</v>
      </c>
      <c r="BF43" s="8">
        <v>0</v>
      </c>
      <c r="BG43" s="9">
        <v>0</v>
      </c>
      <c r="BH43" s="7">
        <v>0</v>
      </c>
      <c r="BI43" s="8">
        <v>0</v>
      </c>
      <c r="BJ43" s="9">
        <v>0</v>
      </c>
      <c r="BK43" s="7">
        <v>0</v>
      </c>
      <c r="BL43" s="8">
        <v>0</v>
      </c>
      <c r="BM43" s="9">
        <v>0</v>
      </c>
      <c r="BN43" s="7">
        <v>0</v>
      </c>
      <c r="BO43" s="8">
        <v>0</v>
      </c>
      <c r="BP43" s="9">
        <v>0</v>
      </c>
      <c r="BQ43" s="7">
        <v>0</v>
      </c>
      <c r="BR43" s="8">
        <v>0</v>
      </c>
      <c r="BS43" s="9">
        <v>0</v>
      </c>
      <c r="BT43" s="7">
        <v>0</v>
      </c>
      <c r="BU43" s="8">
        <v>0</v>
      </c>
      <c r="BV43" s="9">
        <v>0</v>
      </c>
      <c r="BW43" s="7">
        <v>0</v>
      </c>
      <c r="BX43" s="8">
        <v>0</v>
      </c>
      <c r="BY43" s="9">
        <v>0</v>
      </c>
      <c r="BZ43" s="7">
        <v>0</v>
      </c>
      <c r="CA43" s="8">
        <v>0</v>
      </c>
      <c r="CB43" s="9">
        <v>0</v>
      </c>
      <c r="CC43" s="7">
        <v>0</v>
      </c>
      <c r="CD43" s="8">
        <v>0</v>
      </c>
      <c r="CE43" s="9">
        <v>0</v>
      </c>
      <c r="CF43" s="7">
        <v>0</v>
      </c>
      <c r="CG43" s="8">
        <v>0</v>
      </c>
      <c r="CH43" s="9">
        <v>0</v>
      </c>
      <c r="CI43" s="7">
        <v>0</v>
      </c>
      <c r="CJ43" s="8">
        <v>0</v>
      </c>
      <c r="CK43" s="9">
        <v>0</v>
      </c>
      <c r="CL43" s="7">
        <v>0</v>
      </c>
      <c r="CM43" s="8">
        <v>0</v>
      </c>
      <c r="CN43" s="9">
        <v>0</v>
      </c>
      <c r="CO43" s="7">
        <v>0</v>
      </c>
      <c r="CP43" s="8">
        <v>0</v>
      </c>
      <c r="CQ43" s="9">
        <v>0</v>
      </c>
      <c r="CR43" s="7">
        <v>0</v>
      </c>
      <c r="CS43" s="8">
        <v>0</v>
      </c>
      <c r="CT43" s="9">
        <v>0</v>
      </c>
      <c r="CU43" s="7">
        <v>0</v>
      </c>
      <c r="CV43" s="8">
        <v>0</v>
      </c>
      <c r="CW43" s="9">
        <v>0</v>
      </c>
      <c r="CX43" s="7">
        <v>0</v>
      </c>
      <c r="CY43" s="8">
        <v>0</v>
      </c>
      <c r="CZ43" s="9">
        <v>0</v>
      </c>
      <c r="DA43" s="7">
        <v>0</v>
      </c>
      <c r="DB43" s="8">
        <v>0</v>
      </c>
      <c r="DC43" s="9">
        <v>0</v>
      </c>
      <c r="DD43" s="7">
        <v>0</v>
      </c>
      <c r="DE43" s="8">
        <v>0</v>
      </c>
      <c r="DF43" s="9">
        <v>0</v>
      </c>
      <c r="DG43" s="7">
        <v>0</v>
      </c>
      <c r="DH43" s="8">
        <v>0</v>
      </c>
      <c r="DI43" s="9">
        <v>0</v>
      </c>
      <c r="DJ43" s="7">
        <v>0</v>
      </c>
      <c r="DK43" s="8">
        <v>0</v>
      </c>
      <c r="DL43" s="9">
        <v>0</v>
      </c>
      <c r="DM43" s="7">
        <v>0</v>
      </c>
      <c r="DN43" s="8">
        <v>0</v>
      </c>
      <c r="DO43" s="9">
        <v>0</v>
      </c>
      <c r="DP43" s="7">
        <v>0</v>
      </c>
      <c r="DQ43" s="8">
        <v>0</v>
      </c>
      <c r="DR43" s="9">
        <v>0</v>
      </c>
      <c r="DS43" s="7">
        <v>0</v>
      </c>
      <c r="DT43" s="8">
        <v>0</v>
      </c>
      <c r="DU43" s="9">
        <v>0</v>
      </c>
      <c r="DV43" s="7">
        <v>0</v>
      </c>
      <c r="DW43" s="8">
        <v>0</v>
      </c>
      <c r="DX43" s="9">
        <v>0</v>
      </c>
      <c r="DY43" s="7">
        <v>0</v>
      </c>
      <c r="DZ43" s="8">
        <v>0</v>
      </c>
      <c r="EA43" s="9">
        <v>0</v>
      </c>
      <c r="EB43" s="7">
        <v>0</v>
      </c>
      <c r="EC43" s="8">
        <v>0</v>
      </c>
      <c r="ED43" s="9">
        <v>0</v>
      </c>
      <c r="EE43" s="7">
        <v>0</v>
      </c>
      <c r="EF43" s="8">
        <v>0</v>
      </c>
      <c r="EG43" s="9">
        <v>0</v>
      </c>
      <c r="EH43" s="7">
        <v>0</v>
      </c>
      <c r="EI43" s="8">
        <v>0</v>
      </c>
      <c r="EJ43" s="9">
        <v>0</v>
      </c>
      <c r="EK43" s="7">
        <v>0</v>
      </c>
      <c r="EL43" s="8">
        <v>0</v>
      </c>
      <c r="EM43" s="9">
        <v>0</v>
      </c>
      <c r="EN43" s="7">
        <v>0</v>
      </c>
      <c r="EO43" s="8">
        <v>0</v>
      </c>
      <c r="EP43" s="9">
        <v>0</v>
      </c>
      <c r="EQ43" s="7">
        <v>0</v>
      </c>
      <c r="ER43" s="8">
        <v>0</v>
      </c>
      <c r="ES43" s="9">
        <v>0</v>
      </c>
      <c r="ET43" s="7">
        <v>0</v>
      </c>
      <c r="EU43" s="8">
        <v>0</v>
      </c>
      <c r="EV43" s="9">
        <v>0</v>
      </c>
      <c r="EW43" s="7">
        <v>0</v>
      </c>
      <c r="EX43" s="8">
        <v>0</v>
      </c>
      <c r="EY43" s="9">
        <v>0</v>
      </c>
      <c r="EZ43" s="7">
        <v>0</v>
      </c>
      <c r="FA43" s="8">
        <v>0</v>
      </c>
      <c r="FB43" s="9">
        <v>0</v>
      </c>
      <c r="FC43" s="7">
        <v>0</v>
      </c>
      <c r="FD43" s="8">
        <v>0</v>
      </c>
      <c r="FE43" s="9">
        <v>0</v>
      </c>
      <c r="FF43" s="7">
        <v>0</v>
      </c>
      <c r="FG43" s="8">
        <v>0</v>
      </c>
      <c r="FH43" s="9">
        <v>0</v>
      </c>
      <c r="FI43" s="7">
        <v>0</v>
      </c>
      <c r="FJ43" s="8">
        <v>0</v>
      </c>
      <c r="FK43" s="9">
        <v>0</v>
      </c>
      <c r="FL43" s="7">
        <v>0</v>
      </c>
      <c r="FM43" s="8">
        <v>0</v>
      </c>
      <c r="FN43" s="9">
        <v>0</v>
      </c>
      <c r="FO43" s="7">
        <v>0</v>
      </c>
      <c r="FP43" s="8">
        <v>0</v>
      </c>
      <c r="FQ43" s="9">
        <v>0</v>
      </c>
      <c r="FR43" s="7">
        <v>0</v>
      </c>
      <c r="FS43" s="8">
        <v>0</v>
      </c>
      <c r="FT43" s="9">
        <v>0</v>
      </c>
      <c r="FU43" s="7">
        <v>0</v>
      </c>
      <c r="FV43" s="8">
        <v>0</v>
      </c>
      <c r="FW43" s="9">
        <v>0</v>
      </c>
      <c r="FX43" s="7">
        <v>0</v>
      </c>
      <c r="FY43" s="8">
        <v>-73000</v>
      </c>
      <c r="FZ43" s="9">
        <v>0</v>
      </c>
      <c r="GA43" s="7">
        <v>0</v>
      </c>
      <c r="GB43" s="8">
        <v>0</v>
      </c>
      <c r="GC43" s="9">
        <v>0</v>
      </c>
      <c r="GD43" s="7">
        <v>0</v>
      </c>
      <c r="GE43" s="8">
        <v>0</v>
      </c>
      <c r="GF43" s="9">
        <v>0</v>
      </c>
      <c r="GG43" s="7">
        <v>0</v>
      </c>
      <c r="GH43" s="8">
        <v>0</v>
      </c>
      <c r="GI43" s="9">
        <v>0</v>
      </c>
      <c r="GJ43" s="7">
        <v>0</v>
      </c>
      <c r="GK43" s="8">
        <v>0</v>
      </c>
      <c r="GL43" s="9">
        <v>0</v>
      </c>
      <c r="GM43" s="7">
        <v>0</v>
      </c>
      <c r="GN43" s="8">
        <v>0</v>
      </c>
      <c r="GO43" s="9">
        <v>0</v>
      </c>
      <c r="GP43" s="7">
        <v>0</v>
      </c>
      <c r="GQ43" s="8">
        <v>0</v>
      </c>
      <c r="GR43" s="9">
        <v>0</v>
      </c>
      <c r="GS43" s="7">
        <v>0</v>
      </c>
      <c r="GT43" s="8">
        <v>0</v>
      </c>
      <c r="GU43" s="9">
        <v>0</v>
      </c>
      <c r="GV43" s="7">
        <v>0</v>
      </c>
      <c r="GW43" s="8">
        <v>0</v>
      </c>
      <c r="GX43" s="9">
        <v>0</v>
      </c>
      <c r="GY43" s="7">
        <v>0</v>
      </c>
      <c r="GZ43" s="8">
        <v>0</v>
      </c>
      <c r="HA43" s="9">
        <v>0</v>
      </c>
      <c r="HB43" s="7">
        <v>0</v>
      </c>
      <c r="HC43" s="8">
        <v>0</v>
      </c>
      <c r="HD43" s="9">
        <v>0</v>
      </c>
      <c r="HE43" s="7">
        <v>0</v>
      </c>
      <c r="HF43" s="8">
        <v>0</v>
      </c>
      <c r="HG43" s="9">
        <v>0</v>
      </c>
      <c r="HH43" s="7">
        <v>0</v>
      </c>
      <c r="HI43" s="8">
        <v>0</v>
      </c>
      <c r="HJ43" s="9">
        <v>0</v>
      </c>
      <c r="HK43" s="7">
        <v>0</v>
      </c>
      <c r="HL43" s="8">
        <v>0</v>
      </c>
      <c r="HM43" s="9">
        <v>0</v>
      </c>
      <c r="HN43" s="7">
        <v>0</v>
      </c>
      <c r="HO43" s="8">
        <v>0</v>
      </c>
      <c r="HP43" s="9">
        <v>0</v>
      </c>
    </row>
    <row r="44" spans="1:224" x14ac:dyDescent="0.25">
      <c r="A44" s="23" t="s">
        <v>225</v>
      </c>
      <c r="B44" s="26" t="s">
        <v>226</v>
      </c>
      <c r="C44" s="7">
        <v>-6443508.0099999998</v>
      </c>
      <c r="D44" s="8">
        <v>-5600265.9334926</v>
      </c>
      <c r="E44" s="9">
        <v>-5971346</v>
      </c>
      <c r="F44" s="7">
        <v>-376.44</v>
      </c>
      <c r="G44" s="8">
        <v>0</v>
      </c>
      <c r="H44" s="9">
        <v>-420</v>
      </c>
      <c r="I44" s="7">
        <v>-2928.74</v>
      </c>
      <c r="J44" s="8">
        <v>-3999.9999999950001</v>
      </c>
      <c r="K44" s="9">
        <v>-25000</v>
      </c>
      <c r="L44" s="7">
        <v>-1805.04</v>
      </c>
      <c r="M44" s="8">
        <v>-1999.9999999950001</v>
      </c>
      <c r="N44" s="9">
        <v>-2000</v>
      </c>
      <c r="O44" s="7">
        <v>-1420.89</v>
      </c>
      <c r="P44" s="8">
        <v>-4999.9999999969996</v>
      </c>
      <c r="Q44" s="9">
        <v>-1500</v>
      </c>
      <c r="R44" s="7">
        <v>0</v>
      </c>
      <c r="S44" s="8">
        <v>0</v>
      </c>
      <c r="T44" s="9">
        <v>0</v>
      </c>
      <c r="U44" s="7">
        <v>-471.4</v>
      </c>
      <c r="V44" s="8">
        <v>-1000</v>
      </c>
      <c r="W44" s="9">
        <v>-1000</v>
      </c>
      <c r="X44" s="7">
        <v>-3914.36</v>
      </c>
      <c r="Y44" s="8">
        <v>-3999.999999999</v>
      </c>
      <c r="Z44" s="9">
        <v>-3500</v>
      </c>
      <c r="AA44" s="7">
        <v>-697602.01</v>
      </c>
      <c r="AB44" s="8">
        <v>-639999.99999999697</v>
      </c>
      <c r="AC44" s="9">
        <v>-600000</v>
      </c>
      <c r="AD44" s="7">
        <v>0</v>
      </c>
      <c r="AE44" s="8">
        <v>0</v>
      </c>
      <c r="AF44" s="9">
        <v>0</v>
      </c>
      <c r="AG44" s="7">
        <v>-3570.69</v>
      </c>
      <c r="AH44" s="8">
        <v>-4999.999999996</v>
      </c>
      <c r="AI44" s="9">
        <v>-5000</v>
      </c>
      <c r="AJ44" s="7">
        <v>0</v>
      </c>
      <c r="AK44" s="8">
        <v>0</v>
      </c>
      <c r="AL44" s="9">
        <v>0</v>
      </c>
      <c r="AM44" s="7">
        <v>0</v>
      </c>
      <c r="AN44" s="8">
        <v>0</v>
      </c>
      <c r="AO44" s="9">
        <v>0</v>
      </c>
      <c r="AP44" s="7">
        <v>-294.02999999999997</v>
      </c>
      <c r="AQ44" s="8">
        <v>0</v>
      </c>
      <c r="AR44" s="9">
        <v>-2000</v>
      </c>
      <c r="AS44" s="7">
        <v>-817.46</v>
      </c>
      <c r="AT44" s="8">
        <v>-2999.999999999</v>
      </c>
      <c r="AU44" s="9">
        <v>-1000</v>
      </c>
      <c r="AV44" s="7">
        <v>0</v>
      </c>
      <c r="AW44" s="8">
        <v>0</v>
      </c>
      <c r="AX44" s="9">
        <v>0</v>
      </c>
      <c r="AY44" s="7">
        <v>-10117.120000000001</v>
      </c>
      <c r="AZ44" s="8">
        <v>-14999.999999989001</v>
      </c>
      <c r="BA44" s="9">
        <v>-12100</v>
      </c>
      <c r="BB44" s="7">
        <v>-7147.48</v>
      </c>
      <c r="BC44" s="8">
        <v>-9999.9999999979991</v>
      </c>
      <c r="BD44" s="9">
        <v>-9000</v>
      </c>
      <c r="BE44" s="7">
        <v>0</v>
      </c>
      <c r="BF44" s="8">
        <v>0</v>
      </c>
      <c r="BG44" s="9">
        <v>-500</v>
      </c>
      <c r="BH44" s="7">
        <v>0</v>
      </c>
      <c r="BI44" s="8">
        <v>0</v>
      </c>
      <c r="BJ44" s="9">
        <v>0</v>
      </c>
      <c r="BK44" s="7">
        <v>-1628.42</v>
      </c>
      <c r="BL44" s="8">
        <v>0</v>
      </c>
      <c r="BM44" s="9">
        <v>-1000</v>
      </c>
      <c r="BN44" s="7">
        <v>-273.82</v>
      </c>
      <c r="BO44" s="8">
        <v>0</v>
      </c>
      <c r="BP44" s="9">
        <v>0</v>
      </c>
      <c r="BQ44" s="7">
        <v>0</v>
      </c>
      <c r="BR44" s="8">
        <v>0</v>
      </c>
      <c r="BS44" s="9">
        <v>0</v>
      </c>
      <c r="BT44" s="7">
        <v>-1020.16</v>
      </c>
      <c r="BU44" s="8">
        <v>-999.99999999700003</v>
      </c>
      <c r="BV44" s="9">
        <v>-3000</v>
      </c>
      <c r="BW44" s="7">
        <v>0</v>
      </c>
      <c r="BX44" s="8">
        <v>0</v>
      </c>
      <c r="BY44" s="9">
        <v>0</v>
      </c>
      <c r="BZ44" s="7">
        <v>0</v>
      </c>
      <c r="CA44" s="8">
        <v>0</v>
      </c>
      <c r="CB44" s="9">
        <v>0</v>
      </c>
      <c r="CC44" s="7">
        <v>0</v>
      </c>
      <c r="CD44" s="8">
        <v>-5000</v>
      </c>
      <c r="CE44" s="9">
        <v>0</v>
      </c>
      <c r="CF44" s="7">
        <v>-254073.06</v>
      </c>
      <c r="CG44" s="8">
        <v>-199999.999999997</v>
      </c>
      <c r="CH44" s="9">
        <v>-200000</v>
      </c>
      <c r="CI44" s="7">
        <v>0</v>
      </c>
      <c r="CJ44" s="8">
        <v>0</v>
      </c>
      <c r="CK44" s="9">
        <v>0</v>
      </c>
      <c r="CL44" s="7">
        <v>-957</v>
      </c>
      <c r="CM44" s="8">
        <v>-3000</v>
      </c>
      <c r="CN44" s="9">
        <v>-3000</v>
      </c>
      <c r="CO44" s="7">
        <v>-803406.49</v>
      </c>
      <c r="CP44" s="8">
        <v>-769999.99999998102</v>
      </c>
      <c r="CQ44" s="9">
        <v>-800000</v>
      </c>
      <c r="CR44" s="7">
        <v>-673299.54</v>
      </c>
      <c r="CS44" s="8">
        <v>-699999.99999999197</v>
      </c>
      <c r="CT44" s="9">
        <v>-700000</v>
      </c>
      <c r="CU44" s="7">
        <v>-532.17999999999995</v>
      </c>
      <c r="CV44" s="8">
        <v>-1999.999999998</v>
      </c>
      <c r="CW44" s="9">
        <v>-1000</v>
      </c>
      <c r="CX44" s="7">
        <v>-548480.99</v>
      </c>
      <c r="CY44" s="8">
        <v>-529999.99999998696</v>
      </c>
      <c r="CZ44" s="9">
        <v>-465000</v>
      </c>
      <c r="DA44" s="7">
        <v>0</v>
      </c>
      <c r="DB44" s="8">
        <v>0</v>
      </c>
      <c r="DC44" s="9">
        <v>0</v>
      </c>
      <c r="DD44" s="7">
        <v>-564495.49</v>
      </c>
      <c r="DE44" s="8">
        <v>-589999.99999999499</v>
      </c>
      <c r="DF44" s="9">
        <v>-700000</v>
      </c>
      <c r="DG44" s="7">
        <v>-132064.71</v>
      </c>
      <c r="DH44" s="8">
        <v>-119999.999999994</v>
      </c>
      <c r="DI44" s="9">
        <v>-160000</v>
      </c>
      <c r="DJ44" s="7">
        <v>0</v>
      </c>
      <c r="DK44" s="8">
        <v>0</v>
      </c>
      <c r="DL44" s="9">
        <v>0</v>
      </c>
      <c r="DM44" s="7">
        <v>-447582.03</v>
      </c>
      <c r="DN44" s="8">
        <v>-698265.93349270395</v>
      </c>
      <c r="DO44" s="9">
        <v>-510500</v>
      </c>
      <c r="DP44" s="7">
        <v>-340806.89</v>
      </c>
      <c r="DQ44" s="8">
        <v>-381999.99999999499</v>
      </c>
      <c r="DR44" s="9">
        <v>-400000</v>
      </c>
      <c r="DS44" s="7">
        <v>0</v>
      </c>
      <c r="DT44" s="8">
        <v>0</v>
      </c>
      <c r="DU44" s="9">
        <v>0</v>
      </c>
      <c r="DV44" s="7">
        <v>-1330477.45</v>
      </c>
      <c r="DW44" s="8">
        <v>-1300000</v>
      </c>
      <c r="DX44" s="9">
        <v>-1355000</v>
      </c>
      <c r="DY44" s="7">
        <v>0</v>
      </c>
      <c r="DZ44" s="8">
        <v>0</v>
      </c>
      <c r="EA44" s="9">
        <v>0</v>
      </c>
      <c r="EB44" s="7">
        <v>0</v>
      </c>
      <c r="EC44" s="8">
        <v>0</v>
      </c>
      <c r="ED44" s="9">
        <v>0</v>
      </c>
      <c r="EE44" s="7">
        <v>0</v>
      </c>
      <c r="EF44" s="8">
        <v>0</v>
      </c>
      <c r="EG44" s="9">
        <v>0</v>
      </c>
      <c r="EH44" s="7">
        <v>-10477.959999999999</v>
      </c>
      <c r="EI44" s="8">
        <v>-9999.999999996</v>
      </c>
      <c r="EJ44" s="9">
        <v>-6826</v>
      </c>
      <c r="EK44" s="7">
        <v>-1158.96</v>
      </c>
      <c r="EL44" s="8">
        <v>-1999.999999998</v>
      </c>
      <c r="EM44" s="9">
        <v>-1000</v>
      </c>
      <c r="EN44" s="7">
        <v>0</v>
      </c>
      <c r="EO44" s="8">
        <v>0</v>
      </c>
      <c r="EP44" s="9">
        <v>0</v>
      </c>
      <c r="EQ44" s="7">
        <v>0</v>
      </c>
      <c r="ER44" s="8">
        <v>0</v>
      </c>
      <c r="ES44" s="9">
        <v>0</v>
      </c>
      <c r="ET44" s="7">
        <v>0</v>
      </c>
      <c r="EU44" s="8">
        <v>0</v>
      </c>
      <c r="EV44" s="9">
        <v>0</v>
      </c>
      <c r="EW44" s="7">
        <v>0</v>
      </c>
      <c r="EX44" s="8">
        <v>0</v>
      </c>
      <c r="EY44" s="9">
        <v>-1000</v>
      </c>
      <c r="EZ44" s="7">
        <v>0</v>
      </c>
      <c r="FA44" s="8">
        <v>0</v>
      </c>
      <c r="FB44" s="9">
        <v>0</v>
      </c>
      <c r="FC44" s="7">
        <v>-442.19</v>
      </c>
      <c r="FD44" s="8">
        <v>-1000</v>
      </c>
      <c r="FE44" s="9">
        <v>-1000</v>
      </c>
      <c r="FF44" s="7">
        <v>0</v>
      </c>
      <c r="FG44" s="8">
        <v>0</v>
      </c>
      <c r="FH44" s="9">
        <v>0</v>
      </c>
      <c r="FI44" s="7">
        <v>0</v>
      </c>
      <c r="FJ44" s="8">
        <v>0</v>
      </c>
      <c r="FK44" s="9">
        <v>0</v>
      </c>
      <c r="FL44" s="7">
        <v>-10403.58</v>
      </c>
      <c r="FM44" s="8">
        <v>0</v>
      </c>
      <c r="FN44" s="9">
        <v>0</v>
      </c>
      <c r="FO44" s="7">
        <v>-542538.52</v>
      </c>
      <c r="FP44" s="8">
        <v>0</v>
      </c>
      <c r="FQ44" s="9">
        <v>0</v>
      </c>
      <c r="FR44" s="7">
        <v>-48922.91</v>
      </c>
      <c r="FS44" s="8">
        <v>0</v>
      </c>
      <c r="FT44" s="9">
        <v>0</v>
      </c>
      <c r="FU44" s="7">
        <v>0</v>
      </c>
      <c r="FV44" s="8">
        <v>0</v>
      </c>
      <c r="FW44" s="9">
        <v>0</v>
      </c>
      <c r="FX44" s="7">
        <v>0</v>
      </c>
      <c r="FY44" s="8">
        <v>403000</v>
      </c>
      <c r="FZ44" s="9">
        <v>0</v>
      </c>
      <c r="GA44" s="7">
        <v>0</v>
      </c>
      <c r="GB44" s="8">
        <v>0</v>
      </c>
      <c r="GC44" s="9">
        <v>0</v>
      </c>
      <c r="GD44" s="7">
        <v>0</v>
      </c>
      <c r="GE44" s="8">
        <v>0</v>
      </c>
      <c r="GF44" s="9">
        <v>0</v>
      </c>
      <c r="GG44" s="7">
        <v>0</v>
      </c>
      <c r="GH44" s="8">
        <v>0</v>
      </c>
      <c r="GI44" s="9">
        <v>0</v>
      </c>
      <c r="GJ44" s="7">
        <v>0</v>
      </c>
      <c r="GK44" s="8">
        <v>0</v>
      </c>
      <c r="GL44" s="9">
        <v>0</v>
      </c>
      <c r="GM44" s="7">
        <v>0</v>
      </c>
      <c r="GN44" s="8">
        <v>0</v>
      </c>
      <c r="GO44" s="9">
        <v>0</v>
      </c>
      <c r="GP44" s="7">
        <v>0</v>
      </c>
      <c r="GQ44" s="8">
        <v>0</v>
      </c>
      <c r="GR44" s="9">
        <v>0</v>
      </c>
      <c r="GS44" s="7">
        <v>0</v>
      </c>
      <c r="GT44" s="8">
        <v>0</v>
      </c>
      <c r="GU44" s="9">
        <v>0</v>
      </c>
      <c r="GV44" s="7">
        <v>0</v>
      </c>
      <c r="GW44" s="8">
        <v>0</v>
      </c>
      <c r="GX44" s="9">
        <v>0</v>
      </c>
      <c r="GY44" s="7">
        <v>0</v>
      </c>
      <c r="GZ44" s="8">
        <v>0</v>
      </c>
      <c r="HA44" s="9">
        <v>0</v>
      </c>
      <c r="HB44" s="7">
        <v>0</v>
      </c>
      <c r="HC44" s="8">
        <v>0</v>
      </c>
      <c r="HD44" s="9">
        <v>0</v>
      </c>
      <c r="HE44" s="7">
        <v>0</v>
      </c>
      <c r="HF44" s="8">
        <v>0</v>
      </c>
      <c r="HG44" s="9">
        <v>0</v>
      </c>
      <c r="HH44" s="7">
        <v>0</v>
      </c>
      <c r="HI44" s="8">
        <v>0</v>
      </c>
      <c r="HJ44" s="9">
        <v>0</v>
      </c>
      <c r="HK44" s="7">
        <v>0</v>
      </c>
      <c r="HL44" s="8">
        <v>0</v>
      </c>
      <c r="HM44" s="9">
        <v>0</v>
      </c>
      <c r="HN44" s="7">
        <v>0</v>
      </c>
      <c r="HO44" s="8">
        <v>0</v>
      </c>
      <c r="HP44" s="9">
        <v>0</v>
      </c>
    </row>
    <row r="45" spans="1:224" x14ac:dyDescent="0.25">
      <c r="A45" s="23" t="s">
        <v>227</v>
      </c>
      <c r="B45" s="26" t="s">
        <v>228</v>
      </c>
      <c r="C45" s="7">
        <v>-21841269.960000001</v>
      </c>
      <c r="D45" s="8">
        <v>-21222454.927426599</v>
      </c>
      <c r="E45" s="9">
        <v>-22823249.000000101</v>
      </c>
      <c r="F45" s="7">
        <v>-672743.07</v>
      </c>
      <c r="G45" s="8">
        <v>-679999.999999961</v>
      </c>
      <c r="H45" s="9">
        <v>-790000</v>
      </c>
      <c r="I45" s="7">
        <v>-1192811.97</v>
      </c>
      <c r="J45" s="8">
        <v>-1197727.74076522</v>
      </c>
      <c r="K45" s="9">
        <v>-1300000</v>
      </c>
      <c r="L45" s="7">
        <v>-934385.11</v>
      </c>
      <c r="M45" s="8">
        <v>-979999.99999997194</v>
      </c>
      <c r="N45" s="9">
        <v>-980000</v>
      </c>
      <c r="O45" s="7">
        <v>-919864.25</v>
      </c>
      <c r="P45" s="8">
        <v>-1329999.99999997</v>
      </c>
      <c r="Q45" s="9">
        <v>-1280000</v>
      </c>
      <c r="R45" s="7">
        <v>-386310.49</v>
      </c>
      <c r="S45" s="8">
        <v>-379999.99999998102</v>
      </c>
      <c r="T45" s="9">
        <v>-400000</v>
      </c>
      <c r="U45" s="7">
        <v>-1699279.17</v>
      </c>
      <c r="V45" s="8">
        <v>-1612365.0335158501</v>
      </c>
      <c r="W45" s="9">
        <v>-1680000</v>
      </c>
      <c r="X45" s="7">
        <v>-1057336.8</v>
      </c>
      <c r="Y45" s="8">
        <v>-1338999.99999997</v>
      </c>
      <c r="Z45" s="9">
        <v>-1339000</v>
      </c>
      <c r="AA45" s="7">
        <v>-1136428.68</v>
      </c>
      <c r="AB45" s="8">
        <v>-900445.79542189196</v>
      </c>
      <c r="AC45" s="9">
        <v>-1000000</v>
      </c>
      <c r="AD45" s="7">
        <v>-237311.95</v>
      </c>
      <c r="AE45" s="8">
        <v>-214999.99999998699</v>
      </c>
      <c r="AF45" s="9">
        <v>-190000</v>
      </c>
      <c r="AG45" s="7">
        <v>-602856.24</v>
      </c>
      <c r="AH45" s="8">
        <v>-618999.99999995204</v>
      </c>
      <c r="AI45" s="9">
        <v>-600000</v>
      </c>
      <c r="AJ45" s="7">
        <v>-1393485.15</v>
      </c>
      <c r="AK45" s="8">
        <v>-1409760.25829575</v>
      </c>
      <c r="AL45" s="9">
        <v>-1410000</v>
      </c>
      <c r="AM45" s="7">
        <v>-200323.49</v>
      </c>
      <c r="AN45" s="8">
        <v>-200013.08364389199</v>
      </c>
      <c r="AO45" s="9">
        <v>-180000</v>
      </c>
      <c r="AP45" s="7">
        <v>-490996.21</v>
      </c>
      <c r="AQ45" s="8">
        <v>-489999.99999998498</v>
      </c>
      <c r="AR45" s="9">
        <v>-490000</v>
      </c>
      <c r="AS45" s="7">
        <v>-50966.42</v>
      </c>
      <c r="AT45" s="8">
        <v>-54999.999999979002</v>
      </c>
      <c r="AU45" s="9">
        <v>-45000</v>
      </c>
      <c r="AV45" s="7">
        <v>-7236.86</v>
      </c>
      <c r="AW45" s="8">
        <v>-9999.9999999930005</v>
      </c>
      <c r="AX45" s="9">
        <v>-8000</v>
      </c>
      <c r="AY45" s="7">
        <v>-374462.4</v>
      </c>
      <c r="AZ45" s="8">
        <v>-279999.99999996298</v>
      </c>
      <c r="BA45" s="9">
        <v>-330000</v>
      </c>
      <c r="BB45" s="7">
        <v>-178938.29</v>
      </c>
      <c r="BC45" s="8">
        <v>-179999.99999996499</v>
      </c>
      <c r="BD45" s="9">
        <v>-190000</v>
      </c>
      <c r="BE45" s="7">
        <v>-14076.72</v>
      </c>
      <c r="BF45" s="8">
        <v>-11999.999999979</v>
      </c>
      <c r="BG45" s="9">
        <v>-15000</v>
      </c>
      <c r="BH45" s="7">
        <v>-2724.15</v>
      </c>
      <c r="BI45" s="8">
        <v>-2999.9999999920001</v>
      </c>
      <c r="BJ45" s="9">
        <v>-3000</v>
      </c>
      <c r="BK45" s="7">
        <v>-229317.18</v>
      </c>
      <c r="BL45" s="8">
        <v>-249999.99999998999</v>
      </c>
      <c r="BM45" s="9">
        <v>-265000</v>
      </c>
      <c r="BN45" s="7">
        <v>-445701.66</v>
      </c>
      <c r="BO45" s="8">
        <v>-459999.999999978</v>
      </c>
      <c r="BP45" s="9">
        <v>-460000</v>
      </c>
      <c r="BQ45" s="7">
        <v>-33971.17</v>
      </c>
      <c r="BR45" s="8">
        <v>-34999.999999981002</v>
      </c>
      <c r="BS45" s="9">
        <v>-28000</v>
      </c>
      <c r="BT45" s="7">
        <v>-36965.25</v>
      </c>
      <c r="BU45" s="8">
        <v>-39999.999999993997</v>
      </c>
      <c r="BV45" s="9">
        <v>-40000</v>
      </c>
      <c r="BW45" s="7">
        <v>-425606.02</v>
      </c>
      <c r="BX45" s="8">
        <v>-489979.68153743801</v>
      </c>
      <c r="BY45" s="9">
        <v>-480000</v>
      </c>
      <c r="BZ45" s="7">
        <v>-132769.19</v>
      </c>
      <c r="CA45" s="8">
        <v>-139999.99999998801</v>
      </c>
      <c r="CB45" s="9">
        <v>-120000</v>
      </c>
      <c r="CC45" s="7">
        <v>-1948.79</v>
      </c>
      <c r="CD45" s="8">
        <v>-2999.9999999930001</v>
      </c>
      <c r="CE45" s="9">
        <v>-1600</v>
      </c>
      <c r="CF45" s="7">
        <v>-8228.4699999999993</v>
      </c>
      <c r="CG45" s="8">
        <v>-9999.9999999899992</v>
      </c>
      <c r="CH45" s="9">
        <v>-10000</v>
      </c>
      <c r="CI45" s="7">
        <v>-391558.58</v>
      </c>
      <c r="CJ45" s="8">
        <v>-450540.54986198503</v>
      </c>
      <c r="CK45" s="9">
        <v>-500000</v>
      </c>
      <c r="CL45" s="7">
        <v>-672915.16</v>
      </c>
      <c r="CM45" s="8">
        <v>-699999.99999998196</v>
      </c>
      <c r="CN45" s="9">
        <v>-630000</v>
      </c>
      <c r="CO45" s="7">
        <v>-1144605.69</v>
      </c>
      <c r="CP45" s="8">
        <v>-1099999.99999997</v>
      </c>
      <c r="CQ45" s="9">
        <v>-1200000</v>
      </c>
      <c r="CR45" s="7">
        <v>-5017.5</v>
      </c>
      <c r="CS45" s="8">
        <v>-4999.9999999969996</v>
      </c>
      <c r="CT45" s="9">
        <v>-5000</v>
      </c>
      <c r="CU45" s="7">
        <v>-92501.11</v>
      </c>
      <c r="CV45" s="8">
        <v>-89999.999999983003</v>
      </c>
      <c r="CW45" s="9">
        <v>-90000</v>
      </c>
      <c r="CX45" s="7">
        <v>-299706.57</v>
      </c>
      <c r="CY45" s="8">
        <v>-274999.99999998702</v>
      </c>
      <c r="CZ45" s="9">
        <v>-280000</v>
      </c>
      <c r="DA45" s="7">
        <v>0</v>
      </c>
      <c r="DB45" s="8">
        <v>0</v>
      </c>
      <c r="DC45" s="9">
        <v>0</v>
      </c>
      <c r="DD45" s="7">
        <v>-16656.79</v>
      </c>
      <c r="DE45" s="8">
        <v>-19999.999999995001</v>
      </c>
      <c r="DF45" s="9">
        <v>-20000</v>
      </c>
      <c r="DG45" s="7">
        <v>-33700.6</v>
      </c>
      <c r="DH45" s="8">
        <v>-39999.999999993001</v>
      </c>
      <c r="DI45" s="9">
        <v>-40000</v>
      </c>
      <c r="DJ45" s="7">
        <v>-47.94</v>
      </c>
      <c r="DK45" s="8">
        <v>0</v>
      </c>
      <c r="DL45" s="9">
        <v>0</v>
      </c>
      <c r="DM45" s="7">
        <v>-13946.12</v>
      </c>
      <c r="DN45" s="8">
        <v>-14999.999999993999</v>
      </c>
      <c r="DO45" s="9">
        <v>-16500</v>
      </c>
      <c r="DP45" s="7">
        <v>-18218.25</v>
      </c>
      <c r="DQ45" s="8">
        <v>-19999.999999994001</v>
      </c>
      <c r="DR45" s="9">
        <v>-20000</v>
      </c>
      <c r="DS45" s="7">
        <v>0</v>
      </c>
      <c r="DT45" s="8">
        <v>0</v>
      </c>
      <c r="DU45" s="9">
        <v>0</v>
      </c>
      <c r="DV45" s="7">
        <v>-6690.3</v>
      </c>
      <c r="DW45" s="8">
        <v>-9999.999999996</v>
      </c>
      <c r="DX45" s="9">
        <v>-10000</v>
      </c>
      <c r="DY45" s="7">
        <v>-9.9499999999999993</v>
      </c>
      <c r="DZ45" s="8">
        <v>0</v>
      </c>
      <c r="EA45" s="9">
        <v>0</v>
      </c>
      <c r="EB45" s="7">
        <v>0</v>
      </c>
      <c r="EC45" s="8">
        <v>0</v>
      </c>
      <c r="ED45" s="9">
        <v>0</v>
      </c>
      <c r="EE45" s="7">
        <v>-3626249.84</v>
      </c>
      <c r="EF45" s="8">
        <v>-3294000</v>
      </c>
      <c r="EG45" s="9">
        <v>-3500000</v>
      </c>
      <c r="EH45" s="7">
        <v>-21636.3</v>
      </c>
      <c r="EI45" s="8">
        <v>-24999.999999993001</v>
      </c>
      <c r="EJ45" s="9">
        <v>-19682</v>
      </c>
      <c r="EK45" s="7">
        <v>-1282768.43</v>
      </c>
      <c r="EL45" s="8">
        <v>-1259999.99999998</v>
      </c>
      <c r="EM45" s="9">
        <v>-1471000</v>
      </c>
      <c r="EN45" s="7">
        <v>0</v>
      </c>
      <c r="EO45" s="8">
        <v>0</v>
      </c>
      <c r="EP45" s="9">
        <v>0</v>
      </c>
      <c r="EQ45" s="7">
        <v>0</v>
      </c>
      <c r="ER45" s="8">
        <v>0</v>
      </c>
      <c r="ES45" s="9">
        <v>0</v>
      </c>
      <c r="ET45" s="7">
        <v>-2420</v>
      </c>
      <c r="EU45" s="8">
        <v>-3000</v>
      </c>
      <c r="EV45" s="9">
        <v>0</v>
      </c>
      <c r="EW45" s="7">
        <v>0</v>
      </c>
      <c r="EX45" s="8">
        <v>0</v>
      </c>
      <c r="EY45" s="9">
        <v>0</v>
      </c>
      <c r="EZ45" s="7">
        <v>-176015.46</v>
      </c>
      <c r="FA45" s="8">
        <v>-190171.06274489299</v>
      </c>
      <c r="FB45" s="9">
        <v>-200000</v>
      </c>
      <c r="FC45" s="7">
        <v>-500160.11</v>
      </c>
      <c r="FD45" s="8">
        <v>-509999.99999999499</v>
      </c>
      <c r="FE45" s="9">
        <v>-500000</v>
      </c>
      <c r="FF45" s="7">
        <v>-648768.55000000005</v>
      </c>
      <c r="FG45" s="8">
        <v>-680285.05497358902</v>
      </c>
      <c r="FH45" s="9">
        <v>-686467</v>
      </c>
      <c r="FI45" s="7">
        <v>0</v>
      </c>
      <c r="FJ45" s="8">
        <v>0</v>
      </c>
      <c r="FK45" s="9">
        <v>0</v>
      </c>
      <c r="FL45" s="7">
        <v>0</v>
      </c>
      <c r="FM45" s="8">
        <v>0</v>
      </c>
      <c r="FN45" s="9">
        <v>0</v>
      </c>
      <c r="FO45" s="7">
        <v>-20631.560000000001</v>
      </c>
      <c r="FP45" s="8">
        <v>0</v>
      </c>
      <c r="FQ45" s="9">
        <v>0</v>
      </c>
      <c r="FR45" s="7">
        <v>0</v>
      </c>
      <c r="FS45" s="8">
        <v>0</v>
      </c>
      <c r="FT45" s="9">
        <v>0</v>
      </c>
      <c r="FU45" s="7">
        <v>0</v>
      </c>
      <c r="FV45" s="8">
        <v>0</v>
      </c>
      <c r="FW45" s="9">
        <v>0</v>
      </c>
      <c r="FX45" s="7">
        <v>0</v>
      </c>
      <c r="FY45" s="8">
        <v>786833.33333333104</v>
      </c>
      <c r="FZ45" s="9">
        <v>0</v>
      </c>
      <c r="GA45" s="7">
        <v>0</v>
      </c>
      <c r="GB45" s="8">
        <v>0</v>
      </c>
      <c r="GC45" s="9">
        <v>0</v>
      </c>
      <c r="GD45" s="7">
        <v>0</v>
      </c>
      <c r="GE45" s="8">
        <v>0</v>
      </c>
      <c r="GF45" s="9">
        <v>0</v>
      </c>
      <c r="GG45" s="7">
        <v>0</v>
      </c>
      <c r="GH45" s="8">
        <v>0</v>
      </c>
      <c r="GI45" s="9">
        <v>0</v>
      </c>
      <c r="GJ45" s="7">
        <v>0</v>
      </c>
      <c r="GK45" s="8">
        <v>0</v>
      </c>
      <c r="GL45" s="9">
        <v>0</v>
      </c>
      <c r="GM45" s="7">
        <v>0</v>
      </c>
      <c r="GN45" s="8">
        <v>0</v>
      </c>
      <c r="GO45" s="9">
        <v>0</v>
      </c>
      <c r="GP45" s="7">
        <v>0</v>
      </c>
      <c r="GQ45" s="8">
        <v>0</v>
      </c>
      <c r="GR45" s="9">
        <v>0</v>
      </c>
      <c r="GS45" s="7">
        <v>0</v>
      </c>
      <c r="GT45" s="8">
        <v>0</v>
      </c>
      <c r="GU45" s="9">
        <v>0</v>
      </c>
      <c r="GV45" s="7">
        <v>0</v>
      </c>
      <c r="GW45" s="8">
        <v>0</v>
      </c>
      <c r="GX45" s="9">
        <v>0</v>
      </c>
      <c r="GY45" s="7">
        <v>0</v>
      </c>
      <c r="GZ45" s="8">
        <v>0</v>
      </c>
      <c r="HA45" s="9">
        <v>0</v>
      </c>
      <c r="HB45" s="7">
        <v>0</v>
      </c>
      <c r="HC45" s="8">
        <v>0</v>
      </c>
      <c r="HD45" s="9">
        <v>0</v>
      </c>
      <c r="HE45" s="7">
        <v>0</v>
      </c>
      <c r="HF45" s="8">
        <v>0</v>
      </c>
      <c r="HG45" s="9">
        <v>0</v>
      </c>
      <c r="HH45" s="7">
        <v>0</v>
      </c>
      <c r="HI45" s="8">
        <v>0</v>
      </c>
      <c r="HJ45" s="9">
        <v>0</v>
      </c>
      <c r="HK45" s="7">
        <v>0</v>
      </c>
      <c r="HL45" s="8">
        <v>0</v>
      </c>
      <c r="HM45" s="9">
        <v>0</v>
      </c>
      <c r="HN45" s="7">
        <v>0</v>
      </c>
      <c r="HO45" s="8">
        <v>0</v>
      </c>
      <c r="HP45" s="9">
        <v>0</v>
      </c>
    </row>
    <row r="46" spans="1:224" x14ac:dyDescent="0.25">
      <c r="A46" s="23" t="s">
        <v>229</v>
      </c>
      <c r="B46" s="26" t="s">
        <v>230</v>
      </c>
      <c r="C46" s="7">
        <v>-121116938.81</v>
      </c>
      <c r="D46" s="8">
        <v>-143319949.84306601</v>
      </c>
      <c r="E46" s="9">
        <v>-142638678</v>
      </c>
      <c r="F46" s="7">
        <v>-9169739.3499999996</v>
      </c>
      <c r="G46" s="8">
        <v>-9299999.9999999795</v>
      </c>
      <c r="H46" s="9">
        <v>-9000000</v>
      </c>
      <c r="I46" s="7">
        <v>-7870520.7400000002</v>
      </c>
      <c r="J46" s="8">
        <v>-11387777.508418901</v>
      </c>
      <c r="K46" s="9">
        <v>-14000000</v>
      </c>
      <c r="L46" s="7">
        <v>-4678134.4400000004</v>
      </c>
      <c r="M46" s="8">
        <v>-4817700.3924958901</v>
      </c>
      <c r="N46" s="9">
        <v>-4817700</v>
      </c>
      <c r="O46" s="7">
        <v>-4853968.21</v>
      </c>
      <c r="P46" s="8">
        <v>-5369790.2243462997</v>
      </c>
      <c r="Q46" s="9">
        <v>-5604636</v>
      </c>
      <c r="R46" s="7">
        <v>-397302.57</v>
      </c>
      <c r="S46" s="8">
        <v>-459999.99999997899</v>
      </c>
      <c r="T46" s="9">
        <v>-466000</v>
      </c>
      <c r="U46" s="7">
        <v>-4706955.01</v>
      </c>
      <c r="V46" s="8">
        <v>-4707756.8575646402</v>
      </c>
      <c r="W46" s="9">
        <v>-6000000</v>
      </c>
      <c r="X46" s="7">
        <v>-6855203.5499999998</v>
      </c>
      <c r="Y46" s="8">
        <v>-8252099.1855584402</v>
      </c>
      <c r="Z46" s="9">
        <v>-8300000</v>
      </c>
      <c r="AA46" s="7">
        <v>-1939900.3</v>
      </c>
      <c r="AB46" s="8">
        <v>-2000825.1097709199</v>
      </c>
      <c r="AC46" s="9">
        <v>-2000000</v>
      </c>
      <c r="AD46" s="7">
        <v>-2731978.05</v>
      </c>
      <c r="AE46" s="8">
        <v>-2899999.9999999902</v>
      </c>
      <c r="AF46" s="9">
        <v>-2900000</v>
      </c>
      <c r="AG46" s="7">
        <v>-3964890.32</v>
      </c>
      <c r="AH46" s="8">
        <v>-3999999.9999999502</v>
      </c>
      <c r="AI46" s="9">
        <v>-3800000</v>
      </c>
      <c r="AJ46" s="7">
        <v>-6099093.8899999997</v>
      </c>
      <c r="AK46" s="8">
        <v>-6351979.8179611703</v>
      </c>
      <c r="AL46" s="9">
        <v>-6500000</v>
      </c>
      <c r="AM46" s="7">
        <v>-1886134.64</v>
      </c>
      <c r="AN46" s="8">
        <v>-2075016.9884776101</v>
      </c>
      <c r="AO46" s="9">
        <v>-2400000</v>
      </c>
      <c r="AP46" s="7">
        <v>-1018050.18</v>
      </c>
      <c r="AQ46" s="8">
        <v>-1039743.50359578</v>
      </c>
      <c r="AR46" s="9">
        <v>-1250000</v>
      </c>
      <c r="AS46" s="7">
        <v>-3194120.61</v>
      </c>
      <c r="AT46" s="8">
        <v>-3299999.9999999902</v>
      </c>
      <c r="AU46" s="9">
        <v>-2961000</v>
      </c>
      <c r="AV46" s="7">
        <v>-411930.72</v>
      </c>
      <c r="AW46" s="8">
        <v>-437866.72902898298</v>
      </c>
      <c r="AX46" s="9">
        <v>-480000</v>
      </c>
      <c r="AY46" s="7">
        <v>-2741601.39</v>
      </c>
      <c r="AZ46" s="8">
        <v>-2721720.26554211</v>
      </c>
      <c r="BA46" s="9">
        <v>-2850000</v>
      </c>
      <c r="BB46" s="7">
        <v>-1130360.3700000001</v>
      </c>
      <c r="BC46" s="8">
        <v>-1122999.99999996</v>
      </c>
      <c r="BD46" s="9">
        <v>-1150000</v>
      </c>
      <c r="BE46" s="7">
        <v>-53489.63</v>
      </c>
      <c r="BF46" s="8">
        <v>-64999.999999981999</v>
      </c>
      <c r="BG46" s="9">
        <v>-65000</v>
      </c>
      <c r="BH46" s="7">
        <v>-29506.83</v>
      </c>
      <c r="BI46" s="8">
        <v>-29999.999999991</v>
      </c>
      <c r="BJ46" s="9">
        <v>-55000</v>
      </c>
      <c r="BK46" s="7">
        <v>-236824.3</v>
      </c>
      <c r="BL46" s="8">
        <v>-229999.99999998999</v>
      </c>
      <c r="BM46" s="9">
        <v>-230000</v>
      </c>
      <c r="BN46" s="7">
        <v>-2080620.54</v>
      </c>
      <c r="BO46" s="8">
        <v>-2069999.99999998</v>
      </c>
      <c r="BP46" s="9">
        <v>-2070000</v>
      </c>
      <c r="BQ46" s="7">
        <v>-2890788.74</v>
      </c>
      <c r="BR46" s="8">
        <v>-2899999.99999998</v>
      </c>
      <c r="BS46" s="9">
        <v>-2900000</v>
      </c>
      <c r="BT46" s="7">
        <v>-78029.929999999993</v>
      </c>
      <c r="BU46" s="8">
        <v>-89999.999999993001</v>
      </c>
      <c r="BV46" s="9">
        <v>-90000</v>
      </c>
      <c r="BW46" s="7">
        <v>-460302.19</v>
      </c>
      <c r="BX46" s="8">
        <v>-539847.11283851997</v>
      </c>
      <c r="BY46" s="9">
        <v>-540000</v>
      </c>
      <c r="BZ46" s="7">
        <v>-88478.080000000002</v>
      </c>
      <c r="CA46" s="8">
        <v>-89999.999999990003</v>
      </c>
      <c r="CB46" s="9">
        <v>-300000</v>
      </c>
      <c r="CC46" s="7">
        <v>-64540.17</v>
      </c>
      <c r="CD46" s="8">
        <v>-64999.999999986001</v>
      </c>
      <c r="CE46" s="9">
        <v>-110000</v>
      </c>
      <c r="CF46" s="7">
        <v>-148394.17000000001</v>
      </c>
      <c r="CG46" s="8">
        <v>-189999.999999989</v>
      </c>
      <c r="CH46" s="9">
        <v>-190000</v>
      </c>
      <c r="CI46" s="7">
        <v>-262943.21000000002</v>
      </c>
      <c r="CJ46" s="8">
        <v>-262966.32730603102</v>
      </c>
      <c r="CK46" s="9">
        <v>-300000</v>
      </c>
      <c r="CL46" s="7">
        <v>-1458560.57</v>
      </c>
      <c r="CM46" s="8">
        <v>-1489999.99999998</v>
      </c>
      <c r="CN46" s="9">
        <v>-1490000</v>
      </c>
      <c r="CO46" s="7">
        <v>-4668292.01</v>
      </c>
      <c r="CP46" s="8">
        <v>-5039578.2979868101</v>
      </c>
      <c r="CQ46" s="9">
        <v>-5760000</v>
      </c>
      <c r="CR46" s="7">
        <v>-978846.91</v>
      </c>
      <c r="CS46" s="8">
        <v>-952999.99999998906</v>
      </c>
      <c r="CT46" s="9">
        <v>-953000</v>
      </c>
      <c r="CU46" s="7">
        <v>-11546812.359999999</v>
      </c>
      <c r="CV46" s="8">
        <v>-12000129.005216001</v>
      </c>
      <c r="CW46" s="9">
        <v>-13000000</v>
      </c>
      <c r="CX46" s="7">
        <v>-519368.69</v>
      </c>
      <c r="CY46" s="8">
        <v>-419999.999999989</v>
      </c>
      <c r="CZ46" s="9">
        <v>-390000</v>
      </c>
      <c r="DA46" s="7">
        <v>0</v>
      </c>
      <c r="DB46" s="8">
        <v>0</v>
      </c>
      <c r="DC46" s="9">
        <v>0</v>
      </c>
      <c r="DD46" s="7">
        <v>-286485.86</v>
      </c>
      <c r="DE46" s="8">
        <v>-299999.99999999499</v>
      </c>
      <c r="DF46" s="9">
        <v>-350000</v>
      </c>
      <c r="DG46" s="7">
        <v>-202230.75</v>
      </c>
      <c r="DH46" s="8">
        <v>-214999.99999999499</v>
      </c>
      <c r="DI46" s="9">
        <v>-215000</v>
      </c>
      <c r="DJ46" s="7">
        <v>0</v>
      </c>
      <c r="DK46" s="8">
        <v>0</v>
      </c>
      <c r="DL46" s="9">
        <v>0</v>
      </c>
      <c r="DM46" s="7">
        <v>-91222.52</v>
      </c>
      <c r="DN46" s="8">
        <v>-89999.999999994994</v>
      </c>
      <c r="DO46" s="9">
        <v>-400000</v>
      </c>
      <c r="DP46" s="7">
        <v>-286642.57</v>
      </c>
      <c r="DQ46" s="8">
        <v>-305088.77816902398</v>
      </c>
      <c r="DR46" s="9">
        <v>-305000</v>
      </c>
      <c r="DS46" s="7">
        <v>0</v>
      </c>
      <c r="DT46" s="8">
        <v>0</v>
      </c>
      <c r="DU46" s="9">
        <v>0</v>
      </c>
      <c r="DV46" s="7">
        <v>-646238.68999999994</v>
      </c>
      <c r="DW46" s="8">
        <v>-629999.99999999302</v>
      </c>
      <c r="DX46" s="9">
        <v>-690000</v>
      </c>
      <c r="DY46" s="7">
        <v>0</v>
      </c>
      <c r="DZ46" s="8">
        <v>0</v>
      </c>
      <c r="EA46" s="9">
        <v>0</v>
      </c>
      <c r="EB46" s="7">
        <v>0</v>
      </c>
      <c r="EC46" s="8">
        <v>0</v>
      </c>
      <c r="ED46" s="9">
        <v>0</v>
      </c>
      <c r="EE46" s="7">
        <v>-1800650.13</v>
      </c>
      <c r="EF46" s="8">
        <v>-1799999.99999999</v>
      </c>
      <c r="EG46" s="9">
        <v>-4000000</v>
      </c>
      <c r="EH46" s="7">
        <v>-1018256.35</v>
      </c>
      <c r="EI46" s="8">
        <v>-1179999.99999999</v>
      </c>
      <c r="EJ46" s="9">
        <v>-1143592</v>
      </c>
      <c r="EK46" s="7">
        <v>-21502072.129999999</v>
      </c>
      <c r="EL46" s="8">
        <v>-22493000</v>
      </c>
      <c r="EM46" s="9">
        <v>-26597000</v>
      </c>
      <c r="EN46" s="7">
        <v>0</v>
      </c>
      <c r="EO46" s="8">
        <v>0</v>
      </c>
      <c r="EP46" s="9">
        <v>0</v>
      </c>
      <c r="EQ46" s="7">
        <v>0</v>
      </c>
      <c r="ER46" s="8">
        <v>0</v>
      </c>
      <c r="ES46" s="9">
        <v>0</v>
      </c>
      <c r="ET46" s="7">
        <v>0</v>
      </c>
      <c r="EU46" s="8">
        <v>0</v>
      </c>
      <c r="EV46" s="9">
        <v>0</v>
      </c>
      <c r="EW46" s="7">
        <v>0</v>
      </c>
      <c r="EX46" s="8">
        <v>0</v>
      </c>
      <c r="EY46" s="9">
        <v>-6000</v>
      </c>
      <c r="EZ46" s="7">
        <v>-478631.94</v>
      </c>
      <c r="FA46" s="8">
        <v>-606319.43006524199</v>
      </c>
      <c r="FB46" s="9">
        <v>-1500000</v>
      </c>
      <c r="FC46" s="7">
        <v>-2819498.04</v>
      </c>
      <c r="FD46" s="8">
        <v>-2800000</v>
      </c>
      <c r="FE46" s="9">
        <v>-2750000</v>
      </c>
      <c r="FF46" s="7">
        <v>-1701774.34</v>
      </c>
      <c r="FG46" s="8">
        <v>-1679744.3087241701</v>
      </c>
      <c r="FH46" s="9">
        <v>-1759750</v>
      </c>
      <c r="FI46" s="7">
        <v>0</v>
      </c>
      <c r="FJ46" s="8">
        <v>0</v>
      </c>
      <c r="FK46" s="9">
        <v>0</v>
      </c>
      <c r="FL46" s="7">
        <v>-13007.5</v>
      </c>
      <c r="FM46" s="8">
        <v>0</v>
      </c>
      <c r="FN46" s="9">
        <v>0</v>
      </c>
      <c r="FO46" s="7">
        <v>-1054545.32</v>
      </c>
      <c r="FP46" s="8">
        <v>0</v>
      </c>
      <c r="FQ46" s="9">
        <v>0</v>
      </c>
      <c r="FR46" s="7">
        <v>0</v>
      </c>
      <c r="FS46" s="8">
        <v>0</v>
      </c>
      <c r="FT46" s="9">
        <v>0</v>
      </c>
      <c r="FU46" s="7">
        <v>0</v>
      </c>
      <c r="FV46" s="8">
        <v>0</v>
      </c>
      <c r="FW46" s="9">
        <v>0</v>
      </c>
      <c r="FX46" s="7">
        <v>0</v>
      </c>
      <c r="FY46" s="8">
        <v>-14540000</v>
      </c>
      <c r="FZ46" s="9">
        <v>0</v>
      </c>
      <c r="GA46" s="7">
        <v>0</v>
      </c>
      <c r="GB46" s="8">
        <v>0</v>
      </c>
      <c r="GC46" s="9">
        <v>0</v>
      </c>
      <c r="GD46" s="7">
        <v>0</v>
      </c>
      <c r="GE46" s="8">
        <v>0</v>
      </c>
      <c r="GF46" s="9">
        <v>0</v>
      </c>
      <c r="GG46" s="7">
        <v>0</v>
      </c>
      <c r="GH46" s="8">
        <v>0</v>
      </c>
      <c r="GI46" s="9">
        <v>0</v>
      </c>
      <c r="GJ46" s="7">
        <v>0</v>
      </c>
      <c r="GK46" s="8">
        <v>0</v>
      </c>
      <c r="GL46" s="9">
        <v>0</v>
      </c>
      <c r="GM46" s="7">
        <v>0</v>
      </c>
      <c r="GN46" s="8">
        <v>0</v>
      </c>
      <c r="GO46" s="9">
        <v>0</v>
      </c>
      <c r="GP46" s="7">
        <v>0</v>
      </c>
      <c r="GQ46" s="8">
        <v>0</v>
      </c>
      <c r="GR46" s="9">
        <v>0</v>
      </c>
      <c r="GS46" s="7">
        <v>0</v>
      </c>
      <c r="GT46" s="8">
        <v>0</v>
      </c>
      <c r="GU46" s="9">
        <v>0</v>
      </c>
      <c r="GV46" s="7">
        <v>0</v>
      </c>
      <c r="GW46" s="8">
        <v>0</v>
      </c>
      <c r="GX46" s="9">
        <v>0</v>
      </c>
      <c r="GY46" s="7">
        <v>0</v>
      </c>
      <c r="GZ46" s="8">
        <v>0</v>
      </c>
      <c r="HA46" s="9">
        <v>0</v>
      </c>
      <c r="HB46" s="7">
        <v>0</v>
      </c>
      <c r="HC46" s="8">
        <v>0</v>
      </c>
      <c r="HD46" s="9">
        <v>0</v>
      </c>
      <c r="HE46" s="7">
        <v>0</v>
      </c>
      <c r="HF46" s="8">
        <v>0</v>
      </c>
      <c r="HG46" s="9">
        <v>0</v>
      </c>
      <c r="HH46" s="7">
        <v>0</v>
      </c>
      <c r="HI46" s="8">
        <v>0</v>
      </c>
      <c r="HJ46" s="9">
        <v>0</v>
      </c>
      <c r="HK46" s="7">
        <v>0</v>
      </c>
      <c r="HL46" s="8">
        <v>0</v>
      </c>
      <c r="HM46" s="9">
        <v>0</v>
      </c>
      <c r="HN46" s="7">
        <v>0</v>
      </c>
      <c r="HO46" s="8">
        <v>0</v>
      </c>
      <c r="HP46" s="9">
        <v>0</v>
      </c>
    </row>
    <row r="47" spans="1:224" s="37" customFormat="1" x14ac:dyDescent="0.25">
      <c r="A47" s="32" t="s">
        <v>231</v>
      </c>
      <c r="B47" s="33" t="s">
        <v>232</v>
      </c>
      <c r="C47" s="34">
        <v>-21188026.129999999</v>
      </c>
      <c r="D47" s="35">
        <v>-18500400</v>
      </c>
      <c r="E47" s="36">
        <v>-22910000</v>
      </c>
      <c r="F47" s="34">
        <v>0</v>
      </c>
      <c r="G47" s="35">
        <v>0</v>
      </c>
      <c r="H47" s="36">
        <v>0</v>
      </c>
      <c r="I47" s="34">
        <v>0</v>
      </c>
      <c r="J47" s="35">
        <v>0</v>
      </c>
      <c r="K47" s="36">
        <v>0</v>
      </c>
      <c r="L47" s="34">
        <v>0</v>
      </c>
      <c r="M47" s="35">
        <v>0</v>
      </c>
      <c r="N47" s="36">
        <v>0</v>
      </c>
      <c r="O47" s="34">
        <v>0</v>
      </c>
      <c r="P47" s="35">
        <v>0</v>
      </c>
      <c r="Q47" s="36">
        <v>0</v>
      </c>
      <c r="R47" s="34">
        <v>0</v>
      </c>
      <c r="S47" s="35">
        <v>0</v>
      </c>
      <c r="T47" s="36">
        <v>0</v>
      </c>
      <c r="U47" s="34">
        <v>0</v>
      </c>
      <c r="V47" s="35">
        <v>0</v>
      </c>
      <c r="W47" s="36">
        <v>0</v>
      </c>
      <c r="X47" s="34">
        <v>0</v>
      </c>
      <c r="Y47" s="35">
        <v>0</v>
      </c>
      <c r="Z47" s="36">
        <v>0</v>
      </c>
      <c r="AA47" s="34">
        <v>-2405564</v>
      </c>
      <c r="AB47" s="35">
        <v>-2752066.66666666</v>
      </c>
      <c r="AC47" s="36">
        <v>-4000000</v>
      </c>
      <c r="AD47" s="34">
        <v>0</v>
      </c>
      <c r="AE47" s="35">
        <v>0</v>
      </c>
      <c r="AF47" s="36">
        <v>0</v>
      </c>
      <c r="AG47" s="34">
        <v>0</v>
      </c>
      <c r="AH47" s="35">
        <v>0</v>
      </c>
      <c r="AI47" s="36">
        <v>0</v>
      </c>
      <c r="AJ47" s="34">
        <v>0</v>
      </c>
      <c r="AK47" s="35">
        <v>0</v>
      </c>
      <c r="AL47" s="36">
        <v>0</v>
      </c>
      <c r="AM47" s="34">
        <v>-16148595</v>
      </c>
      <c r="AN47" s="35">
        <v>-17500333.333333299</v>
      </c>
      <c r="AO47" s="36">
        <v>-17800000</v>
      </c>
      <c r="AP47" s="34">
        <v>0</v>
      </c>
      <c r="AQ47" s="35">
        <v>-235000</v>
      </c>
      <c r="AR47" s="36">
        <v>-420000</v>
      </c>
      <c r="AS47" s="34">
        <v>0</v>
      </c>
      <c r="AT47" s="35">
        <v>0</v>
      </c>
      <c r="AU47" s="36">
        <v>0</v>
      </c>
      <c r="AV47" s="34">
        <v>0</v>
      </c>
      <c r="AW47" s="35">
        <v>0</v>
      </c>
      <c r="AX47" s="36">
        <v>0</v>
      </c>
      <c r="AY47" s="34">
        <v>0</v>
      </c>
      <c r="AZ47" s="35">
        <v>0</v>
      </c>
      <c r="BA47" s="36">
        <v>0</v>
      </c>
      <c r="BB47" s="34">
        <v>0</v>
      </c>
      <c r="BC47" s="35">
        <v>0</v>
      </c>
      <c r="BD47" s="36">
        <v>0</v>
      </c>
      <c r="BE47" s="34">
        <v>0</v>
      </c>
      <c r="BF47" s="35">
        <v>0</v>
      </c>
      <c r="BG47" s="36">
        <v>0</v>
      </c>
      <c r="BH47" s="34">
        <v>0</v>
      </c>
      <c r="BI47" s="35">
        <v>0</v>
      </c>
      <c r="BJ47" s="36">
        <v>0</v>
      </c>
      <c r="BK47" s="34">
        <v>0</v>
      </c>
      <c r="BL47" s="35">
        <v>0</v>
      </c>
      <c r="BM47" s="36">
        <v>0</v>
      </c>
      <c r="BN47" s="34">
        <v>0</v>
      </c>
      <c r="BO47" s="35">
        <v>0</v>
      </c>
      <c r="BP47" s="36">
        <v>0</v>
      </c>
      <c r="BQ47" s="34">
        <v>0</v>
      </c>
      <c r="BR47" s="35">
        <v>0</v>
      </c>
      <c r="BS47" s="36">
        <v>0</v>
      </c>
      <c r="BT47" s="34">
        <v>0</v>
      </c>
      <c r="BU47" s="35">
        <v>0</v>
      </c>
      <c r="BV47" s="36">
        <v>0</v>
      </c>
      <c r="BW47" s="34">
        <v>0</v>
      </c>
      <c r="BX47" s="35">
        <v>0</v>
      </c>
      <c r="BY47" s="36">
        <v>0</v>
      </c>
      <c r="BZ47" s="34">
        <v>0</v>
      </c>
      <c r="CA47" s="35">
        <v>0</v>
      </c>
      <c r="CB47" s="36">
        <v>0</v>
      </c>
      <c r="CC47" s="34">
        <v>0</v>
      </c>
      <c r="CD47" s="35">
        <v>0</v>
      </c>
      <c r="CE47" s="36">
        <v>0</v>
      </c>
      <c r="CF47" s="34">
        <v>0</v>
      </c>
      <c r="CG47" s="35">
        <v>0</v>
      </c>
      <c r="CH47" s="36">
        <v>0</v>
      </c>
      <c r="CI47" s="34">
        <v>0</v>
      </c>
      <c r="CJ47" s="35">
        <v>0</v>
      </c>
      <c r="CK47" s="36">
        <v>0</v>
      </c>
      <c r="CL47" s="34">
        <v>0</v>
      </c>
      <c r="CM47" s="35">
        <v>0</v>
      </c>
      <c r="CN47" s="36">
        <v>0</v>
      </c>
      <c r="CO47" s="34">
        <v>0</v>
      </c>
      <c r="CP47" s="35">
        <v>0</v>
      </c>
      <c r="CQ47" s="36">
        <v>0</v>
      </c>
      <c r="CR47" s="34">
        <v>0</v>
      </c>
      <c r="CS47" s="35">
        <v>0</v>
      </c>
      <c r="CT47" s="36">
        <v>0</v>
      </c>
      <c r="CU47" s="34">
        <v>0</v>
      </c>
      <c r="CV47" s="35">
        <v>0</v>
      </c>
      <c r="CW47" s="36">
        <v>0</v>
      </c>
      <c r="CX47" s="34">
        <v>0</v>
      </c>
      <c r="CY47" s="35">
        <v>0</v>
      </c>
      <c r="CZ47" s="36">
        <v>0</v>
      </c>
      <c r="DA47" s="34">
        <v>0</v>
      </c>
      <c r="DB47" s="35">
        <v>0</v>
      </c>
      <c r="DC47" s="36">
        <v>0</v>
      </c>
      <c r="DD47" s="34">
        <v>0</v>
      </c>
      <c r="DE47" s="35">
        <v>0</v>
      </c>
      <c r="DF47" s="36">
        <v>0</v>
      </c>
      <c r="DG47" s="34">
        <v>0</v>
      </c>
      <c r="DH47" s="35">
        <v>0</v>
      </c>
      <c r="DI47" s="36">
        <v>0</v>
      </c>
      <c r="DJ47" s="34">
        <v>0</v>
      </c>
      <c r="DK47" s="35">
        <v>0</v>
      </c>
      <c r="DL47" s="36">
        <v>0</v>
      </c>
      <c r="DM47" s="34">
        <v>0</v>
      </c>
      <c r="DN47" s="35">
        <v>0</v>
      </c>
      <c r="DO47" s="36">
        <v>0</v>
      </c>
      <c r="DP47" s="34">
        <v>0</v>
      </c>
      <c r="DQ47" s="35">
        <v>0</v>
      </c>
      <c r="DR47" s="36">
        <v>0</v>
      </c>
      <c r="DS47" s="34">
        <v>0</v>
      </c>
      <c r="DT47" s="35">
        <v>0</v>
      </c>
      <c r="DU47" s="36">
        <v>0</v>
      </c>
      <c r="DV47" s="34">
        <v>0</v>
      </c>
      <c r="DW47" s="35">
        <v>0</v>
      </c>
      <c r="DX47" s="36">
        <v>0</v>
      </c>
      <c r="DY47" s="34">
        <v>0</v>
      </c>
      <c r="DZ47" s="35">
        <v>0</v>
      </c>
      <c r="EA47" s="36">
        <v>0</v>
      </c>
      <c r="EB47" s="34">
        <v>0</v>
      </c>
      <c r="EC47" s="35">
        <v>0</v>
      </c>
      <c r="ED47" s="36">
        <v>0</v>
      </c>
      <c r="EE47" s="34">
        <v>-2633867.13</v>
      </c>
      <c r="EF47" s="35">
        <v>0</v>
      </c>
      <c r="EG47" s="36">
        <v>-690000</v>
      </c>
      <c r="EH47" s="34">
        <v>0</v>
      </c>
      <c r="EI47" s="35">
        <v>0</v>
      </c>
      <c r="EJ47" s="36">
        <v>0</v>
      </c>
      <c r="EK47" s="34">
        <v>0</v>
      </c>
      <c r="EL47" s="35">
        <v>0</v>
      </c>
      <c r="EM47" s="36">
        <v>0</v>
      </c>
      <c r="EN47" s="34">
        <v>0</v>
      </c>
      <c r="EO47" s="35">
        <v>0</v>
      </c>
      <c r="EP47" s="36">
        <v>0</v>
      </c>
      <c r="EQ47" s="34">
        <v>0</v>
      </c>
      <c r="ER47" s="35">
        <v>0</v>
      </c>
      <c r="ES47" s="36">
        <v>0</v>
      </c>
      <c r="ET47" s="34">
        <v>0</v>
      </c>
      <c r="EU47" s="35">
        <v>0</v>
      </c>
      <c r="EV47" s="36">
        <v>0</v>
      </c>
      <c r="EW47" s="34">
        <v>0</v>
      </c>
      <c r="EX47" s="35">
        <v>0</v>
      </c>
      <c r="EY47" s="36">
        <v>0</v>
      </c>
      <c r="EZ47" s="34">
        <v>0</v>
      </c>
      <c r="FA47" s="35">
        <v>0</v>
      </c>
      <c r="FB47" s="36">
        <v>0</v>
      </c>
      <c r="FC47" s="34">
        <v>0</v>
      </c>
      <c r="FD47" s="35">
        <v>0</v>
      </c>
      <c r="FE47" s="36">
        <v>0</v>
      </c>
      <c r="FF47" s="34">
        <v>0</v>
      </c>
      <c r="FG47" s="35">
        <v>0</v>
      </c>
      <c r="FH47" s="36">
        <v>0</v>
      </c>
      <c r="FI47" s="34">
        <v>0</v>
      </c>
      <c r="FJ47" s="35">
        <v>0</v>
      </c>
      <c r="FK47" s="36">
        <v>0</v>
      </c>
      <c r="FL47" s="34">
        <v>0</v>
      </c>
      <c r="FM47" s="35">
        <v>0</v>
      </c>
      <c r="FN47" s="36">
        <v>0</v>
      </c>
      <c r="FO47" s="34">
        <v>0</v>
      </c>
      <c r="FP47" s="35">
        <v>0</v>
      </c>
      <c r="FQ47" s="36">
        <v>0</v>
      </c>
      <c r="FR47" s="34">
        <v>0</v>
      </c>
      <c r="FS47" s="35">
        <v>0</v>
      </c>
      <c r="FT47" s="36">
        <v>0</v>
      </c>
      <c r="FU47" s="34">
        <v>0</v>
      </c>
      <c r="FV47" s="35">
        <v>0</v>
      </c>
      <c r="FW47" s="36">
        <v>0</v>
      </c>
      <c r="FX47" s="34">
        <v>0</v>
      </c>
      <c r="FY47" s="35">
        <v>1987000</v>
      </c>
      <c r="FZ47" s="36">
        <v>0</v>
      </c>
      <c r="GA47" s="34">
        <v>0</v>
      </c>
      <c r="GB47" s="35">
        <v>0</v>
      </c>
      <c r="GC47" s="36">
        <v>0</v>
      </c>
      <c r="GD47" s="34">
        <v>0</v>
      </c>
      <c r="GE47" s="35">
        <v>0</v>
      </c>
      <c r="GF47" s="36">
        <v>0</v>
      </c>
      <c r="GG47" s="34">
        <v>0</v>
      </c>
      <c r="GH47" s="35">
        <v>0</v>
      </c>
      <c r="GI47" s="36">
        <v>0</v>
      </c>
      <c r="GJ47" s="34">
        <v>0</v>
      </c>
      <c r="GK47" s="35">
        <v>0</v>
      </c>
      <c r="GL47" s="36">
        <v>0</v>
      </c>
      <c r="GM47" s="34">
        <v>0</v>
      </c>
      <c r="GN47" s="35">
        <v>0</v>
      </c>
      <c r="GO47" s="36">
        <v>0</v>
      </c>
      <c r="GP47" s="34">
        <v>0</v>
      </c>
      <c r="GQ47" s="35">
        <v>0</v>
      </c>
      <c r="GR47" s="36">
        <v>0</v>
      </c>
      <c r="GS47" s="34">
        <v>0</v>
      </c>
      <c r="GT47" s="35">
        <v>0</v>
      </c>
      <c r="GU47" s="36">
        <v>0</v>
      </c>
      <c r="GV47" s="34">
        <v>0</v>
      </c>
      <c r="GW47" s="35">
        <v>0</v>
      </c>
      <c r="GX47" s="36">
        <v>0</v>
      </c>
      <c r="GY47" s="34">
        <v>0</v>
      </c>
      <c r="GZ47" s="35">
        <v>0</v>
      </c>
      <c r="HA47" s="36">
        <v>0</v>
      </c>
      <c r="HB47" s="34">
        <v>0</v>
      </c>
      <c r="HC47" s="35">
        <v>0</v>
      </c>
      <c r="HD47" s="36">
        <v>0</v>
      </c>
      <c r="HE47" s="34">
        <v>0</v>
      </c>
      <c r="HF47" s="35">
        <v>0</v>
      </c>
      <c r="HG47" s="36">
        <v>0</v>
      </c>
      <c r="HH47" s="34">
        <v>0</v>
      </c>
      <c r="HI47" s="35">
        <v>0</v>
      </c>
      <c r="HJ47" s="36">
        <v>0</v>
      </c>
      <c r="HK47" s="34">
        <v>0</v>
      </c>
      <c r="HL47" s="35">
        <v>0</v>
      </c>
      <c r="HM47" s="36">
        <v>0</v>
      </c>
      <c r="HN47" s="34">
        <v>0</v>
      </c>
      <c r="HO47" s="35">
        <v>0</v>
      </c>
      <c r="HP47" s="36">
        <v>0</v>
      </c>
    </row>
    <row r="48" spans="1:224" x14ac:dyDescent="0.25">
      <c r="A48" s="23" t="s">
        <v>233</v>
      </c>
      <c r="B48" s="26" t="s">
        <v>234</v>
      </c>
      <c r="C48" s="7">
        <v>-8058511.5700000003</v>
      </c>
      <c r="D48" s="8">
        <v>-8050333.3333333302</v>
      </c>
      <c r="E48" s="9">
        <v>-8805512.9999999907</v>
      </c>
      <c r="F48" s="7">
        <v>-33492.699999999997</v>
      </c>
      <c r="G48" s="8">
        <v>-45000</v>
      </c>
      <c r="H48" s="9">
        <v>-45000</v>
      </c>
      <c r="I48" s="7">
        <v>0</v>
      </c>
      <c r="J48" s="8">
        <v>0</v>
      </c>
      <c r="K48" s="9">
        <v>0</v>
      </c>
      <c r="L48" s="7">
        <v>-8018376.4699999997</v>
      </c>
      <c r="M48" s="8">
        <v>-8500333.3333333395</v>
      </c>
      <c r="N48" s="9">
        <v>-8747513</v>
      </c>
      <c r="O48" s="7">
        <v>0</v>
      </c>
      <c r="P48" s="8">
        <v>0</v>
      </c>
      <c r="Q48" s="9">
        <v>0</v>
      </c>
      <c r="R48" s="7">
        <v>0</v>
      </c>
      <c r="S48" s="8">
        <v>0</v>
      </c>
      <c r="T48" s="9">
        <v>0</v>
      </c>
      <c r="U48" s="7">
        <v>0</v>
      </c>
      <c r="V48" s="8">
        <v>0</v>
      </c>
      <c r="W48" s="9">
        <v>0</v>
      </c>
      <c r="X48" s="7">
        <v>-5904.1</v>
      </c>
      <c r="Y48" s="8">
        <v>-4999.9999999920001</v>
      </c>
      <c r="Z48" s="9">
        <v>-9000</v>
      </c>
      <c r="AA48" s="7">
        <v>0</v>
      </c>
      <c r="AB48" s="8">
        <v>0</v>
      </c>
      <c r="AC48" s="9">
        <v>0</v>
      </c>
      <c r="AD48" s="7">
        <v>0</v>
      </c>
      <c r="AE48" s="8">
        <v>0</v>
      </c>
      <c r="AF48" s="9">
        <v>0</v>
      </c>
      <c r="AG48" s="7">
        <v>0</v>
      </c>
      <c r="AH48" s="8">
        <v>0</v>
      </c>
      <c r="AI48" s="9">
        <v>0</v>
      </c>
      <c r="AJ48" s="7">
        <v>0</v>
      </c>
      <c r="AK48" s="8">
        <v>0</v>
      </c>
      <c r="AL48" s="9">
        <v>0</v>
      </c>
      <c r="AM48" s="7">
        <v>0</v>
      </c>
      <c r="AN48" s="8">
        <v>0</v>
      </c>
      <c r="AO48" s="9">
        <v>0</v>
      </c>
      <c r="AP48" s="7">
        <v>0</v>
      </c>
      <c r="AQ48" s="8">
        <v>0</v>
      </c>
      <c r="AR48" s="9">
        <v>0</v>
      </c>
      <c r="AS48" s="7">
        <v>0</v>
      </c>
      <c r="AT48" s="8">
        <v>0</v>
      </c>
      <c r="AU48" s="9">
        <v>0</v>
      </c>
      <c r="AV48" s="7">
        <v>0</v>
      </c>
      <c r="AW48" s="8">
        <v>0</v>
      </c>
      <c r="AX48" s="9">
        <v>0</v>
      </c>
      <c r="AY48" s="7">
        <v>0</v>
      </c>
      <c r="AZ48" s="8">
        <v>0</v>
      </c>
      <c r="BA48" s="9">
        <v>0</v>
      </c>
      <c r="BB48" s="7">
        <v>0</v>
      </c>
      <c r="BC48" s="8">
        <v>0</v>
      </c>
      <c r="BD48" s="9">
        <v>0</v>
      </c>
      <c r="BE48" s="7">
        <v>0</v>
      </c>
      <c r="BF48" s="8">
        <v>0</v>
      </c>
      <c r="BG48" s="9">
        <v>0</v>
      </c>
      <c r="BH48" s="7">
        <v>0</v>
      </c>
      <c r="BI48" s="8">
        <v>0</v>
      </c>
      <c r="BJ48" s="9">
        <v>0</v>
      </c>
      <c r="BK48" s="7">
        <v>0</v>
      </c>
      <c r="BL48" s="8">
        <v>0</v>
      </c>
      <c r="BM48" s="9">
        <v>0</v>
      </c>
      <c r="BN48" s="7">
        <v>0</v>
      </c>
      <c r="BO48" s="8">
        <v>0</v>
      </c>
      <c r="BP48" s="9">
        <v>0</v>
      </c>
      <c r="BQ48" s="7">
        <v>0</v>
      </c>
      <c r="BR48" s="8">
        <v>0</v>
      </c>
      <c r="BS48" s="9">
        <v>0</v>
      </c>
      <c r="BT48" s="7">
        <v>0</v>
      </c>
      <c r="BU48" s="8">
        <v>0</v>
      </c>
      <c r="BV48" s="9">
        <v>0</v>
      </c>
      <c r="BW48" s="7">
        <v>0</v>
      </c>
      <c r="BX48" s="8">
        <v>0</v>
      </c>
      <c r="BY48" s="9">
        <v>0</v>
      </c>
      <c r="BZ48" s="7">
        <v>0</v>
      </c>
      <c r="CA48" s="8">
        <v>0</v>
      </c>
      <c r="CB48" s="9">
        <v>0</v>
      </c>
      <c r="CC48" s="7">
        <v>0</v>
      </c>
      <c r="CD48" s="8">
        <v>0</v>
      </c>
      <c r="CE48" s="9">
        <v>0</v>
      </c>
      <c r="CF48" s="7">
        <v>0</v>
      </c>
      <c r="CG48" s="8">
        <v>0</v>
      </c>
      <c r="CH48" s="9">
        <v>0</v>
      </c>
      <c r="CI48" s="7">
        <v>0</v>
      </c>
      <c r="CJ48" s="8">
        <v>0</v>
      </c>
      <c r="CK48" s="9">
        <v>0</v>
      </c>
      <c r="CL48" s="7">
        <v>0</v>
      </c>
      <c r="CM48" s="8">
        <v>0</v>
      </c>
      <c r="CN48" s="9">
        <v>0</v>
      </c>
      <c r="CO48" s="7">
        <v>0</v>
      </c>
      <c r="CP48" s="8">
        <v>0</v>
      </c>
      <c r="CQ48" s="9">
        <v>0</v>
      </c>
      <c r="CR48" s="7">
        <v>0</v>
      </c>
      <c r="CS48" s="8">
        <v>0</v>
      </c>
      <c r="CT48" s="9">
        <v>0</v>
      </c>
      <c r="CU48" s="7">
        <v>0</v>
      </c>
      <c r="CV48" s="8">
        <v>0</v>
      </c>
      <c r="CW48" s="9">
        <v>0</v>
      </c>
      <c r="CX48" s="7">
        <v>0</v>
      </c>
      <c r="CY48" s="8">
        <v>0</v>
      </c>
      <c r="CZ48" s="9">
        <v>0</v>
      </c>
      <c r="DA48" s="7">
        <v>0</v>
      </c>
      <c r="DB48" s="8">
        <v>0</v>
      </c>
      <c r="DC48" s="9">
        <v>0</v>
      </c>
      <c r="DD48" s="7">
        <v>0</v>
      </c>
      <c r="DE48" s="8">
        <v>0</v>
      </c>
      <c r="DF48" s="9">
        <v>0</v>
      </c>
      <c r="DG48" s="7">
        <v>0</v>
      </c>
      <c r="DH48" s="8">
        <v>0</v>
      </c>
      <c r="DI48" s="9">
        <v>0</v>
      </c>
      <c r="DJ48" s="7">
        <v>0</v>
      </c>
      <c r="DK48" s="8">
        <v>0</v>
      </c>
      <c r="DL48" s="9">
        <v>0</v>
      </c>
      <c r="DM48" s="7">
        <v>0</v>
      </c>
      <c r="DN48" s="8">
        <v>0</v>
      </c>
      <c r="DO48" s="9">
        <v>0</v>
      </c>
      <c r="DP48" s="7">
        <v>0</v>
      </c>
      <c r="DQ48" s="8">
        <v>0</v>
      </c>
      <c r="DR48" s="9">
        <v>0</v>
      </c>
      <c r="DS48" s="7">
        <v>0</v>
      </c>
      <c r="DT48" s="8">
        <v>0</v>
      </c>
      <c r="DU48" s="9">
        <v>0</v>
      </c>
      <c r="DV48" s="7">
        <v>0</v>
      </c>
      <c r="DW48" s="8">
        <v>0</v>
      </c>
      <c r="DX48" s="9">
        <v>0</v>
      </c>
      <c r="DY48" s="7">
        <v>0</v>
      </c>
      <c r="DZ48" s="8">
        <v>0</v>
      </c>
      <c r="EA48" s="9">
        <v>0</v>
      </c>
      <c r="EB48" s="7">
        <v>0</v>
      </c>
      <c r="EC48" s="8">
        <v>0</v>
      </c>
      <c r="ED48" s="9">
        <v>0</v>
      </c>
      <c r="EE48" s="7">
        <v>0</v>
      </c>
      <c r="EF48" s="8">
        <v>0</v>
      </c>
      <c r="EG48" s="9">
        <v>0</v>
      </c>
      <c r="EH48" s="7">
        <v>0</v>
      </c>
      <c r="EI48" s="8">
        <v>0</v>
      </c>
      <c r="EJ48" s="9">
        <v>0</v>
      </c>
      <c r="EK48" s="7">
        <v>-738.3</v>
      </c>
      <c r="EL48" s="8">
        <v>0</v>
      </c>
      <c r="EM48" s="9">
        <v>-4000</v>
      </c>
      <c r="EN48" s="7">
        <v>0</v>
      </c>
      <c r="EO48" s="8">
        <v>0</v>
      </c>
      <c r="EP48" s="9">
        <v>0</v>
      </c>
      <c r="EQ48" s="7">
        <v>0</v>
      </c>
      <c r="ER48" s="8">
        <v>0</v>
      </c>
      <c r="ES48" s="9">
        <v>0</v>
      </c>
      <c r="ET48" s="7">
        <v>0</v>
      </c>
      <c r="EU48" s="8">
        <v>0</v>
      </c>
      <c r="EV48" s="9">
        <v>0</v>
      </c>
      <c r="EW48" s="7">
        <v>0</v>
      </c>
      <c r="EX48" s="8">
        <v>0</v>
      </c>
      <c r="EY48" s="9">
        <v>0</v>
      </c>
      <c r="EZ48" s="7">
        <v>0</v>
      </c>
      <c r="FA48" s="8">
        <v>0</v>
      </c>
      <c r="FB48" s="9">
        <v>0</v>
      </c>
      <c r="FC48" s="7">
        <v>0</v>
      </c>
      <c r="FD48" s="8">
        <v>0</v>
      </c>
      <c r="FE48" s="9">
        <v>0</v>
      </c>
      <c r="FF48" s="7">
        <v>0</v>
      </c>
      <c r="FG48" s="8">
        <v>0</v>
      </c>
      <c r="FH48" s="9">
        <v>0</v>
      </c>
      <c r="FI48" s="7">
        <v>0</v>
      </c>
      <c r="FJ48" s="8">
        <v>0</v>
      </c>
      <c r="FK48" s="9">
        <v>0</v>
      </c>
      <c r="FL48" s="7">
        <v>0</v>
      </c>
      <c r="FM48" s="8">
        <v>0</v>
      </c>
      <c r="FN48" s="9">
        <v>0</v>
      </c>
      <c r="FO48" s="7">
        <v>0</v>
      </c>
      <c r="FP48" s="8">
        <v>0</v>
      </c>
      <c r="FQ48" s="9">
        <v>0</v>
      </c>
      <c r="FR48" s="7">
        <v>0</v>
      </c>
      <c r="FS48" s="8">
        <v>0</v>
      </c>
      <c r="FT48" s="9">
        <v>0</v>
      </c>
      <c r="FU48" s="7">
        <v>0</v>
      </c>
      <c r="FV48" s="8">
        <v>0</v>
      </c>
      <c r="FW48" s="9">
        <v>0</v>
      </c>
      <c r="FX48" s="7">
        <v>0</v>
      </c>
      <c r="FY48" s="8">
        <v>500000</v>
      </c>
      <c r="FZ48" s="9">
        <v>0</v>
      </c>
      <c r="GA48" s="7">
        <v>0</v>
      </c>
      <c r="GB48" s="8">
        <v>0</v>
      </c>
      <c r="GC48" s="9">
        <v>0</v>
      </c>
      <c r="GD48" s="7">
        <v>0</v>
      </c>
      <c r="GE48" s="8">
        <v>0</v>
      </c>
      <c r="GF48" s="9">
        <v>0</v>
      </c>
      <c r="GG48" s="7">
        <v>0</v>
      </c>
      <c r="GH48" s="8">
        <v>0</v>
      </c>
      <c r="GI48" s="9">
        <v>0</v>
      </c>
      <c r="GJ48" s="7">
        <v>0</v>
      </c>
      <c r="GK48" s="8">
        <v>0</v>
      </c>
      <c r="GL48" s="9">
        <v>0</v>
      </c>
      <c r="GM48" s="7">
        <v>0</v>
      </c>
      <c r="GN48" s="8">
        <v>0</v>
      </c>
      <c r="GO48" s="9">
        <v>0</v>
      </c>
      <c r="GP48" s="7">
        <v>0</v>
      </c>
      <c r="GQ48" s="8">
        <v>0</v>
      </c>
      <c r="GR48" s="9">
        <v>0</v>
      </c>
      <c r="GS48" s="7">
        <v>0</v>
      </c>
      <c r="GT48" s="8">
        <v>0</v>
      </c>
      <c r="GU48" s="9">
        <v>0</v>
      </c>
      <c r="GV48" s="7">
        <v>0</v>
      </c>
      <c r="GW48" s="8">
        <v>0</v>
      </c>
      <c r="GX48" s="9">
        <v>0</v>
      </c>
      <c r="GY48" s="7">
        <v>0</v>
      </c>
      <c r="GZ48" s="8">
        <v>0</v>
      </c>
      <c r="HA48" s="9">
        <v>0</v>
      </c>
      <c r="HB48" s="7">
        <v>0</v>
      </c>
      <c r="HC48" s="8">
        <v>0</v>
      </c>
      <c r="HD48" s="9">
        <v>0</v>
      </c>
      <c r="HE48" s="7">
        <v>0</v>
      </c>
      <c r="HF48" s="8">
        <v>0</v>
      </c>
      <c r="HG48" s="9">
        <v>0</v>
      </c>
      <c r="HH48" s="7">
        <v>0</v>
      </c>
      <c r="HI48" s="8">
        <v>0</v>
      </c>
      <c r="HJ48" s="9">
        <v>0</v>
      </c>
      <c r="HK48" s="7">
        <v>0</v>
      </c>
      <c r="HL48" s="8">
        <v>0</v>
      </c>
      <c r="HM48" s="9">
        <v>0</v>
      </c>
      <c r="HN48" s="7">
        <v>0</v>
      </c>
      <c r="HO48" s="8">
        <v>0</v>
      </c>
      <c r="HP48" s="9">
        <v>0</v>
      </c>
    </row>
    <row r="49" spans="1:224" x14ac:dyDescent="0.25">
      <c r="A49" s="23" t="s">
        <v>235</v>
      </c>
      <c r="B49" s="26" t="s">
        <v>236</v>
      </c>
      <c r="C49" s="7">
        <v>-37270808.399999999</v>
      </c>
      <c r="D49" s="8">
        <v>-40606785.850632697</v>
      </c>
      <c r="E49" s="9">
        <v>-44056771</v>
      </c>
      <c r="F49" s="7">
        <v>-5252343.3</v>
      </c>
      <c r="G49" s="8">
        <v>-5879999.9999999804</v>
      </c>
      <c r="H49" s="9">
        <v>-5500000</v>
      </c>
      <c r="I49" s="7">
        <v>-250455.52</v>
      </c>
      <c r="J49" s="8">
        <v>-321302.176467471</v>
      </c>
      <c r="K49" s="9">
        <v>-300000</v>
      </c>
      <c r="L49" s="7">
        <v>-189709.1</v>
      </c>
      <c r="M49" s="8">
        <v>-184999.99999997101</v>
      </c>
      <c r="N49" s="9">
        <v>-185000</v>
      </c>
      <c r="O49" s="7">
        <v>-230776.69</v>
      </c>
      <c r="P49" s="8">
        <v>-219999.99999997401</v>
      </c>
      <c r="Q49" s="9">
        <v>-455000</v>
      </c>
      <c r="R49" s="7">
        <v>-42389.4</v>
      </c>
      <c r="S49" s="8">
        <v>-39999.999999991</v>
      </c>
      <c r="T49" s="9">
        <v>-40000</v>
      </c>
      <c r="U49" s="7">
        <v>-89398.79</v>
      </c>
      <c r="V49" s="8">
        <v>-90999.999999987995</v>
      </c>
      <c r="W49" s="9">
        <v>-150000</v>
      </c>
      <c r="X49" s="7">
        <v>-589210.25</v>
      </c>
      <c r="Y49" s="8">
        <v>-686999.99999997905</v>
      </c>
      <c r="Z49" s="9">
        <v>-874070</v>
      </c>
      <c r="AA49" s="7">
        <v>-172731.21</v>
      </c>
      <c r="AB49" s="8">
        <v>-199999.999999975</v>
      </c>
      <c r="AC49" s="9">
        <v>-200000</v>
      </c>
      <c r="AD49" s="7">
        <v>-33083.53</v>
      </c>
      <c r="AE49" s="8">
        <v>-39999.999999995001</v>
      </c>
      <c r="AF49" s="9">
        <v>-40000</v>
      </c>
      <c r="AG49" s="7">
        <v>-193864.55</v>
      </c>
      <c r="AH49" s="8">
        <v>-199999.999999975</v>
      </c>
      <c r="AI49" s="9">
        <v>-300000</v>
      </c>
      <c r="AJ49" s="7">
        <v>-584699.14</v>
      </c>
      <c r="AK49" s="8">
        <v>-599999.99999996205</v>
      </c>
      <c r="AL49" s="9">
        <v>-613731</v>
      </c>
      <c r="AM49" s="7">
        <v>-60267.35</v>
      </c>
      <c r="AN49" s="8">
        <v>-49999.999999988002</v>
      </c>
      <c r="AO49" s="9">
        <v>-85000</v>
      </c>
      <c r="AP49" s="7">
        <v>-34308.050000000003</v>
      </c>
      <c r="AQ49" s="8">
        <v>-34999.999999990003</v>
      </c>
      <c r="AR49" s="9">
        <v>-50000</v>
      </c>
      <c r="AS49" s="7">
        <v>-15509.1</v>
      </c>
      <c r="AT49" s="8">
        <v>-19999.999999993001</v>
      </c>
      <c r="AU49" s="9">
        <v>-22000</v>
      </c>
      <c r="AV49" s="7">
        <v>-2540</v>
      </c>
      <c r="AW49" s="8">
        <v>-1999.999999998</v>
      </c>
      <c r="AX49" s="9">
        <v>-2000</v>
      </c>
      <c r="AY49" s="7">
        <v>-243298.54</v>
      </c>
      <c r="AZ49" s="8">
        <v>-269999.99999997701</v>
      </c>
      <c r="BA49" s="9">
        <v>-670000</v>
      </c>
      <c r="BB49" s="7">
        <v>-262704.2</v>
      </c>
      <c r="BC49" s="8">
        <v>-274999.99999997398</v>
      </c>
      <c r="BD49" s="9">
        <v>-275000</v>
      </c>
      <c r="BE49" s="7">
        <v>-1539.7</v>
      </c>
      <c r="BF49" s="8">
        <v>-1999.999999998</v>
      </c>
      <c r="BG49" s="9">
        <v>-2000</v>
      </c>
      <c r="BH49" s="7">
        <v>-31460.17</v>
      </c>
      <c r="BI49" s="8">
        <v>-31999.999999989999</v>
      </c>
      <c r="BJ49" s="9">
        <v>-32000</v>
      </c>
      <c r="BK49" s="7">
        <v>-35383.35</v>
      </c>
      <c r="BL49" s="8">
        <v>-39999.999999995001</v>
      </c>
      <c r="BM49" s="9">
        <v>-40000</v>
      </c>
      <c r="BN49" s="7">
        <v>-1009952.47</v>
      </c>
      <c r="BO49" s="8">
        <v>-994999.99999998196</v>
      </c>
      <c r="BP49" s="9">
        <v>-999000</v>
      </c>
      <c r="BQ49" s="7">
        <v>-50.85</v>
      </c>
      <c r="BR49" s="8">
        <v>-10000</v>
      </c>
      <c r="BS49" s="9">
        <v>-12000</v>
      </c>
      <c r="BT49" s="7">
        <v>0</v>
      </c>
      <c r="BU49" s="8">
        <v>0</v>
      </c>
      <c r="BV49" s="9">
        <v>0</v>
      </c>
      <c r="BW49" s="7">
        <v>-39638</v>
      </c>
      <c r="BX49" s="8">
        <v>-39999.999999997002</v>
      </c>
      <c r="BY49" s="9">
        <v>-45000</v>
      </c>
      <c r="BZ49" s="7">
        <v>-4065</v>
      </c>
      <c r="CA49" s="8">
        <v>-4999.9999999969996</v>
      </c>
      <c r="CB49" s="9">
        <v>-12000</v>
      </c>
      <c r="CC49" s="7">
        <v>0</v>
      </c>
      <c r="CD49" s="8">
        <v>0</v>
      </c>
      <c r="CE49" s="9">
        <v>-200</v>
      </c>
      <c r="CF49" s="7">
        <v>0</v>
      </c>
      <c r="CG49" s="8">
        <v>0</v>
      </c>
      <c r="CH49" s="9">
        <v>0</v>
      </c>
      <c r="CI49" s="7">
        <v>0</v>
      </c>
      <c r="CJ49" s="8">
        <v>0</v>
      </c>
      <c r="CK49" s="9">
        <v>0</v>
      </c>
      <c r="CL49" s="7">
        <v>-99648.4</v>
      </c>
      <c r="CM49" s="8">
        <v>-99999.999999983993</v>
      </c>
      <c r="CN49" s="9">
        <v>-100000</v>
      </c>
      <c r="CO49" s="7">
        <v>-921681.06</v>
      </c>
      <c r="CP49" s="8">
        <v>-886999.999999978</v>
      </c>
      <c r="CQ49" s="9">
        <v>-2382821</v>
      </c>
      <c r="CR49" s="7">
        <v>0</v>
      </c>
      <c r="CS49" s="8">
        <v>0</v>
      </c>
      <c r="CT49" s="9">
        <v>0</v>
      </c>
      <c r="CU49" s="7">
        <v>-9350.1</v>
      </c>
      <c r="CV49" s="8">
        <v>-9999.9999999850006</v>
      </c>
      <c r="CW49" s="9">
        <v>-11000</v>
      </c>
      <c r="CX49" s="7">
        <v>-23825437.530000001</v>
      </c>
      <c r="CY49" s="8">
        <v>-25125010.2817268</v>
      </c>
      <c r="CZ49" s="9">
        <v>-25075000</v>
      </c>
      <c r="DA49" s="7">
        <v>0</v>
      </c>
      <c r="DB49" s="8">
        <v>0</v>
      </c>
      <c r="DC49" s="9">
        <v>0</v>
      </c>
      <c r="DD49" s="7">
        <v>0</v>
      </c>
      <c r="DE49" s="8">
        <v>0</v>
      </c>
      <c r="DF49" s="9">
        <v>0</v>
      </c>
      <c r="DG49" s="7">
        <v>0</v>
      </c>
      <c r="DH49" s="8">
        <v>0</v>
      </c>
      <c r="DI49" s="9">
        <v>0</v>
      </c>
      <c r="DJ49" s="7">
        <v>0</v>
      </c>
      <c r="DK49" s="8">
        <v>0</v>
      </c>
      <c r="DL49" s="9">
        <v>0</v>
      </c>
      <c r="DM49" s="7">
        <v>0</v>
      </c>
      <c r="DN49" s="8">
        <v>0</v>
      </c>
      <c r="DO49" s="9">
        <v>0</v>
      </c>
      <c r="DP49" s="7">
        <v>0</v>
      </c>
      <c r="DQ49" s="8">
        <v>0</v>
      </c>
      <c r="DR49" s="9">
        <v>0</v>
      </c>
      <c r="DS49" s="7">
        <v>0</v>
      </c>
      <c r="DT49" s="8">
        <v>0</v>
      </c>
      <c r="DU49" s="9">
        <v>0</v>
      </c>
      <c r="DV49" s="7">
        <v>0</v>
      </c>
      <c r="DW49" s="8">
        <v>0</v>
      </c>
      <c r="DX49" s="9">
        <v>0</v>
      </c>
      <c r="DY49" s="7">
        <v>0</v>
      </c>
      <c r="DZ49" s="8">
        <v>0</v>
      </c>
      <c r="EA49" s="9">
        <v>0</v>
      </c>
      <c r="EB49" s="7">
        <v>0</v>
      </c>
      <c r="EC49" s="8">
        <v>0</v>
      </c>
      <c r="ED49" s="9">
        <v>0</v>
      </c>
      <c r="EE49" s="7">
        <v>-37114.19</v>
      </c>
      <c r="EF49" s="8">
        <v>-39999.999999995001</v>
      </c>
      <c r="EG49" s="9">
        <v>-40000</v>
      </c>
      <c r="EH49" s="7">
        <v>-495547.16</v>
      </c>
      <c r="EI49" s="8">
        <v>-600000</v>
      </c>
      <c r="EJ49" s="9">
        <v>-2090881</v>
      </c>
      <c r="EK49" s="7">
        <v>-1723915.17</v>
      </c>
      <c r="EL49" s="8">
        <v>-1659999.99999999</v>
      </c>
      <c r="EM49" s="9">
        <v>-1724000</v>
      </c>
      <c r="EN49" s="7">
        <v>0</v>
      </c>
      <c r="EO49" s="8">
        <v>0</v>
      </c>
      <c r="EP49" s="9">
        <v>0</v>
      </c>
      <c r="EQ49" s="7">
        <v>0</v>
      </c>
      <c r="ER49" s="8">
        <v>0</v>
      </c>
      <c r="ES49" s="9">
        <v>0</v>
      </c>
      <c r="ET49" s="7">
        <v>0</v>
      </c>
      <c r="EU49" s="8">
        <v>0</v>
      </c>
      <c r="EV49" s="9">
        <v>0</v>
      </c>
      <c r="EW49" s="7">
        <v>0</v>
      </c>
      <c r="EX49" s="8">
        <v>0</v>
      </c>
      <c r="EY49" s="9">
        <v>0</v>
      </c>
      <c r="EZ49" s="7">
        <v>-372364.25</v>
      </c>
      <c r="FA49" s="8">
        <v>-540074.79847201204</v>
      </c>
      <c r="FB49" s="9">
        <v>-1140000</v>
      </c>
      <c r="FC49" s="7">
        <v>-143653.17000000001</v>
      </c>
      <c r="FD49" s="8">
        <v>-179999.999999994</v>
      </c>
      <c r="FE49" s="9">
        <v>-320000</v>
      </c>
      <c r="FF49" s="7">
        <v>-265601.11</v>
      </c>
      <c r="FG49" s="8">
        <v>-264398.59396692098</v>
      </c>
      <c r="FH49" s="9">
        <v>-269068</v>
      </c>
      <c r="FI49" s="7">
        <v>0</v>
      </c>
      <c r="FJ49" s="8">
        <v>0</v>
      </c>
      <c r="FK49" s="9">
        <v>0</v>
      </c>
      <c r="FL49" s="7">
        <v>0</v>
      </c>
      <c r="FM49" s="8">
        <v>0</v>
      </c>
      <c r="FN49" s="9">
        <v>0</v>
      </c>
      <c r="FO49" s="7">
        <v>-7118</v>
      </c>
      <c r="FP49" s="8">
        <v>0</v>
      </c>
      <c r="FQ49" s="9">
        <v>0</v>
      </c>
      <c r="FR49" s="7">
        <v>0</v>
      </c>
      <c r="FS49" s="8">
        <v>0</v>
      </c>
      <c r="FT49" s="9">
        <v>0</v>
      </c>
      <c r="FU49" s="7">
        <v>0</v>
      </c>
      <c r="FV49" s="8">
        <v>0</v>
      </c>
      <c r="FW49" s="9">
        <v>0</v>
      </c>
      <c r="FX49" s="7">
        <v>0</v>
      </c>
      <c r="FY49" s="8">
        <v>-960000</v>
      </c>
      <c r="FZ49" s="9">
        <v>0</v>
      </c>
      <c r="GA49" s="7">
        <v>0</v>
      </c>
      <c r="GB49" s="8">
        <v>0</v>
      </c>
      <c r="GC49" s="9">
        <v>0</v>
      </c>
      <c r="GD49" s="7">
        <v>0</v>
      </c>
      <c r="GE49" s="8">
        <v>0</v>
      </c>
      <c r="GF49" s="9">
        <v>0</v>
      </c>
      <c r="GG49" s="7">
        <v>0</v>
      </c>
      <c r="GH49" s="8">
        <v>0</v>
      </c>
      <c r="GI49" s="9">
        <v>0</v>
      </c>
      <c r="GJ49" s="7">
        <v>0</v>
      </c>
      <c r="GK49" s="8">
        <v>0</v>
      </c>
      <c r="GL49" s="9">
        <v>0</v>
      </c>
      <c r="GM49" s="7">
        <v>0</v>
      </c>
      <c r="GN49" s="8">
        <v>0</v>
      </c>
      <c r="GO49" s="9">
        <v>0</v>
      </c>
      <c r="GP49" s="7">
        <v>0</v>
      </c>
      <c r="GQ49" s="8">
        <v>0</v>
      </c>
      <c r="GR49" s="9">
        <v>0</v>
      </c>
      <c r="GS49" s="7">
        <v>0</v>
      </c>
      <c r="GT49" s="8">
        <v>0</v>
      </c>
      <c r="GU49" s="9">
        <v>0</v>
      </c>
      <c r="GV49" s="7">
        <v>0</v>
      </c>
      <c r="GW49" s="8">
        <v>0</v>
      </c>
      <c r="GX49" s="9">
        <v>0</v>
      </c>
      <c r="GY49" s="7">
        <v>0</v>
      </c>
      <c r="GZ49" s="8">
        <v>0</v>
      </c>
      <c r="HA49" s="9">
        <v>0</v>
      </c>
      <c r="HB49" s="7">
        <v>0</v>
      </c>
      <c r="HC49" s="8">
        <v>0</v>
      </c>
      <c r="HD49" s="9">
        <v>0</v>
      </c>
      <c r="HE49" s="7">
        <v>0</v>
      </c>
      <c r="HF49" s="8">
        <v>0</v>
      </c>
      <c r="HG49" s="9">
        <v>0</v>
      </c>
      <c r="HH49" s="7">
        <v>0</v>
      </c>
      <c r="HI49" s="8">
        <v>0</v>
      </c>
      <c r="HJ49" s="9">
        <v>0</v>
      </c>
      <c r="HK49" s="7">
        <v>0</v>
      </c>
      <c r="HL49" s="8">
        <v>0</v>
      </c>
      <c r="HM49" s="9">
        <v>0</v>
      </c>
      <c r="HN49" s="7">
        <v>0</v>
      </c>
      <c r="HO49" s="8">
        <v>0</v>
      </c>
      <c r="HP49" s="9">
        <v>0</v>
      </c>
    </row>
    <row r="50" spans="1:224" x14ac:dyDescent="0.25">
      <c r="A50" s="23" t="s">
        <v>237</v>
      </c>
      <c r="B50" s="26" t="s">
        <v>238</v>
      </c>
      <c r="C50" s="7">
        <v>-11424754.060000001</v>
      </c>
      <c r="D50" s="8">
        <v>-11220826.1340548</v>
      </c>
      <c r="E50" s="9">
        <v>-11502112</v>
      </c>
      <c r="F50" s="7">
        <v>-392983.69</v>
      </c>
      <c r="G50" s="8">
        <v>-459999.99999999302</v>
      </c>
      <c r="H50" s="9">
        <v>-500000</v>
      </c>
      <c r="I50" s="7">
        <v>-9142.75</v>
      </c>
      <c r="J50" s="8">
        <v>-10999.999999996</v>
      </c>
      <c r="K50" s="9">
        <v>-12000</v>
      </c>
      <c r="L50" s="7">
        <v>-7158.24</v>
      </c>
      <c r="M50" s="8">
        <v>-4999.9999999949996</v>
      </c>
      <c r="N50" s="9">
        <v>-5000</v>
      </c>
      <c r="O50" s="7">
        <v>-57848.160000000003</v>
      </c>
      <c r="P50" s="8">
        <v>-39999.999999995998</v>
      </c>
      <c r="Q50" s="9">
        <v>-20000</v>
      </c>
      <c r="R50" s="7">
        <v>-51668.43</v>
      </c>
      <c r="S50" s="8">
        <v>-59999.999999997002</v>
      </c>
      <c r="T50" s="9">
        <v>-65000</v>
      </c>
      <c r="U50" s="7">
        <v>-804000.12</v>
      </c>
      <c r="V50" s="8">
        <v>-769999.99999999604</v>
      </c>
      <c r="W50" s="9">
        <v>-845000</v>
      </c>
      <c r="X50" s="7">
        <v>-47373.69</v>
      </c>
      <c r="Y50" s="8">
        <v>-50999.999999986001</v>
      </c>
      <c r="Z50" s="9">
        <v>-50000</v>
      </c>
      <c r="AA50" s="7">
        <v>-701704.37</v>
      </c>
      <c r="AB50" s="8">
        <v>-739999.99999999104</v>
      </c>
      <c r="AC50" s="9">
        <v>-800000</v>
      </c>
      <c r="AD50" s="7">
        <v>-5982.3</v>
      </c>
      <c r="AE50" s="8">
        <v>-10000</v>
      </c>
      <c r="AF50" s="9">
        <v>-5000</v>
      </c>
      <c r="AG50" s="7">
        <v>-3094.65</v>
      </c>
      <c r="AH50" s="8">
        <v>-4999.9999999989996</v>
      </c>
      <c r="AI50" s="9">
        <v>-7000</v>
      </c>
      <c r="AJ50" s="7">
        <v>-1015433.66</v>
      </c>
      <c r="AK50" s="8">
        <v>-1052175.0938911</v>
      </c>
      <c r="AL50" s="9">
        <v>-1000000</v>
      </c>
      <c r="AM50" s="7">
        <v>-20679.3</v>
      </c>
      <c r="AN50" s="8">
        <v>-24999.999999995998</v>
      </c>
      <c r="AO50" s="9">
        <v>-35000</v>
      </c>
      <c r="AP50" s="7">
        <v>-271000.73</v>
      </c>
      <c r="AQ50" s="8">
        <v>-279999.999999994</v>
      </c>
      <c r="AR50" s="9">
        <v>-350000</v>
      </c>
      <c r="AS50" s="7">
        <v>-140476.87</v>
      </c>
      <c r="AT50" s="8">
        <v>-139999.99999999499</v>
      </c>
      <c r="AU50" s="9">
        <v>-130000</v>
      </c>
      <c r="AV50" s="7">
        <v>0</v>
      </c>
      <c r="AW50" s="8">
        <v>0</v>
      </c>
      <c r="AX50" s="9">
        <v>0</v>
      </c>
      <c r="AY50" s="7">
        <v>-9197.0300000000007</v>
      </c>
      <c r="AZ50" s="8">
        <v>-9999.9999999970005</v>
      </c>
      <c r="BA50" s="9">
        <v>-8000</v>
      </c>
      <c r="BB50" s="7">
        <v>-3742.56</v>
      </c>
      <c r="BC50" s="8">
        <v>-4999.9999999989996</v>
      </c>
      <c r="BD50" s="9">
        <v>0</v>
      </c>
      <c r="BE50" s="7">
        <v>0</v>
      </c>
      <c r="BF50" s="8">
        <v>0</v>
      </c>
      <c r="BG50" s="9">
        <v>0</v>
      </c>
      <c r="BH50" s="7">
        <v>0</v>
      </c>
      <c r="BI50" s="8">
        <v>0</v>
      </c>
      <c r="BJ50" s="9">
        <v>0</v>
      </c>
      <c r="BK50" s="7">
        <v>-24925.86</v>
      </c>
      <c r="BL50" s="8">
        <v>-24999.999999992</v>
      </c>
      <c r="BM50" s="9">
        <v>-25000</v>
      </c>
      <c r="BN50" s="7">
        <v>0</v>
      </c>
      <c r="BO50" s="8">
        <v>0</v>
      </c>
      <c r="BP50" s="9">
        <v>0</v>
      </c>
      <c r="BQ50" s="7">
        <v>0</v>
      </c>
      <c r="BR50" s="8">
        <v>0</v>
      </c>
      <c r="BS50" s="9">
        <v>0</v>
      </c>
      <c r="BT50" s="7">
        <v>-54789.65</v>
      </c>
      <c r="BU50" s="8">
        <v>-54999.999999995001</v>
      </c>
      <c r="BV50" s="9">
        <v>-60000</v>
      </c>
      <c r="BW50" s="7">
        <v>-405963.49</v>
      </c>
      <c r="BX50" s="8">
        <v>-509622.36363849899</v>
      </c>
      <c r="BY50" s="9">
        <v>-636000</v>
      </c>
      <c r="BZ50" s="7">
        <v>0</v>
      </c>
      <c r="CA50" s="8">
        <v>0</v>
      </c>
      <c r="CB50" s="9">
        <v>0</v>
      </c>
      <c r="CC50" s="7">
        <v>0</v>
      </c>
      <c r="CD50" s="8">
        <v>0</v>
      </c>
      <c r="CE50" s="9">
        <v>0</v>
      </c>
      <c r="CF50" s="7">
        <v>0</v>
      </c>
      <c r="CG50" s="8">
        <v>0</v>
      </c>
      <c r="CH50" s="9">
        <v>0</v>
      </c>
      <c r="CI50" s="7">
        <v>-541991.02</v>
      </c>
      <c r="CJ50" s="8">
        <v>-599999.99999999197</v>
      </c>
      <c r="CK50" s="9">
        <v>-600000</v>
      </c>
      <c r="CL50" s="7">
        <v>-87935.26</v>
      </c>
      <c r="CM50" s="8">
        <v>-64999.999999991</v>
      </c>
      <c r="CN50" s="9">
        <v>-65000</v>
      </c>
      <c r="CO50" s="7">
        <v>-31248.75</v>
      </c>
      <c r="CP50" s="8">
        <v>-29999.999999992</v>
      </c>
      <c r="CQ50" s="9">
        <v>-31000</v>
      </c>
      <c r="CR50" s="7">
        <v>0</v>
      </c>
      <c r="CS50" s="8">
        <v>0</v>
      </c>
      <c r="CT50" s="9">
        <v>0</v>
      </c>
      <c r="CU50" s="7">
        <v>-50656.49</v>
      </c>
      <c r="CV50" s="8">
        <v>-54999.999999997002</v>
      </c>
      <c r="CW50" s="9">
        <v>-50000</v>
      </c>
      <c r="CX50" s="7">
        <v>0</v>
      </c>
      <c r="CY50" s="8">
        <v>0</v>
      </c>
      <c r="CZ50" s="9">
        <v>0</v>
      </c>
      <c r="DA50" s="7">
        <v>0</v>
      </c>
      <c r="DB50" s="8">
        <v>0</v>
      </c>
      <c r="DC50" s="9">
        <v>0</v>
      </c>
      <c r="DD50" s="7">
        <v>0</v>
      </c>
      <c r="DE50" s="8">
        <v>0</v>
      </c>
      <c r="DF50" s="9">
        <v>0</v>
      </c>
      <c r="DG50" s="7">
        <v>0</v>
      </c>
      <c r="DH50" s="8">
        <v>0</v>
      </c>
      <c r="DI50" s="9">
        <v>0</v>
      </c>
      <c r="DJ50" s="7">
        <v>0</v>
      </c>
      <c r="DK50" s="8">
        <v>0</v>
      </c>
      <c r="DL50" s="9">
        <v>0</v>
      </c>
      <c r="DM50" s="7">
        <v>0</v>
      </c>
      <c r="DN50" s="8">
        <v>0</v>
      </c>
      <c r="DO50" s="9">
        <v>0</v>
      </c>
      <c r="DP50" s="7">
        <v>0</v>
      </c>
      <c r="DQ50" s="8">
        <v>0</v>
      </c>
      <c r="DR50" s="9">
        <v>0</v>
      </c>
      <c r="DS50" s="7">
        <v>0</v>
      </c>
      <c r="DT50" s="8">
        <v>0</v>
      </c>
      <c r="DU50" s="9">
        <v>0</v>
      </c>
      <c r="DV50" s="7">
        <v>0</v>
      </c>
      <c r="DW50" s="8">
        <v>0</v>
      </c>
      <c r="DX50" s="9">
        <v>0</v>
      </c>
      <c r="DY50" s="7">
        <v>0</v>
      </c>
      <c r="DZ50" s="8">
        <v>0</v>
      </c>
      <c r="EA50" s="9">
        <v>0</v>
      </c>
      <c r="EB50" s="7">
        <v>0</v>
      </c>
      <c r="EC50" s="8">
        <v>0</v>
      </c>
      <c r="ED50" s="9">
        <v>0</v>
      </c>
      <c r="EE50" s="7">
        <v>-4208381.8899999997</v>
      </c>
      <c r="EF50" s="8">
        <v>-3900000</v>
      </c>
      <c r="EG50" s="9">
        <v>-3900000</v>
      </c>
      <c r="EH50" s="7">
        <v>0</v>
      </c>
      <c r="EI50" s="8">
        <v>0</v>
      </c>
      <c r="EJ50" s="9">
        <v>0</v>
      </c>
      <c r="EK50" s="7">
        <v>-2336258.85</v>
      </c>
      <c r="EL50" s="8">
        <v>-2350000</v>
      </c>
      <c r="EM50" s="9">
        <v>-2141000</v>
      </c>
      <c r="EN50" s="7">
        <v>0</v>
      </c>
      <c r="EO50" s="8">
        <v>0</v>
      </c>
      <c r="EP50" s="9">
        <v>0</v>
      </c>
      <c r="EQ50" s="7">
        <v>0</v>
      </c>
      <c r="ER50" s="8">
        <v>0</v>
      </c>
      <c r="ES50" s="9">
        <v>0</v>
      </c>
      <c r="ET50" s="7">
        <v>0</v>
      </c>
      <c r="EU50" s="8">
        <v>0</v>
      </c>
      <c r="EV50" s="9">
        <v>0</v>
      </c>
      <c r="EW50" s="7">
        <v>0</v>
      </c>
      <c r="EX50" s="8">
        <v>0</v>
      </c>
      <c r="EY50" s="9">
        <v>0</v>
      </c>
      <c r="EZ50" s="7">
        <v>0</v>
      </c>
      <c r="FA50" s="8">
        <v>0</v>
      </c>
      <c r="FB50" s="9">
        <v>0</v>
      </c>
      <c r="FC50" s="7">
        <v>-16133.61</v>
      </c>
      <c r="FD50" s="8">
        <v>-19999.999999994001</v>
      </c>
      <c r="FE50" s="9">
        <v>-30000</v>
      </c>
      <c r="FF50" s="7">
        <v>-124982.64</v>
      </c>
      <c r="FG50" s="8">
        <v>-120028.67652529701</v>
      </c>
      <c r="FH50" s="9">
        <v>-132112</v>
      </c>
      <c r="FI50" s="7">
        <v>0</v>
      </c>
      <c r="FJ50" s="8">
        <v>0</v>
      </c>
      <c r="FK50" s="9">
        <v>0</v>
      </c>
      <c r="FL50" s="7">
        <v>0</v>
      </c>
      <c r="FM50" s="8">
        <v>0</v>
      </c>
      <c r="FN50" s="9">
        <v>0</v>
      </c>
      <c r="FO50" s="7">
        <v>0</v>
      </c>
      <c r="FP50" s="8">
        <v>0</v>
      </c>
      <c r="FQ50" s="9">
        <v>0</v>
      </c>
      <c r="FR50" s="7">
        <v>0</v>
      </c>
      <c r="FS50" s="8">
        <v>0</v>
      </c>
      <c r="FT50" s="9">
        <v>0</v>
      </c>
      <c r="FU50" s="7">
        <v>0</v>
      </c>
      <c r="FV50" s="8">
        <v>0</v>
      </c>
      <c r="FW50" s="9">
        <v>0</v>
      </c>
      <c r="FX50" s="7">
        <v>0</v>
      </c>
      <c r="FY50" s="8">
        <v>173000</v>
      </c>
      <c r="FZ50" s="9">
        <v>0</v>
      </c>
      <c r="GA50" s="7">
        <v>0</v>
      </c>
      <c r="GB50" s="8">
        <v>0</v>
      </c>
      <c r="GC50" s="9">
        <v>0</v>
      </c>
      <c r="GD50" s="7">
        <v>0</v>
      </c>
      <c r="GE50" s="8">
        <v>0</v>
      </c>
      <c r="GF50" s="9">
        <v>0</v>
      </c>
      <c r="GG50" s="7">
        <v>0</v>
      </c>
      <c r="GH50" s="8">
        <v>0</v>
      </c>
      <c r="GI50" s="9">
        <v>0</v>
      </c>
      <c r="GJ50" s="7">
        <v>0</v>
      </c>
      <c r="GK50" s="8">
        <v>0</v>
      </c>
      <c r="GL50" s="9">
        <v>0</v>
      </c>
      <c r="GM50" s="7">
        <v>0</v>
      </c>
      <c r="GN50" s="8">
        <v>0</v>
      </c>
      <c r="GO50" s="9">
        <v>0</v>
      </c>
      <c r="GP50" s="7">
        <v>0</v>
      </c>
      <c r="GQ50" s="8">
        <v>0</v>
      </c>
      <c r="GR50" s="9">
        <v>0</v>
      </c>
      <c r="GS50" s="7">
        <v>0</v>
      </c>
      <c r="GT50" s="8">
        <v>0</v>
      </c>
      <c r="GU50" s="9">
        <v>0</v>
      </c>
      <c r="GV50" s="7">
        <v>0</v>
      </c>
      <c r="GW50" s="8">
        <v>0</v>
      </c>
      <c r="GX50" s="9">
        <v>0</v>
      </c>
      <c r="GY50" s="7">
        <v>0</v>
      </c>
      <c r="GZ50" s="8">
        <v>0</v>
      </c>
      <c r="HA50" s="9">
        <v>0</v>
      </c>
      <c r="HB50" s="7">
        <v>0</v>
      </c>
      <c r="HC50" s="8">
        <v>0</v>
      </c>
      <c r="HD50" s="9">
        <v>0</v>
      </c>
      <c r="HE50" s="7">
        <v>0</v>
      </c>
      <c r="HF50" s="8">
        <v>0</v>
      </c>
      <c r="HG50" s="9">
        <v>0</v>
      </c>
      <c r="HH50" s="7">
        <v>0</v>
      </c>
      <c r="HI50" s="8">
        <v>0</v>
      </c>
      <c r="HJ50" s="9">
        <v>0</v>
      </c>
      <c r="HK50" s="7">
        <v>0</v>
      </c>
      <c r="HL50" s="8">
        <v>0</v>
      </c>
      <c r="HM50" s="9">
        <v>0</v>
      </c>
      <c r="HN50" s="7">
        <v>0</v>
      </c>
      <c r="HO50" s="8">
        <v>0</v>
      </c>
      <c r="HP50" s="9">
        <v>0</v>
      </c>
    </row>
    <row r="51" spans="1:224" x14ac:dyDescent="0.25">
      <c r="A51" s="23" t="s">
        <v>239</v>
      </c>
      <c r="B51" s="26" t="s">
        <v>240</v>
      </c>
      <c r="C51" s="7">
        <v>-5774018.1600000001</v>
      </c>
      <c r="D51" s="8">
        <v>-5916705.6659925301</v>
      </c>
      <c r="E51" s="9">
        <v>-5969973</v>
      </c>
      <c r="F51" s="7">
        <v>-143802.04</v>
      </c>
      <c r="G51" s="8">
        <v>-179999.999999958</v>
      </c>
      <c r="H51" s="9">
        <v>-200000</v>
      </c>
      <c r="I51" s="7">
        <v>-90582.94</v>
      </c>
      <c r="J51" s="8">
        <v>-100055.260130094</v>
      </c>
      <c r="K51" s="9">
        <v>-110000</v>
      </c>
      <c r="L51" s="7">
        <v>-139687.79</v>
      </c>
      <c r="M51" s="8">
        <v>-159999.99999997101</v>
      </c>
      <c r="N51" s="9">
        <v>-160000</v>
      </c>
      <c r="O51" s="7">
        <v>-112666.73</v>
      </c>
      <c r="P51" s="8">
        <v>-104999.99999997301</v>
      </c>
      <c r="Q51" s="9">
        <v>-90000</v>
      </c>
      <c r="R51" s="7">
        <v>-13140</v>
      </c>
      <c r="S51" s="8">
        <v>-19999.999999985001</v>
      </c>
      <c r="T51" s="9">
        <v>-20000</v>
      </c>
      <c r="U51" s="7">
        <v>-177545.98</v>
      </c>
      <c r="V51" s="8">
        <v>-119999.999999972</v>
      </c>
      <c r="W51" s="9">
        <v>-100000</v>
      </c>
      <c r="X51" s="7">
        <v>-506569.85</v>
      </c>
      <c r="Y51" s="8">
        <v>-497999.99999996502</v>
      </c>
      <c r="Z51" s="9">
        <v>-500075</v>
      </c>
      <c r="AA51" s="7">
        <v>-544127.43000000005</v>
      </c>
      <c r="AB51" s="8">
        <v>-609999.99999994901</v>
      </c>
      <c r="AC51" s="9">
        <v>-610000</v>
      </c>
      <c r="AD51" s="7">
        <v>-7403.74</v>
      </c>
      <c r="AE51" s="8">
        <v>-9999.9999999890006</v>
      </c>
      <c r="AF51" s="9">
        <v>-6000</v>
      </c>
      <c r="AG51" s="7">
        <v>-227325.51</v>
      </c>
      <c r="AH51" s="8">
        <v>-209999.99999995701</v>
      </c>
      <c r="AI51" s="9">
        <v>-160000</v>
      </c>
      <c r="AJ51" s="7">
        <v>-458770.62</v>
      </c>
      <c r="AK51" s="8">
        <v>-509999.99999997299</v>
      </c>
      <c r="AL51" s="9">
        <v>-524354</v>
      </c>
      <c r="AM51" s="7">
        <v>-166643.79</v>
      </c>
      <c r="AN51" s="8">
        <v>-213512.19920236099</v>
      </c>
      <c r="AO51" s="9">
        <v>-140000</v>
      </c>
      <c r="AP51" s="7">
        <v>-14873.73</v>
      </c>
      <c r="AQ51" s="8">
        <v>-14999.999999991</v>
      </c>
      <c r="AR51" s="9">
        <v>-15000</v>
      </c>
      <c r="AS51" s="7">
        <v>-8295.43</v>
      </c>
      <c r="AT51" s="8">
        <v>-9999.9999999840002</v>
      </c>
      <c r="AU51" s="9">
        <v>-8500</v>
      </c>
      <c r="AV51" s="7">
        <v>-8096.02</v>
      </c>
      <c r="AW51" s="8">
        <v>-9999.9999999920001</v>
      </c>
      <c r="AX51" s="9">
        <v>-10000</v>
      </c>
      <c r="AY51" s="7">
        <v>-1045690.46</v>
      </c>
      <c r="AZ51" s="8">
        <v>-1044999.99999996</v>
      </c>
      <c r="BA51" s="9">
        <v>-1000000</v>
      </c>
      <c r="BB51" s="7">
        <v>-211856.75</v>
      </c>
      <c r="BC51" s="8">
        <v>-239999.999999969</v>
      </c>
      <c r="BD51" s="9">
        <v>-200000</v>
      </c>
      <c r="BE51" s="7">
        <v>-4476.1099999999997</v>
      </c>
      <c r="BF51" s="8">
        <v>-4999.9999999880001</v>
      </c>
      <c r="BG51" s="9">
        <v>-5000</v>
      </c>
      <c r="BH51" s="7">
        <v>-7450</v>
      </c>
      <c r="BI51" s="8">
        <v>-7999.9999999909996</v>
      </c>
      <c r="BJ51" s="9">
        <v>-8000</v>
      </c>
      <c r="BK51" s="7">
        <v>-14548.83</v>
      </c>
      <c r="BL51" s="8">
        <v>-14999.999999991</v>
      </c>
      <c r="BM51" s="9">
        <v>-19000</v>
      </c>
      <c r="BN51" s="7">
        <v>-234943.19</v>
      </c>
      <c r="BO51" s="8">
        <v>-244999.99999998001</v>
      </c>
      <c r="BP51" s="9">
        <v>-250000</v>
      </c>
      <c r="BQ51" s="7">
        <v>-10403</v>
      </c>
      <c r="BR51" s="8">
        <v>-9999.9999999810007</v>
      </c>
      <c r="BS51" s="9">
        <v>-23500</v>
      </c>
      <c r="BT51" s="7">
        <v>-15572.63</v>
      </c>
      <c r="BU51" s="8">
        <v>-14999.999999993999</v>
      </c>
      <c r="BV51" s="9">
        <v>-16000</v>
      </c>
      <c r="BW51" s="7">
        <v>-36791.040000000001</v>
      </c>
      <c r="BX51" s="8">
        <v>-34999.999999972002</v>
      </c>
      <c r="BY51" s="9">
        <v>-38000</v>
      </c>
      <c r="BZ51" s="7">
        <v>-19563.8</v>
      </c>
      <c r="CA51" s="8">
        <v>-43855.205182860002</v>
      </c>
      <c r="CB51" s="9">
        <v>-45000</v>
      </c>
      <c r="CC51" s="7">
        <v>-13041.16</v>
      </c>
      <c r="CD51" s="8">
        <v>-16999.999999994001</v>
      </c>
      <c r="CE51" s="9">
        <v>-17000</v>
      </c>
      <c r="CF51" s="7">
        <v>-3191</v>
      </c>
      <c r="CG51" s="8">
        <v>-4999.999999996</v>
      </c>
      <c r="CH51" s="9">
        <v>-5000</v>
      </c>
      <c r="CI51" s="7">
        <v>-2742.56</v>
      </c>
      <c r="CJ51" s="8">
        <v>-4999.9999999920001</v>
      </c>
      <c r="CK51" s="9">
        <v>-5000</v>
      </c>
      <c r="CL51" s="7">
        <v>-22507.759999999998</v>
      </c>
      <c r="CM51" s="8">
        <v>-29999.999999983</v>
      </c>
      <c r="CN51" s="9">
        <v>-30000</v>
      </c>
      <c r="CO51" s="7">
        <v>-918205.8</v>
      </c>
      <c r="CP51" s="8">
        <v>-969999.99999996996</v>
      </c>
      <c r="CQ51" s="9">
        <v>-970000</v>
      </c>
      <c r="CR51" s="7">
        <v>-3972</v>
      </c>
      <c r="CS51" s="8">
        <v>-4999.9999999949996</v>
      </c>
      <c r="CT51" s="9">
        <v>-5000</v>
      </c>
      <c r="CU51" s="7">
        <v>-118714.8</v>
      </c>
      <c r="CV51" s="8">
        <v>-134999.99999998001</v>
      </c>
      <c r="CW51" s="9">
        <v>-250000</v>
      </c>
      <c r="CX51" s="7">
        <v>-56789</v>
      </c>
      <c r="CY51" s="8">
        <v>-59999.999999993997</v>
      </c>
      <c r="CZ51" s="9">
        <v>-60000</v>
      </c>
      <c r="DA51" s="7">
        <v>0</v>
      </c>
      <c r="DB51" s="8">
        <v>0</v>
      </c>
      <c r="DC51" s="9">
        <v>0</v>
      </c>
      <c r="DD51" s="7">
        <v>0</v>
      </c>
      <c r="DE51" s="8">
        <v>0</v>
      </c>
      <c r="DF51" s="9">
        <v>0</v>
      </c>
      <c r="DG51" s="7">
        <v>-244.8</v>
      </c>
      <c r="DH51" s="8">
        <v>-261.84308588699997</v>
      </c>
      <c r="DI51" s="9">
        <v>-500</v>
      </c>
      <c r="DJ51" s="7">
        <v>0</v>
      </c>
      <c r="DK51" s="8">
        <v>0</v>
      </c>
      <c r="DL51" s="9">
        <v>0</v>
      </c>
      <c r="DM51" s="7">
        <v>-1460.52</v>
      </c>
      <c r="DN51" s="8">
        <v>-1999.9999999940001</v>
      </c>
      <c r="DO51" s="9">
        <v>-2000</v>
      </c>
      <c r="DP51" s="7">
        <v>-2739.8</v>
      </c>
      <c r="DQ51" s="8">
        <v>-4999.999999998</v>
      </c>
      <c r="DR51" s="9">
        <v>-5000</v>
      </c>
      <c r="DS51" s="7">
        <v>0</v>
      </c>
      <c r="DT51" s="8">
        <v>0</v>
      </c>
      <c r="DU51" s="9">
        <v>0</v>
      </c>
      <c r="DV51" s="7">
        <v>-2680</v>
      </c>
      <c r="DW51" s="8">
        <v>-4999.9999999969996</v>
      </c>
      <c r="DX51" s="9">
        <v>-5000</v>
      </c>
      <c r="DY51" s="7">
        <v>0</v>
      </c>
      <c r="DZ51" s="8">
        <v>0</v>
      </c>
      <c r="EA51" s="9">
        <v>0</v>
      </c>
      <c r="EB51" s="7">
        <v>0</v>
      </c>
      <c r="EC51" s="8">
        <v>0</v>
      </c>
      <c r="ED51" s="9">
        <v>0</v>
      </c>
      <c r="EE51" s="7">
        <v>-50885.66</v>
      </c>
      <c r="EF51" s="8">
        <v>-79999.999999994994</v>
      </c>
      <c r="EG51" s="9">
        <v>-100000</v>
      </c>
      <c r="EH51" s="7">
        <v>-60668.15</v>
      </c>
      <c r="EI51" s="8">
        <v>-64999.999999993997</v>
      </c>
      <c r="EJ51" s="9">
        <v>-74663</v>
      </c>
      <c r="EK51" s="7">
        <v>-60676.81</v>
      </c>
      <c r="EL51" s="8">
        <v>-59999.999999979002</v>
      </c>
      <c r="EM51" s="9">
        <v>-58000</v>
      </c>
      <c r="EN51" s="7">
        <v>0</v>
      </c>
      <c r="EO51" s="8">
        <v>0</v>
      </c>
      <c r="EP51" s="9">
        <v>0</v>
      </c>
      <c r="EQ51" s="7">
        <v>0</v>
      </c>
      <c r="ER51" s="8">
        <v>0</v>
      </c>
      <c r="ES51" s="9">
        <v>0</v>
      </c>
      <c r="ET51" s="7">
        <v>0</v>
      </c>
      <c r="EU51" s="8">
        <v>0</v>
      </c>
      <c r="EV51" s="9">
        <v>0</v>
      </c>
      <c r="EW51" s="7">
        <v>0</v>
      </c>
      <c r="EX51" s="8">
        <v>0</v>
      </c>
      <c r="EY51" s="9">
        <v>0</v>
      </c>
      <c r="EZ51" s="7">
        <v>-23436.82</v>
      </c>
      <c r="FA51" s="8">
        <v>-39949.074200989999</v>
      </c>
      <c r="FB51" s="9">
        <v>-40000</v>
      </c>
      <c r="FC51" s="7">
        <v>-29267.72</v>
      </c>
      <c r="FD51" s="8">
        <v>-39999.999999993997</v>
      </c>
      <c r="FE51" s="9">
        <v>-28000</v>
      </c>
      <c r="FF51" s="7">
        <v>-41853.9</v>
      </c>
      <c r="FG51" s="8">
        <v>-40072.084190996997</v>
      </c>
      <c r="FH51" s="9">
        <v>-56381</v>
      </c>
      <c r="FI51" s="7">
        <v>0</v>
      </c>
      <c r="FJ51" s="8">
        <v>0</v>
      </c>
      <c r="FK51" s="9">
        <v>0</v>
      </c>
      <c r="FL51" s="7">
        <v>0</v>
      </c>
      <c r="FM51" s="8">
        <v>0</v>
      </c>
      <c r="FN51" s="9">
        <v>0</v>
      </c>
      <c r="FO51" s="7">
        <v>-140112.49</v>
      </c>
      <c r="FP51" s="8">
        <v>0</v>
      </c>
      <c r="FQ51" s="9">
        <v>0</v>
      </c>
      <c r="FR51" s="7">
        <v>0</v>
      </c>
      <c r="FS51" s="8">
        <v>0</v>
      </c>
      <c r="FT51" s="9">
        <v>0</v>
      </c>
      <c r="FU51" s="7">
        <v>0</v>
      </c>
      <c r="FV51" s="8">
        <v>0</v>
      </c>
      <c r="FW51" s="9">
        <v>0</v>
      </c>
      <c r="FX51" s="7">
        <v>0</v>
      </c>
      <c r="FY51" s="8">
        <v>81000</v>
      </c>
      <c r="FZ51" s="9">
        <v>0</v>
      </c>
      <c r="GA51" s="7">
        <v>0</v>
      </c>
      <c r="GB51" s="8">
        <v>0</v>
      </c>
      <c r="GC51" s="9">
        <v>0</v>
      </c>
      <c r="GD51" s="7">
        <v>0</v>
      </c>
      <c r="GE51" s="8">
        <v>0</v>
      </c>
      <c r="GF51" s="9">
        <v>0</v>
      </c>
      <c r="GG51" s="7">
        <v>0</v>
      </c>
      <c r="GH51" s="8">
        <v>0</v>
      </c>
      <c r="GI51" s="9">
        <v>0</v>
      </c>
      <c r="GJ51" s="7">
        <v>0</v>
      </c>
      <c r="GK51" s="8">
        <v>0</v>
      </c>
      <c r="GL51" s="9">
        <v>0</v>
      </c>
      <c r="GM51" s="7">
        <v>0</v>
      </c>
      <c r="GN51" s="8">
        <v>0</v>
      </c>
      <c r="GO51" s="9">
        <v>0</v>
      </c>
      <c r="GP51" s="7">
        <v>0</v>
      </c>
      <c r="GQ51" s="8">
        <v>0</v>
      </c>
      <c r="GR51" s="9">
        <v>0</v>
      </c>
      <c r="GS51" s="7">
        <v>0</v>
      </c>
      <c r="GT51" s="8">
        <v>0</v>
      </c>
      <c r="GU51" s="9">
        <v>0</v>
      </c>
      <c r="GV51" s="7">
        <v>0</v>
      </c>
      <c r="GW51" s="8">
        <v>0</v>
      </c>
      <c r="GX51" s="9">
        <v>0</v>
      </c>
      <c r="GY51" s="7">
        <v>0</v>
      </c>
      <c r="GZ51" s="8">
        <v>0</v>
      </c>
      <c r="HA51" s="9">
        <v>0</v>
      </c>
      <c r="HB51" s="7">
        <v>0</v>
      </c>
      <c r="HC51" s="8">
        <v>0</v>
      </c>
      <c r="HD51" s="9">
        <v>0</v>
      </c>
      <c r="HE51" s="7">
        <v>0</v>
      </c>
      <c r="HF51" s="8">
        <v>0</v>
      </c>
      <c r="HG51" s="9">
        <v>0</v>
      </c>
      <c r="HH51" s="7">
        <v>0</v>
      </c>
      <c r="HI51" s="8">
        <v>0</v>
      </c>
      <c r="HJ51" s="9">
        <v>0</v>
      </c>
      <c r="HK51" s="7">
        <v>0</v>
      </c>
      <c r="HL51" s="8">
        <v>0</v>
      </c>
      <c r="HM51" s="9">
        <v>0</v>
      </c>
      <c r="HN51" s="7">
        <v>0</v>
      </c>
      <c r="HO51" s="8">
        <v>0</v>
      </c>
      <c r="HP51" s="9">
        <v>0</v>
      </c>
    </row>
    <row r="52" spans="1:224" x14ac:dyDescent="0.25">
      <c r="A52" s="23" t="s">
        <v>241</v>
      </c>
      <c r="B52" s="26" t="s">
        <v>242</v>
      </c>
      <c r="C52" s="7">
        <v>-409114.8</v>
      </c>
      <c r="D52" s="8">
        <v>-409999.99999999598</v>
      </c>
      <c r="E52" s="9">
        <v>-380000</v>
      </c>
      <c r="F52" s="7">
        <v>0</v>
      </c>
      <c r="G52" s="8">
        <v>0</v>
      </c>
      <c r="H52" s="9">
        <v>0</v>
      </c>
      <c r="I52" s="7">
        <v>0</v>
      </c>
      <c r="J52" s="8">
        <v>0</v>
      </c>
      <c r="K52" s="9">
        <v>0</v>
      </c>
      <c r="L52" s="7">
        <v>0</v>
      </c>
      <c r="M52" s="8">
        <v>0</v>
      </c>
      <c r="N52" s="9">
        <v>0</v>
      </c>
      <c r="O52" s="7">
        <v>0</v>
      </c>
      <c r="P52" s="8">
        <v>0</v>
      </c>
      <c r="Q52" s="9">
        <v>0</v>
      </c>
      <c r="R52" s="7">
        <v>0</v>
      </c>
      <c r="S52" s="8">
        <v>0</v>
      </c>
      <c r="T52" s="9">
        <v>0</v>
      </c>
      <c r="U52" s="7">
        <v>0</v>
      </c>
      <c r="V52" s="8">
        <v>0</v>
      </c>
      <c r="W52" s="9">
        <v>0</v>
      </c>
      <c r="X52" s="7">
        <v>0</v>
      </c>
      <c r="Y52" s="8">
        <v>0</v>
      </c>
      <c r="Z52" s="9">
        <v>0</v>
      </c>
      <c r="AA52" s="7">
        <v>-75762</v>
      </c>
      <c r="AB52" s="8">
        <v>-65000</v>
      </c>
      <c r="AC52" s="9">
        <v>-80000</v>
      </c>
      <c r="AD52" s="7">
        <v>0</v>
      </c>
      <c r="AE52" s="8">
        <v>0</v>
      </c>
      <c r="AF52" s="9">
        <v>0</v>
      </c>
      <c r="AG52" s="7">
        <v>0</v>
      </c>
      <c r="AH52" s="8">
        <v>0</v>
      </c>
      <c r="AI52" s="9">
        <v>0</v>
      </c>
      <c r="AJ52" s="7">
        <v>0</v>
      </c>
      <c r="AK52" s="8">
        <v>0</v>
      </c>
      <c r="AL52" s="9">
        <v>0</v>
      </c>
      <c r="AM52" s="7">
        <v>-333352.8</v>
      </c>
      <c r="AN52" s="8">
        <v>-344999.99999999598</v>
      </c>
      <c r="AO52" s="9">
        <v>-300000</v>
      </c>
      <c r="AP52" s="7">
        <v>0</v>
      </c>
      <c r="AQ52" s="8">
        <v>0</v>
      </c>
      <c r="AR52" s="9">
        <v>0</v>
      </c>
      <c r="AS52" s="7">
        <v>0</v>
      </c>
      <c r="AT52" s="8">
        <v>0</v>
      </c>
      <c r="AU52" s="9">
        <v>0</v>
      </c>
      <c r="AV52" s="7">
        <v>0</v>
      </c>
      <c r="AW52" s="8">
        <v>0</v>
      </c>
      <c r="AX52" s="9">
        <v>0</v>
      </c>
      <c r="AY52" s="7">
        <v>0</v>
      </c>
      <c r="AZ52" s="8">
        <v>0</v>
      </c>
      <c r="BA52" s="9">
        <v>0</v>
      </c>
      <c r="BB52" s="7">
        <v>0</v>
      </c>
      <c r="BC52" s="8">
        <v>0</v>
      </c>
      <c r="BD52" s="9">
        <v>0</v>
      </c>
      <c r="BE52" s="7">
        <v>0</v>
      </c>
      <c r="BF52" s="8">
        <v>0</v>
      </c>
      <c r="BG52" s="9">
        <v>0</v>
      </c>
      <c r="BH52" s="7">
        <v>0</v>
      </c>
      <c r="BI52" s="8">
        <v>0</v>
      </c>
      <c r="BJ52" s="9">
        <v>0</v>
      </c>
      <c r="BK52" s="7">
        <v>0</v>
      </c>
      <c r="BL52" s="8">
        <v>0</v>
      </c>
      <c r="BM52" s="9">
        <v>0</v>
      </c>
      <c r="BN52" s="7">
        <v>0</v>
      </c>
      <c r="BO52" s="8">
        <v>0</v>
      </c>
      <c r="BP52" s="9">
        <v>0</v>
      </c>
      <c r="BQ52" s="7">
        <v>0</v>
      </c>
      <c r="BR52" s="8">
        <v>0</v>
      </c>
      <c r="BS52" s="9">
        <v>0</v>
      </c>
      <c r="BT52" s="7">
        <v>0</v>
      </c>
      <c r="BU52" s="8">
        <v>0</v>
      </c>
      <c r="BV52" s="9">
        <v>0</v>
      </c>
      <c r="BW52" s="7">
        <v>0</v>
      </c>
      <c r="BX52" s="8">
        <v>0</v>
      </c>
      <c r="BY52" s="9">
        <v>0</v>
      </c>
      <c r="BZ52" s="7">
        <v>0</v>
      </c>
      <c r="CA52" s="8">
        <v>0</v>
      </c>
      <c r="CB52" s="9">
        <v>0</v>
      </c>
      <c r="CC52" s="7">
        <v>0</v>
      </c>
      <c r="CD52" s="8">
        <v>0</v>
      </c>
      <c r="CE52" s="9">
        <v>0</v>
      </c>
      <c r="CF52" s="7">
        <v>0</v>
      </c>
      <c r="CG52" s="8">
        <v>0</v>
      </c>
      <c r="CH52" s="9">
        <v>0</v>
      </c>
      <c r="CI52" s="7">
        <v>0</v>
      </c>
      <c r="CJ52" s="8">
        <v>0</v>
      </c>
      <c r="CK52" s="9">
        <v>0</v>
      </c>
      <c r="CL52" s="7">
        <v>0</v>
      </c>
      <c r="CM52" s="8">
        <v>0</v>
      </c>
      <c r="CN52" s="9">
        <v>0</v>
      </c>
      <c r="CO52" s="7">
        <v>0</v>
      </c>
      <c r="CP52" s="8">
        <v>0</v>
      </c>
      <c r="CQ52" s="9">
        <v>0</v>
      </c>
      <c r="CR52" s="7">
        <v>0</v>
      </c>
      <c r="CS52" s="8">
        <v>0</v>
      </c>
      <c r="CT52" s="9">
        <v>0</v>
      </c>
      <c r="CU52" s="7">
        <v>0</v>
      </c>
      <c r="CV52" s="8">
        <v>0</v>
      </c>
      <c r="CW52" s="9">
        <v>0</v>
      </c>
      <c r="CX52" s="7">
        <v>0</v>
      </c>
      <c r="CY52" s="8">
        <v>0</v>
      </c>
      <c r="CZ52" s="9">
        <v>0</v>
      </c>
      <c r="DA52" s="7">
        <v>0</v>
      </c>
      <c r="DB52" s="8">
        <v>0</v>
      </c>
      <c r="DC52" s="9">
        <v>0</v>
      </c>
      <c r="DD52" s="7">
        <v>0</v>
      </c>
      <c r="DE52" s="8">
        <v>0</v>
      </c>
      <c r="DF52" s="9">
        <v>0</v>
      </c>
      <c r="DG52" s="7">
        <v>0</v>
      </c>
      <c r="DH52" s="8">
        <v>0</v>
      </c>
      <c r="DI52" s="9">
        <v>0</v>
      </c>
      <c r="DJ52" s="7">
        <v>0</v>
      </c>
      <c r="DK52" s="8">
        <v>0</v>
      </c>
      <c r="DL52" s="9">
        <v>0</v>
      </c>
      <c r="DM52" s="7">
        <v>0</v>
      </c>
      <c r="DN52" s="8">
        <v>0</v>
      </c>
      <c r="DO52" s="9">
        <v>0</v>
      </c>
      <c r="DP52" s="7">
        <v>0</v>
      </c>
      <c r="DQ52" s="8">
        <v>0</v>
      </c>
      <c r="DR52" s="9">
        <v>0</v>
      </c>
      <c r="DS52" s="7">
        <v>0</v>
      </c>
      <c r="DT52" s="8">
        <v>0</v>
      </c>
      <c r="DU52" s="9">
        <v>0</v>
      </c>
      <c r="DV52" s="7">
        <v>0</v>
      </c>
      <c r="DW52" s="8">
        <v>0</v>
      </c>
      <c r="DX52" s="9">
        <v>0</v>
      </c>
      <c r="DY52" s="7">
        <v>0</v>
      </c>
      <c r="DZ52" s="8">
        <v>0</v>
      </c>
      <c r="EA52" s="9">
        <v>0</v>
      </c>
      <c r="EB52" s="7">
        <v>0</v>
      </c>
      <c r="EC52" s="8">
        <v>0</v>
      </c>
      <c r="ED52" s="9">
        <v>0</v>
      </c>
      <c r="EE52" s="7">
        <v>0</v>
      </c>
      <c r="EF52" s="8">
        <v>0</v>
      </c>
      <c r="EG52" s="9">
        <v>0</v>
      </c>
      <c r="EH52" s="7">
        <v>0</v>
      </c>
      <c r="EI52" s="8">
        <v>0</v>
      </c>
      <c r="EJ52" s="9">
        <v>0</v>
      </c>
      <c r="EK52" s="7">
        <v>0</v>
      </c>
      <c r="EL52" s="8">
        <v>0</v>
      </c>
      <c r="EM52" s="9">
        <v>0</v>
      </c>
      <c r="EN52" s="7">
        <v>0</v>
      </c>
      <c r="EO52" s="8">
        <v>0</v>
      </c>
      <c r="EP52" s="9">
        <v>0</v>
      </c>
      <c r="EQ52" s="7">
        <v>0</v>
      </c>
      <c r="ER52" s="8">
        <v>0</v>
      </c>
      <c r="ES52" s="9">
        <v>0</v>
      </c>
      <c r="ET52" s="7">
        <v>0</v>
      </c>
      <c r="EU52" s="8">
        <v>0</v>
      </c>
      <c r="EV52" s="9">
        <v>0</v>
      </c>
      <c r="EW52" s="7">
        <v>0</v>
      </c>
      <c r="EX52" s="8">
        <v>0</v>
      </c>
      <c r="EY52" s="9">
        <v>0</v>
      </c>
      <c r="EZ52" s="7">
        <v>0</v>
      </c>
      <c r="FA52" s="8">
        <v>0</v>
      </c>
      <c r="FB52" s="9">
        <v>0</v>
      </c>
      <c r="FC52" s="7">
        <v>0</v>
      </c>
      <c r="FD52" s="8">
        <v>0</v>
      </c>
      <c r="FE52" s="9">
        <v>0</v>
      </c>
      <c r="FF52" s="7">
        <v>0</v>
      </c>
      <c r="FG52" s="8">
        <v>0</v>
      </c>
      <c r="FH52" s="9">
        <v>0</v>
      </c>
      <c r="FI52" s="7">
        <v>0</v>
      </c>
      <c r="FJ52" s="8">
        <v>0</v>
      </c>
      <c r="FK52" s="9">
        <v>0</v>
      </c>
      <c r="FL52" s="7">
        <v>0</v>
      </c>
      <c r="FM52" s="8">
        <v>0</v>
      </c>
      <c r="FN52" s="9">
        <v>0</v>
      </c>
      <c r="FO52" s="7">
        <v>0</v>
      </c>
      <c r="FP52" s="8">
        <v>0</v>
      </c>
      <c r="FQ52" s="9">
        <v>0</v>
      </c>
      <c r="FR52" s="7">
        <v>0</v>
      </c>
      <c r="FS52" s="8">
        <v>0</v>
      </c>
      <c r="FT52" s="9">
        <v>0</v>
      </c>
      <c r="FU52" s="7">
        <v>0</v>
      </c>
      <c r="FV52" s="8">
        <v>0</v>
      </c>
      <c r="FW52" s="9">
        <v>0</v>
      </c>
      <c r="FX52" s="7">
        <v>0</v>
      </c>
      <c r="FY52" s="8">
        <v>0</v>
      </c>
      <c r="FZ52" s="9">
        <v>0</v>
      </c>
      <c r="GA52" s="7">
        <v>0</v>
      </c>
      <c r="GB52" s="8">
        <v>0</v>
      </c>
      <c r="GC52" s="9">
        <v>0</v>
      </c>
      <c r="GD52" s="7">
        <v>0</v>
      </c>
      <c r="GE52" s="8">
        <v>0</v>
      </c>
      <c r="GF52" s="9">
        <v>0</v>
      </c>
      <c r="GG52" s="7">
        <v>0</v>
      </c>
      <c r="GH52" s="8">
        <v>0</v>
      </c>
      <c r="GI52" s="9">
        <v>0</v>
      </c>
      <c r="GJ52" s="7">
        <v>0</v>
      </c>
      <c r="GK52" s="8">
        <v>0</v>
      </c>
      <c r="GL52" s="9">
        <v>0</v>
      </c>
      <c r="GM52" s="7">
        <v>0</v>
      </c>
      <c r="GN52" s="8">
        <v>0</v>
      </c>
      <c r="GO52" s="9">
        <v>0</v>
      </c>
      <c r="GP52" s="7">
        <v>0</v>
      </c>
      <c r="GQ52" s="8">
        <v>0</v>
      </c>
      <c r="GR52" s="9">
        <v>0</v>
      </c>
      <c r="GS52" s="7">
        <v>0</v>
      </c>
      <c r="GT52" s="8">
        <v>0</v>
      </c>
      <c r="GU52" s="9">
        <v>0</v>
      </c>
      <c r="GV52" s="7">
        <v>0</v>
      </c>
      <c r="GW52" s="8">
        <v>0</v>
      </c>
      <c r="GX52" s="9">
        <v>0</v>
      </c>
      <c r="GY52" s="7">
        <v>0</v>
      </c>
      <c r="GZ52" s="8">
        <v>0</v>
      </c>
      <c r="HA52" s="9">
        <v>0</v>
      </c>
      <c r="HB52" s="7">
        <v>0</v>
      </c>
      <c r="HC52" s="8">
        <v>0</v>
      </c>
      <c r="HD52" s="9">
        <v>0</v>
      </c>
      <c r="HE52" s="7">
        <v>0</v>
      </c>
      <c r="HF52" s="8">
        <v>0</v>
      </c>
      <c r="HG52" s="9">
        <v>0</v>
      </c>
      <c r="HH52" s="7">
        <v>0</v>
      </c>
      <c r="HI52" s="8">
        <v>0</v>
      </c>
      <c r="HJ52" s="9">
        <v>0</v>
      </c>
      <c r="HK52" s="7">
        <v>0</v>
      </c>
      <c r="HL52" s="8">
        <v>0</v>
      </c>
      <c r="HM52" s="9">
        <v>0</v>
      </c>
      <c r="HN52" s="7">
        <v>0</v>
      </c>
      <c r="HO52" s="8">
        <v>0</v>
      </c>
      <c r="HP52" s="9">
        <v>0</v>
      </c>
    </row>
    <row r="53" spans="1:224" x14ac:dyDescent="0.25">
      <c r="A53" s="23" t="s">
        <v>243</v>
      </c>
      <c r="B53" s="26" t="s">
        <v>244</v>
      </c>
      <c r="C53" s="7">
        <v>-7860641.3099999996</v>
      </c>
      <c r="D53" s="8">
        <v>-7805473.4697613996</v>
      </c>
      <c r="E53" s="9">
        <v>-8158884.0000000102</v>
      </c>
      <c r="F53" s="7">
        <v>-378811.31</v>
      </c>
      <c r="G53" s="8">
        <v>-359999.99999996799</v>
      </c>
      <c r="H53" s="9">
        <v>-360000</v>
      </c>
      <c r="I53" s="7">
        <v>-473657.94</v>
      </c>
      <c r="J53" s="8">
        <v>-527942.74558635801</v>
      </c>
      <c r="K53" s="9">
        <v>-450000</v>
      </c>
      <c r="L53" s="7">
        <v>-235345.47</v>
      </c>
      <c r="M53" s="8">
        <v>-239999.99999996999</v>
      </c>
      <c r="N53" s="9">
        <v>-240000</v>
      </c>
      <c r="O53" s="7">
        <v>-257415.92</v>
      </c>
      <c r="P53" s="8">
        <v>-239999.99999997101</v>
      </c>
      <c r="Q53" s="9">
        <v>-260000</v>
      </c>
      <c r="R53" s="7">
        <v>-50229.29</v>
      </c>
      <c r="S53" s="8">
        <v>-49999.999999977998</v>
      </c>
      <c r="T53" s="9">
        <v>-50000</v>
      </c>
      <c r="U53" s="7">
        <v>-476255.69</v>
      </c>
      <c r="V53" s="8">
        <v>-479999.99999997101</v>
      </c>
      <c r="W53" s="9">
        <v>-450000</v>
      </c>
      <c r="X53" s="7">
        <v>-438048.6</v>
      </c>
      <c r="Y53" s="8">
        <v>-519999.99999997101</v>
      </c>
      <c r="Z53" s="9">
        <v>-520000</v>
      </c>
      <c r="AA53" s="7">
        <v>-488765.31</v>
      </c>
      <c r="AB53" s="8">
        <v>-489999.99999994499</v>
      </c>
      <c r="AC53" s="9">
        <v>-490000</v>
      </c>
      <c r="AD53" s="7">
        <v>-144630.46</v>
      </c>
      <c r="AE53" s="8">
        <v>-159999.99999998801</v>
      </c>
      <c r="AF53" s="9">
        <v>-160000</v>
      </c>
      <c r="AG53" s="7">
        <v>-240458.27</v>
      </c>
      <c r="AH53" s="8">
        <v>-239999.999999953</v>
      </c>
      <c r="AI53" s="9">
        <v>-250000</v>
      </c>
      <c r="AJ53" s="7">
        <v>-414204.4</v>
      </c>
      <c r="AK53" s="8">
        <v>-399999.99999996799</v>
      </c>
      <c r="AL53" s="9">
        <v>-458625</v>
      </c>
      <c r="AM53" s="7">
        <v>-136206.79</v>
      </c>
      <c r="AN53" s="8">
        <v>-151379.79572436199</v>
      </c>
      <c r="AO53" s="9">
        <v>-150000</v>
      </c>
      <c r="AP53" s="7">
        <v>-113283.92</v>
      </c>
      <c r="AQ53" s="8">
        <v>-109999.999999986</v>
      </c>
      <c r="AR53" s="9">
        <v>-135000</v>
      </c>
      <c r="AS53" s="7">
        <v>-107397.24</v>
      </c>
      <c r="AT53" s="8">
        <v>-109999.999999989</v>
      </c>
      <c r="AU53" s="9">
        <v>-150000</v>
      </c>
      <c r="AV53" s="7">
        <v>-3778</v>
      </c>
      <c r="AW53" s="8">
        <v>-4999.999999996</v>
      </c>
      <c r="AX53" s="9">
        <v>-5000</v>
      </c>
      <c r="AY53" s="7">
        <v>-155894.85</v>
      </c>
      <c r="AZ53" s="8">
        <v>-149718.89746329701</v>
      </c>
      <c r="BA53" s="9">
        <v>-150000</v>
      </c>
      <c r="BB53" s="7">
        <v>-165212.06</v>
      </c>
      <c r="BC53" s="8">
        <v>-164999.999999972</v>
      </c>
      <c r="BD53" s="9">
        <v>-165000</v>
      </c>
      <c r="BE53" s="7">
        <v>-19422.34</v>
      </c>
      <c r="BF53" s="8">
        <v>-14999.999999985999</v>
      </c>
      <c r="BG53" s="9">
        <v>-20000</v>
      </c>
      <c r="BH53" s="7">
        <v>-2018</v>
      </c>
      <c r="BI53" s="8">
        <v>-2999.9999999940001</v>
      </c>
      <c r="BJ53" s="9">
        <v>-3000</v>
      </c>
      <c r="BK53" s="7">
        <v>-42780.65</v>
      </c>
      <c r="BL53" s="8">
        <v>-44999.999999986001</v>
      </c>
      <c r="BM53" s="9">
        <v>-46000</v>
      </c>
      <c r="BN53" s="7">
        <v>-113773.7</v>
      </c>
      <c r="BO53" s="8">
        <v>-119999.99999997699</v>
      </c>
      <c r="BP53" s="9">
        <v>-120000</v>
      </c>
      <c r="BQ53" s="7">
        <v>-58957.43</v>
      </c>
      <c r="BR53" s="8">
        <v>-59999.999999975</v>
      </c>
      <c r="BS53" s="9">
        <v>-53000</v>
      </c>
      <c r="BT53" s="7">
        <v>-165705.75</v>
      </c>
      <c r="BU53" s="8">
        <v>-169999.999999994</v>
      </c>
      <c r="BV53" s="9">
        <v>-170000</v>
      </c>
      <c r="BW53" s="7">
        <v>-221018.86</v>
      </c>
      <c r="BX53" s="8">
        <v>-219999.99999997299</v>
      </c>
      <c r="BY53" s="9">
        <v>-240000</v>
      </c>
      <c r="BZ53" s="7">
        <v>-33798.61</v>
      </c>
      <c r="CA53" s="8">
        <v>-34999.999999991</v>
      </c>
      <c r="CB53" s="9">
        <v>-40000</v>
      </c>
      <c r="CC53" s="7">
        <v>-4530</v>
      </c>
      <c r="CD53" s="8">
        <v>-4999.999999996</v>
      </c>
      <c r="CE53" s="9">
        <v>-5000</v>
      </c>
      <c r="CF53" s="7">
        <v>-18904.98</v>
      </c>
      <c r="CG53" s="8">
        <v>-19999.999999995998</v>
      </c>
      <c r="CH53" s="9">
        <v>-20000</v>
      </c>
      <c r="CI53" s="7">
        <v>-40898.89</v>
      </c>
      <c r="CJ53" s="8">
        <v>-59999.999999991</v>
      </c>
      <c r="CK53" s="9">
        <v>-60000</v>
      </c>
      <c r="CL53" s="7">
        <v>-91343.1</v>
      </c>
      <c r="CM53" s="8">
        <v>-89999.999999976004</v>
      </c>
      <c r="CN53" s="9">
        <v>-90000</v>
      </c>
      <c r="CO53" s="7">
        <v>-478379.16</v>
      </c>
      <c r="CP53" s="8">
        <v>-484999.99999997899</v>
      </c>
      <c r="CQ53" s="9">
        <v>-480000</v>
      </c>
      <c r="CR53" s="7">
        <v>-57219.3</v>
      </c>
      <c r="CS53" s="8">
        <v>-49999.999999993001</v>
      </c>
      <c r="CT53" s="9">
        <v>-50000</v>
      </c>
      <c r="CU53" s="7">
        <v>-128185.24</v>
      </c>
      <c r="CV53" s="8">
        <v>-119999.99999998001</v>
      </c>
      <c r="CW53" s="9">
        <v>-125000</v>
      </c>
      <c r="CX53" s="7">
        <v>-105214</v>
      </c>
      <c r="CY53" s="8">
        <v>-99999.999999986001</v>
      </c>
      <c r="CZ53" s="9">
        <v>-80000</v>
      </c>
      <c r="DA53" s="7">
        <v>0</v>
      </c>
      <c r="DB53" s="8">
        <v>0</v>
      </c>
      <c r="DC53" s="9">
        <v>0</v>
      </c>
      <c r="DD53" s="7">
        <v>-19146.3</v>
      </c>
      <c r="DE53" s="8">
        <v>-19999.999999989999</v>
      </c>
      <c r="DF53" s="9">
        <v>-20000</v>
      </c>
      <c r="DG53" s="7">
        <v>-54173.18</v>
      </c>
      <c r="DH53" s="8">
        <v>-54999.999999995001</v>
      </c>
      <c r="DI53" s="9">
        <v>-60000</v>
      </c>
      <c r="DJ53" s="7">
        <v>0</v>
      </c>
      <c r="DK53" s="8">
        <v>0</v>
      </c>
      <c r="DL53" s="9">
        <v>0</v>
      </c>
      <c r="DM53" s="7">
        <v>-26526.3</v>
      </c>
      <c r="DN53" s="8">
        <v>-29999.999999993001</v>
      </c>
      <c r="DO53" s="9">
        <v>-28500</v>
      </c>
      <c r="DP53" s="7">
        <v>-25552</v>
      </c>
      <c r="DQ53" s="8">
        <v>-29999.999999995001</v>
      </c>
      <c r="DR53" s="9">
        <v>-30000</v>
      </c>
      <c r="DS53" s="7">
        <v>0</v>
      </c>
      <c r="DT53" s="8">
        <v>0</v>
      </c>
      <c r="DU53" s="9">
        <v>0</v>
      </c>
      <c r="DV53" s="7">
        <v>-50812.05</v>
      </c>
      <c r="DW53" s="8">
        <v>-49999.999999995998</v>
      </c>
      <c r="DX53" s="9">
        <v>-55000</v>
      </c>
      <c r="DY53" s="7">
        <v>0</v>
      </c>
      <c r="DZ53" s="8">
        <v>0</v>
      </c>
      <c r="EA53" s="9">
        <v>0</v>
      </c>
      <c r="EB53" s="7">
        <v>0</v>
      </c>
      <c r="EC53" s="8">
        <v>0</v>
      </c>
      <c r="ED53" s="9">
        <v>0</v>
      </c>
      <c r="EE53" s="7">
        <v>-573674.71</v>
      </c>
      <c r="EF53" s="8">
        <v>-599999.99999999302</v>
      </c>
      <c r="EG53" s="9">
        <v>-600000</v>
      </c>
      <c r="EH53" s="7">
        <v>-280551.65999999997</v>
      </c>
      <c r="EI53" s="8">
        <v>-259999.999999989</v>
      </c>
      <c r="EJ53" s="9">
        <v>-273200</v>
      </c>
      <c r="EK53" s="7">
        <v>-311448.3</v>
      </c>
      <c r="EL53" s="8">
        <v>-309999.99999997998</v>
      </c>
      <c r="EM53" s="9">
        <v>-314000</v>
      </c>
      <c r="EN53" s="7">
        <v>0</v>
      </c>
      <c r="EO53" s="8">
        <v>0</v>
      </c>
      <c r="EP53" s="9">
        <v>0</v>
      </c>
      <c r="EQ53" s="7">
        <v>0</v>
      </c>
      <c r="ER53" s="8">
        <v>0</v>
      </c>
      <c r="ES53" s="9">
        <v>0</v>
      </c>
      <c r="ET53" s="7">
        <v>0</v>
      </c>
      <c r="EU53" s="8">
        <v>0</v>
      </c>
      <c r="EV53" s="9">
        <v>0</v>
      </c>
      <c r="EW53" s="7">
        <v>-24941.13</v>
      </c>
      <c r="EX53" s="8">
        <v>-30878.575364419001</v>
      </c>
      <c r="EY53" s="9">
        <v>-40000</v>
      </c>
      <c r="EZ53" s="7">
        <v>-55316.5</v>
      </c>
      <c r="FA53" s="8">
        <v>-90053.479131467</v>
      </c>
      <c r="FB53" s="9">
        <v>-100000</v>
      </c>
      <c r="FC53" s="7">
        <v>-220778.75</v>
      </c>
      <c r="FD53" s="8">
        <v>-245999.999999994</v>
      </c>
      <c r="FE53" s="9">
        <v>-225000</v>
      </c>
      <c r="FF53" s="7">
        <v>-316024.09999999998</v>
      </c>
      <c r="FG53" s="8">
        <v>-315499.97649218602</v>
      </c>
      <c r="FH53" s="9">
        <v>-318059</v>
      </c>
      <c r="FI53" s="7">
        <v>0</v>
      </c>
      <c r="FJ53" s="8">
        <v>0</v>
      </c>
      <c r="FK53" s="9">
        <v>0</v>
      </c>
      <c r="FL53" s="7">
        <v>0</v>
      </c>
      <c r="FM53" s="8">
        <v>0</v>
      </c>
      <c r="FN53" s="9">
        <v>0</v>
      </c>
      <c r="FO53" s="7">
        <v>-36171</v>
      </c>
      <c r="FP53" s="8">
        <v>0</v>
      </c>
      <c r="FQ53" s="9">
        <v>0</v>
      </c>
      <c r="FR53" s="7">
        <v>-3779.8</v>
      </c>
      <c r="FS53" s="8">
        <v>0</v>
      </c>
      <c r="FT53" s="9">
        <v>0</v>
      </c>
      <c r="FU53" s="7">
        <v>0</v>
      </c>
      <c r="FV53" s="8">
        <v>0</v>
      </c>
      <c r="FW53" s="9">
        <v>0</v>
      </c>
      <c r="FX53" s="7">
        <v>0</v>
      </c>
      <c r="FY53" s="8">
        <v>282000</v>
      </c>
      <c r="FZ53" s="9">
        <v>0</v>
      </c>
      <c r="GA53" s="7">
        <v>0</v>
      </c>
      <c r="GB53" s="8">
        <v>0</v>
      </c>
      <c r="GC53" s="9">
        <v>0</v>
      </c>
      <c r="GD53" s="7">
        <v>0</v>
      </c>
      <c r="GE53" s="8">
        <v>0</v>
      </c>
      <c r="GF53" s="9">
        <v>0</v>
      </c>
      <c r="GG53" s="7">
        <v>0</v>
      </c>
      <c r="GH53" s="8">
        <v>0</v>
      </c>
      <c r="GI53" s="9">
        <v>0</v>
      </c>
      <c r="GJ53" s="7">
        <v>0</v>
      </c>
      <c r="GK53" s="8">
        <v>-53000</v>
      </c>
      <c r="GL53" s="9">
        <v>-49500</v>
      </c>
      <c r="GM53" s="7">
        <v>0</v>
      </c>
      <c r="GN53" s="8">
        <v>0</v>
      </c>
      <c r="GO53" s="9">
        <v>0</v>
      </c>
      <c r="GP53" s="7">
        <v>0</v>
      </c>
      <c r="GQ53" s="8">
        <v>0</v>
      </c>
      <c r="GR53" s="9">
        <v>0</v>
      </c>
      <c r="GS53" s="7">
        <v>0</v>
      </c>
      <c r="GT53" s="8">
        <v>0</v>
      </c>
      <c r="GU53" s="9">
        <v>0</v>
      </c>
      <c r="GV53" s="7">
        <v>0</v>
      </c>
      <c r="GW53" s="8">
        <v>0</v>
      </c>
      <c r="GX53" s="9">
        <v>0</v>
      </c>
      <c r="GY53" s="7">
        <v>0</v>
      </c>
      <c r="GZ53" s="8">
        <v>0</v>
      </c>
      <c r="HA53" s="9">
        <v>0</v>
      </c>
      <c r="HB53" s="7">
        <v>0</v>
      </c>
      <c r="HC53" s="8">
        <v>0</v>
      </c>
      <c r="HD53" s="9">
        <v>0</v>
      </c>
      <c r="HE53" s="7">
        <v>0</v>
      </c>
      <c r="HF53" s="8">
        <v>0</v>
      </c>
      <c r="HG53" s="9">
        <v>0</v>
      </c>
      <c r="HH53" s="7">
        <v>0</v>
      </c>
      <c r="HI53" s="8">
        <v>0</v>
      </c>
      <c r="HJ53" s="9">
        <v>0</v>
      </c>
      <c r="HK53" s="7">
        <v>0</v>
      </c>
      <c r="HL53" s="8">
        <v>0</v>
      </c>
      <c r="HM53" s="9">
        <v>0</v>
      </c>
      <c r="HN53" s="7">
        <v>0</v>
      </c>
      <c r="HO53" s="8">
        <v>0</v>
      </c>
      <c r="HP53" s="9">
        <v>0</v>
      </c>
    </row>
    <row r="54" spans="1:224" x14ac:dyDescent="0.25">
      <c r="A54" s="23" t="s">
        <v>245</v>
      </c>
      <c r="B54" s="26" t="s">
        <v>246</v>
      </c>
      <c r="C54" s="7">
        <v>-213373.73</v>
      </c>
      <c r="D54" s="8">
        <v>-170000</v>
      </c>
      <c r="E54" s="9">
        <v>-335000</v>
      </c>
      <c r="F54" s="7">
        <v>0</v>
      </c>
      <c r="G54" s="8">
        <v>0</v>
      </c>
      <c r="H54" s="9">
        <v>0</v>
      </c>
      <c r="I54" s="7">
        <v>0</v>
      </c>
      <c r="J54" s="8">
        <v>0</v>
      </c>
      <c r="K54" s="9">
        <v>0</v>
      </c>
      <c r="L54" s="7">
        <v>0</v>
      </c>
      <c r="M54" s="8">
        <v>0</v>
      </c>
      <c r="N54" s="9">
        <v>0</v>
      </c>
      <c r="O54" s="7">
        <v>0</v>
      </c>
      <c r="P54" s="8">
        <v>0</v>
      </c>
      <c r="Q54" s="9">
        <v>0</v>
      </c>
      <c r="R54" s="7">
        <v>0</v>
      </c>
      <c r="S54" s="8">
        <v>0</v>
      </c>
      <c r="T54" s="9">
        <v>0</v>
      </c>
      <c r="U54" s="7">
        <v>-181307.73</v>
      </c>
      <c r="V54" s="8">
        <v>-150000</v>
      </c>
      <c r="W54" s="9">
        <v>-150000</v>
      </c>
      <c r="X54" s="7">
        <v>-16033</v>
      </c>
      <c r="Y54" s="8">
        <v>-20000</v>
      </c>
      <c r="Z54" s="9">
        <v>-85000</v>
      </c>
      <c r="AA54" s="7">
        <v>0</v>
      </c>
      <c r="AB54" s="8">
        <v>0</v>
      </c>
      <c r="AC54" s="9">
        <v>0</v>
      </c>
      <c r="AD54" s="7">
        <v>0</v>
      </c>
      <c r="AE54" s="8">
        <v>0</v>
      </c>
      <c r="AF54" s="9">
        <v>0</v>
      </c>
      <c r="AG54" s="7">
        <v>-16033</v>
      </c>
      <c r="AH54" s="8">
        <v>0</v>
      </c>
      <c r="AI54" s="9">
        <v>-100000</v>
      </c>
      <c r="AJ54" s="7">
        <v>0</v>
      </c>
      <c r="AK54" s="8">
        <v>0</v>
      </c>
      <c r="AL54" s="9">
        <v>0</v>
      </c>
      <c r="AM54" s="7">
        <v>0</v>
      </c>
      <c r="AN54" s="8">
        <v>0</v>
      </c>
      <c r="AO54" s="9">
        <v>0</v>
      </c>
      <c r="AP54" s="7">
        <v>0</v>
      </c>
      <c r="AQ54" s="8">
        <v>0</v>
      </c>
      <c r="AR54" s="9">
        <v>0</v>
      </c>
      <c r="AS54" s="7">
        <v>0</v>
      </c>
      <c r="AT54" s="8">
        <v>0</v>
      </c>
      <c r="AU54" s="9">
        <v>0</v>
      </c>
      <c r="AV54" s="7">
        <v>0</v>
      </c>
      <c r="AW54" s="8">
        <v>0</v>
      </c>
      <c r="AX54" s="9">
        <v>0</v>
      </c>
      <c r="AY54" s="7">
        <v>0</v>
      </c>
      <c r="AZ54" s="8">
        <v>0</v>
      </c>
      <c r="BA54" s="9">
        <v>0</v>
      </c>
      <c r="BB54" s="7">
        <v>0</v>
      </c>
      <c r="BC54" s="8">
        <v>0</v>
      </c>
      <c r="BD54" s="9">
        <v>0</v>
      </c>
      <c r="BE54" s="7">
        <v>0</v>
      </c>
      <c r="BF54" s="8">
        <v>0</v>
      </c>
      <c r="BG54" s="9">
        <v>0</v>
      </c>
      <c r="BH54" s="7">
        <v>0</v>
      </c>
      <c r="BI54" s="8">
        <v>0</v>
      </c>
      <c r="BJ54" s="9">
        <v>0</v>
      </c>
      <c r="BK54" s="7">
        <v>0</v>
      </c>
      <c r="BL54" s="8">
        <v>0</v>
      </c>
      <c r="BM54" s="9">
        <v>0</v>
      </c>
      <c r="BN54" s="7">
        <v>0</v>
      </c>
      <c r="BO54" s="8">
        <v>0</v>
      </c>
      <c r="BP54" s="9">
        <v>0</v>
      </c>
      <c r="BQ54" s="7">
        <v>0</v>
      </c>
      <c r="BR54" s="8">
        <v>0</v>
      </c>
      <c r="BS54" s="9">
        <v>0</v>
      </c>
      <c r="BT54" s="7">
        <v>0</v>
      </c>
      <c r="BU54" s="8">
        <v>0</v>
      </c>
      <c r="BV54" s="9">
        <v>0</v>
      </c>
      <c r="BW54" s="7">
        <v>0</v>
      </c>
      <c r="BX54" s="8">
        <v>0</v>
      </c>
      <c r="BY54" s="9">
        <v>0</v>
      </c>
      <c r="BZ54" s="7">
        <v>0</v>
      </c>
      <c r="CA54" s="8">
        <v>0</v>
      </c>
      <c r="CB54" s="9">
        <v>0</v>
      </c>
      <c r="CC54" s="7">
        <v>0</v>
      </c>
      <c r="CD54" s="8">
        <v>0</v>
      </c>
      <c r="CE54" s="9">
        <v>0</v>
      </c>
      <c r="CF54" s="7">
        <v>0</v>
      </c>
      <c r="CG54" s="8">
        <v>0</v>
      </c>
      <c r="CH54" s="9">
        <v>0</v>
      </c>
      <c r="CI54" s="7">
        <v>0</v>
      </c>
      <c r="CJ54" s="8">
        <v>0</v>
      </c>
      <c r="CK54" s="9">
        <v>0</v>
      </c>
      <c r="CL54" s="7">
        <v>0</v>
      </c>
      <c r="CM54" s="8">
        <v>0</v>
      </c>
      <c r="CN54" s="9">
        <v>0</v>
      </c>
      <c r="CO54" s="7">
        <v>0</v>
      </c>
      <c r="CP54" s="8">
        <v>0</v>
      </c>
      <c r="CQ54" s="9">
        <v>0</v>
      </c>
      <c r="CR54" s="7">
        <v>0</v>
      </c>
      <c r="CS54" s="8">
        <v>0</v>
      </c>
      <c r="CT54" s="9">
        <v>0</v>
      </c>
      <c r="CU54" s="7">
        <v>0</v>
      </c>
      <c r="CV54" s="8">
        <v>0</v>
      </c>
      <c r="CW54" s="9">
        <v>0</v>
      </c>
      <c r="CX54" s="7">
        <v>0</v>
      </c>
      <c r="CY54" s="8">
        <v>0</v>
      </c>
      <c r="CZ54" s="9">
        <v>0</v>
      </c>
      <c r="DA54" s="7">
        <v>0</v>
      </c>
      <c r="DB54" s="8">
        <v>0</v>
      </c>
      <c r="DC54" s="9">
        <v>0</v>
      </c>
      <c r="DD54" s="7">
        <v>0</v>
      </c>
      <c r="DE54" s="8">
        <v>0</v>
      </c>
      <c r="DF54" s="9">
        <v>0</v>
      </c>
      <c r="DG54" s="7">
        <v>0</v>
      </c>
      <c r="DH54" s="8">
        <v>0</v>
      </c>
      <c r="DI54" s="9">
        <v>0</v>
      </c>
      <c r="DJ54" s="7">
        <v>0</v>
      </c>
      <c r="DK54" s="8">
        <v>0</v>
      </c>
      <c r="DL54" s="9">
        <v>0</v>
      </c>
      <c r="DM54" s="7">
        <v>0</v>
      </c>
      <c r="DN54" s="8">
        <v>0</v>
      </c>
      <c r="DO54" s="9">
        <v>0</v>
      </c>
      <c r="DP54" s="7">
        <v>0</v>
      </c>
      <c r="DQ54" s="8">
        <v>0</v>
      </c>
      <c r="DR54" s="9">
        <v>0</v>
      </c>
      <c r="DS54" s="7">
        <v>0</v>
      </c>
      <c r="DT54" s="8">
        <v>0</v>
      </c>
      <c r="DU54" s="9">
        <v>0</v>
      </c>
      <c r="DV54" s="7">
        <v>0</v>
      </c>
      <c r="DW54" s="8">
        <v>0</v>
      </c>
      <c r="DX54" s="9">
        <v>0</v>
      </c>
      <c r="DY54" s="7">
        <v>0</v>
      </c>
      <c r="DZ54" s="8">
        <v>0</v>
      </c>
      <c r="EA54" s="9">
        <v>0</v>
      </c>
      <c r="EB54" s="7">
        <v>0</v>
      </c>
      <c r="EC54" s="8">
        <v>0</v>
      </c>
      <c r="ED54" s="9">
        <v>0</v>
      </c>
      <c r="EE54" s="7">
        <v>0</v>
      </c>
      <c r="EF54" s="8">
        <v>0</v>
      </c>
      <c r="EG54" s="9">
        <v>0</v>
      </c>
      <c r="EH54" s="7">
        <v>0</v>
      </c>
      <c r="EI54" s="8">
        <v>0</v>
      </c>
      <c r="EJ54" s="9">
        <v>0</v>
      </c>
      <c r="EK54" s="7">
        <v>0</v>
      </c>
      <c r="EL54" s="8">
        <v>0</v>
      </c>
      <c r="EM54" s="9">
        <v>0</v>
      </c>
      <c r="EN54" s="7">
        <v>0</v>
      </c>
      <c r="EO54" s="8">
        <v>0</v>
      </c>
      <c r="EP54" s="9">
        <v>0</v>
      </c>
      <c r="EQ54" s="7">
        <v>0</v>
      </c>
      <c r="ER54" s="8">
        <v>0</v>
      </c>
      <c r="ES54" s="9">
        <v>0</v>
      </c>
      <c r="ET54" s="7">
        <v>0</v>
      </c>
      <c r="EU54" s="8">
        <v>0</v>
      </c>
      <c r="EV54" s="9">
        <v>0</v>
      </c>
      <c r="EW54" s="7">
        <v>0</v>
      </c>
      <c r="EX54" s="8">
        <v>0</v>
      </c>
      <c r="EY54" s="9">
        <v>0</v>
      </c>
      <c r="EZ54" s="7">
        <v>0</v>
      </c>
      <c r="FA54" s="8">
        <v>0</v>
      </c>
      <c r="FB54" s="9">
        <v>0</v>
      </c>
      <c r="FC54" s="7">
        <v>0</v>
      </c>
      <c r="FD54" s="8">
        <v>0</v>
      </c>
      <c r="FE54" s="9">
        <v>0</v>
      </c>
      <c r="FF54" s="7">
        <v>0</v>
      </c>
      <c r="FG54" s="8">
        <v>0</v>
      </c>
      <c r="FH54" s="9">
        <v>0</v>
      </c>
      <c r="FI54" s="7">
        <v>0</v>
      </c>
      <c r="FJ54" s="8">
        <v>0</v>
      </c>
      <c r="FK54" s="9">
        <v>0</v>
      </c>
      <c r="FL54" s="7">
        <v>0</v>
      </c>
      <c r="FM54" s="8">
        <v>0</v>
      </c>
      <c r="FN54" s="9">
        <v>0</v>
      </c>
      <c r="FO54" s="7">
        <v>0</v>
      </c>
      <c r="FP54" s="8">
        <v>0</v>
      </c>
      <c r="FQ54" s="9">
        <v>0</v>
      </c>
      <c r="FR54" s="7">
        <v>0</v>
      </c>
      <c r="FS54" s="8">
        <v>0</v>
      </c>
      <c r="FT54" s="9">
        <v>0</v>
      </c>
      <c r="FU54" s="7">
        <v>0</v>
      </c>
      <c r="FV54" s="8">
        <v>0</v>
      </c>
      <c r="FW54" s="9">
        <v>0</v>
      </c>
      <c r="FX54" s="7">
        <v>0</v>
      </c>
      <c r="FY54" s="8">
        <v>0</v>
      </c>
      <c r="FZ54" s="9">
        <v>0</v>
      </c>
      <c r="GA54" s="7">
        <v>0</v>
      </c>
      <c r="GB54" s="8">
        <v>0</v>
      </c>
      <c r="GC54" s="9">
        <v>0</v>
      </c>
      <c r="GD54" s="7">
        <v>0</v>
      </c>
      <c r="GE54" s="8">
        <v>0</v>
      </c>
      <c r="GF54" s="9">
        <v>0</v>
      </c>
      <c r="GG54" s="7">
        <v>0</v>
      </c>
      <c r="GH54" s="8">
        <v>0</v>
      </c>
      <c r="GI54" s="9">
        <v>0</v>
      </c>
      <c r="GJ54" s="7">
        <v>0</v>
      </c>
      <c r="GK54" s="8">
        <v>0</v>
      </c>
      <c r="GL54" s="9">
        <v>0</v>
      </c>
      <c r="GM54" s="7">
        <v>0</v>
      </c>
      <c r="GN54" s="8">
        <v>0</v>
      </c>
      <c r="GO54" s="9">
        <v>0</v>
      </c>
      <c r="GP54" s="7">
        <v>0</v>
      </c>
      <c r="GQ54" s="8">
        <v>0</v>
      </c>
      <c r="GR54" s="9">
        <v>0</v>
      </c>
      <c r="GS54" s="7">
        <v>0</v>
      </c>
      <c r="GT54" s="8">
        <v>0</v>
      </c>
      <c r="GU54" s="9">
        <v>0</v>
      </c>
      <c r="GV54" s="7">
        <v>0</v>
      </c>
      <c r="GW54" s="8">
        <v>0</v>
      </c>
      <c r="GX54" s="9">
        <v>0</v>
      </c>
      <c r="GY54" s="7">
        <v>0</v>
      </c>
      <c r="GZ54" s="8">
        <v>0</v>
      </c>
      <c r="HA54" s="9">
        <v>0</v>
      </c>
      <c r="HB54" s="7">
        <v>0</v>
      </c>
      <c r="HC54" s="8">
        <v>0</v>
      </c>
      <c r="HD54" s="9">
        <v>0</v>
      </c>
      <c r="HE54" s="7">
        <v>0</v>
      </c>
      <c r="HF54" s="8">
        <v>0</v>
      </c>
      <c r="HG54" s="9">
        <v>0</v>
      </c>
      <c r="HH54" s="7">
        <v>0</v>
      </c>
      <c r="HI54" s="8">
        <v>0</v>
      </c>
      <c r="HJ54" s="9">
        <v>0</v>
      </c>
      <c r="HK54" s="7">
        <v>0</v>
      </c>
      <c r="HL54" s="8">
        <v>0</v>
      </c>
      <c r="HM54" s="9">
        <v>0</v>
      </c>
      <c r="HN54" s="7">
        <v>0</v>
      </c>
      <c r="HO54" s="8">
        <v>0</v>
      </c>
      <c r="HP54" s="9">
        <v>0</v>
      </c>
    </row>
    <row r="55" spans="1:224" x14ac:dyDescent="0.25">
      <c r="A55" s="23" t="s">
        <v>247</v>
      </c>
      <c r="B55" s="26" t="s">
        <v>248</v>
      </c>
      <c r="C55" s="7">
        <v>-2316975.64</v>
      </c>
      <c r="D55" s="8">
        <v>-1784999.99999999</v>
      </c>
      <c r="E55" s="9">
        <v>-1732500</v>
      </c>
      <c r="F55" s="7">
        <v>0</v>
      </c>
      <c r="G55" s="8">
        <v>0</v>
      </c>
      <c r="H55" s="9">
        <v>0</v>
      </c>
      <c r="I55" s="7">
        <v>0</v>
      </c>
      <c r="J55" s="8">
        <v>0</v>
      </c>
      <c r="K55" s="9">
        <v>0</v>
      </c>
      <c r="L55" s="7">
        <v>0</v>
      </c>
      <c r="M55" s="8">
        <v>0</v>
      </c>
      <c r="N55" s="9">
        <v>0</v>
      </c>
      <c r="O55" s="7">
        <v>0</v>
      </c>
      <c r="P55" s="8">
        <v>0</v>
      </c>
      <c r="Q55" s="9">
        <v>0</v>
      </c>
      <c r="R55" s="7">
        <v>0</v>
      </c>
      <c r="S55" s="8">
        <v>0</v>
      </c>
      <c r="T55" s="9">
        <v>0</v>
      </c>
      <c r="U55" s="7">
        <v>0</v>
      </c>
      <c r="V55" s="8">
        <v>0</v>
      </c>
      <c r="W55" s="9">
        <v>0</v>
      </c>
      <c r="X55" s="7">
        <v>0</v>
      </c>
      <c r="Y55" s="8">
        <v>0</v>
      </c>
      <c r="Z55" s="9">
        <v>0</v>
      </c>
      <c r="AA55" s="7">
        <v>0</v>
      </c>
      <c r="AB55" s="8">
        <v>0</v>
      </c>
      <c r="AC55" s="9">
        <v>0</v>
      </c>
      <c r="AD55" s="7">
        <v>0</v>
      </c>
      <c r="AE55" s="8">
        <v>0</v>
      </c>
      <c r="AF55" s="9">
        <v>0</v>
      </c>
      <c r="AG55" s="7">
        <v>-38337.46</v>
      </c>
      <c r="AH55" s="8">
        <v>-49999.999999999003</v>
      </c>
      <c r="AI55" s="9">
        <v>-50000</v>
      </c>
      <c r="AJ55" s="7">
        <v>0</v>
      </c>
      <c r="AK55" s="8">
        <v>0</v>
      </c>
      <c r="AL55" s="9">
        <v>0</v>
      </c>
      <c r="AM55" s="7">
        <v>0</v>
      </c>
      <c r="AN55" s="8">
        <v>0</v>
      </c>
      <c r="AO55" s="9">
        <v>0</v>
      </c>
      <c r="AP55" s="7">
        <v>0</v>
      </c>
      <c r="AQ55" s="8">
        <v>0</v>
      </c>
      <c r="AR55" s="9">
        <v>0</v>
      </c>
      <c r="AS55" s="7">
        <v>0</v>
      </c>
      <c r="AT55" s="8">
        <v>0</v>
      </c>
      <c r="AU55" s="9">
        <v>0</v>
      </c>
      <c r="AV55" s="7">
        <v>0</v>
      </c>
      <c r="AW55" s="8">
        <v>0</v>
      </c>
      <c r="AX55" s="9">
        <v>0</v>
      </c>
      <c r="AY55" s="7">
        <v>-13529.9</v>
      </c>
      <c r="AZ55" s="8">
        <v>-19999.999999999</v>
      </c>
      <c r="BA55" s="9">
        <v>-16000</v>
      </c>
      <c r="BB55" s="7">
        <v>0</v>
      </c>
      <c r="BC55" s="8">
        <v>0</v>
      </c>
      <c r="BD55" s="9">
        <v>0</v>
      </c>
      <c r="BE55" s="7">
        <v>0</v>
      </c>
      <c r="BF55" s="8">
        <v>0</v>
      </c>
      <c r="BG55" s="9">
        <v>0</v>
      </c>
      <c r="BH55" s="7">
        <v>0</v>
      </c>
      <c r="BI55" s="8">
        <v>0</v>
      </c>
      <c r="BJ55" s="9">
        <v>0</v>
      </c>
      <c r="BK55" s="7">
        <v>0</v>
      </c>
      <c r="BL55" s="8">
        <v>0</v>
      </c>
      <c r="BM55" s="9">
        <v>0</v>
      </c>
      <c r="BN55" s="7">
        <v>-565686.29</v>
      </c>
      <c r="BO55" s="8">
        <v>-549999.99999999395</v>
      </c>
      <c r="BP55" s="9">
        <v>-550000</v>
      </c>
      <c r="BQ55" s="7">
        <v>0</v>
      </c>
      <c r="BR55" s="8">
        <v>0</v>
      </c>
      <c r="BS55" s="9">
        <v>0</v>
      </c>
      <c r="BT55" s="7">
        <v>0</v>
      </c>
      <c r="BU55" s="8">
        <v>0</v>
      </c>
      <c r="BV55" s="9">
        <v>0</v>
      </c>
      <c r="BW55" s="7">
        <v>0</v>
      </c>
      <c r="BX55" s="8">
        <v>0</v>
      </c>
      <c r="BY55" s="9">
        <v>0</v>
      </c>
      <c r="BZ55" s="7">
        <v>0</v>
      </c>
      <c r="CA55" s="8">
        <v>0</v>
      </c>
      <c r="CB55" s="9">
        <v>0</v>
      </c>
      <c r="CC55" s="7">
        <v>0</v>
      </c>
      <c r="CD55" s="8">
        <v>0</v>
      </c>
      <c r="CE55" s="9">
        <v>0</v>
      </c>
      <c r="CF55" s="7">
        <v>0</v>
      </c>
      <c r="CG55" s="8">
        <v>0</v>
      </c>
      <c r="CH55" s="9">
        <v>0</v>
      </c>
      <c r="CI55" s="7">
        <v>0</v>
      </c>
      <c r="CJ55" s="8">
        <v>0</v>
      </c>
      <c r="CK55" s="9">
        <v>0</v>
      </c>
      <c r="CL55" s="7">
        <v>0</v>
      </c>
      <c r="CM55" s="8">
        <v>0</v>
      </c>
      <c r="CN55" s="9">
        <v>0</v>
      </c>
      <c r="CO55" s="7">
        <v>-1160795.49</v>
      </c>
      <c r="CP55" s="8">
        <v>-1165000</v>
      </c>
      <c r="CQ55" s="9">
        <v>-1116500</v>
      </c>
      <c r="CR55" s="7">
        <v>0</v>
      </c>
      <c r="CS55" s="8">
        <v>0</v>
      </c>
      <c r="CT55" s="9">
        <v>0</v>
      </c>
      <c r="CU55" s="7">
        <v>0</v>
      </c>
      <c r="CV55" s="8">
        <v>0</v>
      </c>
      <c r="CW55" s="9">
        <v>0</v>
      </c>
      <c r="CX55" s="7">
        <v>0</v>
      </c>
      <c r="CY55" s="8">
        <v>0</v>
      </c>
      <c r="CZ55" s="9">
        <v>0</v>
      </c>
      <c r="DA55" s="7">
        <v>0</v>
      </c>
      <c r="DB55" s="8">
        <v>0</v>
      </c>
      <c r="DC55" s="9">
        <v>0</v>
      </c>
      <c r="DD55" s="7">
        <v>0</v>
      </c>
      <c r="DE55" s="8">
        <v>0</v>
      </c>
      <c r="DF55" s="9">
        <v>0</v>
      </c>
      <c r="DG55" s="7">
        <v>0</v>
      </c>
      <c r="DH55" s="8">
        <v>0</v>
      </c>
      <c r="DI55" s="9">
        <v>0</v>
      </c>
      <c r="DJ55" s="7">
        <v>0</v>
      </c>
      <c r="DK55" s="8">
        <v>0</v>
      </c>
      <c r="DL55" s="9">
        <v>0</v>
      </c>
      <c r="DM55" s="7">
        <v>0</v>
      </c>
      <c r="DN55" s="8">
        <v>0</v>
      </c>
      <c r="DO55" s="9">
        <v>0</v>
      </c>
      <c r="DP55" s="7">
        <v>0</v>
      </c>
      <c r="DQ55" s="8">
        <v>0</v>
      </c>
      <c r="DR55" s="9">
        <v>0</v>
      </c>
      <c r="DS55" s="7">
        <v>0</v>
      </c>
      <c r="DT55" s="8">
        <v>0</v>
      </c>
      <c r="DU55" s="9">
        <v>0</v>
      </c>
      <c r="DV55" s="7">
        <v>0</v>
      </c>
      <c r="DW55" s="8">
        <v>0</v>
      </c>
      <c r="DX55" s="9">
        <v>0</v>
      </c>
      <c r="DY55" s="7">
        <v>0</v>
      </c>
      <c r="DZ55" s="8">
        <v>0</v>
      </c>
      <c r="EA55" s="9">
        <v>0</v>
      </c>
      <c r="EB55" s="7">
        <v>0</v>
      </c>
      <c r="EC55" s="8">
        <v>0</v>
      </c>
      <c r="ED55" s="9">
        <v>0</v>
      </c>
      <c r="EE55" s="7">
        <v>0</v>
      </c>
      <c r="EF55" s="8">
        <v>0</v>
      </c>
      <c r="EG55" s="9">
        <v>0</v>
      </c>
      <c r="EH55" s="7">
        <v>0</v>
      </c>
      <c r="EI55" s="8">
        <v>0</v>
      </c>
      <c r="EJ55" s="9">
        <v>0</v>
      </c>
      <c r="EK55" s="7">
        <v>0</v>
      </c>
      <c r="EL55" s="8">
        <v>0</v>
      </c>
      <c r="EM55" s="9">
        <v>0</v>
      </c>
      <c r="EN55" s="7">
        <v>0</v>
      </c>
      <c r="EO55" s="8">
        <v>0</v>
      </c>
      <c r="EP55" s="9">
        <v>0</v>
      </c>
      <c r="EQ55" s="7">
        <v>0</v>
      </c>
      <c r="ER55" s="8">
        <v>0</v>
      </c>
      <c r="ES55" s="9">
        <v>0</v>
      </c>
      <c r="ET55" s="7">
        <v>0</v>
      </c>
      <c r="EU55" s="8">
        <v>0</v>
      </c>
      <c r="EV55" s="9">
        <v>0</v>
      </c>
      <c r="EW55" s="7">
        <v>0</v>
      </c>
      <c r="EX55" s="8">
        <v>0</v>
      </c>
      <c r="EY55" s="9">
        <v>0</v>
      </c>
      <c r="EZ55" s="7">
        <v>0</v>
      </c>
      <c r="FA55" s="8">
        <v>0</v>
      </c>
      <c r="FB55" s="9">
        <v>0</v>
      </c>
      <c r="FC55" s="7">
        <v>0</v>
      </c>
      <c r="FD55" s="8">
        <v>0</v>
      </c>
      <c r="FE55" s="9">
        <v>0</v>
      </c>
      <c r="FF55" s="7">
        <v>0</v>
      </c>
      <c r="FG55" s="8">
        <v>0</v>
      </c>
      <c r="FH55" s="9">
        <v>0</v>
      </c>
      <c r="FI55" s="7">
        <v>0</v>
      </c>
      <c r="FJ55" s="8">
        <v>0</v>
      </c>
      <c r="FK55" s="9">
        <v>0</v>
      </c>
      <c r="FL55" s="7">
        <v>-538626.5</v>
      </c>
      <c r="FM55" s="8">
        <v>0</v>
      </c>
      <c r="FN55" s="9">
        <v>0</v>
      </c>
      <c r="FO55" s="7">
        <v>0</v>
      </c>
      <c r="FP55" s="8">
        <v>0</v>
      </c>
      <c r="FQ55" s="9">
        <v>0</v>
      </c>
      <c r="FR55" s="7">
        <v>0</v>
      </c>
      <c r="FS55" s="8">
        <v>0</v>
      </c>
      <c r="FT55" s="9">
        <v>0</v>
      </c>
      <c r="FU55" s="7">
        <v>0</v>
      </c>
      <c r="FV55" s="8">
        <v>0</v>
      </c>
      <c r="FW55" s="9">
        <v>0</v>
      </c>
      <c r="FX55" s="7">
        <v>0</v>
      </c>
      <c r="FY55" s="8">
        <v>0</v>
      </c>
      <c r="FZ55" s="9">
        <v>0</v>
      </c>
      <c r="GA55" s="7">
        <v>0</v>
      </c>
      <c r="GB55" s="8">
        <v>0</v>
      </c>
      <c r="GC55" s="9">
        <v>0</v>
      </c>
      <c r="GD55" s="7">
        <v>0</v>
      </c>
      <c r="GE55" s="8">
        <v>0</v>
      </c>
      <c r="GF55" s="9">
        <v>0</v>
      </c>
      <c r="GG55" s="7">
        <v>0</v>
      </c>
      <c r="GH55" s="8">
        <v>0</v>
      </c>
      <c r="GI55" s="9">
        <v>0</v>
      </c>
      <c r="GJ55" s="7">
        <v>0</v>
      </c>
      <c r="GK55" s="8">
        <v>0</v>
      </c>
      <c r="GL55" s="9">
        <v>0</v>
      </c>
      <c r="GM55" s="7">
        <v>0</v>
      </c>
      <c r="GN55" s="8">
        <v>0</v>
      </c>
      <c r="GO55" s="9">
        <v>0</v>
      </c>
      <c r="GP55" s="7">
        <v>0</v>
      </c>
      <c r="GQ55" s="8">
        <v>0</v>
      </c>
      <c r="GR55" s="9">
        <v>0</v>
      </c>
      <c r="GS55" s="7">
        <v>0</v>
      </c>
      <c r="GT55" s="8">
        <v>0</v>
      </c>
      <c r="GU55" s="9">
        <v>0</v>
      </c>
      <c r="GV55" s="7">
        <v>0</v>
      </c>
      <c r="GW55" s="8">
        <v>0</v>
      </c>
      <c r="GX55" s="9">
        <v>0</v>
      </c>
      <c r="GY55" s="7">
        <v>0</v>
      </c>
      <c r="GZ55" s="8">
        <v>0</v>
      </c>
      <c r="HA55" s="9">
        <v>0</v>
      </c>
      <c r="HB55" s="7">
        <v>0</v>
      </c>
      <c r="HC55" s="8">
        <v>0</v>
      </c>
      <c r="HD55" s="9">
        <v>0</v>
      </c>
      <c r="HE55" s="7">
        <v>0</v>
      </c>
      <c r="HF55" s="8">
        <v>0</v>
      </c>
      <c r="HG55" s="9">
        <v>0</v>
      </c>
      <c r="HH55" s="7">
        <v>0</v>
      </c>
      <c r="HI55" s="8">
        <v>0</v>
      </c>
      <c r="HJ55" s="9">
        <v>0</v>
      </c>
      <c r="HK55" s="7">
        <v>0</v>
      </c>
      <c r="HL55" s="8">
        <v>0</v>
      </c>
      <c r="HM55" s="9">
        <v>0</v>
      </c>
      <c r="HN55" s="7">
        <v>0</v>
      </c>
      <c r="HO55" s="8">
        <v>0</v>
      </c>
      <c r="HP55" s="9">
        <v>0</v>
      </c>
    </row>
    <row r="56" spans="1:224" x14ac:dyDescent="0.25">
      <c r="A56" s="23" t="s">
        <v>249</v>
      </c>
      <c r="B56" s="26" t="s">
        <v>250</v>
      </c>
      <c r="C56" s="7">
        <v>-23763989.050000001</v>
      </c>
      <c r="D56" s="8">
        <v>-22447075.160025999</v>
      </c>
      <c r="E56" s="9">
        <v>-28778822</v>
      </c>
      <c r="F56" s="7">
        <v>-1811476.9</v>
      </c>
      <c r="G56" s="8">
        <v>-1889999.99999999</v>
      </c>
      <c r="H56" s="9">
        <v>-2100000</v>
      </c>
      <c r="I56" s="7">
        <v>-942182.51</v>
      </c>
      <c r="J56" s="8">
        <v>-1650750.97097481</v>
      </c>
      <c r="K56" s="9">
        <v>-3500000</v>
      </c>
      <c r="L56" s="7">
        <v>-373736.77</v>
      </c>
      <c r="M56" s="8">
        <v>-369999.99999998498</v>
      </c>
      <c r="N56" s="9">
        <v>-370000</v>
      </c>
      <c r="O56" s="7">
        <v>-274541.13</v>
      </c>
      <c r="P56" s="8">
        <v>-234999.99999998201</v>
      </c>
      <c r="Q56" s="9">
        <v>-270000</v>
      </c>
      <c r="R56" s="7">
        <v>-987740.82</v>
      </c>
      <c r="S56" s="8">
        <v>-999999.99999999197</v>
      </c>
      <c r="T56" s="9">
        <v>-1000000</v>
      </c>
      <c r="U56" s="7">
        <v>-613261.34</v>
      </c>
      <c r="V56" s="8">
        <v>-749999.99999999104</v>
      </c>
      <c r="W56" s="9">
        <v>-750000</v>
      </c>
      <c r="X56" s="7">
        <v>-685200.12</v>
      </c>
      <c r="Y56" s="8">
        <v>-679999.99999998999</v>
      </c>
      <c r="Z56" s="9">
        <v>-680000</v>
      </c>
      <c r="AA56" s="7">
        <v>-388045.32</v>
      </c>
      <c r="AB56" s="8">
        <v>-409999.99999999098</v>
      </c>
      <c r="AC56" s="9">
        <v>-430000</v>
      </c>
      <c r="AD56" s="7">
        <v>-200225.87</v>
      </c>
      <c r="AE56" s="8">
        <v>-179999.99999999601</v>
      </c>
      <c r="AF56" s="9">
        <v>-220000</v>
      </c>
      <c r="AG56" s="7">
        <v>-259054.56</v>
      </c>
      <c r="AH56" s="8">
        <v>-299999.99999998702</v>
      </c>
      <c r="AI56" s="9">
        <v>-300000</v>
      </c>
      <c r="AJ56" s="7">
        <v>-38884.68</v>
      </c>
      <c r="AK56" s="8">
        <v>-39999.999999997999</v>
      </c>
      <c r="AL56" s="9">
        <v>-52156</v>
      </c>
      <c r="AM56" s="7">
        <v>-404165.23</v>
      </c>
      <c r="AN56" s="8">
        <v>-455049.81197879597</v>
      </c>
      <c r="AO56" s="9">
        <v>-550000</v>
      </c>
      <c r="AP56" s="7">
        <v>-51155.09</v>
      </c>
      <c r="AQ56" s="8">
        <v>-64999.999999997999</v>
      </c>
      <c r="AR56" s="9">
        <v>-65000</v>
      </c>
      <c r="AS56" s="7">
        <v>0</v>
      </c>
      <c r="AT56" s="8">
        <v>0</v>
      </c>
      <c r="AU56" s="9">
        <v>0</v>
      </c>
      <c r="AV56" s="7">
        <v>0</v>
      </c>
      <c r="AW56" s="8">
        <v>0</v>
      </c>
      <c r="AX56" s="9">
        <v>0</v>
      </c>
      <c r="AY56" s="7">
        <v>-642287.4</v>
      </c>
      <c r="AZ56" s="8">
        <v>-444999.99999998597</v>
      </c>
      <c r="BA56" s="9">
        <v>-450000</v>
      </c>
      <c r="BB56" s="7">
        <v>-83159.66</v>
      </c>
      <c r="BC56" s="8">
        <v>-69999.999999995998</v>
      </c>
      <c r="BD56" s="9">
        <v>-150000</v>
      </c>
      <c r="BE56" s="7">
        <v>0</v>
      </c>
      <c r="BF56" s="8">
        <v>0</v>
      </c>
      <c r="BG56" s="9">
        <v>0</v>
      </c>
      <c r="BH56" s="7">
        <v>0</v>
      </c>
      <c r="BI56" s="8">
        <v>0</v>
      </c>
      <c r="BJ56" s="9">
        <v>0</v>
      </c>
      <c r="BK56" s="7">
        <v>0</v>
      </c>
      <c r="BL56" s="8">
        <v>0</v>
      </c>
      <c r="BM56" s="9">
        <v>0</v>
      </c>
      <c r="BN56" s="7">
        <v>-5197.5</v>
      </c>
      <c r="BO56" s="8">
        <v>-10000</v>
      </c>
      <c r="BP56" s="9">
        <v>-10000</v>
      </c>
      <c r="BQ56" s="7">
        <v>0</v>
      </c>
      <c r="BR56" s="8">
        <v>0</v>
      </c>
      <c r="BS56" s="9">
        <v>0</v>
      </c>
      <c r="BT56" s="7">
        <v>0</v>
      </c>
      <c r="BU56" s="8">
        <v>0</v>
      </c>
      <c r="BV56" s="9">
        <v>0</v>
      </c>
      <c r="BW56" s="7">
        <v>0</v>
      </c>
      <c r="BX56" s="8">
        <v>0</v>
      </c>
      <c r="BY56" s="9">
        <v>0</v>
      </c>
      <c r="BZ56" s="7">
        <v>0</v>
      </c>
      <c r="CA56" s="8">
        <v>0</v>
      </c>
      <c r="CB56" s="9">
        <v>0</v>
      </c>
      <c r="CC56" s="7">
        <v>0</v>
      </c>
      <c r="CD56" s="8">
        <v>0</v>
      </c>
      <c r="CE56" s="9">
        <v>0</v>
      </c>
      <c r="CF56" s="7">
        <v>0</v>
      </c>
      <c r="CG56" s="8">
        <v>0</v>
      </c>
      <c r="CH56" s="9">
        <v>0</v>
      </c>
      <c r="CI56" s="7">
        <v>0</v>
      </c>
      <c r="CJ56" s="8">
        <v>0</v>
      </c>
      <c r="CK56" s="9">
        <v>0</v>
      </c>
      <c r="CL56" s="7">
        <v>-47249.96</v>
      </c>
      <c r="CM56" s="8">
        <v>-39999.999999991996</v>
      </c>
      <c r="CN56" s="9">
        <v>-40000</v>
      </c>
      <c r="CO56" s="7">
        <v>-426376.98</v>
      </c>
      <c r="CP56" s="8">
        <v>-389999.999999989</v>
      </c>
      <c r="CQ56" s="9">
        <v>-150000</v>
      </c>
      <c r="CR56" s="7">
        <v>0</v>
      </c>
      <c r="CS56" s="8">
        <v>0</v>
      </c>
      <c r="CT56" s="9">
        <v>0</v>
      </c>
      <c r="CU56" s="7">
        <v>-12073813.960000001</v>
      </c>
      <c r="CV56" s="8">
        <v>-12345441.0437392</v>
      </c>
      <c r="CW56" s="9">
        <v>-13500000</v>
      </c>
      <c r="CX56" s="7">
        <v>0</v>
      </c>
      <c r="CY56" s="8">
        <v>0</v>
      </c>
      <c r="CZ56" s="9">
        <v>0</v>
      </c>
      <c r="DA56" s="7">
        <v>0</v>
      </c>
      <c r="DB56" s="8">
        <v>0</v>
      </c>
      <c r="DC56" s="9">
        <v>0</v>
      </c>
      <c r="DD56" s="7">
        <v>0</v>
      </c>
      <c r="DE56" s="8">
        <v>0</v>
      </c>
      <c r="DF56" s="9">
        <v>0</v>
      </c>
      <c r="DG56" s="7">
        <v>0</v>
      </c>
      <c r="DH56" s="8">
        <v>0</v>
      </c>
      <c r="DI56" s="9">
        <v>0</v>
      </c>
      <c r="DJ56" s="7">
        <v>0</v>
      </c>
      <c r="DK56" s="8">
        <v>0</v>
      </c>
      <c r="DL56" s="9">
        <v>0</v>
      </c>
      <c r="DM56" s="7">
        <v>0</v>
      </c>
      <c r="DN56" s="8">
        <v>0</v>
      </c>
      <c r="DO56" s="9">
        <v>0</v>
      </c>
      <c r="DP56" s="7">
        <v>0</v>
      </c>
      <c r="DQ56" s="8">
        <v>0</v>
      </c>
      <c r="DR56" s="9">
        <v>0</v>
      </c>
      <c r="DS56" s="7">
        <v>0</v>
      </c>
      <c r="DT56" s="8">
        <v>0</v>
      </c>
      <c r="DU56" s="9">
        <v>0</v>
      </c>
      <c r="DV56" s="7">
        <v>0</v>
      </c>
      <c r="DW56" s="8">
        <v>0</v>
      </c>
      <c r="DX56" s="9">
        <v>0</v>
      </c>
      <c r="DY56" s="7">
        <v>0</v>
      </c>
      <c r="DZ56" s="8">
        <v>0</v>
      </c>
      <c r="EA56" s="9">
        <v>0</v>
      </c>
      <c r="EB56" s="7">
        <v>0</v>
      </c>
      <c r="EC56" s="8">
        <v>0</v>
      </c>
      <c r="ED56" s="9">
        <v>0</v>
      </c>
      <c r="EE56" s="7">
        <v>-4325.75</v>
      </c>
      <c r="EF56" s="8">
        <v>-6000</v>
      </c>
      <c r="EG56" s="9">
        <v>-5000</v>
      </c>
      <c r="EH56" s="7">
        <v>0</v>
      </c>
      <c r="EI56" s="8">
        <v>0</v>
      </c>
      <c r="EJ56" s="9">
        <v>0</v>
      </c>
      <c r="EK56" s="7">
        <v>-3039210.23</v>
      </c>
      <c r="EL56" s="8">
        <v>-2339999.9999999902</v>
      </c>
      <c r="EM56" s="9">
        <v>-3847000</v>
      </c>
      <c r="EN56" s="7">
        <v>0</v>
      </c>
      <c r="EO56" s="8">
        <v>0</v>
      </c>
      <c r="EP56" s="9">
        <v>0</v>
      </c>
      <c r="EQ56" s="7">
        <v>0</v>
      </c>
      <c r="ER56" s="8">
        <v>0</v>
      </c>
      <c r="ES56" s="9">
        <v>0</v>
      </c>
      <c r="ET56" s="7">
        <v>0</v>
      </c>
      <c r="EU56" s="8">
        <v>0</v>
      </c>
      <c r="EV56" s="9">
        <v>0</v>
      </c>
      <c r="EW56" s="7">
        <v>0</v>
      </c>
      <c r="EX56" s="8">
        <v>0</v>
      </c>
      <c r="EY56" s="9">
        <v>0</v>
      </c>
      <c r="EZ56" s="7">
        <v>-16637.77</v>
      </c>
      <c r="FA56" s="8">
        <v>-30000</v>
      </c>
      <c r="FB56" s="9">
        <v>0</v>
      </c>
      <c r="FC56" s="7">
        <v>-189832.66</v>
      </c>
      <c r="FD56" s="8">
        <v>-209999.999999994</v>
      </c>
      <c r="FE56" s="9">
        <v>-153000</v>
      </c>
      <c r="FF56" s="7">
        <v>-166296.84</v>
      </c>
      <c r="FG56" s="8">
        <v>-169999.99999999101</v>
      </c>
      <c r="FH56" s="9">
        <v>-186666</v>
      </c>
      <c r="FI56" s="7">
        <v>0</v>
      </c>
      <c r="FJ56" s="8">
        <v>0</v>
      </c>
      <c r="FK56" s="9">
        <v>0</v>
      </c>
      <c r="FL56" s="7">
        <v>0</v>
      </c>
      <c r="FM56" s="8">
        <v>0</v>
      </c>
      <c r="FN56" s="9">
        <v>0</v>
      </c>
      <c r="FO56" s="7">
        <v>-39930</v>
      </c>
      <c r="FP56" s="8">
        <v>0</v>
      </c>
      <c r="FQ56" s="9">
        <v>0</v>
      </c>
      <c r="FR56" s="7">
        <v>0</v>
      </c>
      <c r="FS56" s="8">
        <v>0</v>
      </c>
      <c r="FT56" s="9">
        <v>0</v>
      </c>
      <c r="FU56" s="7">
        <v>0</v>
      </c>
      <c r="FV56" s="8">
        <v>0</v>
      </c>
      <c r="FW56" s="9">
        <v>0</v>
      </c>
      <c r="FX56" s="7">
        <v>0</v>
      </c>
      <c r="FY56" s="8">
        <v>1635166.66666666</v>
      </c>
      <c r="FZ56" s="9">
        <v>0</v>
      </c>
      <c r="GA56" s="7">
        <v>0</v>
      </c>
      <c r="GB56" s="8">
        <v>0</v>
      </c>
      <c r="GC56" s="9">
        <v>0</v>
      </c>
      <c r="GD56" s="7">
        <v>0</v>
      </c>
      <c r="GE56" s="8">
        <v>0</v>
      </c>
      <c r="GF56" s="9">
        <v>0</v>
      </c>
      <c r="GG56" s="7">
        <v>0</v>
      </c>
      <c r="GH56" s="8">
        <v>0</v>
      </c>
      <c r="GI56" s="9">
        <v>0</v>
      </c>
      <c r="GJ56" s="7">
        <v>0</v>
      </c>
      <c r="GK56" s="8">
        <v>0</v>
      </c>
      <c r="GL56" s="9">
        <v>0</v>
      </c>
      <c r="GM56" s="7">
        <v>0</v>
      </c>
      <c r="GN56" s="8">
        <v>0</v>
      </c>
      <c r="GO56" s="9">
        <v>0</v>
      </c>
      <c r="GP56" s="7">
        <v>0</v>
      </c>
      <c r="GQ56" s="8">
        <v>0</v>
      </c>
      <c r="GR56" s="9">
        <v>0</v>
      </c>
      <c r="GS56" s="7">
        <v>0</v>
      </c>
      <c r="GT56" s="8">
        <v>0</v>
      </c>
      <c r="GU56" s="9">
        <v>0</v>
      </c>
      <c r="GV56" s="7">
        <v>0</v>
      </c>
      <c r="GW56" s="8">
        <v>0</v>
      </c>
      <c r="GX56" s="9">
        <v>0</v>
      </c>
      <c r="GY56" s="7">
        <v>0</v>
      </c>
      <c r="GZ56" s="8">
        <v>0</v>
      </c>
      <c r="HA56" s="9">
        <v>0</v>
      </c>
      <c r="HB56" s="7">
        <v>0</v>
      </c>
      <c r="HC56" s="8">
        <v>0</v>
      </c>
      <c r="HD56" s="9">
        <v>0</v>
      </c>
      <c r="HE56" s="7">
        <v>0</v>
      </c>
      <c r="HF56" s="8">
        <v>0</v>
      </c>
      <c r="HG56" s="9">
        <v>0</v>
      </c>
      <c r="HH56" s="7">
        <v>0</v>
      </c>
      <c r="HI56" s="8">
        <v>0</v>
      </c>
      <c r="HJ56" s="9">
        <v>0</v>
      </c>
      <c r="HK56" s="7">
        <v>0</v>
      </c>
      <c r="HL56" s="8">
        <v>0</v>
      </c>
      <c r="HM56" s="9">
        <v>0</v>
      </c>
      <c r="HN56" s="7">
        <v>0</v>
      </c>
      <c r="HO56" s="8">
        <v>0</v>
      </c>
      <c r="HP56" s="9">
        <v>0</v>
      </c>
    </row>
    <row r="57" spans="1:224" x14ac:dyDescent="0.25">
      <c r="A57" s="23" t="s">
        <v>251</v>
      </c>
      <c r="B57" s="26" t="s">
        <v>252</v>
      </c>
      <c r="C57" s="7">
        <v>-35269834.619999997</v>
      </c>
      <c r="D57" s="8">
        <v>-36000000</v>
      </c>
      <c r="E57" s="9">
        <v>-40000000</v>
      </c>
      <c r="F57" s="7">
        <v>-35047023.270000003</v>
      </c>
      <c r="G57" s="8">
        <v>-35800000</v>
      </c>
      <c r="H57" s="9">
        <v>-40000000</v>
      </c>
      <c r="I57" s="7">
        <v>0</v>
      </c>
      <c r="J57" s="8">
        <v>0</v>
      </c>
      <c r="K57" s="9">
        <v>0</v>
      </c>
      <c r="L57" s="7">
        <v>0</v>
      </c>
      <c r="M57" s="8">
        <v>0</v>
      </c>
      <c r="N57" s="9">
        <v>0</v>
      </c>
      <c r="O57" s="7">
        <v>0</v>
      </c>
      <c r="P57" s="8">
        <v>0</v>
      </c>
      <c r="Q57" s="9">
        <v>0</v>
      </c>
      <c r="R57" s="7">
        <v>0</v>
      </c>
      <c r="S57" s="8">
        <v>0</v>
      </c>
      <c r="T57" s="9">
        <v>0</v>
      </c>
      <c r="U57" s="7">
        <v>0</v>
      </c>
      <c r="V57" s="8">
        <v>0</v>
      </c>
      <c r="W57" s="9">
        <v>0</v>
      </c>
      <c r="X57" s="7">
        <v>0</v>
      </c>
      <c r="Y57" s="8">
        <v>0</v>
      </c>
      <c r="Z57" s="9">
        <v>0</v>
      </c>
      <c r="AA57" s="7">
        <v>0</v>
      </c>
      <c r="AB57" s="8">
        <v>0</v>
      </c>
      <c r="AC57" s="9">
        <v>0</v>
      </c>
      <c r="AD57" s="7">
        <v>0</v>
      </c>
      <c r="AE57" s="8">
        <v>0</v>
      </c>
      <c r="AF57" s="9">
        <v>0</v>
      </c>
      <c r="AG57" s="7">
        <v>0</v>
      </c>
      <c r="AH57" s="8">
        <v>0</v>
      </c>
      <c r="AI57" s="9">
        <v>0</v>
      </c>
      <c r="AJ57" s="7">
        <v>0</v>
      </c>
      <c r="AK57" s="8">
        <v>0</v>
      </c>
      <c r="AL57" s="9">
        <v>0</v>
      </c>
      <c r="AM57" s="7">
        <v>0</v>
      </c>
      <c r="AN57" s="8">
        <v>0</v>
      </c>
      <c r="AO57" s="9">
        <v>0</v>
      </c>
      <c r="AP57" s="7">
        <v>0</v>
      </c>
      <c r="AQ57" s="8">
        <v>0</v>
      </c>
      <c r="AR57" s="9">
        <v>0</v>
      </c>
      <c r="AS57" s="7">
        <v>0</v>
      </c>
      <c r="AT57" s="8">
        <v>0</v>
      </c>
      <c r="AU57" s="9">
        <v>0</v>
      </c>
      <c r="AV57" s="7">
        <v>0</v>
      </c>
      <c r="AW57" s="8">
        <v>0</v>
      </c>
      <c r="AX57" s="9">
        <v>0</v>
      </c>
      <c r="AY57" s="7">
        <v>0</v>
      </c>
      <c r="AZ57" s="8">
        <v>0</v>
      </c>
      <c r="BA57" s="9">
        <v>0</v>
      </c>
      <c r="BB57" s="7">
        <v>0</v>
      </c>
      <c r="BC57" s="8">
        <v>0</v>
      </c>
      <c r="BD57" s="9">
        <v>0</v>
      </c>
      <c r="BE57" s="7">
        <v>0</v>
      </c>
      <c r="BF57" s="8">
        <v>0</v>
      </c>
      <c r="BG57" s="9">
        <v>0</v>
      </c>
      <c r="BH57" s="7">
        <v>0</v>
      </c>
      <c r="BI57" s="8">
        <v>0</v>
      </c>
      <c r="BJ57" s="9">
        <v>0</v>
      </c>
      <c r="BK57" s="7">
        <v>0</v>
      </c>
      <c r="BL57" s="8">
        <v>0</v>
      </c>
      <c r="BM57" s="9">
        <v>0</v>
      </c>
      <c r="BN57" s="7">
        <v>0</v>
      </c>
      <c r="BO57" s="8">
        <v>0</v>
      </c>
      <c r="BP57" s="9">
        <v>0</v>
      </c>
      <c r="BQ57" s="7">
        <v>0</v>
      </c>
      <c r="BR57" s="8">
        <v>0</v>
      </c>
      <c r="BS57" s="9">
        <v>0</v>
      </c>
      <c r="BT57" s="7">
        <v>0</v>
      </c>
      <c r="BU57" s="8">
        <v>0</v>
      </c>
      <c r="BV57" s="9">
        <v>0</v>
      </c>
      <c r="BW57" s="7">
        <v>0</v>
      </c>
      <c r="BX57" s="8">
        <v>0</v>
      </c>
      <c r="BY57" s="9">
        <v>0</v>
      </c>
      <c r="BZ57" s="7">
        <v>0</v>
      </c>
      <c r="CA57" s="8">
        <v>0</v>
      </c>
      <c r="CB57" s="9">
        <v>0</v>
      </c>
      <c r="CC57" s="7">
        <v>0</v>
      </c>
      <c r="CD57" s="8">
        <v>0</v>
      </c>
      <c r="CE57" s="9">
        <v>0</v>
      </c>
      <c r="CF57" s="7">
        <v>0</v>
      </c>
      <c r="CG57" s="8">
        <v>0</v>
      </c>
      <c r="CH57" s="9">
        <v>0</v>
      </c>
      <c r="CI57" s="7">
        <v>0</v>
      </c>
      <c r="CJ57" s="8">
        <v>0</v>
      </c>
      <c r="CK57" s="9">
        <v>0</v>
      </c>
      <c r="CL57" s="7">
        <v>0</v>
      </c>
      <c r="CM57" s="8">
        <v>0</v>
      </c>
      <c r="CN57" s="9">
        <v>0</v>
      </c>
      <c r="CO57" s="7">
        <v>0</v>
      </c>
      <c r="CP57" s="8">
        <v>0</v>
      </c>
      <c r="CQ57" s="9">
        <v>0</v>
      </c>
      <c r="CR57" s="7">
        <v>0</v>
      </c>
      <c r="CS57" s="8">
        <v>0</v>
      </c>
      <c r="CT57" s="9">
        <v>0</v>
      </c>
      <c r="CU57" s="7">
        <v>0</v>
      </c>
      <c r="CV57" s="8">
        <v>0</v>
      </c>
      <c r="CW57" s="9">
        <v>0</v>
      </c>
      <c r="CX57" s="7">
        <v>0</v>
      </c>
      <c r="CY57" s="8">
        <v>0</v>
      </c>
      <c r="CZ57" s="9">
        <v>0</v>
      </c>
      <c r="DA57" s="7">
        <v>0</v>
      </c>
      <c r="DB57" s="8">
        <v>0</v>
      </c>
      <c r="DC57" s="9">
        <v>0</v>
      </c>
      <c r="DD57" s="7">
        <v>0</v>
      </c>
      <c r="DE57" s="8">
        <v>0</v>
      </c>
      <c r="DF57" s="9">
        <v>0</v>
      </c>
      <c r="DG57" s="7">
        <v>0</v>
      </c>
      <c r="DH57" s="8">
        <v>0</v>
      </c>
      <c r="DI57" s="9">
        <v>0</v>
      </c>
      <c r="DJ57" s="7">
        <v>0</v>
      </c>
      <c r="DK57" s="8">
        <v>0</v>
      </c>
      <c r="DL57" s="9">
        <v>0</v>
      </c>
      <c r="DM57" s="7">
        <v>0</v>
      </c>
      <c r="DN57" s="8">
        <v>0</v>
      </c>
      <c r="DO57" s="9">
        <v>0</v>
      </c>
      <c r="DP57" s="7">
        <v>0</v>
      </c>
      <c r="DQ57" s="8">
        <v>0</v>
      </c>
      <c r="DR57" s="9">
        <v>0</v>
      </c>
      <c r="DS57" s="7">
        <v>0</v>
      </c>
      <c r="DT57" s="8">
        <v>0</v>
      </c>
      <c r="DU57" s="9">
        <v>0</v>
      </c>
      <c r="DV57" s="7">
        <v>0</v>
      </c>
      <c r="DW57" s="8">
        <v>0</v>
      </c>
      <c r="DX57" s="9">
        <v>0</v>
      </c>
      <c r="DY57" s="7">
        <v>0</v>
      </c>
      <c r="DZ57" s="8">
        <v>0</v>
      </c>
      <c r="EA57" s="9">
        <v>0</v>
      </c>
      <c r="EB57" s="7">
        <v>0</v>
      </c>
      <c r="EC57" s="8">
        <v>0</v>
      </c>
      <c r="ED57" s="9">
        <v>0</v>
      </c>
      <c r="EE57" s="7">
        <v>0</v>
      </c>
      <c r="EF57" s="8">
        <v>0</v>
      </c>
      <c r="EG57" s="9">
        <v>0</v>
      </c>
      <c r="EH57" s="7">
        <v>0</v>
      </c>
      <c r="EI57" s="8">
        <v>0</v>
      </c>
      <c r="EJ57" s="9">
        <v>0</v>
      </c>
      <c r="EK57" s="7">
        <v>0</v>
      </c>
      <c r="EL57" s="8">
        <v>0</v>
      </c>
      <c r="EM57" s="9">
        <v>0</v>
      </c>
      <c r="EN57" s="7">
        <v>0</v>
      </c>
      <c r="EO57" s="8">
        <v>0</v>
      </c>
      <c r="EP57" s="9">
        <v>0</v>
      </c>
      <c r="EQ57" s="7">
        <v>0</v>
      </c>
      <c r="ER57" s="8">
        <v>0</v>
      </c>
      <c r="ES57" s="9">
        <v>0</v>
      </c>
      <c r="ET57" s="7">
        <v>0</v>
      </c>
      <c r="EU57" s="8">
        <v>0</v>
      </c>
      <c r="EV57" s="9">
        <v>0</v>
      </c>
      <c r="EW57" s="7">
        <v>0</v>
      </c>
      <c r="EX57" s="8">
        <v>0</v>
      </c>
      <c r="EY57" s="9">
        <v>0</v>
      </c>
      <c r="EZ57" s="7">
        <v>0</v>
      </c>
      <c r="FA57" s="8">
        <v>0</v>
      </c>
      <c r="FB57" s="9">
        <v>0</v>
      </c>
      <c r="FC57" s="7">
        <v>0</v>
      </c>
      <c r="FD57" s="8">
        <v>0</v>
      </c>
      <c r="FE57" s="9">
        <v>0</v>
      </c>
      <c r="FF57" s="7">
        <v>0</v>
      </c>
      <c r="FG57" s="8">
        <v>0</v>
      </c>
      <c r="FH57" s="9">
        <v>0</v>
      </c>
      <c r="FI57" s="7">
        <v>0</v>
      </c>
      <c r="FJ57" s="8">
        <v>0</v>
      </c>
      <c r="FK57" s="9">
        <v>0</v>
      </c>
      <c r="FL57" s="7">
        <v>0</v>
      </c>
      <c r="FM57" s="8">
        <v>0</v>
      </c>
      <c r="FN57" s="9">
        <v>0</v>
      </c>
      <c r="FO57" s="7">
        <v>-222811.35</v>
      </c>
      <c r="FP57" s="8">
        <v>0</v>
      </c>
      <c r="FQ57" s="9">
        <v>0</v>
      </c>
      <c r="FR57" s="7">
        <v>0</v>
      </c>
      <c r="FS57" s="8">
        <v>0</v>
      </c>
      <c r="FT57" s="9">
        <v>0</v>
      </c>
      <c r="FU57" s="7">
        <v>0</v>
      </c>
      <c r="FV57" s="8">
        <v>0</v>
      </c>
      <c r="FW57" s="9">
        <v>0</v>
      </c>
      <c r="FX57" s="7">
        <v>0</v>
      </c>
      <c r="FY57" s="8">
        <v>-200000</v>
      </c>
      <c r="FZ57" s="9">
        <v>0</v>
      </c>
      <c r="GA57" s="7">
        <v>0</v>
      </c>
      <c r="GB57" s="8">
        <v>0</v>
      </c>
      <c r="GC57" s="9">
        <v>0</v>
      </c>
      <c r="GD57" s="7">
        <v>0</v>
      </c>
      <c r="GE57" s="8">
        <v>0</v>
      </c>
      <c r="GF57" s="9">
        <v>0</v>
      </c>
      <c r="GG57" s="7">
        <v>0</v>
      </c>
      <c r="GH57" s="8">
        <v>0</v>
      </c>
      <c r="GI57" s="9">
        <v>0</v>
      </c>
      <c r="GJ57" s="7">
        <v>0</v>
      </c>
      <c r="GK57" s="8">
        <v>0</v>
      </c>
      <c r="GL57" s="9">
        <v>0</v>
      </c>
      <c r="GM57" s="7">
        <v>0</v>
      </c>
      <c r="GN57" s="8">
        <v>0</v>
      </c>
      <c r="GO57" s="9">
        <v>0</v>
      </c>
      <c r="GP57" s="7">
        <v>0</v>
      </c>
      <c r="GQ57" s="8">
        <v>0</v>
      </c>
      <c r="GR57" s="9">
        <v>0</v>
      </c>
      <c r="GS57" s="7">
        <v>0</v>
      </c>
      <c r="GT57" s="8">
        <v>0</v>
      </c>
      <c r="GU57" s="9">
        <v>0</v>
      </c>
      <c r="GV57" s="7">
        <v>0</v>
      </c>
      <c r="GW57" s="8">
        <v>0</v>
      </c>
      <c r="GX57" s="9">
        <v>0</v>
      </c>
      <c r="GY57" s="7">
        <v>0</v>
      </c>
      <c r="GZ57" s="8">
        <v>0</v>
      </c>
      <c r="HA57" s="9">
        <v>0</v>
      </c>
      <c r="HB57" s="7">
        <v>0</v>
      </c>
      <c r="HC57" s="8">
        <v>0</v>
      </c>
      <c r="HD57" s="9">
        <v>0</v>
      </c>
      <c r="HE57" s="7">
        <v>0</v>
      </c>
      <c r="HF57" s="8">
        <v>0</v>
      </c>
      <c r="HG57" s="9">
        <v>0</v>
      </c>
      <c r="HH57" s="7">
        <v>0</v>
      </c>
      <c r="HI57" s="8">
        <v>0</v>
      </c>
      <c r="HJ57" s="9">
        <v>0</v>
      </c>
      <c r="HK57" s="7">
        <v>0</v>
      </c>
      <c r="HL57" s="8">
        <v>0</v>
      </c>
      <c r="HM57" s="9">
        <v>0</v>
      </c>
      <c r="HN57" s="7">
        <v>0</v>
      </c>
      <c r="HO57" s="8">
        <v>0</v>
      </c>
      <c r="HP57" s="9">
        <v>0</v>
      </c>
    </row>
    <row r="58" spans="1:224" x14ac:dyDescent="0.25">
      <c r="A58" s="23" t="s">
        <v>253</v>
      </c>
      <c r="B58" s="26" t="s">
        <v>254</v>
      </c>
      <c r="C58" s="7">
        <v>-5935243.7800000003</v>
      </c>
      <c r="D58" s="8">
        <v>-7655000</v>
      </c>
      <c r="E58" s="9">
        <v>-7600000</v>
      </c>
      <c r="F58" s="7">
        <v>-5909046.7800000003</v>
      </c>
      <c r="G58" s="8">
        <v>-7600000</v>
      </c>
      <c r="H58" s="9">
        <v>-7600000</v>
      </c>
      <c r="I58" s="7">
        <v>0</v>
      </c>
      <c r="J58" s="8">
        <v>0</v>
      </c>
      <c r="K58" s="9">
        <v>0</v>
      </c>
      <c r="L58" s="7">
        <v>0</v>
      </c>
      <c r="M58" s="8">
        <v>0</v>
      </c>
      <c r="N58" s="9">
        <v>0</v>
      </c>
      <c r="O58" s="7">
        <v>0</v>
      </c>
      <c r="P58" s="8">
        <v>0</v>
      </c>
      <c r="Q58" s="9">
        <v>0</v>
      </c>
      <c r="R58" s="7">
        <v>0</v>
      </c>
      <c r="S58" s="8">
        <v>0</v>
      </c>
      <c r="T58" s="9">
        <v>0</v>
      </c>
      <c r="U58" s="7">
        <v>0</v>
      </c>
      <c r="V58" s="8">
        <v>0</v>
      </c>
      <c r="W58" s="9">
        <v>0</v>
      </c>
      <c r="X58" s="7">
        <v>0</v>
      </c>
      <c r="Y58" s="8">
        <v>0</v>
      </c>
      <c r="Z58" s="9">
        <v>0</v>
      </c>
      <c r="AA58" s="7">
        <v>0</v>
      </c>
      <c r="AB58" s="8">
        <v>0</v>
      </c>
      <c r="AC58" s="9">
        <v>0</v>
      </c>
      <c r="AD58" s="7">
        <v>0</v>
      </c>
      <c r="AE58" s="8">
        <v>0</v>
      </c>
      <c r="AF58" s="9">
        <v>0</v>
      </c>
      <c r="AG58" s="7">
        <v>0</v>
      </c>
      <c r="AH58" s="8">
        <v>0</v>
      </c>
      <c r="AI58" s="9">
        <v>0</v>
      </c>
      <c r="AJ58" s="7">
        <v>0</v>
      </c>
      <c r="AK58" s="8">
        <v>0</v>
      </c>
      <c r="AL58" s="9">
        <v>0</v>
      </c>
      <c r="AM58" s="7">
        <v>0</v>
      </c>
      <c r="AN58" s="8">
        <v>0</v>
      </c>
      <c r="AO58" s="9">
        <v>0</v>
      </c>
      <c r="AP58" s="7">
        <v>0</v>
      </c>
      <c r="AQ58" s="8">
        <v>0</v>
      </c>
      <c r="AR58" s="9">
        <v>0</v>
      </c>
      <c r="AS58" s="7">
        <v>0</v>
      </c>
      <c r="AT58" s="8">
        <v>0</v>
      </c>
      <c r="AU58" s="9">
        <v>0</v>
      </c>
      <c r="AV58" s="7">
        <v>0</v>
      </c>
      <c r="AW58" s="8">
        <v>0</v>
      </c>
      <c r="AX58" s="9">
        <v>0</v>
      </c>
      <c r="AY58" s="7">
        <v>0</v>
      </c>
      <c r="AZ58" s="8">
        <v>0</v>
      </c>
      <c r="BA58" s="9">
        <v>0</v>
      </c>
      <c r="BB58" s="7">
        <v>0</v>
      </c>
      <c r="BC58" s="8">
        <v>0</v>
      </c>
      <c r="BD58" s="9">
        <v>0</v>
      </c>
      <c r="BE58" s="7">
        <v>0</v>
      </c>
      <c r="BF58" s="8">
        <v>0</v>
      </c>
      <c r="BG58" s="9">
        <v>0</v>
      </c>
      <c r="BH58" s="7">
        <v>0</v>
      </c>
      <c r="BI58" s="8">
        <v>0</v>
      </c>
      <c r="BJ58" s="9">
        <v>0</v>
      </c>
      <c r="BK58" s="7">
        <v>0</v>
      </c>
      <c r="BL58" s="8">
        <v>0</v>
      </c>
      <c r="BM58" s="9">
        <v>0</v>
      </c>
      <c r="BN58" s="7">
        <v>0</v>
      </c>
      <c r="BO58" s="8">
        <v>0</v>
      </c>
      <c r="BP58" s="9">
        <v>0</v>
      </c>
      <c r="BQ58" s="7">
        <v>0</v>
      </c>
      <c r="BR58" s="8">
        <v>0</v>
      </c>
      <c r="BS58" s="9">
        <v>0</v>
      </c>
      <c r="BT58" s="7">
        <v>0</v>
      </c>
      <c r="BU58" s="8">
        <v>0</v>
      </c>
      <c r="BV58" s="9">
        <v>0</v>
      </c>
      <c r="BW58" s="7">
        <v>0</v>
      </c>
      <c r="BX58" s="8">
        <v>0</v>
      </c>
      <c r="BY58" s="9">
        <v>0</v>
      </c>
      <c r="BZ58" s="7">
        <v>0</v>
      </c>
      <c r="CA58" s="8">
        <v>0</v>
      </c>
      <c r="CB58" s="9">
        <v>0</v>
      </c>
      <c r="CC58" s="7">
        <v>0</v>
      </c>
      <c r="CD58" s="8">
        <v>0</v>
      </c>
      <c r="CE58" s="9">
        <v>0</v>
      </c>
      <c r="CF58" s="7">
        <v>0</v>
      </c>
      <c r="CG58" s="8">
        <v>0</v>
      </c>
      <c r="CH58" s="9">
        <v>0</v>
      </c>
      <c r="CI58" s="7">
        <v>0</v>
      </c>
      <c r="CJ58" s="8">
        <v>0</v>
      </c>
      <c r="CK58" s="9">
        <v>0</v>
      </c>
      <c r="CL58" s="7">
        <v>0</v>
      </c>
      <c r="CM58" s="8">
        <v>0</v>
      </c>
      <c r="CN58" s="9">
        <v>0</v>
      </c>
      <c r="CO58" s="7">
        <v>0</v>
      </c>
      <c r="CP58" s="8">
        <v>0</v>
      </c>
      <c r="CQ58" s="9">
        <v>0</v>
      </c>
      <c r="CR58" s="7">
        <v>0</v>
      </c>
      <c r="CS58" s="8">
        <v>0</v>
      </c>
      <c r="CT58" s="9">
        <v>0</v>
      </c>
      <c r="CU58" s="7">
        <v>-26197</v>
      </c>
      <c r="CV58" s="8">
        <v>0</v>
      </c>
      <c r="CW58" s="9">
        <v>0</v>
      </c>
      <c r="CX58" s="7">
        <v>0</v>
      </c>
      <c r="CY58" s="8">
        <v>0</v>
      </c>
      <c r="CZ58" s="9">
        <v>0</v>
      </c>
      <c r="DA58" s="7">
        <v>0</v>
      </c>
      <c r="DB58" s="8">
        <v>0</v>
      </c>
      <c r="DC58" s="9">
        <v>0</v>
      </c>
      <c r="DD58" s="7">
        <v>0</v>
      </c>
      <c r="DE58" s="8">
        <v>0</v>
      </c>
      <c r="DF58" s="9">
        <v>0</v>
      </c>
      <c r="DG58" s="7">
        <v>0</v>
      </c>
      <c r="DH58" s="8">
        <v>0</v>
      </c>
      <c r="DI58" s="9">
        <v>0</v>
      </c>
      <c r="DJ58" s="7">
        <v>0</v>
      </c>
      <c r="DK58" s="8">
        <v>0</v>
      </c>
      <c r="DL58" s="9">
        <v>0</v>
      </c>
      <c r="DM58" s="7">
        <v>0</v>
      </c>
      <c r="DN58" s="8">
        <v>0</v>
      </c>
      <c r="DO58" s="9">
        <v>0</v>
      </c>
      <c r="DP58" s="7">
        <v>0</v>
      </c>
      <c r="DQ58" s="8">
        <v>0</v>
      </c>
      <c r="DR58" s="9">
        <v>0</v>
      </c>
      <c r="DS58" s="7">
        <v>0</v>
      </c>
      <c r="DT58" s="8">
        <v>0</v>
      </c>
      <c r="DU58" s="9">
        <v>0</v>
      </c>
      <c r="DV58" s="7">
        <v>0</v>
      </c>
      <c r="DW58" s="8">
        <v>0</v>
      </c>
      <c r="DX58" s="9">
        <v>0</v>
      </c>
      <c r="DY58" s="7">
        <v>0</v>
      </c>
      <c r="DZ58" s="8">
        <v>0</v>
      </c>
      <c r="EA58" s="9">
        <v>0</v>
      </c>
      <c r="EB58" s="7">
        <v>0</v>
      </c>
      <c r="EC58" s="8">
        <v>0</v>
      </c>
      <c r="ED58" s="9">
        <v>0</v>
      </c>
      <c r="EE58" s="7">
        <v>0</v>
      </c>
      <c r="EF58" s="8">
        <v>0</v>
      </c>
      <c r="EG58" s="9">
        <v>0</v>
      </c>
      <c r="EH58" s="7">
        <v>0</v>
      </c>
      <c r="EI58" s="8">
        <v>0</v>
      </c>
      <c r="EJ58" s="9">
        <v>0</v>
      </c>
      <c r="EK58" s="7">
        <v>0</v>
      </c>
      <c r="EL58" s="8">
        <v>0</v>
      </c>
      <c r="EM58" s="9">
        <v>0</v>
      </c>
      <c r="EN58" s="7">
        <v>0</v>
      </c>
      <c r="EO58" s="8">
        <v>0</v>
      </c>
      <c r="EP58" s="9">
        <v>0</v>
      </c>
      <c r="EQ58" s="7">
        <v>0</v>
      </c>
      <c r="ER58" s="8">
        <v>0</v>
      </c>
      <c r="ES58" s="9">
        <v>0</v>
      </c>
      <c r="ET58" s="7">
        <v>0</v>
      </c>
      <c r="EU58" s="8">
        <v>0</v>
      </c>
      <c r="EV58" s="9">
        <v>0</v>
      </c>
      <c r="EW58" s="7">
        <v>0</v>
      </c>
      <c r="EX58" s="8">
        <v>0</v>
      </c>
      <c r="EY58" s="9">
        <v>0</v>
      </c>
      <c r="EZ58" s="7">
        <v>0</v>
      </c>
      <c r="FA58" s="8">
        <v>0</v>
      </c>
      <c r="FB58" s="9">
        <v>0</v>
      </c>
      <c r="FC58" s="7">
        <v>0</v>
      </c>
      <c r="FD58" s="8">
        <v>0</v>
      </c>
      <c r="FE58" s="9">
        <v>0</v>
      </c>
      <c r="FF58" s="7">
        <v>0</v>
      </c>
      <c r="FG58" s="8">
        <v>0</v>
      </c>
      <c r="FH58" s="9">
        <v>0</v>
      </c>
      <c r="FI58" s="7">
        <v>0</v>
      </c>
      <c r="FJ58" s="8">
        <v>0</v>
      </c>
      <c r="FK58" s="9">
        <v>0</v>
      </c>
      <c r="FL58" s="7">
        <v>0</v>
      </c>
      <c r="FM58" s="8">
        <v>0</v>
      </c>
      <c r="FN58" s="9">
        <v>0</v>
      </c>
      <c r="FO58" s="7">
        <v>0</v>
      </c>
      <c r="FP58" s="8">
        <v>0</v>
      </c>
      <c r="FQ58" s="9">
        <v>0</v>
      </c>
      <c r="FR58" s="7">
        <v>0</v>
      </c>
      <c r="FS58" s="8">
        <v>0</v>
      </c>
      <c r="FT58" s="9">
        <v>0</v>
      </c>
      <c r="FU58" s="7">
        <v>0</v>
      </c>
      <c r="FV58" s="8">
        <v>0</v>
      </c>
      <c r="FW58" s="9">
        <v>0</v>
      </c>
      <c r="FX58" s="7">
        <v>0</v>
      </c>
      <c r="FY58" s="8">
        <v>-55000</v>
      </c>
      <c r="FZ58" s="9">
        <v>0</v>
      </c>
      <c r="GA58" s="7">
        <v>0</v>
      </c>
      <c r="GB58" s="8">
        <v>0</v>
      </c>
      <c r="GC58" s="9">
        <v>0</v>
      </c>
      <c r="GD58" s="7">
        <v>0</v>
      </c>
      <c r="GE58" s="8">
        <v>0</v>
      </c>
      <c r="GF58" s="9">
        <v>0</v>
      </c>
      <c r="GG58" s="7">
        <v>0</v>
      </c>
      <c r="GH58" s="8">
        <v>0</v>
      </c>
      <c r="GI58" s="9">
        <v>0</v>
      </c>
      <c r="GJ58" s="7">
        <v>0</v>
      </c>
      <c r="GK58" s="8">
        <v>0</v>
      </c>
      <c r="GL58" s="9">
        <v>0</v>
      </c>
      <c r="GM58" s="7">
        <v>0</v>
      </c>
      <c r="GN58" s="8">
        <v>0</v>
      </c>
      <c r="GO58" s="9">
        <v>0</v>
      </c>
      <c r="GP58" s="7">
        <v>0</v>
      </c>
      <c r="GQ58" s="8">
        <v>0</v>
      </c>
      <c r="GR58" s="9">
        <v>0</v>
      </c>
      <c r="GS58" s="7">
        <v>0</v>
      </c>
      <c r="GT58" s="8">
        <v>0</v>
      </c>
      <c r="GU58" s="9">
        <v>0</v>
      </c>
      <c r="GV58" s="7">
        <v>0</v>
      </c>
      <c r="GW58" s="8">
        <v>0</v>
      </c>
      <c r="GX58" s="9">
        <v>0</v>
      </c>
      <c r="GY58" s="7">
        <v>0</v>
      </c>
      <c r="GZ58" s="8">
        <v>0</v>
      </c>
      <c r="HA58" s="9">
        <v>0</v>
      </c>
      <c r="HB58" s="7">
        <v>0</v>
      </c>
      <c r="HC58" s="8">
        <v>0</v>
      </c>
      <c r="HD58" s="9">
        <v>0</v>
      </c>
      <c r="HE58" s="7">
        <v>0</v>
      </c>
      <c r="HF58" s="8">
        <v>0</v>
      </c>
      <c r="HG58" s="9">
        <v>0</v>
      </c>
      <c r="HH58" s="7">
        <v>0</v>
      </c>
      <c r="HI58" s="8">
        <v>0</v>
      </c>
      <c r="HJ58" s="9">
        <v>0</v>
      </c>
      <c r="HK58" s="7">
        <v>0</v>
      </c>
      <c r="HL58" s="8">
        <v>0</v>
      </c>
      <c r="HM58" s="9">
        <v>0</v>
      </c>
      <c r="HN58" s="7">
        <v>0</v>
      </c>
      <c r="HO58" s="8">
        <v>0</v>
      </c>
      <c r="HP58" s="9">
        <v>0</v>
      </c>
    </row>
    <row r="59" spans="1:224" x14ac:dyDescent="0.25">
      <c r="A59" s="23" t="s">
        <v>255</v>
      </c>
      <c r="B59" s="26" t="s">
        <v>256</v>
      </c>
      <c r="C59" s="7">
        <v>-13300200.279999999</v>
      </c>
      <c r="D59" s="8">
        <v>-13500000</v>
      </c>
      <c r="E59" s="9">
        <v>-13500000</v>
      </c>
      <c r="F59" s="7">
        <v>-13300200.279999999</v>
      </c>
      <c r="G59" s="8">
        <v>-13500000</v>
      </c>
      <c r="H59" s="9">
        <v>-13500000</v>
      </c>
      <c r="I59" s="7">
        <v>0</v>
      </c>
      <c r="J59" s="8">
        <v>0</v>
      </c>
      <c r="K59" s="9">
        <v>0</v>
      </c>
      <c r="L59" s="7">
        <v>0</v>
      </c>
      <c r="M59" s="8">
        <v>0</v>
      </c>
      <c r="N59" s="9">
        <v>0</v>
      </c>
      <c r="O59" s="7">
        <v>0</v>
      </c>
      <c r="P59" s="8">
        <v>0</v>
      </c>
      <c r="Q59" s="9">
        <v>0</v>
      </c>
      <c r="R59" s="7">
        <v>0</v>
      </c>
      <c r="S59" s="8">
        <v>0</v>
      </c>
      <c r="T59" s="9">
        <v>0</v>
      </c>
      <c r="U59" s="7">
        <v>0</v>
      </c>
      <c r="V59" s="8">
        <v>0</v>
      </c>
      <c r="W59" s="9">
        <v>0</v>
      </c>
      <c r="X59" s="7">
        <v>0</v>
      </c>
      <c r="Y59" s="8">
        <v>0</v>
      </c>
      <c r="Z59" s="9">
        <v>0</v>
      </c>
      <c r="AA59" s="7">
        <v>0</v>
      </c>
      <c r="AB59" s="8">
        <v>0</v>
      </c>
      <c r="AC59" s="9">
        <v>0</v>
      </c>
      <c r="AD59" s="7">
        <v>0</v>
      </c>
      <c r="AE59" s="8">
        <v>0</v>
      </c>
      <c r="AF59" s="9">
        <v>0</v>
      </c>
      <c r="AG59" s="7">
        <v>0</v>
      </c>
      <c r="AH59" s="8">
        <v>0</v>
      </c>
      <c r="AI59" s="9">
        <v>0</v>
      </c>
      <c r="AJ59" s="7">
        <v>0</v>
      </c>
      <c r="AK59" s="8">
        <v>0</v>
      </c>
      <c r="AL59" s="9">
        <v>0</v>
      </c>
      <c r="AM59" s="7">
        <v>0</v>
      </c>
      <c r="AN59" s="8">
        <v>0</v>
      </c>
      <c r="AO59" s="9">
        <v>0</v>
      </c>
      <c r="AP59" s="7">
        <v>0</v>
      </c>
      <c r="AQ59" s="8">
        <v>0</v>
      </c>
      <c r="AR59" s="9">
        <v>0</v>
      </c>
      <c r="AS59" s="7">
        <v>0</v>
      </c>
      <c r="AT59" s="8">
        <v>0</v>
      </c>
      <c r="AU59" s="9">
        <v>0</v>
      </c>
      <c r="AV59" s="7">
        <v>0</v>
      </c>
      <c r="AW59" s="8">
        <v>0</v>
      </c>
      <c r="AX59" s="9">
        <v>0</v>
      </c>
      <c r="AY59" s="7">
        <v>0</v>
      </c>
      <c r="AZ59" s="8">
        <v>0</v>
      </c>
      <c r="BA59" s="9">
        <v>0</v>
      </c>
      <c r="BB59" s="7">
        <v>0</v>
      </c>
      <c r="BC59" s="8">
        <v>0</v>
      </c>
      <c r="BD59" s="9">
        <v>0</v>
      </c>
      <c r="BE59" s="7">
        <v>0</v>
      </c>
      <c r="BF59" s="8">
        <v>0</v>
      </c>
      <c r="BG59" s="9">
        <v>0</v>
      </c>
      <c r="BH59" s="7">
        <v>0</v>
      </c>
      <c r="BI59" s="8">
        <v>0</v>
      </c>
      <c r="BJ59" s="9">
        <v>0</v>
      </c>
      <c r="BK59" s="7">
        <v>0</v>
      </c>
      <c r="BL59" s="8">
        <v>0</v>
      </c>
      <c r="BM59" s="9">
        <v>0</v>
      </c>
      <c r="BN59" s="7">
        <v>0</v>
      </c>
      <c r="BO59" s="8">
        <v>0</v>
      </c>
      <c r="BP59" s="9">
        <v>0</v>
      </c>
      <c r="BQ59" s="7">
        <v>0</v>
      </c>
      <c r="BR59" s="8">
        <v>0</v>
      </c>
      <c r="BS59" s="9">
        <v>0</v>
      </c>
      <c r="BT59" s="7">
        <v>0</v>
      </c>
      <c r="BU59" s="8">
        <v>0</v>
      </c>
      <c r="BV59" s="9">
        <v>0</v>
      </c>
      <c r="BW59" s="7">
        <v>0</v>
      </c>
      <c r="BX59" s="8">
        <v>0</v>
      </c>
      <c r="BY59" s="9">
        <v>0</v>
      </c>
      <c r="BZ59" s="7">
        <v>0</v>
      </c>
      <c r="CA59" s="8">
        <v>0</v>
      </c>
      <c r="CB59" s="9">
        <v>0</v>
      </c>
      <c r="CC59" s="7">
        <v>0</v>
      </c>
      <c r="CD59" s="8">
        <v>0</v>
      </c>
      <c r="CE59" s="9">
        <v>0</v>
      </c>
      <c r="CF59" s="7">
        <v>0</v>
      </c>
      <c r="CG59" s="8">
        <v>0</v>
      </c>
      <c r="CH59" s="9">
        <v>0</v>
      </c>
      <c r="CI59" s="7">
        <v>0</v>
      </c>
      <c r="CJ59" s="8">
        <v>0</v>
      </c>
      <c r="CK59" s="9">
        <v>0</v>
      </c>
      <c r="CL59" s="7">
        <v>0</v>
      </c>
      <c r="CM59" s="8">
        <v>0</v>
      </c>
      <c r="CN59" s="9">
        <v>0</v>
      </c>
      <c r="CO59" s="7">
        <v>0</v>
      </c>
      <c r="CP59" s="8">
        <v>0</v>
      </c>
      <c r="CQ59" s="9">
        <v>0</v>
      </c>
      <c r="CR59" s="7">
        <v>0</v>
      </c>
      <c r="CS59" s="8">
        <v>0</v>
      </c>
      <c r="CT59" s="9">
        <v>0</v>
      </c>
      <c r="CU59" s="7">
        <v>0</v>
      </c>
      <c r="CV59" s="8">
        <v>0</v>
      </c>
      <c r="CW59" s="9">
        <v>0</v>
      </c>
      <c r="CX59" s="7">
        <v>0</v>
      </c>
      <c r="CY59" s="8">
        <v>0</v>
      </c>
      <c r="CZ59" s="9">
        <v>0</v>
      </c>
      <c r="DA59" s="7">
        <v>0</v>
      </c>
      <c r="DB59" s="8">
        <v>0</v>
      </c>
      <c r="DC59" s="9">
        <v>0</v>
      </c>
      <c r="DD59" s="7">
        <v>0</v>
      </c>
      <c r="DE59" s="8">
        <v>0</v>
      </c>
      <c r="DF59" s="9">
        <v>0</v>
      </c>
      <c r="DG59" s="7">
        <v>0</v>
      </c>
      <c r="DH59" s="8">
        <v>0</v>
      </c>
      <c r="DI59" s="9">
        <v>0</v>
      </c>
      <c r="DJ59" s="7">
        <v>0</v>
      </c>
      <c r="DK59" s="8">
        <v>0</v>
      </c>
      <c r="DL59" s="9">
        <v>0</v>
      </c>
      <c r="DM59" s="7">
        <v>0</v>
      </c>
      <c r="DN59" s="8">
        <v>0</v>
      </c>
      <c r="DO59" s="9">
        <v>0</v>
      </c>
      <c r="DP59" s="7">
        <v>0</v>
      </c>
      <c r="DQ59" s="8">
        <v>0</v>
      </c>
      <c r="DR59" s="9">
        <v>0</v>
      </c>
      <c r="DS59" s="7">
        <v>0</v>
      </c>
      <c r="DT59" s="8">
        <v>0</v>
      </c>
      <c r="DU59" s="9">
        <v>0</v>
      </c>
      <c r="DV59" s="7">
        <v>0</v>
      </c>
      <c r="DW59" s="8">
        <v>0</v>
      </c>
      <c r="DX59" s="9">
        <v>0</v>
      </c>
      <c r="DY59" s="7">
        <v>0</v>
      </c>
      <c r="DZ59" s="8">
        <v>0</v>
      </c>
      <c r="EA59" s="9">
        <v>0</v>
      </c>
      <c r="EB59" s="7">
        <v>0</v>
      </c>
      <c r="EC59" s="8">
        <v>0</v>
      </c>
      <c r="ED59" s="9">
        <v>0</v>
      </c>
      <c r="EE59" s="7">
        <v>0</v>
      </c>
      <c r="EF59" s="8">
        <v>0</v>
      </c>
      <c r="EG59" s="9">
        <v>0</v>
      </c>
      <c r="EH59" s="7">
        <v>0</v>
      </c>
      <c r="EI59" s="8">
        <v>0</v>
      </c>
      <c r="EJ59" s="9">
        <v>0</v>
      </c>
      <c r="EK59" s="7">
        <v>0</v>
      </c>
      <c r="EL59" s="8">
        <v>0</v>
      </c>
      <c r="EM59" s="9">
        <v>0</v>
      </c>
      <c r="EN59" s="7">
        <v>0</v>
      </c>
      <c r="EO59" s="8">
        <v>0</v>
      </c>
      <c r="EP59" s="9">
        <v>0</v>
      </c>
      <c r="EQ59" s="7">
        <v>0</v>
      </c>
      <c r="ER59" s="8">
        <v>0</v>
      </c>
      <c r="ES59" s="9">
        <v>0</v>
      </c>
      <c r="ET59" s="7">
        <v>0</v>
      </c>
      <c r="EU59" s="8">
        <v>0</v>
      </c>
      <c r="EV59" s="9">
        <v>0</v>
      </c>
      <c r="EW59" s="7">
        <v>0</v>
      </c>
      <c r="EX59" s="8">
        <v>0</v>
      </c>
      <c r="EY59" s="9">
        <v>0</v>
      </c>
      <c r="EZ59" s="7">
        <v>0</v>
      </c>
      <c r="FA59" s="8">
        <v>0</v>
      </c>
      <c r="FB59" s="9">
        <v>0</v>
      </c>
      <c r="FC59" s="7">
        <v>0</v>
      </c>
      <c r="FD59" s="8">
        <v>0</v>
      </c>
      <c r="FE59" s="9">
        <v>0</v>
      </c>
      <c r="FF59" s="7">
        <v>0</v>
      </c>
      <c r="FG59" s="8">
        <v>0</v>
      </c>
      <c r="FH59" s="9">
        <v>0</v>
      </c>
      <c r="FI59" s="7">
        <v>0</v>
      </c>
      <c r="FJ59" s="8">
        <v>0</v>
      </c>
      <c r="FK59" s="9">
        <v>0</v>
      </c>
      <c r="FL59" s="7">
        <v>0</v>
      </c>
      <c r="FM59" s="8">
        <v>0</v>
      </c>
      <c r="FN59" s="9">
        <v>0</v>
      </c>
      <c r="FO59" s="7">
        <v>0</v>
      </c>
      <c r="FP59" s="8">
        <v>0</v>
      </c>
      <c r="FQ59" s="9">
        <v>0</v>
      </c>
      <c r="FR59" s="7">
        <v>0</v>
      </c>
      <c r="FS59" s="8">
        <v>0</v>
      </c>
      <c r="FT59" s="9">
        <v>0</v>
      </c>
      <c r="FU59" s="7">
        <v>0</v>
      </c>
      <c r="FV59" s="8">
        <v>0</v>
      </c>
      <c r="FW59" s="9">
        <v>0</v>
      </c>
      <c r="FX59" s="7">
        <v>0</v>
      </c>
      <c r="FY59" s="8">
        <v>0</v>
      </c>
      <c r="FZ59" s="9">
        <v>0</v>
      </c>
      <c r="GA59" s="7">
        <v>0</v>
      </c>
      <c r="GB59" s="8">
        <v>0</v>
      </c>
      <c r="GC59" s="9">
        <v>0</v>
      </c>
      <c r="GD59" s="7">
        <v>0</v>
      </c>
      <c r="GE59" s="8">
        <v>0</v>
      </c>
      <c r="GF59" s="9">
        <v>0</v>
      </c>
      <c r="GG59" s="7">
        <v>0</v>
      </c>
      <c r="GH59" s="8">
        <v>0</v>
      </c>
      <c r="GI59" s="9">
        <v>0</v>
      </c>
      <c r="GJ59" s="7">
        <v>0</v>
      </c>
      <c r="GK59" s="8">
        <v>0</v>
      </c>
      <c r="GL59" s="9">
        <v>0</v>
      </c>
      <c r="GM59" s="7">
        <v>0</v>
      </c>
      <c r="GN59" s="8">
        <v>0</v>
      </c>
      <c r="GO59" s="9">
        <v>0</v>
      </c>
      <c r="GP59" s="7">
        <v>0</v>
      </c>
      <c r="GQ59" s="8">
        <v>0</v>
      </c>
      <c r="GR59" s="9">
        <v>0</v>
      </c>
      <c r="GS59" s="7">
        <v>0</v>
      </c>
      <c r="GT59" s="8">
        <v>0</v>
      </c>
      <c r="GU59" s="9">
        <v>0</v>
      </c>
      <c r="GV59" s="7">
        <v>0</v>
      </c>
      <c r="GW59" s="8">
        <v>0</v>
      </c>
      <c r="GX59" s="9">
        <v>0</v>
      </c>
      <c r="GY59" s="7">
        <v>0</v>
      </c>
      <c r="GZ59" s="8">
        <v>0</v>
      </c>
      <c r="HA59" s="9">
        <v>0</v>
      </c>
      <c r="HB59" s="7">
        <v>0</v>
      </c>
      <c r="HC59" s="8">
        <v>0</v>
      </c>
      <c r="HD59" s="9">
        <v>0</v>
      </c>
      <c r="HE59" s="7">
        <v>0</v>
      </c>
      <c r="HF59" s="8">
        <v>0</v>
      </c>
      <c r="HG59" s="9">
        <v>0</v>
      </c>
      <c r="HH59" s="7">
        <v>0</v>
      </c>
      <c r="HI59" s="8">
        <v>0</v>
      </c>
      <c r="HJ59" s="9">
        <v>0</v>
      </c>
      <c r="HK59" s="7">
        <v>0</v>
      </c>
      <c r="HL59" s="8">
        <v>0</v>
      </c>
      <c r="HM59" s="9">
        <v>0</v>
      </c>
      <c r="HN59" s="7">
        <v>0</v>
      </c>
      <c r="HO59" s="8">
        <v>0</v>
      </c>
      <c r="HP59" s="9">
        <v>0</v>
      </c>
    </row>
    <row r="60" spans="1:224" x14ac:dyDescent="0.25">
      <c r="A60" s="23" t="s">
        <v>257</v>
      </c>
      <c r="B60" s="26" t="s">
        <v>258</v>
      </c>
      <c r="C60" s="7">
        <v>-3112908.22</v>
      </c>
      <c r="D60" s="8">
        <v>-5300000</v>
      </c>
      <c r="E60" s="9">
        <v>-5300000</v>
      </c>
      <c r="F60" s="7">
        <v>-3112908.22</v>
      </c>
      <c r="G60" s="8">
        <v>-5300000</v>
      </c>
      <c r="H60" s="9">
        <v>-5300000</v>
      </c>
      <c r="I60" s="7">
        <v>0</v>
      </c>
      <c r="J60" s="8">
        <v>0</v>
      </c>
      <c r="K60" s="9">
        <v>0</v>
      </c>
      <c r="L60" s="7">
        <v>0</v>
      </c>
      <c r="M60" s="8">
        <v>0</v>
      </c>
      <c r="N60" s="9">
        <v>0</v>
      </c>
      <c r="O60" s="7">
        <v>0</v>
      </c>
      <c r="P60" s="8">
        <v>0</v>
      </c>
      <c r="Q60" s="9">
        <v>0</v>
      </c>
      <c r="R60" s="7">
        <v>0</v>
      </c>
      <c r="S60" s="8">
        <v>0</v>
      </c>
      <c r="T60" s="9">
        <v>0</v>
      </c>
      <c r="U60" s="7">
        <v>0</v>
      </c>
      <c r="V60" s="8">
        <v>0</v>
      </c>
      <c r="W60" s="9">
        <v>0</v>
      </c>
      <c r="X60" s="7">
        <v>0</v>
      </c>
      <c r="Y60" s="8">
        <v>0</v>
      </c>
      <c r="Z60" s="9">
        <v>0</v>
      </c>
      <c r="AA60" s="7">
        <v>0</v>
      </c>
      <c r="AB60" s="8">
        <v>0</v>
      </c>
      <c r="AC60" s="9">
        <v>0</v>
      </c>
      <c r="AD60" s="7">
        <v>0</v>
      </c>
      <c r="AE60" s="8">
        <v>0</v>
      </c>
      <c r="AF60" s="9">
        <v>0</v>
      </c>
      <c r="AG60" s="7">
        <v>0</v>
      </c>
      <c r="AH60" s="8">
        <v>0</v>
      </c>
      <c r="AI60" s="9">
        <v>0</v>
      </c>
      <c r="AJ60" s="7">
        <v>0</v>
      </c>
      <c r="AK60" s="8">
        <v>0</v>
      </c>
      <c r="AL60" s="9">
        <v>0</v>
      </c>
      <c r="AM60" s="7">
        <v>0</v>
      </c>
      <c r="AN60" s="8">
        <v>0</v>
      </c>
      <c r="AO60" s="9">
        <v>0</v>
      </c>
      <c r="AP60" s="7">
        <v>0</v>
      </c>
      <c r="AQ60" s="8">
        <v>0</v>
      </c>
      <c r="AR60" s="9">
        <v>0</v>
      </c>
      <c r="AS60" s="7">
        <v>0</v>
      </c>
      <c r="AT60" s="8">
        <v>0</v>
      </c>
      <c r="AU60" s="9">
        <v>0</v>
      </c>
      <c r="AV60" s="7">
        <v>0</v>
      </c>
      <c r="AW60" s="8">
        <v>0</v>
      </c>
      <c r="AX60" s="9">
        <v>0</v>
      </c>
      <c r="AY60" s="7">
        <v>0</v>
      </c>
      <c r="AZ60" s="8">
        <v>0</v>
      </c>
      <c r="BA60" s="9">
        <v>0</v>
      </c>
      <c r="BB60" s="7">
        <v>0</v>
      </c>
      <c r="BC60" s="8">
        <v>0</v>
      </c>
      <c r="BD60" s="9">
        <v>0</v>
      </c>
      <c r="BE60" s="7">
        <v>0</v>
      </c>
      <c r="BF60" s="8">
        <v>0</v>
      </c>
      <c r="BG60" s="9">
        <v>0</v>
      </c>
      <c r="BH60" s="7">
        <v>0</v>
      </c>
      <c r="BI60" s="8">
        <v>0</v>
      </c>
      <c r="BJ60" s="9">
        <v>0</v>
      </c>
      <c r="BK60" s="7">
        <v>0</v>
      </c>
      <c r="BL60" s="8">
        <v>0</v>
      </c>
      <c r="BM60" s="9">
        <v>0</v>
      </c>
      <c r="BN60" s="7">
        <v>0</v>
      </c>
      <c r="BO60" s="8">
        <v>0</v>
      </c>
      <c r="BP60" s="9">
        <v>0</v>
      </c>
      <c r="BQ60" s="7">
        <v>0</v>
      </c>
      <c r="BR60" s="8">
        <v>0</v>
      </c>
      <c r="BS60" s="9">
        <v>0</v>
      </c>
      <c r="BT60" s="7">
        <v>0</v>
      </c>
      <c r="BU60" s="8">
        <v>0</v>
      </c>
      <c r="BV60" s="9">
        <v>0</v>
      </c>
      <c r="BW60" s="7">
        <v>0</v>
      </c>
      <c r="BX60" s="8">
        <v>0</v>
      </c>
      <c r="BY60" s="9">
        <v>0</v>
      </c>
      <c r="BZ60" s="7">
        <v>0</v>
      </c>
      <c r="CA60" s="8">
        <v>0</v>
      </c>
      <c r="CB60" s="9">
        <v>0</v>
      </c>
      <c r="CC60" s="7">
        <v>0</v>
      </c>
      <c r="CD60" s="8">
        <v>0</v>
      </c>
      <c r="CE60" s="9">
        <v>0</v>
      </c>
      <c r="CF60" s="7">
        <v>0</v>
      </c>
      <c r="CG60" s="8">
        <v>0</v>
      </c>
      <c r="CH60" s="9">
        <v>0</v>
      </c>
      <c r="CI60" s="7">
        <v>0</v>
      </c>
      <c r="CJ60" s="8">
        <v>0</v>
      </c>
      <c r="CK60" s="9">
        <v>0</v>
      </c>
      <c r="CL60" s="7">
        <v>0</v>
      </c>
      <c r="CM60" s="8">
        <v>0</v>
      </c>
      <c r="CN60" s="9">
        <v>0</v>
      </c>
      <c r="CO60" s="7">
        <v>0</v>
      </c>
      <c r="CP60" s="8">
        <v>0</v>
      </c>
      <c r="CQ60" s="9">
        <v>0</v>
      </c>
      <c r="CR60" s="7">
        <v>0</v>
      </c>
      <c r="CS60" s="8">
        <v>0</v>
      </c>
      <c r="CT60" s="9">
        <v>0</v>
      </c>
      <c r="CU60" s="7">
        <v>0</v>
      </c>
      <c r="CV60" s="8">
        <v>0</v>
      </c>
      <c r="CW60" s="9">
        <v>0</v>
      </c>
      <c r="CX60" s="7">
        <v>0</v>
      </c>
      <c r="CY60" s="8">
        <v>0</v>
      </c>
      <c r="CZ60" s="9">
        <v>0</v>
      </c>
      <c r="DA60" s="7">
        <v>0</v>
      </c>
      <c r="DB60" s="8">
        <v>0</v>
      </c>
      <c r="DC60" s="9">
        <v>0</v>
      </c>
      <c r="DD60" s="7">
        <v>0</v>
      </c>
      <c r="DE60" s="8">
        <v>0</v>
      </c>
      <c r="DF60" s="9">
        <v>0</v>
      </c>
      <c r="DG60" s="7">
        <v>0</v>
      </c>
      <c r="DH60" s="8">
        <v>0</v>
      </c>
      <c r="DI60" s="9">
        <v>0</v>
      </c>
      <c r="DJ60" s="7">
        <v>0</v>
      </c>
      <c r="DK60" s="8">
        <v>0</v>
      </c>
      <c r="DL60" s="9">
        <v>0</v>
      </c>
      <c r="DM60" s="7">
        <v>0</v>
      </c>
      <c r="DN60" s="8">
        <v>0</v>
      </c>
      <c r="DO60" s="9">
        <v>0</v>
      </c>
      <c r="DP60" s="7">
        <v>0</v>
      </c>
      <c r="DQ60" s="8">
        <v>0</v>
      </c>
      <c r="DR60" s="9">
        <v>0</v>
      </c>
      <c r="DS60" s="7">
        <v>0</v>
      </c>
      <c r="DT60" s="8">
        <v>0</v>
      </c>
      <c r="DU60" s="9">
        <v>0</v>
      </c>
      <c r="DV60" s="7">
        <v>0</v>
      </c>
      <c r="DW60" s="8">
        <v>0</v>
      </c>
      <c r="DX60" s="9">
        <v>0</v>
      </c>
      <c r="DY60" s="7">
        <v>0</v>
      </c>
      <c r="DZ60" s="8">
        <v>0</v>
      </c>
      <c r="EA60" s="9">
        <v>0</v>
      </c>
      <c r="EB60" s="7">
        <v>0</v>
      </c>
      <c r="EC60" s="8">
        <v>0</v>
      </c>
      <c r="ED60" s="9">
        <v>0</v>
      </c>
      <c r="EE60" s="7">
        <v>0</v>
      </c>
      <c r="EF60" s="8">
        <v>0</v>
      </c>
      <c r="EG60" s="9">
        <v>0</v>
      </c>
      <c r="EH60" s="7">
        <v>0</v>
      </c>
      <c r="EI60" s="8">
        <v>0</v>
      </c>
      <c r="EJ60" s="9">
        <v>0</v>
      </c>
      <c r="EK60" s="7">
        <v>0</v>
      </c>
      <c r="EL60" s="8">
        <v>0</v>
      </c>
      <c r="EM60" s="9">
        <v>0</v>
      </c>
      <c r="EN60" s="7">
        <v>0</v>
      </c>
      <c r="EO60" s="8">
        <v>0</v>
      </c>
      <c r="EP60" s="9">
        <v>0</v>
      </c>
      <c r="EQ60" s="7">
        <v>0</v>
      </c>
      <c r="ER60" s="8">
        <v>0</v>
      </c>
      <c r="ES60" s="9">
        <v>0</v>
      </c>
      <c r="ET60" s="7">
        <v>0</v>
      </c>
      <c r="EU60" s="8">
        <v>0</v>
      </c>
      <c r="EV60" s="9">
        <v>0</v>
      </c>
      <c r="EW60" s="7">
        <v>0</v>
      </c>
      <c r="EX60" s="8">
        <v>0</v>
      </c>
      <c r="EY60" s="9">
        <v>0</v>
      </c>
      <c r="EZ60" s="7">
        <v>0</v>
      </c>
      <c r="FA60" s="8">
        <v>0</v>
      </c>
      <c r="FB60" s="9">
        <v>0</v>
      </c>
      <c r="FC60" s="7">
        <v>0</v>
      </c>
      <c r="FD60" s="8">
        <v>0</v>
      </c>
      <c r="FE60" s="9">
        <v>0</v>
      </c>
      <c r="FF60" s="7">
        <v>0</v>
      </c>
      <c r="FG60" s="8">
        <v>0</v>
      </c>
      <c r="FH60" s="9">
        <v>0</v>
      </c>
      <c r="FI60" s="7">
        <v>0</v>
      </c>
      <c r="FJ60" s="8">
        <v>0</v>
      </c>
      <c r="FK60" s="9">
        <v>0</v>
      </c>
      <c r="FL60" s="7">
        <v>0</v>
      </c>
      <c r="FM60" s="8">
        <v>0</v>
      </c>
      <c r="FN60" s="9">
        <v>0</v>
      </c>
      <c r="FO60" s="7">
        <v>0</v>
      </c>
      <c r="FP60" s="8">
        <v>0</v>
      </c>
      <c r="FQ60" s="9">
        <v>0</v>
      </c>
      <c r="FR60" s="7">
        <v>0</v>
      </c>
      <c r="FS60" s="8">
        <v>0</v>
      </c>
      <c r="FT60" s="9">
        <v>0</v>
      </c>
      <c r="FU60" s="7">
        <v>0</v>
      </c>
      <c r="FV60" s="8">
        <v>0</v>
      </c>
      <c r="FW60" s="9">
        <v>0</v>
      </c>
      <c r="FX60" s="7">
        <v>0</v>
      </c>
      <c r="FY60" s="8">
        <v>0</v>
      </c>
      <c r="FZ60" s="9">
        <v>0</v>
      </c>
      <c r="GA60" s="7">
        <v>0</v>
      </c>
      <c r="GB60" s="8">
        <v>0</v>
      </c>
      <c r="GC60" s="9">
        <v>0</v>
      </c>
      <c r="GD60" s="7">
        <v>0</v>
      </c>
      <c r="GE60" s="8">
        <v>0</v>
      </c>
      <c r="GF60" s="9">
        <v>0</v>
      </c>
      <c r="GG60" s="7">
        <v>0</v>
      </c>
      <c r="GH60" s="8">
        <v>0</v>
      </c>
      <c r="GI60" s="9">
        <v>0</v>
      </c>
      <c r="GJ60" s="7">
        <v>0</v>
      </c>
      <c r="GK60" s="8">
        <v>0</v>
      </c>
      <c r="GL60" s="9">
        <v>0</v>
      </c>
      <c r="GM60" s="7">
        <v>0</v>
      </c>
      <c r="GN60" s="8">
        <v>0</v>
      </c>
      <c r="GO60" s="9">
        <v>0</v>
      </c>
      <c r="GP60" s="7">
        <v>0</v>
      </c>
      <c r="GQ60" s="8">
        <v>0</v>
      </c>
      <c r="GR60" s="9">
        <v>0</v>
      </c>
      <c r="GS60" s="7">
        <v>0</v>
      </c>
      <c r="GT60" s="8">
        <v>0</v>
      </c>
      <c r="GU60" s="9">
        <v>0</v>
      </c>
      <c r="GV60" s="7">
        <v>0</v>
      </c>
      <c r="GW60" s="8">
        <v>0</v>
      </c>
      <c r="GX60" s="9">
        <v>0</v>
      </c>
      <c r="GY60" s="7">
        <v>0</v>
      </c>
      <c r="GZ60" s="8">
        <v>0</v>
      </c>
      <c r="HA60" s="9">
        <v>0</v>
      </c>
      <c r="HB60" s="7">
        <v>0</v>
      </c>
      <c r="HC60" s="8">
        <v>0</v>
      </c>
      <c r="HD60" s="9">
        <v>0</v>
      </c>
      <c r="HE60" s="7">
        <v>0</v>
      </c>
      <c r="HF60" s="8">
        <v>0</v>
      </c>
      <c r="HG60" s="9">
        <v>0</v>
      </c>
      <c r="HH60" s="7">
        <v>0</v>
      </c>
      <c r="HI60" s="8">
        <v>0</v>
      </c>
      <c r="HJ60" s="9">
        <v>0</v>
      </c>
      <c r="HK60" s="7">
        <v>0</v>
      </c>
      <c r="HL60" s="8">
        <v>0</v>
      </c>
      <c r="HM60" s="9">
        <v>0</v>
      </c>
      <c r="HN60" s="7">
        <v>0</v>
      </c>
      <c r="HO60" s="8">
        <v>0</v>
      </c>
      <c r="HP60" s="9">
        <v>0</v>
      </c>
    </row>
    <row r="61" spans="1:224" x14ac:dyDescent="0.25">
      <c r="A61" s="23" t="s">
        <v>259</v>
      </c>
      <c r="B61" s="26" t="s">
        <v>260</v>
      </c>
      <c r="C61" s="7">
        <v>-27623453.18</v>
      </c>
      <c r="D61" s="8">
        <v>-27817515.987390101</v>
      </c>
      <c r="E61" s="9">
        <v>-32990000</v>
      </c>
      <c r="F61" s="7">
        <v>-25668</v>
      </c>
      <c r="G61" s="8">
        <v>0</v>
      </c>
      <c r="H61" s="9">
        <v>0</v>
      </c>
      <c r="I61" s="7">
        <v>-1887280.12</v>
      </c>
      <c r="J61" s="8">
        <v>-2499542.98568522</v>
      </c>
      <c r="K61" s="9">
        <v>-4000000</v>
      </c>
      <c r="L61" s="7">
        <v>0</v>
      </c>
      <c r="M61" s="8">
        <v>0</v>
      </c>
      <c r="N61" s="9">
        <v>0</v>
      </c>
      <c r="O61" s="7">
        <v>-6547.35</v>
      </c>
      <c r="P61" s="8">
        <v>-9999.9999999989996</v>
      </c>
      <c r="Q61" s="9">
        <v>0</v>
      </c>
      <c r="R61" s="7">
        <v>0</v>
      </c>
      <c r="S61" s="8">
        <v>0</v>
      </c>
      <c r="T61" s="9">
        <v>0</v>
      </c>
      <c r="U61" s="7">
        <v>0</v>
      </c>
      <c r="V61" s="8">
        <v>0</v>
      </c>
      <c r="W61" s="9">
        <v>0</v>
      </c>
      <c r="X61" s="7">
        <v>0</v>
      </c>
      <c r="Y61" s="8">
        <v>0</v>
      </c>
      <c r="Z61" s="9">
        <v>0</v>
      </c>
      <c r="AA61" s="7">
        <v>-6927.5</v>
      </c>
      <c r="AB61" s="8">
        <v>-4999.999999998</v>
      </c>
      <c r="AC61" s="9">
        <v>-10000</v>
      </c>
      <c r="AD61" s="7">
        <v>0</v>
      </c>
      <c r="AE61" s="8">
        <v>0</v>
      </c>
      <c r="AF61" s="9">
        <v>0</v>
      </c>
      <c r="AG61" s="7">
        <v>-3120.01</v>
      </c>
      <c r="AH61" s="8">
        <v>0</v>
      </c>
      <c r="AI61" s="9">
        <v>-60000</v>
      </c>
      <c r="AJ61" s="7">
        <v>0</v>
      </c>
      <c r="AK61" s="8">
        <v>0</v>
      </c>
      <c r="AL61" s="9">
        <v>0</v>
      </c>
      <c r="AM61" s="7">
        <v>-751108.49</v>
      </c>
      <c r="AN61" s="8">
        <v>-730403.37219314906</v>
      </c>
      <c r="AO61" s="9">
        <v>-850000</v>
      </c>
      <c r="AP61" s="7">
        <v>0</v>
      </c>
      <c r="AQ61" s="8">
        <v>0</v>
      </c>
      <c r="AR61" s="9">
        <v>0</v>
      </c>
      <c r="AS61" s="7">
        <v>0</v>
      </c>
      <c r="AT61" s="8">
        <v>0</v>
      </c>
      <c r="AU61" s="9">
        <v>0</v>
      </c>
      <c r="AV61" s="7">
        <v>0</v>
      </c>
      <c r="AW61" s="8">
        <v>0</v>
      </c>
      <c r="AX61" s="9">
        <v>0</v>
      </c>
      <c r="AY61" s="7">
        <v>0</v>
      </c>
      <c r="AZ61" s="8">
        <v>0</v>
      </c>
      <c r="BA61" s="9">
        <v>-70000</v>
      </c>
      <c r="BB61" s="7">
        <v>0</v>
      </c>
      <c r="BC61" s="8">
        <v>0</v>
      </c>
      <c r="BD61" s="9">
        <v>0</v>
      </c>
      <c r="BE61" s="7">
        <v>0</v>
      </c>
      <c r="BF61" s="8">
        <v>0</v>
      </c>
      <c r="BG61" s="9">
        <v>0</v>
      </c>
      <c r="BH61" s="7">
        <v>0</v>
      </c>
      <c r="BI61" s="8">
        <v>0</v>
      </c>
      <c r="BJ61" s="9">
        <v>0</v>
      </c>
      <c r="BK61" s="7">
        <v>0</v>
      </c>
      <c r="BL61" s="8">
        <v>0</v>
      </c>
      <c r="BM61" s="9">
        <v>0</v>
      </c>
      <c r="BN61" s="7">
        <v>0</v>
      </c>
      <c r="BO61" s="8">
        <v>0</v>
      </c>
      <c r="BP61" s="9">
        <v>0</v>
      </c>
      <c r="BQ61" s="7">
        <v>0</v>
      </c>
      <c r="BR61" s="8">
        <v>0</v>
      </c>
      <c r="BS61" s="9">
        <v>0</v>
      </c>
      <c r="BT61" s="7">
        <v>0</v>
      </c>
      <c r="BU61" s="8">
        <v>0</v>
      </c>
      <c r="BV61" s="9">
        <v>0</v>
      </c>
      <c r="BW61" s="7">
        <v>0</v>
      </c>
      <c r="BX61" s="8">
        <v>0</v>
      </c>
      <c r="BY61" s="9">
        <v>0</v>
      </c>
      <c r="BZ61" s="7">
        <v>0</v>
      </c>
      <c r="CA61" s="8">
        <v>0</v>
      </c>
      <c r="CB61" s="9">
        <v>0</v>
      </c>
      <c r="CC61" s="7">
        <v>0</v>
      </c>
      <c r="CD61" s="8">
        <v>0</v>
      </c>
      <c r="CE61" s="9">
        <v>0</v>
      </c>
      <c r="CF61" s="7">
        <v>0</v>
      </c>
      <c r="CG61" s="8">
        <v>0</v>
      </c>
      <c r="CH61" s="9">
        <v>0</v>
      </c>
      <c r="CI61" s="7">
        <v>0</v>
      </c>
      <c r="CJ61" s="8">
        <v>0</v>
      </c>
      <c r="CK61" s="9">
        <v>0</v>
      </c>
      <c r="CL61" s="7">
        <v>0</v>
      </c>
      <c r="CM61" s="8">
        <v>0</v>
      </c>
      <c r="CN61" s="9">
        <v>0</v>
      </c>
      <c r="CO61" s="7">
        <v>0</v>
      </c>
      <c r="CP61" s="8">
        <v>0</v>
      </c>
      <c r="CQ61" s="9">
        <v>0</v>
      </c>
      <c r="CR61" s="7">
        <v>0</v>
      </c>
      <c r="CS61" s="8">
        <v>0</v>
      </c>
      <c r="CT61" s="9">
        <v>0</v>
      </c>
      <c r="CU61" s="7">
        <v>-24942801.710000001</v>
      </c>
      <c r="CV61" s="8">
        <v>-25062569.629511699</v>
      </c>
      <c r="CW61" s="9">
        <v>-28000000</v>
      </c>
      <c r="CX61" s="7">
        <v>0</v>
      </c>
      <c r="CY61" s="8">
        <v>0</v>
      </c>
      <c r="CZ61" s="9">
        <v>0</v>
      </c>
      <c r="DA61" s="7">
        <v>0</v>
      </c>
      <c r="DB61" s="8">
        <v>0</v>
      </c>
      <c r="DC61" s="9">
        <v>0</v>
      </c>
      <c r="DD61" s="7">
        <v>0</v>
      </c>
      <c r="DE61" s="8">
        <v>0</v>
      </c>
      <c r="DF61" s="9">
        <v>0</v>
      </c>
      <c r="DG61" s="7">
        <v>0</v>
      </c>
      <c r="DH61" s="8">
        <v>0</v>
      </c>
      <c r="DI61" s="9">
        <v>0</v>
      </c>
      <c r="DJ61" s="7">
        <v>0</v>
      </c>
      <c r="DK61" s="8">
        <v>0</v>
      </c>
      <c r="DL61" s="9">
        <v>0</v>
      </c>
      <c r="DM61" s="7">
        <v>0</v>
      </c>
      <c r="DN61" s="8">
        <v>0</v>
      </c>
      <c r="DO61" s="9">
        <v>0</v>
      </c>
      <c r="DP61" s="7">
        <v>0</v>
      </c>
      <c r="DQ61" s="8">
        <v>0</v>
      </c>
      <c r="DR61" s="9">
        <v>0</v>
      </c>
      <c r="DS61" s="7">
        <v>0</v>
      </c>
      <c r="DT61" s="8">
        <v>0</v>
      </c>
      <c r="DU61" s="9">
        <v>0</v>
      </c>
      <c r="DV61" s="7">
        <v>0</v>
      </c>
      <c r="DW61" s="8">
        <v>0</v>
      </c>
      <c r="DX61" s="9">
        <v>0</v>
      </c>
      <c r="DY61" s="7">
        <v>0</v>
      </c>
      <c r="DZ61" s="8">
        <v>0</v>
      </c>
      <c r="EA61" s="9">
        <v>0</v>
      </c>
      <c r="EB61" s="7">
        <v>0</v>
      </c>
      <c r="EC61" s="8">
        <v>0</v>
      </c>
      <c r="ED61" s="9">
        <v>0</v>
      </c>
      <c r="EE61" s="7">
        <v>0</v>
      </c>
      <c r="EF61" s="8">
        <v>0</v>
      </c>
      <c r="EG61" s="9">
        <v>0</v>
      </c>
      <c r="EH61" s="7">
        <v>0</v>
      </c>
      <c r="EI61" s="8">
        <v>0</v>
      </c>
      <c r="EJ61" s="9">
        <v>0</v>
      </c>
      <c r="EK61" s="7">
        <v>0</v>
      </c>
      <c r="EL61" s="8">
        <v>0</v>
      </c>
      <c r="EM61" s="9">
        <v>0</v>
      </c>
      <c r="EN61" s="7">
        <v>0</v>
      </c>
      <c r="EO61" s="8">
        <v>0</v>
      </c>
      <c r="EP61" s="9">
        <v>0</v>
      </c>
      <c r="EQ61" s="7">
        <v>0</v>
      </c>
      <c r="ER61" s="8">
        <v>0</v>
      </c>
      <c r="ES61" s="9">
        <v>0</v>
      </c>
      <c r="ET61" s="7">
        <v>0</v>
      </c>
      <c r="EU61" s="8">
        <v>0</v>
      </c>
      <c r="EV61" s="9">
        <v>0</v>
      </c>
      <c r="EW61" s="7">
        <v>0</v>
      </c>
      <c r="EX61" s="8">
        <v>0</v>
      </c>
      <c r="EY61" s="9">
        <v>0</v>
      </c>
      <c r="EZ61" s="7">
        <v>0</v>
      </c>
      <c r="FA61" s="8">
        <v>0</v>
      </c>
      <c r="FB61" s="9">
        <v>0</v>
      </c>
      <c r="FC61" s="7">
        <v>0</v>
      </c>
      <c r="FD61" s="8">
        <v>0</v>
      </c>
      <c r="FE61" s="9">
        <v>0</v>
      </c>
      <c r="FF61" s="7">
        <v>0</v>
      </c>
      <c r="FG61" s="8">
        <v>0</v>
      </c>
      <c r="FH61" s="9">
        <v>0</v>
      </c>
      <c r="FI61" s="7">
        <v>0</v>
      </c>
      <c r="FJ61" s="8">
        <v>0</v>
      </c>
      <c r="FK61" s="9">
        <v>0</v>
      </c>
      <c r="FL61" s="7">
        <v>0</v>
      </c>
      <c r="FM61" s="8">
        <v>0</v>
      </c>
      <c r="FN61" s="9">
        <v>0</v>
      </c>
      <c r="FO61" s="7">
        <v>0</v>
      </c>
      <c r="FP61" s="8">
        <v>0</v>
      </c>
      <c r="FQ61" s="9">
        <v>0</v>
      </c>
      <c r="FR61" s="7">
        <v>0</v>
      </c>
      <c r="FS61" s="8">
        <v>0</v>
      </c>
      <c r="FT61" s="9">
        <v>0</v>
      </c>
      <c r="FU61" s="7">
        <v>0</v>
      </c>
      <c r="FV61" s="8">
        <v>0</v>
      </c>
      <c r="FW61" s="9">
        <v>0</v>
      </c>
      <c r="FX61" s="7">
        <v>0</v>
      </c>
      <c r="FY61" s="8">
        <v>490000.00000000303</v>
      </c>
      <c r="FZ61" s="9">
        <v>0</v>
      </c>
      <c r="GA61" s="7">
        <v>0</v>
      </c>
      <c r="GB61" s="8">
        <v>0</v>
      </c>
      <c r="GC61" s="9">
        <v>0</v>
      </c>
      <c r="GD61" s="7">
        <v>0</v>
      </c>
      <c r="GE61" s="8">
        <v>0</v>
      </c>
      <c r="GF61" s="9">
        <v>0</v>
      </c>
      <c r="GG61" s="7">
        <v>0</v>
      </c>
      <c r="GH61" s="8">
        <v>0</v>
      </c>
      <c r="GI61" s="9">
        <v>0</v>
      </c>
      <c r="GJ61" s="7">
        <v>0</v>
      </c>
      <c r="GK61" s="8">
        <v>0</v>
      </c>
      <c r="GL61" s="9">
        <v>0</v>
      </c>
      <c r="GM61" s="7">
        <v>0</v>
      </c>
      <c r="GN61" s="8">
        <v>0</v>
      </c>
      <c r="GO61" s="9">
        <v>0</v>
      </c>
      <c r="GP61" s="7">
        <v>0</v>
      </c>
      <c r="GQ61" s="8">
        <v>0</v>
      </c>
      <c r="GR61" s="9">
        <v>0</v>
      </c>
      <c r="GS61" s="7">
        <v>0</v>
      </c>
      <c r="GT61" s="8">
        <v>0</v>
      </c>
      <c r="GU61" s="9">
        <v>0</v>
      </c>
      <c r="GV61" s="7">
        <v>0</v>
      </c>
      <c r="GW61" s="8">
        <v>0</v>
      </c>
      <c r="GX61" s="9">
        <v>0</v>
      </c>
      <c r="GY61" s="7">
        <v>0</v>
      </c>
      <c r="GZ61" s="8">
        <v>0</v>
      </c>
      <c r="HA61" s="9">
        <v>0</v>
      </c>
      <c r="HB61" s="7">
        <v>0</v>
      </c>
      <c r="HC61" s="8">
        <v>0</v>
      </c>
      <c r="HD61" s="9">
        <v>0</v>
      </c>
      <c r="HE61" s="7">
        <v>0</v>
      </c>
      <c r="HF61" s="8">
        <v>0</v>
      </c>
      <c r="HG61" s="9">
        <v>0</v>
      </c>
      <c r="HH61" s="7">
        <v>0</v>
      </c>
      <c r="HI61" s="8">
        <v>0</v>
      </c>
      <c r="HJ61" s="9">
        <v>0</v>
      </c>
      <c r="HK61" s="7">
        <v>0</v>
      </c>
      <c r="HL61" s="8">
        <v>0</v>
      </c>
      <c r="HM61" s="9">
        <v>0</v>
      </c>
      <c r="HN61" s="7">
        <v>0</v>
      </c>
      <c r="HO61" s="8">
        <v>0</v>
      </c>
      <c r="HP61" s="9">
        <v>0</v>
      </c>
    </row>
    <row r="62" spans="1:224" x14ac:dyDescent="0.25">
      <c r="A62" s="23" t="s">
        <v>261</v>
      </c>
      <c r="B62" s="26" t="s">
        <v>262</v>
      </c>
      <c r="C62" s="7">
        <v>-1280403.74</v>
      </c>
      <c r="D62" s="8">
        <v>-1400000</v>
      </c>
      <c r="E62" s="9">
        <v>-1400000</v>
      </c>
      <c r="F62" s="7">
        <v>-1280403.74</v>
      </c>
      <c r="G62" s="8">
        <v>-1400000</v>
      </c>
      <c r="H62" s="9">
        <v>-1400000</v>
      </c>
      <c r="I62" s="7">
        <v>0</v>
      </c>
      <c r="J62" s="8">
        <v>0</v>
      </c>
      <c r="K62" s="9">
        <v>0</v>
      </c>
      <c r="L62" s="7">
        <v>0</v>
      </c>
      <c r="M62" s="8">
        <v>0</v>
      </c>
      <c r="N62" s="9">
        <v>0</v>
      </c>
      <c r="O62" s="7">
        <v>0</v>
      </c>
      <c r="P62" s="8">
        <v>0</v>
      </c>
      <c r="Q62" s="9">
        <v>0</v>
      </c>
      <c r="R62" s="7">
        <v>0</v>
      </c>
      <c r="S62" s="8">
        <v>0</v>
      </c>
      <c r="T62" s="9">
        <v>0</v>
      </c>
      <c r="U62" s="7">
        <v>0</v>
      </c>
      <c r="V62" s="8">
        <v>0</v>
      </c>
      <c r="W62" s="9">
        <v>0</v>
      </c>
      <c r="X62" s="7">
        <v>0</v>
      </c>
      <c r="Y62" s="8">
        <v>0</v>
      </c>
      <c r="Z62" s="9">
        <v>0</v>
      </c>
      <c r="AA62" s="7">
        <v>0</v>
      </c>
      <c r="AB62" s="8">
        <v>0</v>
      </c>
      <c r="AC62" s="9">
        <v>0</v>
      </c>
      <c r="AD62" s="7">
        <v>0</v>
      </c>
      <c r="AE62" s="8">
        <v>0</v>
      </c>
      <c r="AF62" s="9">
        <v>0</v>
      </c>
      <c r="AG62" s="7">
        <v>0</v>
      </c>
      <c r="AH62" s="8">
        <v>0</v>
      </c>
      <c r="AI62" s="9">
        <v>0</v>
      </c>
      <c r="AJ62" s="7">
        <v>0</v>
      </c>
      <c r="AK62" s="8">
        <v>0</v>
      </c>
      <c r="AL62" s="9">
        <v>0</v>
      </c>
      <c r="AM62" s="7">
        <v>0</v>
      </c>
      <c r="AN62" s="8">
        <v>0</v>
      </c>
      <c r="AO62" s="9">
        <v>0</v>
      </c>
      <c r="AP62" s="7">
        <v>0</v>
      </c>
      <c r="AQ62" s="8">
        <v>0</v>
      </c>
      <c r="AR62" s="9">
        <v>0</v>
      </c>
      <c r="AS62" s="7">
        <v>0</v>
      </c>
      <c r="AT62" s="8">
        <v>0</v>
      </c>
      <c r="AU62" s="9">
        <v>0</v>
      </c>
      <c r="AV62" s="7">
        <v>0</v>
      </c>
      <c r="AW62" s="8">
        <v>0</v>
      </c>
      <c r="AX62" s="9">
        <v>0</v>
      </c>
      <c r="AY62" s="7">
        <v>0</v>
      </c>
      <c r="AZ62" s="8">
        <v>0</v>
      </c>
      <c r="BA62" s="9">
        <v>0</v>
      </c>
      <c r="BB62" s="7">
        <v>0</v>
      </c>
      <c r="BC62" s="8">
        <v>0</v>
      </c>
      <c r="BD62" s="9">
        <v>0</v>
      </c>
      <c r="BE62" s="7">
        <v>0</v>
      </c>
      <c r="BF62" s="8">
        <v>0</v>
      </c>
      <c r="BG62" s="9">
        <v>0</v>
      </c>
      <c r="BH62" s="7">
        <v>0</v>
      </c>
      <c r="BI62" s="8">
        <v>0</v>
      </c>
      <c r="BJ62" s="9">
        <v>0</v>
      </c>
      <c r="BK62" s="7">
        <v>0</v>
      </c>
      <c r="BL62" s="8">
        <v>0</v>
      </c>
      <c r="BM62" s="9">
        <v>0</v>
      </c>
      <c r="BN62" s="7">
        <v>0</v>
      </c>
      <c r="BO62" s="8">
        <v>0</v>
      </c>
      <c r="BP62" s="9">
        <v>0</v>
      </c>
      <c r="BQ62" s="7">
        <v>0</v>
      </c>
      <c r="BR62" s="8">
        <v>0</v>
      </c>
      <c r="BS62" s="9">
        <v>0</v>
      </c>
      <c r="BT62" s="7">
        <v>0</v>
      </c>
      <c r="BU62" s="8">
        <v>0</v>
      </c>
      <c r="BV62" s="9">
        <v>0</v>
      </c>
      <c r="BW62" s="7">
        <v>0</v>
      </c>
      <c r="BX62" s="8">
        <v>0</v>
      </c>
      <c r="BY62" s="9">
        <v>0</v>
      </c>
      <c r="BZ62" s="7">
        <v>0</v>
      </c>
      <c r="CA62" s="8">
        <v>0</v>
      </c>
      <c r="CB62" s="9">
        <v>0</v>
      </c>
      <c r="CC62" s="7">
        <v>0</v>
      </c>
      <c r="CD62" s="8">
        <v>0</v>
      </c>
      <c r="CE62" s="9">
        <v>0</v>
      </c>
      <c r="CF62" s="7">
        <v>0</v>
      </c>
      <c r="CG62" s="8">
        <v>0</v>
      </c>
      <c r="CH62" s="9">
        <v>0</v>
      </c>
      <c r="CI62" s="7">
        <v>0</v>
      </c>
      <c r="CJ62" s="8">
        <v>0</v>
      </c>
      <c r="CK62" s="9">
        <v>0</v>
      </c>
      <c r="CL62" s="7">
        <v>0</v>
      </c>
      <c r="CM62" s="8">
        <v>0</v>
      </c>
      <c r="CN62" s="9">
        <v>0</v>
      </c>
      <c r="CO62" s="7">
        <v>0</v>
      </c>
      <c r="CP62" s="8">
        <v>0</v>
      </c>
      <c r="CQ62" s="9">
        <v>0</v>
      </c>
      <c r="CR62" s="7">
        <v>0</v>
      </c>
      <c r="CS62" s="8">
        <v>0</v>
      </c>
      <c r="CT62" s="9">
        <v>0</v>
      </c>
      <c r="CU62" s="7">
        <v>0</v>
      </c>
      <c r="CV62" s="8">
        <v>0</v>
      </c>
      <c r="CW62" s="9">
        <v>0</v>
      </c>
      <c r="CX62" s="7">
        <v>0</v>
      </c>
      <c r="CY62" s="8">
        <v>0</v>
      </c>
      <c r="CZ62" s="9">
        <v>0</v>
      </c>
      <c r="DA62" s="7">
        <v>0</v>
      </c>
      <c r="DB62" s="8">
        <v>0</v>
      </c>
      <c r="DC62" s="9">
        <v>0</v>
      </c>
      <c r="DD62" s="7">
        <v>0</v>
      </c>
      <c r="DE62" s="8">
        <v>0</v>
      </c>
      <c r="DF62" s="9">
        <v>0</v>
      </c>
      <c r="DG62" s="7">
        <v>0</v>
      </c>
      <c r="DH62" s="8">
        <v>0</v>
      </c>
      <c r="DI62" s="9">
        <v>0</v>
      </c>
      <c r="DJ62" s="7">
        <v>0</v>
      </c>
      <c r="DK62" s="8">
        <v>0</v>
      </c>
      <c r="DL62" s="9">
        <v>0</v>
      </c>
      <c r="DM62" s="7">
        <v>0</v>
      </c>
      <c r="DN62" s="8">
        <v>0</v>
      </c>
      <c r="DO62" s="9">
        <v>0</v>
      </c>
      <c r="DP62" s="7">
        <v>0</v>
      </c>
      <c r="DQ62" s="8">
        <v>0</v>
      </c>
      <c r="DR62" s="9">
        <v>0</v>
      </c>
      <c r="DS62" s="7">
        <v>0</v>
      </c>
      <c r="DT62" s="8">
        <v>0</v>
      </c>
      <c r="DU62" s="9">
        <v>0</v>
      </c>
      <c r="DV62" s="7">
        <v>0</v>
      </c>
      <c r="DW62" s="8">
        <v>0</v>
      </c>
      <c r="DX62" s="9">
        <v>0</v>
      </c>
      <c r="DY62" s="7">
        <v>0</v>
      </c>
      <c r="DZ62" s="8">
        <v>0</v>
      </c>
      <c r="EA62" s="9">
        <v>0</v>
      </c>
      <c r="EB62" s="7">
        <v>0</v>
      </c>
      <c r="EC62" s="8">
        <v>0</v>
      </c>
      <c r="ED62" s="9">
        <v>0</v>
      </c>
      <c r="EE62" s="7">
        <v>0</v>
      </c>
      <c r="EF62" s="8">
        <v>0</v>
      </c>
      <c r="EG62" s="9">
        <v>0</v>
      </c>
      <c r="EH62" s="7">
        <v>0</v>
      </c>
      <c r="EI62" s="8">
        <v>0</v>
      </c>
      <c r="EJ62" s="9">
        <v>0</v>
      </c>
      <c r="EK62" s="7">
        <v>0</v>
      </c>
      <c r="EL62" s="8">
        <v>0</v>
      </c>
      <c r="EM62" s="9">
        <v>0</v>
      </c>
      <c r="EN62" s="7">
        <v>0</v>
      </c>
      <c r="EO62" s="8">
        <v>0</v>
      </c>
      <c r="EP62" s="9">
        <v>0</v>
      </c>
      <c r="EQ62" s="7">
        <v>0</v>
      </c>
      <c r="ER62" s="8">
        <v>0</v>
      </c>
      <c r="ES62" s="9">
        <v>0</v>
      </c>
      <c r="ET62" s="7">
        <v>0</v>
      </c>
      <c r="EU62" s="8">
        <v>0</v>
      </c>
      <c r="EV62" s="9">
        <v>0</v>
      </c>
      <c r="EW62" s="7">
        <v>0</v>
      </c>
      <c r="EX62" s="8">
        <v>0</v>
      </c>
      <c r="EY62" s="9">
        <v>0</v>
      </c>
      <c r="EZ62" s="7">
        <v>0</v>
      </c>
      <c r="FA62" s="8">
        <v>0</v>
      </c>
      <c r="FB62" s="9">
        <v>0</v>
      </c>
      <c r="FC62" s="7">
        <v>0</v>
      </c>
      <c r="FD62" s="8">
        <v>0</v>
      </c>
      <c r="FE62" s="9">
        <v>0</v>
      </c>
      <c r="FF62" s="7">
        <v>0</v>
      </c>
      <c r="FG62" s="8">
        <v>0</v>
      </c>
      <c r="FH62" s="9">
        <v>0</v>
      </c>
      <c r="FI62" s="7">
        <v>0</v>
      </c>
      <c r="FJ62" s="8">
        <v>0</v>
      </c>
      <c r="FK62" s="9">
        <v>0</v>
      </c>
      <c r="FL62" s="7">
        <v>0</v>
      </c>
      <c r="FM62" s="8">
        <v>0</v>
      </c>
      <c r="FN62" s="9">
        <v>0</v>
      </c>
      <c r="FO62" s="7">
        <v>0</v>
      </c>
      <c r="FP62" s="8">
        <v>0</v>
      </c>
      <c r="FQ62" s="9">
        <v>0</v>
      </c>
      <c r="FR62" s="7">
        <v>0</v>
      </c>
      <c r="FS62" s="8">
        <v>0</v>
      </c>
      <c r="FT62" s="9">
        <v>0</v>
      </c>
      <c r="FU62" s="7">
        <v>0</v>
      </c>
      <c r="FV62" s="8">
        <v>0</v>
      </c>
      <c r="FW62" s="9">
        <v>0</v>
      </c>
      <c r="FX62" s="7">
        <v>0</v>
      </c>
      <c r="FY62" s="8">
        <v>0</v>
      </c>
      <c r="FZ62" s="9">
        <v>0</v>
      </c>
      <c r="GA62" s="7">
        <v>0</v>
      </c>
      <c r="GB62" s="8">
        <v>0</v>
      </c>
      <c r="GC62" s="9">
        <v>0</v>
      </c>
      <c r="GD62" s="7">
        <v>0</v>
      </c>
      <c r="GE62" s="8">
        <v>0</v>
      </c>
      <c r="GF62" s="9">
        <v>0</v>
      </c>
      <c r="GG62" s="7">
        <v>0</v>
      </c>
      <c r="GH62" s="8">
        <v>0</v>
      </c>
      <c r="GI62" s="9">
        <v>0</v>
      </c>
      <c r="GJ62" s="7">
        <v>0</v>
      </c>
      <c r="GK62" s="8">
        <v>0</v>
      </c>
      <c r="GL62" s="9">
        <v>0</v>
      </c>
      <c r="GM62" s="7">
        <v>0</v>
      </c>
      <c r="GN62" s="8">
        <v>0</v>
      </c>
      <c r="GO62" s="9">
        <v>0</v>
      </c>
      <c r="GP62" s="7">
        <v>0</v>
      </c>
      <c r="GQ62" s="8">
        <v>0</v>
      </c>
      <c r="GR62" s="9">
        <v>0</v>
      </c>
      <c r="GS62" s="7">
        <v>0</v>
      </c>
      <c r="GT62" s="8">
        <v>0</v>
      </c>
      <c r="GU62" s="9">
        <v>0</v>
      </c>
      <c r="GV62" s="7">
        <v>0</v>
      </c>
      <c r="GW62" s="8">
        <v>0</v>
      </c>
      <c r="GX62" s="9">
        <v>0</v>
      </c>
      <c r="GY62" s="7">
        <v>0</v>
      </c>
      <c r="GZ62" s="8">
        <v>0</v>
      </c>
      <c r="HA62" s="9">
        <v>0</v>
      </c>
      <c r="HB62" s="7">
        <v>0</v>
      </c>
      <c r="HC62" s="8">
        <v>0</v>
      </c>
      <c r="HD62" s="9">
        <v>0</v>
      </c>
      <c r="HE62" s="7">
        <v>0</v>
      </c>
      <c r="HF62" s="8">
        <v>0</v>
      </c>
      <c r="HG62" s="9">
        <v>0</v>
      </c>
      <c r="HH62" s="7">
        <v>0</v>
      </c>
      <c r="HI62" s="8">
        <v>0</v>
      </c>
      <c r="HJ62" s="9">
        <v>0</v>
      </c>
      <c r="HK62" s="7">
        <v>0</v>
      </c>
      <c r="HL62" s="8">
        <v>0</v>
      </c>
      <c r="HM62" s="9">
        <v>0</v>
      </c>
      <c r="HN62" s="7">
        <v>0</v>
      </c>
      <c r="HO62" s="8">
        <v>0</v>
      </c>
      <c r="HP62" s="9">
        <v>0</v>
      </c>
    </row>
    <row r="63" spans="1:224" x14ac:dyDescent="0.25">
      <c r="A63" s="23" t="s">
        <v>263</v>
      </c>
      <c r="B63" s="26" t="s">
        <v>264</v>
      </c>
      <c r="C63" s="7">
        <v>-21252983.710000001</v>
      </c>
      <c r="D63" s="8">
        <v>-21739733.333333299</v>
      </c>
      <c r="E63" s="9">
        <v>-22140000</v>
      </c>
      <c r="F63" s="7">
        <v>-21252983.710000001</v>
      </c>
      <c r="G63" s="8">
        <v>-22140066.666666601</v>
      </c>
      <c r="H63" s="9">
        <v>-22140000</v>
      </c>
      <c r="I63" s="7">
        <v>0</v>
      </c>
      <c r="J63" s="8">
        <v>0</v>
      </c>
      <c r="K63" s="9">
        <v>0</v>
      </c>
      <c r="L63" s="7">
        <v>0</v>
      </c>
      <c r="M63" s="8">
        <v>0</v>
      </c>
      <c r="N63" s="9">
        <v>0</v>
      </c>
      <c r="O63" s="7">
        <v>0</v>
      </c>
      <c r="P63" s="8">
        <v>0</v>
      </c>
      <c r="Q63" s="9">
        <v>0</v>
      </c>
      <c r="R63" s="7">
        <v>0</v>
      </c>
      <c r="S63" s="8">
        <v>0</v>
      </c>
      <c r="T63" s="9">
        <v>0</v>
      </c>
      <c r="U63" s="7">
        <v>0</v>
      </c>
      <c r="V63" s="8">
        <v>0</v>
      </c>
      <c r="W63" s="9">
        <v>0</v>
      </c>
      <c r="X63" s="7">
        <v>0</v>
      </c>
      <c r="Y63" s="8">
        <v>0</v>
      </c>
      <c r="Z63" s="9">
        <v>0</v>
      </c>
      <c r="AA63" s="7">
        <v>0</v>
      </c>
      <c r="AB63" s="8">
        <v>0</v>
      </c>
      <c r="AC63" s="9">
        <v>0</v>
      </c>
      <c r="AD63" s="7">
        <v>0</v>
      </c>
      <c r="AE63" s="8">
        <v>0</v>
      </c>
      <c r="AF63" s="9">
        <v>0</v>
      </c>
      <c r="AG63" s="7">
        <v>0</v>
      </c>
      <c r="AH63" s="8">
        <v>0</v>
      </c>
      <c r="AI63" s="9">
        <v>0</v>
      </c>
      <c r="AJ63" s="7">
        <v>0</v>
      </c>
      <c r="AK63" s="8">
        <v>0</v>
      </c>
      <c r="AL63" s="9">
        <v>0</v>
      </c>
      <c r="AM63" s="7">
        <v>0</v>
      </c>
      <c r="AN63" s="8">
        <v>0</v>
      </c>
      <c r="AO63" s="9">
        <v>0</v>
      </c>
      <c r="AP63" s="7">
        <v>0</v>
      </c>
      <c r="AQ63" s="8">
        <v>0</v>
      </c>
      <c r="AR63" s="9">
        <v>0</v>
      </c>
      <c r="AS63" s="7">
        <v>0</v>
      </c>
      <c r="AT63" s="8">
        <v>0</v>
      </c>
      <c r="AU63" s="9">
        <v>0</v>
      </c>
      <c r="AV63" s="7">
        <v>0</v>
      </c>
      <c r="AW63" s="8">
        <v>0</v>
      </c>
      <c r="AX63" s="9">
        <v>0</v>
      </c>
      <c r="AY63" s="7">
        <v>0</v>
      </c>
      <c r="AZ63" s="8">
        <v>0</v>
      </c>
      <c r="BA63" s="9">
        <v>0</v>
      </c>
      <c r="BB63" s="7">
        <v>0</v>
      </c>
      <c r="BC63" s="8">
        <v>0</v>
      </c>
      <c r="BD63" s="9">
        <v>0</v>
      </c>
      <c r="BE63" s="7">
        <v>0</v>
      </c>
      <c r="BF63" s="8">
        <v>0</v>
      </c>
      <c r="BG63" s="9">
        <v>0</v>
      </c>
      <c r="BH63" s="7">
        <v>0</v>
      </c>
      <c r="BI63" s="8">
        <v>0</v>
      </c>
      <c r="BJ63" s="9">
        <v>0</v>
      </c>
      <c r="BK63" s="7">
        <v>0</v>
      </c>
      <c r="BL63" s="8">
        <v>0</v>
      </c>
      <c r="BM63" s="9">
        <v>0</v>
      </c>
      <c r="BN63" s="7">
        <v>0</v>
      </c>
      <c r="BO63" s="8">
        <v>0</v>
      </c>
      <c r="BP63" s="9">
        <v>0</v>
      </c>
      <c r="BQ63" s="7">
        <v>0</v>
      </c>
      <c r="BR63" s="8">
        <v>0</v>
      </c>
      <c r="BS63" s="9">
        <v>0</v>
      </c>
      <c r="BT63" s="7">
        <v>0</v>
      </c>
      <c r="BU63" s="8">
        <v>0</v>
      </c>
      <c r="BV63" s="9">
        <v>0</v>
      </c>
      <c r="BW63" s="7">
        <v>0</v>
      </c>
      <c r="BX63" s="8">
        <v>0</v>
      </c>
      <c r="BY63" s="9">
        <v>0</v>
      </c>
      <c r="BZ63" s="7">
        <v>0</v>
      </c>
      <c r="CA63" s="8">
        <v>0</v>
      </c>
      <c r="CB63" s="9">
        <v>0</v>
      </c>
      <c r="CC63" s="7">
        <v>0</v>
      </c>
      <c r="CD63" s="8">
        <v>0</v>
      </c>
      <c r="CE63" s="9">
        <v>0</v>
      </c>
      <c r="CF63" s="7">
        <v>0</v>
      </c>
      <c r="CG63" s="8">
        <v>0</v>
      </c>
      <c r="CH63" s="9">
        <v>0</v>
      </c>
      <c r="CI63" s="7">
        <v>0</v>
      </c>
      <c r="CJ63" s="8">
        <v>0</v>
      </c>
      <c r="CK63" s="9">
        <v>0</v>
      </c>
      <c r="CL63" s="7">
        <v>0</v>
      </c>
      <c r="CM63" s="8">
        <v>0</v>
      </c>
      <c r="CN63" s="9">
        <v>0</v>
      </c>
      <c r="CO63" s="7">
        <v>0</v>
      </c>
      <c r="CP63" s="8">
        <v>0</v>
      </c>
      <c r="CQ63" s="9">
        <v>0</v>
      </c>
      <c r="CR63" s="7">
        <v>0</v>
      </c>
      <c r="CS63" s="8">
        <v>0</v>
      </c>
      <c r="CT63" s="9">
        <v>0</v>
      </c>
      <c r="CU63" s="7">
        <v>0</v>
      </c>
      <c r="CV63" s="8">
        <v>0</v>
      </c>
      <c r="CW63" s="9">
        <v>0</v>
      </c>
      <c r="CX63" s="7">
        <v>0</v>
      </c>
      <c r="CY63" s="8">
        <v>0</v>
      </c>
      <c r="CZ63" s="9">
        <v>0</v>
      </c>
      <c r="DA63" s="7">
        <v>0</v>
      </c>
      <c r="DB63" s="8">
        <v>0</v>
      </c>
      <c r="DC63" s="9">
        <v>0</v>
      </c>
      <c r="DD63" s="7">
        <v>0</v>
      </c>
      <c r="DE63" s="8">
        <v>0</v>
      </c>
      <c r="DF63" s="9">
        <v>0</v>
      </c>
      <c r="DG63" s="7">
        <v>0</v>
      </c>
      <c r="DH63" s="8">
        <v>0</v>
      </c>
      <c r="DI63" s="9">
        <v>0</v>
      </c>
      <c r="DJ63" s="7">
        <v>0</v>
      </c>
      <c r="DK63" s="8">
        <v>0</v>
      </c>
      <c r="DL63" s="9">
        <v>0</v>
      </c>
      <c r="DM63" s="7">
        <v>0</v>
      </c>
      <c r="DN63" s="8">
        <v>0</v>
      </c>
      <c r="DO63" s="9">
        <v>0</v>
      </c>
      <c r="DP63" s="7">
        <v>0</v>
      </c>
      <c r="DQ63" s="8">
        <v>0</v>
      </c>
      <c r="DR63" s="9">
        <v>0</v>
      </c>
      <c r="DS63" s="7">
        <v>0</v>
      </c>
      <c r="DT63" s="8">
        <v>0</v>
      </c>
      <c r="DU63" s="9">
        <v>0</v>
      </c>
      <c r="DV63" s="7">
        <v>0</v>
      </c>
      <c r="DW63" s="8">
        <v>0</v>
      </c>
      <c r="DX63" s="9">
        <v>0</v>
      </c>
      <c r="DY63" s="7">
        <v>0</v>
      </c>
      <c r="DZ63" s="8">
        <v>0</v>
      </c>
      <c r="EA63" s="9">
        <v>0</v>
      </c>
      <c r="EB63" s="7">
        <v>0</v>
      </c>
      <c r="EC63" s="8">
        <v>0</v>
      </c>
      <c r="ED63" s="9">
        <v>0</v>
      </c>
      <c r="EE63" s="7">
        <v>0</v>
      </c>
      <c r="EF63" s="8">
        <v>0</v>
      </c>
      <c r="EG63" s="9">
        <v>0</v>
      </c>
      <c r="EH63" s="7">
        <v>0</v>
      </c>
      <c r="EI63" s="8">
        <v>0</v>
      </c>
      <c r="EJ63" s="9">
        <v>0</v>
      </c>
      <c r="EK63" s="7">
        <v>0</v>
      </c>
      <c r="EL63" s="8">
        <v>0</v>
      </c>
      <c r="EM63" s="9">
        <v>0</v>
      </c>
      <c r="EN63" s="7">
        <v>0</v>
      </c>
      <c r="EO63" s="8">
        <v>0</v>
      </c>
      <c r="EP63" s="9">
        <v>0</v>
      </c>
      <c r="EQ63" s="7">
        <v>0</v>
      </c>
      <c r="ER63" s="8">
        <v>0</v>
      </c>
      <c r="ES63" s="9">
        <v>0</v>
      </c>
      <c r="ET63" s="7">
        <v>0</v>
      </c>
      <c r="EU63" s="8">
        <v>0</v>
      </c>
      <c r="EV63" s="9">
        <v>0</v>
      </c>
      <c r="EW63" s="7">
        <v>0</v>
      </c>
      <c r="EX63" s="8">
        <v>0</v>
      </c>
      <c r="EY63" s="9">
        <v>0</v>
      </c>
      <c r="EZ63" s="7">
        <v>0</v>
      </c>
      <c r="FA63" s="8">
        <v>0</v>
      </c>
      <c r="FB63" s="9">
        <v>0</v>
      </c>
      <c r="FC63" s="7">
        <v>0</v>
      </c>
      <c r="FD63" s="8">
        <v>0</v>
      </c>
      <c r="FE63" s="9">
        <v>0</v>
      </c>
      <c r="FF63" s="7">
        <v>0</v>
      </c>
      <c r="FG63" s="8">
        <v>0</v>
      </c>
      <c r="FH63" s="9">
        <v>0</v>
      </c>
      <c r="FI63" s="7">
        <v>0</v>
      </c>
      <c r="FJ63" s="8">
        <v>0</v>
      </c>
      <c r="FK63" s="9">
        <v>0</v>
      </c>
      <c r="FL63" s="7">
        <v>0</v>
      </c>
      <c r="FM63" s="8">
        <v>0</v>
      </c>
      <c r="FN63" s="9">
        <v>0</v>
      </c>
      <c r="FO63" s="7">
        <v>0</v>
      </c>
      <c r="FP63" s="8">
        <v>0</v>
      </c>
      <c r="FQ63" s="9">
        <v>0</v>
      </c>
      <c r="FR63" s="7">
        <v>0</v>
      </c>
      <c r="FS63" s="8">
        <v>0</v>
      </c>
      <c r="FT63" s="9">
        <v>0</v>
      </c>
      <c r="FU63" s="7">
        <v>0</v>
      </c>
      <c r="FV63" s="8">
        <v>0</v>
      </c>
      <c r="FW63" s="9">
        <v>0</v>
      </c>
      <c r="FX63" s="7">
        <v>0</v>
      </c>
      <c r="FY63" s="8">
        <v>400333.33333333698</v>
      </c>
      <c r="FZ63" s="9">
        <v>0</v>
      </c>
      <c r="GA63" s="7">
        <v>0</v>
      </c>
      <c r="GB63" s="8">
        <v>0</v>
      </c>
      <c r="GC63" s="9">
        <v>0</v>
      </c>
      <c r="GD63" s="7">
        <v>0</v>
      </c>
      <c r="GE63" s="8">
        <v>0</v>
      </c>
      <c r="GF63" s="9">
        <v>0</v>
      </c>
      <c r="GG63" s="7">
        <v>0</v>
      </c>
      <c r="GH63" s="8">
        <v>0</v>
      </c>
      <c r="GI63" s="9">
        <v>0</v>
      </c>
      <c r="GJ63" s="7">
        <v>0</v>
      </c>
      <c r="GK63" s="8">
        <v>0</v>
      </c>
      <c r="GL63" s="9">
        <v>0</v>
      </c>
      <c r="GM63" s="7">
        <v>0</v>
      </c>
      <c r="GN63" s="8">
        <v>0</v>
      </c>
      <c r="GO63" s="9">
        <v>0</v>
      </c>
      <c r="GP63" s="7">
        <v>0</v>
      </c>
      <c r="GQ63" s="8">
        <v>0</v>
      </c>
      <c r="GR63" s="9">
        <v>0</v>
      </c>
      <c r="GS63" s="7">
        <v>0</v>
      </c>
      <c r="GT63" s="8">
        <v>0</v>
      </c>
      <c r="GU63" s="9">
        <v>0</v>
      </c>
      <c r="GV63" s="7">
        <v>0</v>
      </c>
      <c r="GW63" s="8">
        <v>0</v>
      </c>
      <c r="GX63" s="9">
        <v>0</v>
      </c>
      <c r="GY63" s="7">
        <v>0</v>
      </c>
      <c r="GZ63" s="8">
        <v>0</v>
      </c>
      <c r="HA63" s="9">
        <v>0</v>
      </c>
      <c r="HB63" s="7">
        <v>0</v>
      </c>
      <c r="HC63" s="8">
        <v>0</v>
      </c>
      <c r="HD63" s="9">
        <v>0</v>
      </c>
      <c r="HE63" s="7">
        <v>0</v>
      </c>
      <c r="HF63" s="8">
        <v>0</v>
      </c>
      <c r="HG63" s="9">
        <v>0</v>
      </c>
      <c r="HH63" s="7">
        <v>0</v>
      </c>
      <c r="HI63" s="8">
        <v>0</v>
      </c>
      <c r="HJ63" s="9">
        <v>0</v>
      </c>
      <c r="HK63" s="7">
        <v>0</v>
      </c>
      <c r="HL63" s="8">
        <v>0</v>
      </c>
      <c r="HM63" s="9">
        <v>0</v>
      </c>
      <c r="HN63" s="7">
        <v>0</v>
      </c>
      <c r="HO63" s="8">
        <v>0</v>
      </c>
      <c r="HP63" s="9">
        <v>0</v>
      </c>
    </row>
    <row r="64" spans="1:224" x14ac:dyDescent="0.25">
      <c r="A64" s="23" t="s">
        <v>265</v>
      </c>
      <c r="B64" s="26" t="s">
        <v>266</v>
      </c>
      <c r="C64" s="7">
        <v>-5621178.6600000104</v>
      </c>
      <c r="D64" s="8">
        <v>-5547059.71178596</v>
      </c>
      <c r="E64" s="9">
        <v>-6343491.9999999898</v>
      </c>
      <c r="F64" s="7">
        <v>-528381.1</v>
      </c>
      <c r="G64" s="8">
        <v>-539999.99999999104</v>
      </c>
      <c r="H64" s="9">
        <v>-711000</v>
      </c>
      <c r="I64" s="7">
        <v>-23594.16</v>
      </c>
      <c r="J64" s="8">
        <v>-32999.999999981999</v>
      </c>
      <c r="K64" s="9">
        <v>-110000</v>
      </c>
      <c r="L64" s="7">
        <v>-109791.67</v>
      </c>
      <c r="M64" s="8">
        <v>-69999.999999986001</v>
      </c>
      <c r="N64" s="9">
        <v>-70000</v>
      </c>
      <c r="O64" s="7">
        <v>-72263.350000000006</v>
      </c>
      <c r="P64" s="8">
        <v>-79999.999999981999</v>
      </c>
      <c r="Q64" s="9">
        <v>-55000</v>
      </c>
      <c r="R64" s="7">
        <v>-19208.34</v>
      </c>
      <c r="S64" s="8">
        <v>-19999.999999995998</v>
      </c>
      <c r="T64" s="9">
        <v>-25000</v>
      </c>
      <c r="U64" s="7">
        <v>-295100.27</v>
      </c>
      <c r="V64" s="8">
        <v>-297040.96541647799</v>
      </c>
      <c r="W64" s="9">
        <v>-310000</v>
      </c>
      <c r="X64" s="7">
        <v>-1832111.44</v>
      </c>
      <c r="Y64" s="8">
        <v>-2147999.9999999702</v>
      </c>
      <c r="Z64" s="9">
        <v>-2148000</v>
      </c>
      <c r="AA64" s="7">
        <v>-5291.54</v>
      </c>
      <c r="AB64" s="8">
        <v>-1999.999999999</v>
      </c>
      <c r="AC64" s="9">
        <v>-20000</v>
      </c>
      <c r="AD64" s="7">
        <v>-299719.31</v>
      </c>
      <c r="AE64" s="8">
        <v>-299999.999999994</v>
      </c>
      <c r="AF64" s="9">
        <v>-250000</v>
      </c>
      <c r="AG64" s="7">
        <v>-147538.12</v>
      </c>
      <c r="AH64" s="8">
        <v>-430170.524606311</v>
      </c>
      <c r="AI64" s="9">
        <v>-300000</v>
      </c>
      <c r="AJ64" s="7">
        <v>-44120.98</v>
      </c>
      <c r="AK64" s="8">
        <v>-44999.999999986998</v>
      </c>
      <c r="AL64" s="9">
        <v>-40000</v>
      </c>
      <c r="AM64" s="7">
        <v>-8636.23</v>
      </c>
      <c r="AN64" s="8">
        <v>-9999.999999996</v>
      </c>
      <c r="AO64" s="9">
        <v>-10000</v>
      </c>
      <c r="AP64" s="7">
        <v>-248530.02</v>
      </c>
      <c r="AQ64" s="8">
        <v>-229999.99999999499</v>
      </c>
      <c r="AR64" s="9">
        <v>-230000</v>
      </c>
      <c r="AS64" s="7">
        <v>-79143.100000000006</v>
      </c>
      <c r="AT64" s="8">
        <v>-79999.999999995998</v>
      </c>
      <c r="AU64" s="9">
        <v>-72000</v>
      </c>
      <c r="AV64" s="7">
        <v>-173.69</v>
      </c>
      <c r="AW64" s="8">
        <v>0</v>
      </c>
      <c r="AX64" s="9">
        <v>-1000</v>
      </c>
      <c r="AY64" s="7">
        <v>-163074.29999999999</v>
      </c>
      <c r="AZ64" s="8">
        <v>-129999.99999998701</v>
      </c>
      <c r="BA64" s="9">
        <v>-300000</v>
      </c>
      <c r="BB64" s="7">
        <v>-216873.89</v>
      </c>
      <c r="BC64" s="8">
        <v>-219999.999999992</v>
      </c>
      <c r="BD64" s="9">
        <v>-220000</v>
      </c>
      <c r="BE64" s="7">
        <v>-545.14</v>
      </c>
      <c r="BF64" s="8">
        <v>-999.99999999800002</v>
      </c>
      <c r="BG64" s="9">
        <v>-1000</v>
      </c>
      <c r="BH64" s="7">
        <v>0</v>
      </c>
      <c r="BI64" s="8">
        <v>0</v>
      </c>
      <c r="BJ64" s="9">
        <v>0</v>
      </c>
      <c r="BK64" s="7">
        <v>-110.49</v>
      </c>
      <c r="BL64" s="8">
        <v>0</v>
      </c>
      <c r="BM64" s="9">
        <v>0</v>
      </c>
      <c r="BN64" s="7">
        <v>-2431.83</v>
      </c>
      <c r="BO64" s="8">
        <v>-2999.999999997</v>
      </c>
      <c r="BP64" s="9">
        <v>-6000</v>
      </c>
      <c r="BQ64" s="7">
        <v>-1914.98</v>
      </c>
      <c r="BR64" s="8">
        <v>-1999.999999999</v>
      </c>
      <c r="BS64" s="9">
        <v>-2000</v>
      </c>
      <c r="BT64" s="7">
        <v>-1055.7</v>
      </c>
      <c r="BU64" s="8">
        <v>-999.99999999800002</v>
      </c>
      <c r="BV64" s="9">
        <v>-1000</v>
      </c>
      <c r="BW64" s="7">
        <v>-1670.95</v>
      </c>
      <c r="BX64" s="8">
        <v>0</v>
      </c>
      <c r="BY64" s="9">
        <v>-1000</v>
      </c>
      <c r="BZ64" s="7">
        <v>0</v>
      </c>
      <c r="CA64" s="8">
        <v>0</v>
      </c>
      <c r="CB64" s="9">
        <v>0</v>
      </c>
      <c r="CC64" s="7">
        <v>-73.66</v>
      </c>
      <c r="CD64" s="8">
        <v>0</v>
      </c>
      <c r="CE64" s="9">
        <v>-200</v>
      </c>
      <c r="CF64" s="7">
        <v>0</v>
      </c>
      <c r="CG64" s="8">
        <v>0</v>
      </c>
      <c r="CH64" s="9">
        <v>0</v>
      </c>
      <c r="CI64" s="7">
        <v>0</v>
      </c>
      <c r="CJ64" s="8">
        <v>0</v>
      </c>
      <c r="CK64" s="9">
        <v>0</v>
      </c>
      <c r="CL64" s="7">
        <v>-9140.2999999999993</v>
      </c>
      <c r="CM64" s="8">
        <v>-14999.999999992</v>
      </c>
      <c r="CN64" s="9">
        <v>-15000</v>
      </c>
      <c r="CO64" s="7">
        <v>-15687.41</v>
      </c>
      <c r="CP64" s="8">
        <v>-5999.9999999940001</v>
      </c>
      <c r="CQ64" s="9">
        <v>-26000</v>
      </c>
      <c r="CR64" s="7">
        <v>0</v>
      </c>
      <c r="CS64" s="8">
        <v>0</v>
      </c>
      <c r="CT64" s="9">
        <v>0</v>
      </c>
      <c r="CU64" s="7">
        <v>-4733.74</v>
      </c>
      <c r="CV64" s="8">
        <v>-5999.9999999969996</v>
      </c>
      <c r="CW64" s="9">
        <v>-6000</v>
      </c>
      <c r="CX64" s="7">
        <v>0</v>
      </c>
      <c r="CY64" s="8">
        <v>0</v>
      </c>
      <c r="CZ64" s="9">
        <v>0</v>
      </c>
      <c r="DA64" s="7">
        <v>0</v>
      </c>
      <c r="DB64" s="8">
        <v>0</v>
      </c>
      <c r="DC64" s="9">
        <v>0</v>
      </c>
      <c r="DD64" s="7">
        <v>0</v>
      </c>
      <c r="DE64" s="8">
        <v>0</v>
      </c>
      <c r="DF64" s="9">
        <v>0</v>
      </c>
      <c r="DG64" s="7">
        <v>0</v>
      </c>
      <c r="DH64" s="8">
        <v>0</v>
      </c>
      <c r="DI64" s="9">
        <v>0</v>
      </c>
      <c r="DJ64" s="7">
        <v>0</v>
      </c>
      <c r="DK64" s="8">
        <v>0</v>
      </c>
      <c r="DL64" s="9">
        <v>0</v>
      </c>
      <c r="DM64" s="7">
        <v>0</v>
      </c>
      <c r="DN64" s="8">
        <v>0</v>
      </c>
      <c r="DO64" s="9">
        <v>0</v>
      </c>
      <c r="DP64" s="7">
        <v>0</v>
      </c>
      <c r="DQ64" s="8">
        <v>0</v>
      </c>
      <c r="DR64" s="9">
        <v>0</v>
      </c>
      <c r="DS64" s="7">
        <v>0</v>
      </c>
      <c r="DT64" s="8">
        <v>0</v>
      </c>
      <c r="DU64" s="9">
        <v>0</v>
      </c>
      <c r="DV64" s="7">
        <v>0</v>
      </c>
      <c r="DW64" s="8">
        <v>0</v>
      </c>
      <c r="DX64" s="9">
        <v>0</v>
      </c>
      <c r="DY64" s="7">
        <v>0</v>
      </c>
      <c r="DZ64" s="8">
        <v>0</v>
      </c>
      <c r="EA64" s="9">
        <v>0</v>
      </c>
      <c r="EB64" s="7">
        <v>0</v>
      </c>
      <c r="EC64" s="8">
        <v>0</v>
      </c>
      <c r="ED64" s="9">
        <v>0</v>
      </c>
      <c r="EE64" s="7">
        <v>-215651.32</v>
      </c>
      <c r="EF64" s="8">
        <v>-204999.99999999499</v>
      </c>
      <c r="EG64" s="9">
        <v>-250000</v>
      </c>
      <c r="EH64" s="7">
        <v>0</v>
      </c>
      <c r="EI64" s="8">
        <v>0</v>
      </c>
      <c r="EJ64" s="9">
        <v>0</v>
      </c>
      <c r="EK64" s="7">
        <v>-916210.17</v>
      </c>
      <c r="EL64" s="8">
        <v>-914999.99999998801</v>
      </c>
      <c r="EM64" s="9">
        <v>-801000</v>
      </c>
      <c r="EN64" s="7">
        <v>0</v>
      </c>
      <c r="EO64" s="8">
        <v>0</v>
      </c>
      <c r="EP64" s="9">
        <v>0</v>
      </c>
      <c r="EQ64" s="7">
        <v>0</v>
      </c>
      <c r="ER64" s="8">
        <v>0</v>
      </c>
      <c r="ES64" s="9">
        <v>0</v>
      </c>
      <c r="ET64" s="7">
        <v>0</v>
      </c>
      <c r="EU64" s="8">
        <v>0</v>
      </c>
      <c r="EV64" s="9">
        <v>0</v>
      </c>
      <c r="EW64" s="7">
        <v>0</v>
      </c>
      <c r="EX64" s="8">
        <v>0</v>
      </c>
      <c r="EY64" s="9">
        <v>0</v>
      </c>
      <c r="EZ64" s="7">
        <v>0</v>
      </c>
      <c r="FA64" s="8">
        <v>0</v>
      </c>
      <c r="FB64" s="9">
        <v>0</v>
      </c>
      <c r="FC64" s="7">
        <v>-240647.97</v>
      </c>
      <c r="FD64" s="8">
        <v>-249999.999999994</v>
      </c>
      <c r="FE64" s="9">
        <v>-260000</v>
      </c>
      <c r="FF64" s="7">
        <v>-117753.49</v>
      </c>
      <c r="FG64" s="8">
        <v>-165848.22176335301</v>
      </c>
      <c r="FH64" s="9">
        <v>-102292</v>
      </c>
      <c r="FI64" s="7">
        <v>0</v>
      </c>
      <c r="FJ64" s="8">
        <v>0</v>
      </c>
      <c r="FK64" s="9">
        <v>0</v>
      </c>
      <c r="FL64" s="7">
        <v>0</v>
      </c>
      <c r="FM64" s="8">
        <v>0</v>
      </c>
      <c r="FN64" s="9">
        <v>0</v>
      </c>
      <c r="FO64" s="7">
        <v>0</v>
      </c>
      <c r="FP64" s="8">
        <v>0</v>
      </c>
      <c r="FQ64" s="9">
        <v>0</v>
      </c>
      <c r="FR64" s="7">
        <v>0</v>
      </c>
      <c r="FS64" s="8">
        <v>0</v>
      </c>
      <c r="FT64" s="9">
        <v>0</v>
      </c>
      <c r="FU64" s="7">
        <v>0</v>
      </c>
      <c r="FV64" s="8">
        <v>0</v>
      </c>
      <c r="FW64" s="9">
        <v>0</v>
      </c>
      <c r="FX64" s="7">
        <v>0</v>
      </c>
      <c r="FY64" s="8">
        <v>657999.99999999395</v>
      </c>
      <c r="FZ64" s="9">
        <v>0</v>
      </c>
      <c r="GA64" s="7">
        <v>0</v>
      </c>
      <c r="GB64" s="8">
        <v>0</v>
      </c>
      <c r="GC64" s="9">
        <v>0</v>
      </c>
      <c r="GD64" s="7">
        <v>0</v>
      </c>
      <c r="GE64" s="8">
        <v>0</v>
      </c>
      <c r="GF64" s="9">
        <v>0</v>
      </c>
      <c r="GG64" s="7">
        <v>0</v>
      </c>
      <c r="GH64" s="8">
        <v>0</v>
      </c>
      <c r="GI64" s="9">
        <v>0</v>
      </c>
      <c r="GJ64" s="7">
        <v>0</v>
      </c>
      <c r="GK64" s="8">
        <v>0</v>
      </c>
      <c r="GL64" s="9">
        <v>0</v>
      </c>
      <c r="GM64" s="7">
        <v>0</v>
      </c>
      <c r="GN64" s="8">
        <v>0</v>
      </c>
      <c r="GO64" s="9">
        <v>0</v>
      </c>
      <c r="GP64" s="7">
        <v>0</v>
      </c>
      <c r="GQ64" s="8">
        <v>0</v>
      </c>
      <c r="GR64" s="9">
        <v>0</v>
      </c>
      <c r="GS64" s="7">
        <v>0</v>
      </c>
      <c r="GT64" s="8">
        <v>0</v>
      </c>
      <c r="GU64" s="9">
        <v>0</v>
      </c>
      <c r="GV64" s="7">
        <v>0</v>
      </c>
      <c r="GW64" s="8">
        <v>0</v>
      </c>
      <c r="GX64" s="9">
        <v>0</v>
      </c>
      <c r="GY64" s="7">
        <v>0</v>
      </c>
      <c r="GZ64" s="8">
        <v>0</v>
      </c>
      <c r="HA64" s="9">
        <v>0</v>
      </c>
      <c r="HB64" s="7">
        <v>0</v>
      </c>
      <c r="HC64" s="8">
        <v>0</v>
      </c>
      <c r="HD64" s="9">
        <v>0</v>
      </c>
      <c r="HE64" s="7">
        <v>0</v>
      </c>
      <c r="HF64" s="8">
        <v>0</v>
      </c>
      <c r="HG64" s="9">
        <v>0</v>
      </c>
      <c r="HH64" s="7">
        <v>0</v>
      </c>
      <c r="HI64" s="8">
        <v>0</v>
      </c>
      <c r="HJ64" s="9">
        <v>0</v>
      </c>
      <c r="HK64" s="7">
        <v>0</v>
      </c>
      <c r="HL64" s="8">
        <v>0</v>
      </c>
      <c r="HM64" s="9">
        <v>0</v>
      </c>
      <c r="HN64" s="7">
        <v>0</v>
      </c>
      <c r="HO64" s="8">
        <v>0</v>
      </c>
      <c r="HP64" s="9">
        <v>0</v>
      </c>
    </row>
    <row r="65" spans="1:224" x14ac:dyDescent="0.25">
      <c r="A65" s="23" t="s">
        <v>267</v>
      </c>
      <c r="B65" s="26" t="s">
        <v>268</v>
      </c>
      <c r="C65" s="7">
        <v>-21705858.370000001</v>
      </c>
      <c r="D65" s="8">
        <v>-19679896.725833699</v>
      </c>
      <c r="E65" s="9">
        <v>-25441687</v>
      </c>
      <c r="F65" s="7">
        <v>0</v>
      </c>
      <c r="G65" s="8">
        <v>0</v>
      </c>
      <c r="H65" s="9">
        <v>0</v>
      </c>
      <c r="I65" s="7">
        <v>-3495185.93</v>
      </c>
      <c r="J65" s="8">
        <v>-4799948.4736758396</v>
      </c>
      <c r="K65" s="9">
        <v>-5500000</v>
      </c>
      <c r="L65" s="7">
        <v>0</v>
      </c>
      <c r="M65" s="8">
        <v>0</v>
      </c>
      <c r="N65" s="9">
        <v>0</v>
      </c>
      <c r="O65" s="7">
        <v>-13250507.92</v>
      </c>
      <c r="P65" s="8">
        <v>-13300395.452984501</v>
      </c>
      <c r="Q65" s="9">
        <v>-15000000</v>
      </c>
      <c r="R65" s="7">
        <v>-3993</v>
      </c>
      <c r="S65" s="8">
        <v>-10000</v>
      </c>
      <c r="T65" s="9">
        <v>-10000</v>
      </c>
      <c r="U65" s="7">
        <v>-6145.2</v>
      </c>
      <c r="V65" s="8">
        <v>0</v>
      </c>
      <c r="W65" s="9">
        <v>-300000</v>
      </c>
      <c r="X65" s="7">
        <v>0</v>
      </c>
      <c r="Y65" s="8">
        <v>0</v>
      </c>
      <c r="Z65" s="9">
        <v>0</v>
      </c>
      <c r="AA65" s="7">
        <v>-807425.01</v>
      </c>
      <c r="AB65" s="8">
        <v>-828999.99999999604</v>
      </c>
      <c r="AC65" s="9">
        <v>-800000</v>
      </c>
      <c r="AD65" s="7">
        <v>0</v>
      </c>
      <c r="AE65" s="8">
        <v>0</v>
      </c>
      <c r="AF65" s="9">
        <v>0</v>
      </c>
      <c r="AG65" s="7">
        <v>-130948.62</v>
      </c>
      <c r="AH65" s="8">
        <v>-99999.999999995998</v>
      </c>
      <c r="AI65" s="9">
        <v>-85000</v>
      </c>
      <c r="AJ65" s="7">
        <v>-258825.05</v>
      </c>
      <c r="AK65" s="8">
        <v>-224999.99999999601</v>
      </c>
      <c r="AL65" s="9">
        <v>-276687</v>
      </c>
      <c r="AM65" s="7">
        <v>-1907896.22</v>
      </c>
      <c r="AN65" s="8">
        <v>-1587969.4658401001</v>
      </c>
      <c r="AO65" s="9">
        <v>-2070000</v>
      </c>
      <c r="AP65" s="7">
        <v>-737634.15</v>
      </c>
      <c r="AQ65" s="8">
        <v>-149999.99999999299</v>
      </c>
      <c r="AR65" s="9">
        <v>-150000</v>
      </c>
      <c r="AS65" s="7">
        <v>0</v>
      </c>
      <c r="AT65" s="8">
        <v>0</v>
      </c>
      <c r="AU65" s="9">
        <v>0</v>
      </c>
      <c r="AV65" s="7">
        <v>0</v>
      </c>
      <c r="AW65" s="8">
        <v>0</v>
      </c>
      <c r="AX65" s="9">
        <v>0</v>
      </c>
      <c r="AY65" s="7">
        <v>-339607.95</v>
      </c>
      <c r="AZ65" s="8">
        <v>-239999.99999999299</v>
      </c>
      <c r="BA65" s="9">
        <v>-460000</v>
      </c>
      <c r="BB65" s="7">
        <v>0</v>
      </c>
      <c r="BC65" s="8">
        <v>0</v>
      </c>
      <c r="BD65" s="9">
        <v>0</v>
      </c>
      <c r="BE65" s="7">
        <v>0</v>
      </c>
      <c r="BF65" s="8">
        <v>0</v>
      </c>
      <c r="BG65" s="9">
        <v>0</v>
      </c>
      <c r="BH65" s="7">
        <v>0</v>
      </c>
      <c r="BI65" s="8">
        <v>0</v>
      </c>
      <c r="BJ65" s="9">
        <v>0</v>
      </c>
      <c r="BK65" s="7">
        <v>0</v>
      </c>
      <c r="BL65" s="8">
        <v>0</v>
      </c>
      <c r="BM65" s="9">
        <v>0</v>
      </c>
      <c r="BN65" s="7">
        <v>0</v>
      </c>
      <c r="BO65" s="8">
        <v>0</v>
      </c>
      <c r="BP65" s="9">
        <v>0</v>
      </c>
      <c r="BQ65" s="7">
        <v>0</v>
      </c>
      <c r="BR65" s="8">
        <v>0</v>
      </c>
      <c r="BS65" s="9">
        <v>0</v>
      </c>
      <c r="BT65" s="7">
        <v>0</v>
      </c>
      <c r="BU65" s="8">
        <v>0</v>
      </c>
      <c r="BV65" s="9">
        <v>0</v>
      </c>
      <c r="BW65" s="7">
        <v>0</v>
      </c>
      <c r="BX65" s="8">
        <v>0</v>
      </c>
      <c r="BY65" s="9">
        <v>0</v>
      </c>
      <c r="BZ65" s="7">
        <v>0</v>
      </c>
      <c r="CA65" s="8">
        <v>0</v>
      </c>
      <c r="CB65" s="9">
        <v>0</v>
      </c>
      <c r="CC65" s="7">
        <v>0</v>
      </c>
      <c r="CD65" s="8">
        <v>0</v>
      </c>
      <c r="CE65" s="9">
        <v>0</v>
      </c>
      <c r="CF65" s="7">
        <v>0</v>
      </c>
      <c r="CG65" s="8">
        <v>0</v>
      </c>
      <c r="CH65" s="9">
        <v>0</v>
      </c>
      <c r="CI65" s="7">
        <v>-129660.44</v>
      </c>
      <c r="CJ65" s="8">
        <v>-119999.99999999801</v>
      </c>
      <c r="CK65" s="9">
        <v>-130000</v>
      </c>
      <c r="CL65" s="7">
        <v>-153157.54999999999</v>
      </c>
      <c r="CM65" s="8">
        <v>-169999.999999997</v>
      </c>
      <c r="CN65" s="9">
        <v>-170000</v>
      </c>
      <c r="CO65" s="7">
        <v>0</v>
      </c>
      <c r="CP65" s="8">
        <v>0</v>
      </c>
      <c r="CQ65" s="9">
        <v>0</v>
      </c>
      <c r="CR65" s="7">
        <v>0</v>
      </c>
      <c r="CS65" s="8">
        <v>0</v>
      </c>
      <c r="CT65" s="9">
        <v>0</v>
      </c>
      <c r="CU65" s="7">
        <v>0</v>
      </c>
      <c r="CV65" s="8">
        <v>0</v>
      </c>
      <c r="CW65" s="9">
        <v>0</v>
      </c>
      <c r="CX65" s="7">
        <v>0</v>
      </c>
      <c r="CY65" s="8">
        <v>0</v>
      </c>
      <c r="CZ65" s="9">
        <v>0</v>
      </c>
      <c r="DA65" s="7">
        <v>0</v>
      </c>
      <c r="DB65" s="8">
        <v>0</v>
      </c>
      <c r="DC65" s="9">
        <v>0</v>
      </c>
      <c r="DD65" s="7">
        <v>0</v>
      </c>
      <c r="DE65" s="8">
        <v>0</v>
      </c>
      <c r="DF65" s="9">
        <v>0</v>
      </c>
      <c r="DG65" s="7">
        <v>0</v>
      </c>
      <c r="DH65" s="8">
        <v>0</v>
      </c>
      <c r="DI65" s="9">
        <v>0</v>
      </c>
      <c r="DJ65" s="7">
        <v>0</v>
      </c>
      <c r="DK65" s="8">
        <v>0</v>
      </c>
      <c r="DL65" s="9">
        <v>0</v>
      </c>
      <c r="DM65" s="7">
        <v>0</v>
      </c>
      <c r="DN65" s="8">
        <v>0</v>
      </c>
      <c r="DO65" s="9">
        <v>0</v>
      </c>
      <c r="DP65" s="7">
        <v>0</v>
      </c>
      <c r="DQ65" s="8">
        <v>0</v>
      </c>
      <c r="DR65" s="9">
        <v>0</v>
      </c>
      <c r="DS65" s="7">
        <v>0</v>
      </c>
      <c r="DT65" s="8">
        <v>0</v>
      </c>
      <c r="DU65" s="9">
        <v>0</v>
      </c>
      <c r="DV65" s="7">
        <v>0</v>
      </c>
      <c r="DW65" s="8">
        <v>0</v>
      </c>
      <c r="DX65" s="9">
        <v>0</v>
      </c>
      <c r="DY65" s="7">
        <v>0</v>
      </c>
      <c r="DZ65" s="8">
        <v>0</v>
      </c>
      <c r="EA65" s="9">
        <v>0</v>
      </c>
      <c r="EB65" s="7">
        <v>0</v>
      </c>
      <c r="EC65" s="8">
        <v>0</v>
      </c>
      <c r="ED65" s="9">
        <v>0</v>
      </c>
      <c r="EE65" s="7">
        <v>-374153.29</v>
      </c>
      <c r="EF65" s="8">
        <v>-403999.99999999901</v>
      </c>
      <c r="EG65" s="9">
        <v>-404000</v>
      </c>
      <c r="EH65" s="7">
        <v>0</v>
      </c>
      <c r="EI65" s="8">
        <v>0</v>
      </c>
      <c r="EJ65" s="9">
        <v>0</v>
      </c>
      <c r="EK65" s="7">
        <v>-100868.64</v>
      </c>
      <c r="EL65" s="8">
        <v>-105000</v>
      </c>
      <c r="EM65" s="9">
        <v>-86000</v>
      </c>
      <c r="EN65" s="7">
        <v>0</v>
      </c>
      <c r="EO65" s="8">
        <v>0</v>
      </c>
      <c r="EP65" s="9">
        <v>0</v>
      </c>
      <c r="EQ65" s="7">
        <v>0</v>
      </c>
      <c r="ER65" s="8">
        <v>0</v>
      </c>
      <c r="ES65" s="9">
        <v>0</v>
      </c>
      <c r="ET65" s="7">
        <v>0</v>
      </c>
      <c r="EU65" s="8">
        <v>0</v>
      </c>
      <c r="EV65" s="9">
        <v>0</v>
      </c>
      <c r="EW65" s="7">
        <v>0</v>
      </c>
      <c r="EX65" s="8">
        <v>0</v>
      </c>
      <c r="EY65" s="9">
        <v>0</v>
      </c>
      <c r="EZ65" s="7">
        <v>0</v>
      </c>
      <c r="FA65" s="8">
        <v>0</v>
      </c>
      <c r="FB65" s="9">
        <v>0</v>
      </c>
      <c r="FC65" s="7">
        <v>0</v>
      </c>
      <c r="FD65" s="8">
        <v>0</v>
      </c>
      <c r="FE65" s="9">
        <v>0</v>
      </c>
      <c r="FF65" s="7">
        <v>0</v>
      </c>
      <c r="FG65" s="8">
        <v>0</v>
      </c>
      <c r="FH65" s="9">
        <v>0</v>
      </c>
      <c r="FI65" s="7">
        <v>0</v>
      </c>
      <c r="FJ65" s="8">
        <v>0</v>
      </c>
      <c r="FK65" s="9">
        <v>0</v>
      </c>
      <c r="FL65" s="7">
        <v>0</v>
      </c>
      <c r="FM65" s="8">
        <v>0</v>
      </c>
      <c r="FN65" s="9">
        <v>0</v>
      </c>
      <c r="FO65" s="7">
        <v>-9849.4</v>
      </c>
      <c r="FP65" s="8">
        <v>0</v>
      </c>
      <c r="FQ65" s="9">
        <v>0</v>
      </c>
      <c r="FR65" s="7">
        <v>0</v>
      </c>
      <c r="FS65" s="8">
        <v>0</v>
      </c>
      <c r="FT65" s="9">
        <v>0</v>
      </c>
      <c r="FU65" s="7">
        <v>0</v>
      </c>
      <c r="FV65" s="8">
        <v>0</v>
      </c>
      <c r="FW65" s="9">
        <v>0</v>
      </c>
      <c r="FX65" s="7">
        <v>0</v>
      </c>
      <c r="FY65" s="8">
        <v>2361416.66666666</v>
      </c>
      <c r="FZ65" s="9">
        <v>0</v>
      </c>
      <c r="GA65" s="7">
        <v>0</v>
      </c>
      <c r="GB65" s="8">
        <v>0</v>
      </c>
      <c r="GC65" s="9">
        <v>0</v>
      </c>
      <c r="GD65" s="7">
        <v>0</v>
      </c>
      <c r="GE65" s="8">
        <v>0</v>
      </c>
      <c r="GF65" s="9">
        <v>0</v>
      </c>
      <c r="GG65" s="7">
        <v>0</v>
      </c>
      <c r="GH65" s="8">
        <v>0</v>
      </c>
      <c r="GI65" s="9">
        <v>0</v>
      </c>
      <c r="GJ65" s="7">
        <v>0</v>
      </c>
      <c r="GK65" s="8">
        <v>0</v>
      </c>
      <c r="GL65" s="9">
        <v>0</v>
      </c>
      <c r="GM65" s="7">
        <v>0</v>
      </c>
      <c r="GN65" s="8">
        <v>0</v>
      </c>
      <c r="GO65" s="9">
        <v>0</v>
      </c>
      <c r="GP65" s="7">
        <v>0</v>
      </c>
      <c r="GQ65" s="8">
        <v>0</v>
      </c>
      <c r="GR65" s="9">
        <v>0</v>
      </c>
      <c r="GS65" s="7">
        <v>0</v>
      </c>
      <c r="GT65" s="8">
        <v>0</v>
      </c>
      <c r="GU65" s="9">
        <v>0</v>
      </c>
      <c r="GV65" s="7">
        <v>0</v>
      </c>
      <c r="GW65" s="8">
        <v>0</v>
      </c>
      <c r="GX65" s="9">
        <v>0</v>
      </c>
      <c r="GY65" s="7">
        <v>0</v>
      </c>
      <c r="GZ65" s="8">
        <v>0</v>
      </c>
      <c r="HA65" s="9">
        <v>0</v>
      </c>
      <c r="HB65" s="7">
        <v>0</v>
      </c>
      <c r="HC65" s="8">
        <v>0</v>
      </c>
      <c r="HD65" s="9">
        <v>0</v>
      </c>
      <c r="HE65" s="7">
        <v>0</v>
      </c>
      <c r="HF65" s="8">
        <v>0</v>
      </c>
      <c r="HG65" s="9">
        <v>0</v>
      </c>
      <c r="HH65" s="7">
        <v>0</v>
      </c>
      <c r="HI65" s="8">
        <v>0</v>
      </c>
      <c r="HJ65" s="9">
        <v>0</v>
      </c>
      <c r="HK65" s="7">
        <v>0</v>
      </c>
      <c r="HL65" s="8">
        <v>0</v>
      </c>
      <c r="HM65" s="9">
        <v>0</v>
      </c>
      <c r="HN65" s="7">
        <v>0</v>
      </c>
      <c r="HO65" s="8">
        <v>0</v>
      </c>
      <c r="HP65" s="9">
        <v>0</v>
      </c>
    </row>
    <row r="66" spans="1:224" x14ac:dyDescent="0.25">
      <c r="A66" s="23" t="s">
        <v>269</v>
      </c>
      <c r="B66" s="26" t="s">
        <v>270</v>
      </c>
      <c r="C66" s="7">
        <v>-4214075.17</v>
      </c>
      <c r="D66" s="8">
        <v>-4330000</v>
      </c>
      <c r="E66" s="9">
        <v>-4330000</v>
      </c>
      <c r="F66" s="7">
        <v>-4214075.17</v>
      </c>
      <c r="G66" s="8">
        <v>-4330000</v>
      </c>
      <c r="H66" s="9">
        <v>-4330000</v>
      </c>
      <c r="I66" s="7">
        <v>0</v>
      </c>
      <c r="J66" s="8">
        <v>0</v>
      </c>
      <c r="K66" s="9">
        <v>0</v>
      </c>
      <c r="L66" s="7">
        <v>0</v>
      </c>
      <c r="M66" s="8">
        <v>0</v>
      </c>
      <c r="N66" s="9">
        <v>0</v>
      </c>
      <c r="O66" s="7">
        <v>0</v>
      </c>
      <c r="P66" s="8">
        <v>0</v>
      </c>
      <c r="Q66" s="9">
        <v>0</v>
      </c>
      <c r="R66" s="7">
        <v>0</v>
      </c>
      <c r="S66" s="8">
        <v>0</v>
      </c>
      <c r="T66" s="9">
        <v>0</v>
      </c>
      <c r="U66" s="7">
        <v>0</v>
      </c>
      <c r="V66" s="8">
        <v>0</v>
      </c>
      <c r="W66" s="9">
        <v>0</v>
      </c>
      <c r="X66" s="7">
        <v>0</v>
      </c>
      <c r="Y66" s="8">
        <v>0</v>
      </c>
      <c r="Z66" s="9">
        <v>0</v>
      </c>
      <c r="AA66" s="7">
        <v>0</v>
      </c>
      <c r="AB66" s="8">
        <v>0</v>
      </c>
      <c r="AC66" s="9">
        <v>0</v>
      </c>
      <c r="AD66" s="7">
        <v>0</v>
      </c>
      <c r="AE66" s="8">
        <v>0</v>
      </c>
      <c r="AF66" s="9">
        <v>0</v>
      </c>
      <c r="AG66" s="7">
        <v>0</v>
      </c>
      <c r="AH66" s="8">
        <v>0</v>
      </c>
      <c r="AI66" s="9">
        <v>0</v>
      </c>
      <c r="AJ66" s="7">
        <v>0</v>
      </c>
      <c r="AK66" s="8">
        <v>0</v>
      </c>
      <c r="AL66" s="9">
        <v>0</v>
      </c>
      <c r="AM66" s="7">
        <v>0</v>
      </c>
      <c r="AN66" s="8">
        <v>0</v>
      </c>
      <c r="AO66" s="9">
        <v>0</v>
      </c>
      <c r="AP66" s="7">
        <v>0</v>
      </c>
      <c r="AQ66" s="8">
        <v>0</v>
      </c>
      <c r="AR66" s="9">
        <v>0</v>
      </c>
      <c r="AS66" s="7">
        <v>0</v>
      </c>
      <c r="AT66" s="8">
        <v>0</v>
      </c>
      <c r="AU66" s="9">
        <v>0</v>
      </c>
      <c r="AV66" s="7">
        <v>0</v>
      </c>
      <c r="AW66" s="8">
        <v>0</v>
      </c>
      <c r="AX66" s="9">
        <v>0</v>
      </c>
      <c r="AY66" s="7">
        <v>0</v>
      </c>
      <c r="AZ66" s="8">
        <v>0</v>
      </c>
      <c r="BA66" s="9">
        <v>0</v>
      </c>
      <c r="BB66" s="7">
        <v>0</v>
      </c>
      <c r="BC66" s="8">
        <v>0</v>
      </c>
      <c r="BD66" s="9">
        <v>0</v>
      </c>
      <c r="BE66" s="7">
        <v>0</v>
      </c>
      <c r="BF66" s="8">
        <v>0</v>
      </c>
      <c r="BG66" s="9">
        <v>0</v>
      </c>
      <c r="BH66" s="7">
        <v>0</v>
      </c>
      <c r="BI66" s="8">
        <v>0</v>
      </c>
      <c r="BJ66" s="9">
        <v>0</v>
      </c>
      <c r="BK66" s="7">
        <v>0</v>
      </c>
      <c r="BL66" s="8">
        <v>0</v>
      </c>
      <c r="BM66" s="9">
        <v>0</v>
      </c>
      <c r="BN66" s="7">
        <v>0</v>
      </c>
      <c r="BO66" s="8">
        <v>0</v>
      </c>
      <c r="BP66" s="9">
        <v>0</v>
      </c>
      <c r="BQ66" s="7">
        <v>0</v>
      </c>
      <c r="BR66" s="8">
        <v>0</v>
      </c>
      <c r="BS66" s="9">
        <v>0</v>
      </c>
      <c r="BT66" s="7">
        <v>0</v>
      </c>
      <c r="BU66" s="8">
        <v>0</v>
      </c>
      <c r="BV66" s="9">
        <v>0</v>
      </c>
      <c r="BW66" s="7">
        <v>0</v>
      </c>
      <c r="BX66" s="8">
        <v>0</v>
      </c>
      <c r="BY66" s="9">
        <v>0</v>
      </c>
      <c r="BZ66" s="7">
        <v>0</v>
      </c>
      <c r="CA66" s="8">
        <v>0</v>
      </c>
      <c r="CB66" s="9">
        <v>0</v>
      </c>
      <c r="CC66" s="7">
        <v>0</v>
      </c>
      <c r="CD66" s="8">
        <v>0</v>
      </c>
      <c r="CE66" s="9">
        <v>0</v>
      </c>
      <c r="CF66" s="7">
        <v>0</v>
      </c>
      <c r="CG66" s="8">
        <v>0</v>
      </c>
      <c r="CH66" s="9">
        <v>0</v>
      </c>
      <c r="CI66" s="7">
        <v>0</v>
      </c>
      <c r="CJ66" s="8">
        <v>0</v>
      </c>
      <c r="CK66" s="9">
        <v>0</v>
      </c>
      <c r="CL66" s="7">
        <v>0</v>
      </c>
      <c r="CM66" s="8">
        <v>0</v>
      </c>
      <c r="CN66" s="9">
        <v>0</v>
      </c>
      <c r="CO66" s="7">
        <v>0</v>
      </c>
      <c r="CP66" s="8">
        <v>0</v>
      </c>
      <c r="CQ66" s="9">
        <v>0</v>
      </c>
      <c r="CR66" s="7">
        <v>0</v>
      </c>
      <c r="CS66" s="8">
        <v>0</v>
      </c>
      <c r="CT66" s="9">
        <v>0</v>
      </c>
      <c r="CU66" s="7">
        <v>0</v>
      </c>
      <c r="CV66" s="8">
        <v>0</v>
      </c>
      <c r="CW66" s="9">
        <v>0</v>
      </c>
      <c r="CX66" s="7">
        <v>0</v>
      </c>
      <c r="CY66" s="8">
        <v>0</v>
      </c>
      <c r="CZ66" s="9">
        <v>0</v>
      </c>
      <c r="DA66" s="7">
        <v>0</v>
      </c>
      <c r="DB66" s="8">
        <v>0</v>
      </c>
      <c r="DC66" s="9">
        <v>0</v>
      </c>
      <c r="DD66" s="7">
        <v>0</v>
      </c>
      <c r="DE66" s="8">
        <v>0</v>
      </c>
      <c r="DF66" s="9">
        <v>0</v>
      </c>
      <c r="DG66" s="7">
        <v>0</v>
      </c>
      <c r="DH66" s="8">
        <v>0</v>
      </c>
      <c r="DI66" s="9">
        <v>0</v>
      </c>
      <c r="DJ66" s="7">
        <v>0</v>
      </c>
      <c r="DK66" s="8">
        <v>0</v>
      </c>
      <c r="DL66" s="9">
        <v>0</v>
      </c>
      <c r="DM66" s="7">
        <v>0</v>
      </c>
      <c r="DN66" s="8">
        <v>0</v>
      </c>
      <c r="DO66" s="9">
        <v>0</v>
      </c>
      <c r="DP66" s="7">
        <v>0</v>
      </c>
      <c r="DQ66" s="8">
        <v>0</v>
      </c>
      <c r="DR66" s="9">
        <v>0</v>
      </c>
      <c r="DS66" s="7">
        <v>0</v>
      </c>
      <c r="DT66" s="8">
        <v>0</v>
      </c>
      <c r="DU66" s="9">
        <v>0</v>
      </c>
      <c r="DV66" s="7">
        <v>0</v>
      </c>
      <c r="DW66" s="8">
        <v>0</v>
      </c>
      <c r="DX66" s="9">
        <v>0</v>
      </c>
      <c r="DY66" s="7">
        <v>0</v>
      </c>
      <c r="DZ66" s="8">
        <v>0</v>
      </c>
      <c r="EA66" s="9">
        <v>0</v>
      </c>
      <c r="EB66" s="7">
        <v>0</v>
      </c>
      <c r="EC66" s="8">
        <v>0</v>
      </c>
      <c r="ED66" s="9">
        <v>0</v>
      </c>
      <c r="EE66" s="7">
        <v>0</v>
      </c>
      <c r="EF66" s="8">
        <v>0</v>
      </c>
      <c r="EG66" s="9">
        <v>0</v>
      </c>
      <c r="EH66" s="7">
        <v>0</v>
      </c>
      <c r="EI66" s="8">
        <v>0</v>
      </c>
      <c r="EJ66" s="9">
        <v>0</v>
      </c>
      <c r="EK66" s="7">
        <v>0</v>
      </c>
      <c r="EL66" s="8">
        <v>0</v>
      </c>
      <c r="EM66" s="9">
        <v>0</v>
      </c>
      <c r="EN66" s="7">
        <v>0</v>
      </c>
      <c r="EO66" s="8">
        <v>0</v>
      </c>
      <c r="EP66" s="9">
        <v>0</v>
      </c>
      <c r="EQ66" s="7">
        <v>0</v>
      </c>
      <c r="ER66" s="8">
        <v>0</v>
      </c>
      <c r="ES66" s="9">
        <v>0</v>
      </c>
      <c r="ET66" s="7">
        <v>0</v>
      </c>
      <c r="EU66" s="8">
        <v>0</v>
      </c>
      <c r="EV66" s="9">
        <v>0</v>
      </c>
      <c r="EW66" s="7">
        <v>0</v>
      </c>
      <c r="EX66" s="8">
        <v>0</v>
      </c>
      <c r="EY66" s="9">
        <v>0</v>
      </c>
      <c r="EZ66" s="7">
        <v>0</v>
      </c>
      <c r="FA66" s="8">
        <v>0</v>
      </c>
      <c r="FB66" s="9">
        <v>0</v>
      </c>
      <c r="FC66" s="7">
        <v>0</v>
      </c>
      <c r="FD66" s="8">
        <v>0</v>
      </c>
      <c r="FE66" s="9">
        <v>0</v>
      </c>
      <c r="FF66" s="7">
        <v>0</v>
      </c>
      <c r="FG66" s="8">
        <v>0</v>
      </c>
      <c r="FH66" s="9">
        <v>0</v>
      </c>
      <c r="FI66" s="7">
        <v>0</v>
      </c>
      <c r="FJ66" s="8">
        <v>0</v>
      </c>
      <c r="FK66" s="9">
        <v>0</v>
      </c>
      <c r="FL66" s="7">
        <v>0</v>
      </c>
      <c r="FM66" s="8">
        <v>0</v>
      </c>
      <c r="FN66" s="9">
        <v>0</v>
      </c>
      <c r="FO66" s="7">
        <v>0</v>
      </c>
      <c r="FP66" s="8">
        <v>0</v>
      </c>
      <c r="FQ66" s="9">
        <v>0</v>
      </c>
      <c r="FR66" s="7">
        <v>0</v>
      </c>
      <c r="FS66" s="8">
        <v>0</v>
      </c>
      <c r="FT66" s="9">
        <v>0</v>
      </c>
      <c r="FU66" s="7">
        <v>0</v>
      </c>
      <c r="FV66" s="8">
        <v>0</v>
      </c>
      <c r="FW66" s="9">
        <v>0</v>
      </c>
      <c r="FX66" s="7">
        <v>0</v>
      </c>
      <c r="FY66" s="8">
        <v>0</v>
      </c>
      <c r="FZ66" s="9">
        <v>0</v>
      </c>
      <c r="GA66" s="7">
        <v>0</v>
      </c>
      <c r="GB66" s="8">
        <v>0</v>
      </c>
      <c r="GC66" s="9">
        <v>0</v>
      </c>
      <c r="GD66" s="7">
        <v>0</v>
      </c>
      <c r="GE66" s="8">
        <v>0</v>
      </c>
      <c r="GF66" s="9">
        <v>0</v>
      </c>
      <c r="GG66" s="7">
        <v>0</v>
      </c>
      <c r="GH66" s="8">
        <v>0</v>
      </c>
      <c r="GI66" s="9">
        <v>0</v>
      </c>
      <c r="GJ66" s="7">
        <v>0</v>
      </c>
      <c r="GK66" s="8">
        <v>0</v>
      </c>
      <c r="GL66" s="9">
        <v>0</v>
      </c>
      <c r="GM66" s="7">
        <v>0</v>
      </c>
      <c r="GN66" s="8">
        <v>0</v>
      </c>
      <c r="GO66" s="9">
        <v>0</v>
      </c>
      <c r="GP66" s="7">
        <v>0</v>
      </c>
      <c r="GQ66" s="8">
        <v>0</v>
      </c>
      <c r="GR66" s="9">
        <v>0</v>
      </c>
      <c r="GS66" s="7">
        <v>0</v>
      </c>
      <c r="GT66" s="8">
        <v>0</v>
      </c>
      <c r="GU66" s="9">
        <v>0</v>
      </c>
      <c r="GV66" s="7">
        <v>0</v>
      </c>
      <c r="GW66" s="8">
        <v>0</v>
      </c>
      <c r="GX66" s="9">
        <v>0</v>
      </c>
      <c r="GY66" s="7">
        <v>0</v>
      </c>
      <c r="GZ66" s="8">
        <v>0</v>
      </c>
      <c r="HA66" s="9">
        <v>0</v>
      </c>
      <c r="HB66" s="7">
        <v>0</v>
      </c>
      <c r="HC66" s="8">
        <v>0</v>
      </c>
      <c r="HD66" s="9">
        <v>0</v>
      </c>
      <c r="HE66" s="7">
        <v>0</v>
      </c>
      <c r="HF66" s="8">
        <v>0</v>
      </c>
      <c r="HG66" s="9">
        <v>0</v>
      </c>
      <c r="HH66" s="7">
        <v>0</v>
      </c>
      <c r="HI66" s="8">
        <v>0</v>
      </c>
      <c r="HJ66" s="9">
        <v>0</v>
      </c>
      <c r="HK66" s="7">
        <v>0</v>
      </c>
      <c r="HL66" s="8">
        <v>0</v>
      </c>
      <c r="HM66" s="9">
        <v>0</v>
      </c>
      <c r="HN66" s="7">
        <v>0</v>
      </c>
      <c r="HO66" s="8">
        <v>0</v>
      </c>
      <c r="HP66" s="9">
        <v>0</v>
      </c>
    </row>
    <row r="67" spans="1:224" x14ac:dyDescent="0.25">
      <c r="A67" s="23" t="s">
        <v>271</v>
      </c>
      <c r="B67" s="26" t="s">
        <v>272</v>
      </c>
      <c r="C67" s="7">
        <v>-3199200.56</v>
      </c>
      <c r="D67" s="8">
        <v>-3170000</v>
      </c>
      <c r="E67" s="9">
        <v>-3500000</v>
      </c>
      <c r="F67" s="7">
        <v>0</v>
      </c>
      <c r="G67" s="8">
        <v>0</v>
      </c>
      <c r="H67" s="9">
        <v>0</v>
      </c>
      <c r="I67" s="7">
        <v>0</v>
      </c>
      <c r="J67" s="8">
        <v>0</v>
      </c>
      <c r="K67" s="9">
        <v>0</v>
      </c>
      <c r="L67" s="7">
        <v>0</v>
      </c>
      <c r="M67" s="8">
        <v>0</v>
      </c>
      <c r="N67" s="9">
        <v>0</v>
      </c>
      <c r="O67" s="7">
        <v>0</v>
      </c>
      <c r="P67" s="8">
        <v>0</v>
      </c>
      <c r="Q67" s="9">
        <v>0</v>
      </c>
      <c r="R67" s="7">
        <v>0</v>
      </c>
      <c r="S67" s="8">
        <v>0</v>
      </c>
      <c r="T67" s="9">
        <v>0</v>
      </c>
      <c r="U67" s="7">
        <v>0</v>
      </c>
      <c r="V67" s="8">
        <v>0</v>
      </c>
      <c r="W67" s="9">
        <v>0</v>
      </c>
      <c r="X67" s="7">
        <v>0</v>
      </c>
      <c r="Y67" s="8">
        <v>0</v>
      </c>
      <c r="Z67" s="9">
        <v>0</v>
      </c>
      <c r="AA67" s="7">
        <v>0</v>
      </c>
      <c r="AB67" s="8">
        <v>0</v>
      </c>
      <c r="AC67" s="9">
        <v>0</v>
      </c>
      <c r="AD67" s="7">
        <v>0</v>
      </c>
      <c r="AE67" s="8">
        <v>0</v>
      </c>
      <c r="AF67" s="9">
        <v>0</v>
      </c>
      <c r="AG67" s="7">
        <v>0</v>
      </c>
      <c r="AH67" s="8">
        <v>0</v>
      </c>
      <c r="AI67" s="9">
        <v>0</v>
      </c>
      <c r="AJ67" s="7">
        <v>0</v>
      </c>
      <c r="AK67" s="8">
        <v>0</v>
      </c>
      <c r="AL67" s="9">
        <v>0</v>
      </c>
      <c r="AM67" s="7">
        <v>0</v>
      </c>
      <c r="AN67" s="8">
        <v>0</v>
      </c>
      <c r="AO67" s="9">
        <v>0</v>
      </c>
      <c r="AP67" s="7">
        <v>0</v>
      </c>
      <c r="AQ67" s="8">
        <v>0</v>
      </c>
      <c r="AR67" s="9">
        <v>0</v>
      </c>
      <c r="AS67" s="7">
        <v>0</v>
      </c>
      <c r="AT67" s="8">
        <v>0</v>
      </c>
      <c r="AU67" s="9">
        <v>0</v>
      </c>
      <c r="AV67" s="7">
        <v>0</v>
      </c>
      <c r="AW67" s="8">
        <v>0</v>
      </c>
      <c r="AX67" s="9">
        <v>0</v>
      </c>
      <c r="AY67" s="7">
        <v>0</v>
      </c>
      <c r="AZ67" s="8">
        <v>0</v>
      </c>
      <c r="BA67" s="9">
        <v>0</v>
      </c>
      <c r="BB67" s="7">
        <v>0</v>
      </c>
      <c r="BC67" s="8">
        <v>0</v>
      </c>
      <c r="BD67" s="9">
        <v>0</v>
      </c>
      <c r="BE67" s="7">
        <v>0</v>
      </c>
      <c r="BF67" s="8">
        <v>0</v>
      </c>
      <c r="BG67" s="9">
        <v>0</v>
      </c>
      <c r="BH67" s="7">
        <v>0</v>
      </c>
      <c r="BI67" s="8">
        <v>0</v>
      </c>
      <c r="BJ67" s="9">
        <v>0</v>
      </c>
      <c r="BK67" s="7">
        <v>0</v>
      </c>
      <c r="BL67" s="8">
        <v>0</v>
      </c>
      <c r="BM67" s="9">
        <v>0</v>
      </c>
      <c r="BN67" s="7">
        <v>0</v>
      </c>
      <c r="BO67" s="8">
        <v>0</v>
      </c>
      <c r="BP67" s="9">
        <v>0</v>
      </c>
      <c r="BQ67" s="7">
        <v>0</v>
      </c>
      <c r="BR67" s="8">
        <v>0</v>
      </c>
      <c r="BS67" s="9">
        <v>0</v>
      </c>
      <c r="BT67" s="7">
        <v>0</v>
      </c>
      <c r="BU67" s="8">
        <v>0</v>
      </c>
      <c r="BV67" s="9">
        <v>0</v>
      </c>
      <c r="BW67" s="7">
        <v>0</v>
      </c>
      <c r="BX67" s="8">
        <v>0</v>
      </c>
      <c r="BY67" s="9">
        <v>0</v>
      </c>
      <c r="BZ67" s="7">
        <v>0</v>
      </c>
      <c r="CA67" s="8">
        <v>0</v>
      </c>
      <c r="CB67" s="9">
        <v>0</v>
      </c>
      <c r="CC67" s="7">
        <v>0</v>
      </c>
      <c r="CD67" s="8">
        <v>0</v>
      </c>
      <c r="CE67" s="9">
        <v>0</v>
      </c>
      <c r="CF67" s="7">
        <v>0</v>
      </c>
      <c r="CG67" s="8">
        <v>0</v>
      </c>
      <c r="CH67" s="9">
        <v>0</v>
      </c>
      <c r="CI67" s="7">
        <v>0</v>
      </c>
      <c r="CJ67" s="8">
        <v>0</v>
      </c>
      <c r="CK67" s="9">
        <v>0</v>
      </c>
      <c r="CL67" s="7">
        <v>0</v>
      </c>
      <c r="CM67" s="8">
        <v>0</v>
      </c>
      <c r="CN67" s="9">
        <v>0</v>
      </c>
      <c r="CO67" s="7">
        <v>0</v>
      </c>
      <c r="CP67" s="8">
        <v>0</v>
      </c>
      <c r="CQ67" s="9">
        <v>0</v>
      </c>
      <c r="CR67" s="7">
        <v>0</v>
      </c>
      <c r="CS67" s="8">
        <v>0</v>
      </c>
      <c r="CT67" s="9">
        <v>0</v>
      </c>
      <c r="CU67" s="7">
        <v>-3199200.56</v>
      </c>
      <c r="CV67" s="8">
        <v>-3170000</v>
      </c>
      <c r="CW67" s="9">
        <v>-3500000</v>
      </c>
      <c r="CX67" s="7">
        <v>0</v>
      </c>
      <c r="CY67" s="8">
        <v>0</v>
      </c>
      <c r="CZ67" s="9">
        <v>0</v>
      </c>
      <c r="DA67" s="7">
        <v>0</v>
      </c>
      <c r="DB67" s="8">
        <v>0</v>
      </c>
      <c r="DC67" s="9">
        <v>0</v>
      </c>
      <c r="DD67" s="7">
        <v>0</v>
      </c>
      <c r="DE67" s="8">
        <v>0</v>
      </c>
      <c r="DF67" s="9">
        <v>0</v>
      </c>
      <c r="DG67" s="7">
        <v>0</v>
      </c>
      <c r="DH67" s="8">
        <v>0</v>
      </c>
      <c r="DI67" s="9">
        <v>0</v>
      </c>
      <c r="DJ67" s="7">
        <v>0</v>
      </c>
      <c r="DK67" s="8">
        <v>0</v>
      </c>
      <c r="DL67" s="9">
        <v>0</v>
      </c>
      <c r="DM67" s="7">
        <v>0</v>
      </c>
      <c r="DN67" s="8">
        <v>0</v>
      </c>
      <c r="DO67" s="9">
        <v>0</v>
      </c>
      <c r="DP67" s="7">
        <v>0</v>
      </c>
      <c r="DQ67" s="8">
        <v>0</v>
      </c>
      <c r="DR67" s="9">
        <v>0</v>
      </c>
      <c r="DS67" s="7">
        <v>0</v>
      </c>
      <c r="DT67" s="8">
        <v>0</v>
      </c>
      <c r="DU67" s="9">
        <v>0</v>
      </c>
      <c r="DV67" s="7">
        <v>0</v>
      </c>
      <c r="DW67" s="8">
        <v>0</v>
      </c>
      <c r="DX67" s="9">
        <v>0</v>
      </c>
      <c r="DY67" s="7">
        <v>0</v>
      </c>
      <c r="DZ67" s="8">
        <v>0</v>
      </c>
      <c r="EA67" s="9">
        <v>0</v>
      </c>
      <c r="EB67" s="7">
        <v>0</v>
      </c>
      <c r="EC67" s="8">
        <v>0</v>
      </c>
      <c r="ED67" s="9">
        <v>0</v>
      </c>
      <c r="EE67" s="7">
        <v>0</v>
      </c>
      <c r="EF67" s="8">
        <v>0</v>
      </c>
      <c r="EG67" s="9">
        <v>0</v>
      </c>
      <c r="EH67" s="7">
        <v>0</v>
      </c>
      <c r="EI67" s="8">
        <v>0</v>
      </c>
      <c r="EJ67" s="9">
        <v>0</v>
      </c>
      <c r="EK67" s="7">
        <v>0</v>
      </c>
      <c r="EL67" s="8">
        <v>0</v>
      </c>
      <c r="EM67" s="9">
        <v>0</v>
      </c>
      <c r="EN67" s="7">
        <v>0</v>
      </c>
      <c r="EO67" s="8">
        <v>0</v>
      </c>
      <c r="EP67" s="9">
        <v>0</v>
      </c>
      <c r="EQ67" s="7">
        <v>0</v>
      </c>
      <c r="ER67" s="8">
        <v>0</v>
      </c>
      <c r="ES67" s="9">
        <v>0</v>
      </c>
      <c r="ET67" s="7">
        <v>0</v>
      </c>
      <c r="EU67" s="8">
        <v>0</v>
      </c>
      <c r="EV67" s="9">
        <v>0</v>
      </c>
      <c r="EW67" s="7">
        <v>0</v>
      </c>
      <c r="EX67" s="8">
        <v>0</v>
      </c>
      <c r="EY67" s="9">
        <v>0</v>
      </c>
      <c r="EZ67" s="7">
        <v>0</v>
      </c>
      <c r="FA67" s="8">
        <v>0</v>
      </c>
      <c r="FB67" s="9">
        <v>0</v>
      </c>
      <c r="FC67" s="7">
        <v>0</v>
      </c>
      <c r="FD67" s="8">
        <v>0</v>
      </c>
      <c r="FE67" s="9">
        <v>0</v>
      </c>
      <c r="FF67" s="7">
        <v>0</v>
      </c>
      <c r="FG67" s="8">
        <v>0</v>
      </c>
      <c r="FH67" s="9">
        <v>0</v>
      </c>
      <c r="FI67" s="7">
        <v>0</v>
      </c>
      <c r="FJ67" s="8">
        <v>0</v>
      </c>
      <c r="FK67" s="9">
        <v>0</v>
      </c>
      <c r="FL67" s="7">
        <v>0</v>
      </c>
      <c r="FM67" s="8">
        <v>0</v>
      </c>
      <c r="FN67" s="9">
        <v>0</v>
      </c>
      <c r="FO67" s="7">
        <v>0</v>
      </c>
      <c r="FP67" s="8">
        <v>0</v>
      </c>
      <c r="FQ67" s="9">
        <v>0</v>
      </c>
      <c r="FR67" s="7">
        <v>0</v>
      </c>
      <c r="FS67" s="8">
        <v>0</v>
      </c>
      <c r="FT67" s="9">
        <v>0</v>
      </c>
      <c r="FU67" s="7">
        <v>0</v>
      </c>
      <c r="FV67" s="8">
        <v>0</v>
      </c>
      <c r="FW67" s="9">
        <v>0</v>
      </c>
      <c r="FX67" s="7">
        <v>0</v>
      </c>
      <c r="FY67" s="8">
        <v>0</v>
      </c>
      <c r="FZ67" s="9">
        <v>0</v>
      </c>
      <c r="GA67" s="7">
        <v>0</v>
      </c>
      <c r="GB67" s="8">
        <v>0</v>
      </c>
      <c r="GC67" s="9">
        <v>0</v>
      </c>
      <c r="GD67" s="7">
        <v>0</v>
      </c>
      <c r="GE67" s="8">
        <v>0</v>
      </c>
      <c r="GF67" s="9">
        <v>0</v>
      </c>
      <c r="GG67" s="7">
        <v>0</v>
      </c>
      <c r="GH67" s="8">
        <v>0</v>
      </c>
      <c r="GI67" s="9">
        <v>0</v>
      </c>
      <c r="GJ67" s="7">
        <v>0</v>
      </c>
      <c r="GK67" s="8">
        <v>0</v>
      </c>
      <c r="GL67" s="9">
        <v>0</v>
      </c>
      <c r="GM67" s="7">
        <v>0</v>
      </c>
      <c r="GN67" s="8">
        <v>0</v>
      </c>
      <c r="GO67" s="9">
        <v>0</v>
      </c>
      <c r="GP67" s="7">
        <v>0</v>
      </c>
      <c r="GQ67" s="8">
        <v>0</v>
      </c>
      <c r="GR67" s="9">
        <v>0</v>
      </c>
      <c r="GS67" s="7">
        <v>0</v>
      </c>
      <c r="GT67" s="8">
        <v>0</v>
      </c>
      <c r="GU67" s="9">
        <v>0</v>
      </c>
      <c r="GV67" s="7">
        <v>0</v>
      </c>
      <c r="GW67" s="8">
        <v>0</v>
      </c>
      <c r="GX67" s="9">
        <v>0</v>
      </c>
      <c r="GY67" s="7">
        <v>0</v>
      </c>
      <c r="GZ67" s="8">
        <v>0</v>
      </c>
      <c r="HA67" s="9">
        <v>0</v>
      </c>
      <c r="HB67" s="7">
        <v>0</v>
      </c>
      <c r="HC67" s="8">
        <v>0</v>
      </c>
      <c r="HD67" s="9">
        <v>0</v>
      </c>
      <c r="HE67" s="7">
        <v>0</v>
      </c>
      <c r="HF67" s="8">
        <v>0</v>
      </c>
      <c r="HG67" s="9">
        <v>0</v>
      </c>
      <c r="HH67" s="7">
        <v>0</v>
      </c>
      <c r="HI67" s="8">
        <v>0</v>
      </c>
      <c r="HJ67" s="9">
        <v>0</v>
      </c>
      <c r="HK67" s="7">
        <v>0</v>
      </c>
      <c r="HL67" s="8">
        <v>0</v>
      </c>
      <c r="HM67" s="9">
        <v>0</v>
      </c>
      <c r="HN67" s="7">
        <v>0</v>
      </c>
      <c r="HO67" s="8">
        <v>0</v>
      </c>
      <c r="HP67" s="9">
        <v>0</v>
      </c>
    </row>
    <row r="68" spans="1:224" x14ac:dyDescent="0.25">
      <c r="A68" s="23" t="s">
        <v>273</v>
      </c>
      <c r="B68" s="26" t="s">
        <v>274</v>
      </c>
      <c r="C68" s="7">
        <v>-200166.99</v>
      </c>
      <c r="D68" s="8">
        <v>-199999.999999992</v>
      </c>
      <c r="E68" s="9">
        <v>-200000</v>
      </c>
      <c r="F68" s="7">
        <v>0</v>
      </c>
      <c r="G68" s="8">
        <v>0</v>
      </c>
      <c r="H68" s="9">
        <v>0</v>
      </c>
      <c r="I68" s="7">
        <v>0</v>
      </c>
      <c r="J68" s="8">
        <v>0</v>
      </c>
      <c r="K68" s="9">
        <v>0</v>
      </c>
      <c r="L68" s="7">
        <v>0</v>
      </c>
      <c r="M68" s="8">
        <v>0</v>
      </c>
      <c r="N68" s="9">
        <v>0</v>
      </c>
      <c r="O68" s="7">
        <v>0</v>
      </c>
      <c r="P68" s="8">
        <v>0</v>
      </c>
      <c r="Q68" s="9">
        <v>0</v>
      </c>
      <c r="R68" s="7">
        <v>0</v>
      </c>
      <c r="S68" s="8">
        <v>0</v>
      </c>
      <c r="T68" s="9">
        <v>0</v>
      </c>
      <c r="U68" s="7">
        <v>0</v>
      </c>
      <c r="V68" s="8">
        <v>0</v>
      </c>
      <c r="W68" s="9">
        <v>0</v>
      </c>
      <c r="X68" s="7">
        <v>0</v>
      </c>
      <c r="Y68" s="8">
        <v>0</v>
      </c>
      <c r="Z68" s="9">
        <v>0</v>
      </c>
      <c r="AA68" s="7">
        <v>0</v>
      </c>
      <c r="AB68" s="8">
        <v>0</v>
      </c>
      <c r="AC68" s="9">
        <v>0</v>
      </c>
      <c r="AD68" s="7">
        <v>0</v>
      </c>
      <c r="AE68" s="8">
        <v>0</v>
      </c>
      <c r="AF68" s="9">
        <v>0</v>
      </c>
      <c r="AG68" s="7">
        <v>0</v>
      </c>
      <c r="AH68" s="8">
        <v>0</v>
      </c>
      <c r="AI68" s="9">
        <v>0</v>
      </c>
      <c r="AJ68" s="7">
        <v>0</v>
      </c>
      <c r="AK68" s="8">
        <v>0</v>
      </c>
      <c r="AL68" s="9">
        <v>0</v>
      </c>
      <c r="AM68" s="7">
        <v>0</v>
      </c>
      <c r="AN68" s="8">
        <v>0</v>
      </c>
      <c r="AO68" s="9">
        <v>0</v>
      </c>
      <c r="AP68" s="7">
        <v>0</v>
      </c>
      <c r="AQ68" s="8">
        <v>0</v>
      </c>
      <c r="AR68" s="9">
        <v>0</v>
      </c>
      <c r="AS68" s="7">
        <v>0</v>
      </c>
      <c r="AT68" s="8">
        <v>0</v>
      </c>
      <c r="AU68" s="9">
        <v>0</v>
      </c>
      <c r="AV68" s="7">
        <v>0</v>
      </c>
      <c r="AW68" s="8">
        <v>0</v>
      </c>
      <c r="AX68" s="9">
        <v>0</v>
      </c>
      <c r="AY68" s="7">
        <v>0</v>
      </c>
      <c r="AZ68" s="8">
        <v>0</v>
      </c>
      <c r="BA68" s="9">
        <v>0</v>
      </c>
      <c r="BB68" s="7">
        <v>0</v>
      </c>
      <c r="BC68" s="8">
        <v>0</v>
      </c>
      <c r="BD68" s="9">
        <v>0</v>
      </c>
      <c r="BE68" s="7">
        <v>0</v>
      </c>
      <c r="BF68" s="8">
        <v>0</v>
      </c>
      <c r="BG68" s="9">
        <v>0</v>
      </c>
      <c r="BH68" s="7">
        <v>0</v>
      </c>
      <c r="BI68" s="8">
        <v>0</v>
      </c>
      <c r="BJ68" s="9">
        <v>0</v>
      </c>
      <c r="BK68" s="7">
        <v>-200166.99</v>
      </c>
      <c r="BL68" s="8">
        <v>-199999.999999992</v>
      </c>
      <c r="BM68" s="9">
        <v>-200000</v>
      </c>
      <c r="BN68" s="7">
        <v>0</v>
      </c>
      <c r="BO68" s="8">
        <v>0</v>
      </c>
      <c r="BP68" s="9">
        <v>0</v>
      </c>
      <c r="BQ68" s="7">
        <v>0</v>
      </c>
      <c r="BR68" s="8">
        <v>0</v>
      </c>
      <c r="BS68" s="9">
        <v>0</v>
      </c>
      <c r="BT68" s="7">
        <v>0</v>
      </c>
      <c r="BU68" s="8">
        <v>0</v>
      </c>
      <c r="BV68" s="9">
        <v>0</v>
      </c>
      <c r="BW68" s="7">
        <v>0</v>
      </c>
      <c r="BX68" s="8">
        <v>0</v>
      </c>
      <c r="BY68" s="9">
        <v>0</v>
      </c>
      <c r="BZ68" s="7">
        <v>0</v>
      </c>
      <c r="CA68" s="8">
        <v>0</v>
      </c>
      <c r="CB68" s="9">
        <v>0</v>
      </c>
      <c r="CC68" s="7">
        <v>0</v>
      </c>
      <c r="CD68" s="8">
        <v>0</v>
      </c>
      <c r="CE68" s="9">
        <v>0</v>
      </c>
      <c r="CF68" s="7">
        <v>0</v>
      </c>
      <c r="CG68" s="8">
        <v>0</v>
      </c>
      <c r="CH68" s="9">
        <v>0</v>
      </c>
      <c r="CI68" s="7">
        <v>0</v>
      </c>
      <c r="CJ68" s="8">
        <v>0</v>
      </c>
      <c r="CK68" s="9">
        <v>0</v>
      </c>
      <c r="CL68" s="7">
        <v>0</v>
      </c>
      <c r="CM68" s="8">
        <v>0</v>
      </c>
      <c r="CN68" s="9">
        <v>0</v>
      </c>
      <c r="CO68" s="7">
        <v>0</v>
      </c>
      <c r="CP68" s="8">
        <v>0</v>
      </c>
      <c r="CQ68" s="9">
        <v>0</v>
      </c>
      <c r="CR68" s="7">
        <v>0</v>
      </c>
      <c r="CS68" s="8">
        <v>0</v>
      </c>
      <c r="CT68" s="9">
        <v>0</v>
      </c>
      <c r="CU68" s="7">
        <v>0</v>
      </c>
      <c r="CV68" s="8">
        <v>0</v>
      </c>
      <c r="CW68" s="9">
        <v>0</v>
      </c>
      <c r="CX68" s="7">
        <v>0</v>
      </c>
      <c r="CY68" s="8">
        <v>0</v>
      </c>
      <c r="CZ68" s="9">
        <v>0</v>
      </c>
      <c r="DA68" s="7">
        <v>0</v>
      </c>
      <c r="DB68" s="8">
        <v>0</v>
      </c>
      <c r="DC68" s="9">
        <v>0</v>
      </c>
      <c r="DD68" s="7">
        <v>0</v>
      </c>
      <c r="DE68" s="8">
        <v>0</v>
      </c>
      <c r="DF68" s="9">
        <v>0</v>
      </c>
      <c r="DG68" s="7">
        <v>0</v>
      </c>
      <c r="DH68" s="8">
        <v>0</v>
      </c>
      <c r="DI68" s="9">
        <v>0</v>
      </c>
      <c r="DJ68" s="7">
        <v>0</v>
      </c>
      <c r="DK68" s="8">
        <v>0</v>
      </c>
      <c r="DL68" s="9">
        <v>0</v>
      </c>
      <c r="DM68" s="7">
        <v>0</v>
      </c>
      <c r="DN68" s="8">
        <v>0</v>
      </c>
      <c r="DO68" s="9">
        <v>0</v>
      </c>
      <c r="DP68" s="7">
        <v>0</v>
      </c>
      <c r="DQ68" s="8">
        <v>0</v>
      </c>
      <c r="DR68" s="9">
        <v>0</v>
      </c>
      <c r="DS68" s="7">
        <v>0</v>
      </c>
      <c r="DT68" s="8">
        <v>0</v>
      </c>
      <c r="DU68" s="9">
        <v>0</v>
      </c>
      <c r="DV68" s="7">
        <v>0</v>
      </c>
      <c r="DW68" s="8">
        <v>0</v>
      </c>
      <c r="DX68" s="9">
        <v>0</v>
      </c>
      <c r="DY68" s="7">
        <v>0</v>
      </c>
      <c r="DZ68" s="8">
        <v>0</v>
      </c>
      <c r="EA68" s="9">
        <v>0</v>
      </c>
      <c r="EB68" s="7">
        <v>0</v>
      </c>
      <c r="EC68" s="8">
        <v>0</v>
      </c>
      <c r="ED68" s="9">
        <v>0</v>
      </c>
      <c r="EE68" s="7">
        <v>0</v>
      </c>
      <c r="EF68" s="8">
        <v>0</v>
      </c>
      <c r="EG68" s="9">
        <v>0</v>
      </c>
      <c r="EH68" s="7">
        <v>0</v>
      </c>
      <c r="EI68" s="8">
        <v>0</v>
      </c>
      <c r="EJ68" s="9">
        <v>0</v>
      </c>
      <c r="EK68" s="7">
        <v>0</v>
      </c>
      <c r="EL68" s="8">
        <v>0</v>
      </c>
      <c r="EM68" s="9">
        <v>0</v>
      </c>
      <c r="EN68" s="7">
        <v>0</v>
      </c>
      <c r="EO68" s="8">
        <v>0</v>
      </c>
      <c r="EP68" s="9">
        <v>0</v>
      </c>
      <c r="EQ68" s="7">
        <v>0</v>
      </c>
      <c r="ER68" s="8">
        <v>0</v>
      </c>
      <c r="ES68" s="9">
        <v>0</v>
      </c>
      <c r="ET68" s="7">
        <v>0</v>
      </c>
      <c r="EU68" s="8">
        <v>0</v>
      </c>
      <c r="EV68" s="9">
        <v>0</v>
      </c>
      <c r="EW68" s="7">
        <v>0</v>
      </c>
      <c r="EX68" s="8">
        <v>0</v>
      </c>
      <c r="EY68" s="9">
        <v>0</v>
      </c>
      <c r="EZ68" s="7">
        <v>0</v>
      </c>
      <c r="FA68" s="8">
        <v>0</v>
      </c>
      <c r="FB68" s="9">
        <v>0</v>
      </c>
      <c r="FC68" s="7">
        <v>0</v>
      </c>
      <c r="FD68" s="8">
        <v>0</v>
      </c>
      <c r="FE68" s="9">
        <v>0</v>
      </c>
      <c r="FF68" s="7">
        <v>0</v>
      </c>
      <c r="FG68" s="8">
        <v>0</v>
      </c>
      <c r="FH68" s="9">
        <v>0</v>
      </c>
      <c r="FI68" s="7">
        <v>0</v>
      </c>
      <c r="FJ68" s="8">
        <v>0</v>
      </c>
      <c r="FK68" s="9">
        <v>0</v>
      </c>
      <c r="FL68" s="7">
        <v>0</v>
      </c>
      <c r="FM68" s="8">
        <v>0</v>
      </c>
      <c r="FN68" s="9">
        <v>0</v>
      </c>
      <c r="FO68" s="7">
        <v>0</v>
      </c>
      <c r="FP68" s="8">
        <v>0</v>
      </c>
      <c r="FQ68" s="9">
        <v>0</v>
      </c>
      <c r="FR68" s="7">
        <v>0</v>
      </c>
      <c r="FS68" s="8">
        <v>0</v>
      </c>
      <c r="FT68" s="9">
        <v>0</v>
      </c>
      <c r="FU68" s="7">
        <v>0</v>
      </c>
      <c r="FV68" s="8">
        <v>0</v>
      </c>
      <c r="FW68" s="9">
        <v>0</v>
      </c>
      <c r="FX68" s="7">
        <v>0</v>
      </c>
      <c r="FY68" s="8">
        <v>0</v>
      </c>
      <c r="FZ68" s="9">
        <v>0</v>
      </c>
      <c r="GA68" s="7">
        <v>0</v>
      </c>
      <c r="GB68" s="8">
        <v>0</v>
      </c>
      <c r="GC68" s="9">
        <v>0</v>
      </c>
      <c r="GD68" s="7">
        <v>0</v>
      </c>
      <c r="GE68" s="8">
        <v>0</v>
      </c>
      <c r="GF68" s="9">
        <v>0</v>
      </c>
      <c r="GG68" s="7">
        <v>0</v>
      </c>
      <c r="GH68" s="8">
        <v>0</v>
      </c>
      <c r="GI68" s="9">
        <v>0</v>
      </c>
      <c r="GJ68" s="7">
        <v>0</v>
      </c>
      <c r="GK68" s="8">
        <v>0</v>
      </c>
      <c r="GL68" s="9">
        <v>0</v>
      </c>
      <c r="GM68" s="7">
        <v>0</v>
      </c>
      <c r="GN68" s="8">
        <v>0</v>
      </c>
      <c r="GO68" s="9">
        <v>0</v>
      </c>
      <c r="GP68" s="7">
        <v>0</v>
      </c>
      <c r="GQ68" s="8">
        <v>0</v>
      </c>
      <c r="GR68" s="9">
        <v>0</v>
      </c>
      <c r="GS68" s="7">
        <v>0</v>
      </c>
      <c r="GT68" s="8">
        <v>0</v>
      </c>
      <c r="GU68" s="9">
        <v>0</v>
      </c>
      <c r="GV68" s="7">
        <v>0</v>
      </c>
      <c r="GW68" s="8">
        <v>0</v>
      </c>
      <c r="GX68" s="9">
        <v>0</v>
      </c>
      <c r="GY68" s="7">
        <v>0</v>
      </c>
      <c r="GZ68" s="8">
        <v>0</v>
      </c>
      <c r="HA68" s="9">
        <v>0</v>
      </c>
      <c r="HB68" s="7">
        <v>0</v>
      </c>
      <c r="HC68" s="8">
        <v>0</v>
      </c>
      <c r="HD68" s="9">
        <v>0</v>
      </c>
      <c r="HE68" s="7">
        <v>0</v>
      </c>
      <c r="HF68" s="8">
        <v>0</v>
      </c>
      <c r="HG68" s="9">
        <v>0</v>
      </c>
      <c r="HH68" s="7">
        <v>0</v>
      </c>
      <c r="HI68" s="8">
        <v>0</v>
      </c>
      <c r="HJ68" s="9">
        <v>0</v>
      </c>
      <c r="HK68" s="7">
        <v>0</v>
      </c>
      <c r="HL68" s="8">
        <v>0</v>
      </c>
      <c r="HM68" s="9">
        <v>0</v>
      </c>
      <c r="HN68" s="7">
        <v>0</v>
      </c>
      <c r="HO68" s="8">
        <v>0</v>
      </c>
      <c r="HP68" s="9">
        <v>0</v>
      </c>
    </row>
    <row r="69" spans="1:224" x14ac:dyDescent="0.25">
      <c r="A69" s="23" t="s">
        <v>275</v>
      </c>
      <c r="B69" s="26" t="s">
        <v>276</v>
      </c>
      <c r="C69" s="7">
        <v>-2385820.9300000002</v>
      </c>
      <c r="D69" s="8">
        <v>-2107000</v>
      </c>
      <c r="E69" s="9">
        <v>-1806000</v>
      </c>
      <c r="F69" s="7">
        <v>-103897.18</v>
      </c>
      <c r="G69" s="8">
        <v>0</v>
      </c>
      <c r="H69" s="9">
        <v>-6000</v>
      </c>
      <c r="I69" s="7">
        <v>-192171.34</v>
      </c>
      <c r="J69" s="8">
        <v>0</v>
      </c>
      <c r="K69" s="9">
        <v>0</v>
      </c>
      <c r="L69" s="7">
        <v>0</v>
      </c>
      <c r="M69" s="8">
        <v>0</v>
      </c>
      <c r="N69" s="9">
        <v>0</v>
      </c>
      <c r="O69" s="7">
        <v>-411682.66</v>
      </c>
      <c r="P69" s="8">
        <v>0</v>
      </c>
      <c r="Q69" s="9">
        <v>0</v>
      </c>
      <c r="R69" s="7">
        <v>0</v>
      </c>
      <c r="S69" s="8">
        <v>0</v>
      </c>
      <c r="T69" s="9">
        <v>0</v>
      </c>
      <c r="U69" s="7">
        <v>-12349</v>
      </c>
      <c r="V69" s="8">
        <v>0</v>
      </c>
      <c r="W69" s="9">
        <v>0</v>
      </c>
      <c r="X69" s="7">
        <v>-25893.15</v>
      </c>
      <c r="Y69" s="8">
        <v>0</v>
      </c>
      <c r="Z69" s="9">
        <v>0</v>
      </c>
      <c r="AA69" s="7">
        <v>-303.39999999999998</v>
      </c>
      <c r="AB69" s="8">
        <v>0</v>
      </c>
      <c r="AC69" s="9">
        <v>0</v>
      </c>
      <c r="AD69" s="7">
        <v>0</v>
      </c>
      <c r="AE69" s="8">
        <v>0</v>
      </c>
      <c r="AF69" s="9">
        <v>0</v>
      </c>
      <c r="AG69" s="7">
        <v>-39123</v>
      </c>
      <c r="AH69" s="8">
        <v>0</v>
      </c>
      <c r="AI69" s="9">
        <v>0</v>
      </c>
      <c r="AJ69" s="7">
        <v>0</v>
      </c>
      <c r="AK69" s="8">
        <v>0</v>
      </c>
      <c r="AL69" s="9">
        <v>0</v>
      </c>
      <c r="AM69" s="7">
        <v>0</v>
      </c>
      <c r="AN69" s="8">
        <v>0</v>
      </c>
      <c r="AO69" s="9">
        <v>0</v>
      </c>
      <c r="AP69" s="7">
        <v>-6899.41</v>
      </c>
      <c r="AQ69" s="8">
        <v>0</v>
      </c>
      <c r="AR69" s="9">
        <v>0</v>
      </c>
      <c r="AS69" s="7">
        <v>0</v>
      </c>
      <c r="AT69" s="8">
        <v>0</v>
      </c>
      <c r="AU69" s="9">
        <v>0</v>
      </c>
      <c r="AV69" s="7">
        <v>0</v>
      </c>
      <c r="AW69" s="8">
        <v>0</v>
      </c>
      <c r="AX69" s="9">
        <v>0</v>
      </c>
      <c r="AY69" s="7">
        <v>-170868.07</v>
      </c>
      <c r="AZ69" s="8">
        <v>0</v>
      </c>
      <c r="BA69" s="9">
        <v>0</v>
      </c>
      <c r="BB69" s="7">
        <v>0</v>
      </c>
      <c r="BC69" s="8">
        <v>0</v>
      </c>
      <c r="BD69" s="9">
        <v>0</v>
      </c>
      <c r="BE69" s="7">
        <v>0</v>
      </c>
      <c r="BF69" s="8">
        <v>0</v>
      </c>
      <c r="BG69" s="9">
        <v>0</v>
      </c>
      <c r="BH69" s="7">
        <v>0</v>
      </c>
      <c r="BI69" s="8">
        <v>0</v>
      </c>
      <c r="BJ69" s="9">
        <v>0</v>
      </c>
      <c r="BK69" s="7">
        <v>0</v>
      </c>
      <c r="BL69" s="8">
        <v>0</v>
      </c>
      <c r="BM69" s="9">
        <v>0</v>
      </c>
      <c r="BN69" s="7">
        <v>-15678.41</v>
      </c>
      <c r="BO69" s="8">
        <v>0</v>
      </c>
      <c r="BP69" s="9">
        <v>0</v>
      </c>
      <c r="BQ69" s="7">
        <v>0</v>
      </c>
      <c r="BR69" s="8">
        <v>0</v>
      </c>
      <c r="BS69" s="9">
        <v>0</v>
      </c>
      <c r="BT69" s="7">
        <v>0</v>
      </c>
      <c r="BU69" s="8">
        <v>0</v>
      </c>
      <c r="BV69" s="9">
        <v>0</v>
      </c>
      <c r="BW69" s="7">
        <v>-230545.29</v>
      </c>
      <c r="BX69" s="8">
        <v>0</v>
      </c>
      <c r="BY69" s="9">
        <v>0</v>
      </c>
      <c r="BZ69" s="7">
        <v>0</v>
      </c>
      <c r="CA69" s="8">
        <v>0</v>
      </c>
      <c r="CB69" s="9">
        <v>0</v>
      </c>
      <c r="CC69" s="7">
        <v>0</v>
      </c>
      <c r="CD69" s="8">
        <v>0</v>
      </c>
      <c r="CE69" s="9">
        <v>0</v>
      </c>
      <c r="CF69" s="7">
        <v>0</v>
      </c>
      <c r="CG69" s="8">
        <v>0</v>
      </c>
      <c r="CH69" s="9">
        <v>0</v>
      </c>
      <c r="CI69" s="7">
        <v>0</v>
      </c>
      <c r="CJ69" s="8">
        <v>0</v>
      </c>
      <c r="CK69" s="9">
        <v>0</v>
      </c>
      <c r="CL69" s="7">
        <v>-931.5</v>
      </c>
      <c r="CM69" s="8">
        <v>0</v>
      </c>
      <c r="CN69" s="9">
        <v>0</v>
      </c>
      <c r="CO69" s="7">
        <v>-417104.78</v>
      </c>
      <c r="CP69" s="8">
        <v>-429999.99999999598</v>
      </c>
      <c r="CQ69" s="9">
        <v>-480000</v>
      </c>
      <c r="CR69" s="7">
        <v>0</v>
      </c>
      <c r="CS69" s="8">
        <v>0</v>
      </c>
      <c r="CT69" s="9">
        <v>0</v>
      </c>
      <c r="CU69" s="7">
        <v>0</v>
      </c>
      <c r="CV69" s="8">
        <v>0</v>
      </c>
      <c r="CW69" s="9">
        <v>0</v>
      </c>
      <c r="CX69" s="7">
        <v>0</v>
      </c>
      <c r="CY69" s="8">
        <v>0</v>
      </c>
      <c r="CZ69" s="9">
        <v>0</v>
      </c>
      <c r="DA69" s="7">
        <v>0</v>
      </c>
      <c r="DB69" s="8">
        <v>0</v>
      </c>
      <c r="DC69" s="9">
        <v>0</v>
      </c>
      <c r="DD69" s="7">
        <v>0</v>
      </c>
      <c r="DE69" s="8">
        <v>0</v>
      </c>
      <c r="DF69" s="9">
        <v>0</v>
      </c>
      <c r="DG69" s="7">
        <v>0</v>
      </c>
      <c r="DH69" s="8">
        <v>0</v>
      </c>
      <c r="DI69" s="9">
        <v>0</v>
      </c>
      <c r="DJ69" s="7">
        <v>0</v>
      </c>
      <c r="DK69" s="8">
        <v>0</v>
      </c>
      <c r="DL69" s="9">
        <v>0</v>
      </c>
      <c r="DM69" s="7">
        <v>0</v>
      </c>
      <c r="DN69" s="8">
        <v>0</v>
      </c>
      <c r="DO69" s="9">
        <v>0</v>
      </c>
      <c r="DP69" s="7">
        <v>0</v>
      </c>
      <c r="DQ69" s="8">
        <v>0</v>
      </c>
      <c r="DR69" s="9">
        <v>0</v>
      </c>
      <c r="DS69" s="7">
        <v>0</v>
      </c>
      <c r="DT69" s="8">
        <v>0</v>
      </c>
      <c r="DU69" s="9">
        <v>0</v>
      </c>
      <c r="DV69" s="7">
        <v>0</v>
      </c>
      <c r="DW69" s="8">
        <v>0</v>
      </c>
      <c r="DX69" s="9">
        <v>0</v>
      </c>
      <c r="DY69" s="7">
        <v>0</v>
      </c>
      <c r="DZ69" s="8">
        <v>0</v>
      </c>
      <c r="EA69" s="9">
        <v>0</v>
      </c>
      <c r="EB69" s="7">
        <v>0</v>
      </c>
      <c r="EC69" s="8">
        <v>0</v>
      </c>
      <c r="ED69" s="9">
        <v>0</v>
      </c>
      <c r="EE69" s="7">
        <v>0</v>
      </c>
      <c r="EF69" s="8">
        <v>0</v>
      </c>
      <c r="EG69" s="9">
        <v>0</v>
      </c>
      <c r="EH69" s="7">
        <v>0</v>
      </c>
      <c r="EI69" s="8">
        <v>0</v>
      </c>
      <c r="EJ69" s="9">
        <v>0</v>
      </c>
      <c r="EK69" s="7">
        <v>-436126.25</v>
      </c>
      <c r="EL69" s="8">
        <v>-1677000</v>
      </c>
      <c r="EM69" s="9">
        <v>-1320000</v>
      </c>
      <c r="EN69" s="7">
        <v>0</v>
      </c>
      <c r="EO69" s="8">
        <v>0</v>
      </c>
      <c r="EP69" s="9">
        <v>0</v>
      </c>
      <c r="EQ69" s="7">
        <v>0</v>
      </c>
      <c r="ER69" s="8">
        <v>0</v>
      </c>
      <c r="ES69" s="9">
        <v>0</v>
      </c>
      <c r="ET69" s="7">
        <v>0</v>
      </c>
      <c r="EU69" s="8">
        <v>0</v>
      </c>
      <c r="EV69" s="9">
        <v>0</v>
      </c>
      <c r="EW69" s="7">
        <v>0</v>
      </c>
      <c r="EX69" s="8">
        <v>0</v>
      </c>
      <c r="EY69" s="9">
        <v>0</v>
      </c>
      <c r="EZ69" s="7">
        <v>-100703.38</v>
      </c>
      <c r="FA69" s="8">
        <v>0</v>
      </c>
      <c r="FB69" s="9">
        <v>0</v>
      </c>
      <c r="FC69" s="7">
        <v>-37987.18</v>
      </c>
      <c r="FD69" s="8">
        <v>0</v>
      </c>
      <c r="FE69" s="9">
        <v>0</v>
      </c>
      <c r="FF69" s="7">
        <v>0</v>
      </c>
      <c r="FG69" s="8">
        <v>0</v>
      </c>
      <c r="FH69" s="9">
        <v>0</v>
      </c>
      <c r="FI69" s="7">
        <v>0</v>
      </c>
      <c r="FJ69" s="8">
        <v>0</v>
      </c>
      <c r="FK69" s="9">
        <v>0</v>
      </c>
      <c r="FL69" s="7">
        <v>-183556.93</v>
      </c>
      <c r="FM69" s="8">
        <v>0</v>
      </c>
      <c r="FN69" s="9">
        <v>0</v>
      </c>
      <c r="FO69" s="7">
        <v>0</v>
      </c>
      <c r="FP69" s="8">
        <v>0</v>
      </c>
      <c r="FQ69" s="9">
        <v>0</v>
      </c>
      <c r="FR69" s="7">
        <v>0</v>
      </c>
      <c r="FS69" s="8">
        <v>0</v>
      </c>
      <c r="FT69" s="9">
        <v>0</v>
      </c>
      <c r="FU69" s="7">
        <v>0</v>
      </c>
      <c r="FV69" s="8">
        <v>0</v>
      </c>
      <c r="FW69" s="9">
        <v>0</v>
      </c>
      <c r="FX69" s="7">
        <v>0</v>
      </c>
      <c r="FY69" s="8">
        <v>0</v>
      </c>
      <c r="FZ69" s="9">
        <v>0</v>
      </c>
      <c r="GA69" s="7">
        <v>0</v>
      </c>
      <c r="GB69" s="8">
        <v>0</v>
      </c>
      <c r="GC69" s="9">
        <v>0</v>
      </c>
      <c r="GD69" s="7">
        <v>0</v>
      </c>
      <c r="GE69" s="8">
        <v>0</v>
      </c>
      <c r="GF69" s="9">
        <v>0</v>
      </c>
      <c r="GG69" s="7">
        <v>0</v>
      </c>
      <c r="GH69" s="8">
        <v>0</v>
      </c>
      <c r="GI69" s="9">
        <v>0</v>
      </c>
      <c r="GJ69" s="7">
        <v>0</v>
      </c>
      <c r="GK69" s="8">
        <v>0</v>
      </c>
      <c r="GL69" s="9">
        <v>0</v>
      </c>
      <c r="GM69" s="7">
        <v>0</v>
      </c>
      <c r="GN69" s="8">
        <v>0</v>
      </c>
      <c r="GO69" s="9">
        <v>0</v>
      </c>
      <c r="GP69" s="7">
        <v>0</v>
      </c>
      <c r="GQ69" s="8">
        <v>0</v>
      </c>
      <c r="GR69" s="9">
        <v>0</v>
      </c>
      <c r="GS69" s="7">
        <v>0</v>
      </c>
      <c r="GT69" s="8">
        <v>0</v>
      </c>
      <c r="GU69" s="9">
        <v>0</v>
      </c>
      <c r="GV69" s="7">
        <v>0</v>
      </c>
      <c r="GW69" s="8">
        <v>0</v>
      </c>
      <c r="GX69" s="9">
        <v>0</v>
      </c>
      <c r="GY69" s="7">
        <v>0</v>
      </c>
      <c r="GZ69" s="8">
        <v>0</v>
      </c>
      <c r="HA69" s="9">
        <v>0</v>
      </c>
      <c r="HB69" s="7">
        <v>0</v>
      </c>
      <c r="HC69" s="8">
        <v>0</v>
      </c>
      <c r="HD69" s="9">
        <v>0</v>
      </c>
      <c r="HE69" s="7">
        <v>0</v>
      </c>
      <c r="HF69" s="8">
        <v>0</v>
      </c>
      <c r="HG69" s="9">
        <v>0</v>
      </c>
      <c r="HH69" s="7">
        <v>0</v>
      </c>
      <c r="HI69" s="8">
        <v>0</v>
      </c>
      <c r="HJ69" s="9">
        <v>0</v>
      </c>
      <c r="HK69" s="7">
        <v>0</v>
      </c>
      <c r="HL69" s="8">
        <v>0</v>
      </c>
      <c r="HM69" s="9">
        <v>0</v>
      </c>
      <c r="HN69" s="7">
        <v>0</v>
      </c>
      <c r="HO69" s="8">
        <v>0</v>
      </c>
      <c r="HP69" s="9">
        <v>0</v>
      </c>
    </row>
    <row r="70" spans="1:224" x14ac:dyDescent="0.25">
      <c r="A70" s="23" t="s">
        <v>277</v>
      </c>
      <c r="B70" s="26" t="s">
        <v>278</v>
      </c>
      <c r="C70" s="7">
        <v>-4401019.24</v>
      </c>
      <c r="D70" s="8">
        <v>-4349999.9999999804</v>
      </c>
      <c r="E70" s="9">
        <v>-4430000</v>
      </c>
      <c r="F70" s="7">
        <v>0</v>
      </c>
      <c r="G70" s="8">
        <v>0</v>
      </c>
      <c r="H70" s="9">
        <v>0</v>
      </c>
      <c r="I70" s="7">
        <v>0</v>
      </c>
      <c r="J70" s="8">
        <v>0</v>
      </c>
      <c r="K70" s="9">
        <v>0</v>
      </c>
      <c r="L70" s="7">
        <v>0</v>
      </c>
      <c r="M70" s="8">
        <v>0</v>
      </c>
      <c r="N70" s="9">
        <v>0</v>
      </c>
      <c r="O70" s="7">
        <v>0</v>
      </c>
      <c r="P70" s="8">
        <v>0</v>
      </c>
      <c r="Q70" s="9">
        <v>0</v>
      </c>
      <c r="R70" s="7">
        <v>0</v>
      </c>
      <c r="S70" s="8">
        <v>0</v>
      </c>
      <c r="T70" s="9">
        <v>0</v>
      </c>
      <c r="U70" s="7">
        <v>0</v>
      </c>
      <c r="V70" s="8">
        <v>0</v>
      </c>
      <c r="W70" s="9">
        <v>0</v>
      </c>
      <c r="X70" s="7">
        <v>0</v>
      </c>
      <c r="Y70" s="8">
        <v>0</v>
      </c>
      <c r="Z70" s="9">
        <v>0</v>
      </c>
      <c r="AA70" s="7">
        <v>0</v>
      </c>
      <c r="AB70" s="8">
        <v>0</v>
      </c>
      <c r="AC70" s="9">
        <v>0</v>
      </c>
      <c r="AD70" s="7">
        <v>0</v>
      </c>
      <c r="AE70" s="8">
        <v>0</v>
      </c>
      <c r="AF70" s="9">
        <v>0</v>
      </c>
      <c r="AG70" s="7">
        <v>0</v>
      </c>
      <c r="AH70" s="8">
        <v>0</v>
      </c>
      <c r="AI70" s="9">
        <v>0</v>
      </c>
      <c r="AJ70" s="7">
        <v>0</v>
      </c>
      <c r="AK70" s="8">
        <v>0</v>
      </c>
      <c r="AL70" s="9">
        <v>0</v>
      </c>
      <c r="AM70" s="7">
        <v>0</v>
      </c>
      <c r="AN70" s="8">
        <v>0</v>
      </c>
      <c r="AO70" s="9">
        <v>0</v>
      </c>
      <c r="AP70" s="7">
        <v>-586.85</v>
      </c>
      <c r="AQ70" s="8">
        <v>0</v>
      </c>
      <c r="AR70" s="9">
        <v>0</v>
      </c>
      <c r="AS70" s="7">
        <v>0</v>
      </c>
      <c r="AT70" s="8">
        <v>0</v>
      </c>
      <c r="AU70" s="9">
        <v>0</v>
      </c>
      <c r="AV70" s="7">
        <v>0</v>
      </c>
      <c r="AW70" s="8">
        <v>0</v>
      </c>
      <c r="AX70" s="9">
        <v>0</v>
      </c>
      <c r="AY70" s="7">
        <v>0</v>
      </c>
      <c r="AZ70" s="8">
        <v>0</v>
      </c>
      <c r="BA70" s="9">
        <v>0</v>
      </c>
      <c r="BB70" s="7">
        <v>0</v>
      </c>
      <c r="BC70" s="8">
        <v>0</v>
      </c>
      <c r="BD70" s="9">
        <v>0</v>
      </c>
      <c r="BE70" s="7">
        <v>0</v>
      </c>
      <c r="BF70" s="8">
        <v>0</v>
      </c>
      <c r="BG70" s="9">
        <v>0</v>
      </c>
      <c r="BH70" s="7">
        <v>0</v>
      </c>
      <c r="BI70" s="8">
        <v>0</v>
      </c>
      <c r="BJ70" s="9">
        <v>0</v>
      </c>
      <c r="BK70" s="7">
        <v>0</v>
      </c>
      <c r="BL70" s="8">
        <v>0</v>
      </c>
      <c r="BM70" s="9">
        <v>0</v>
      </c>
      <c r="BN70" s="7">
        <v>0</v>
      </c>
      <c r="BO70" s="8">
        <v>0</v>
      </c>
      <c r="BP70" s="9">
        <v>0</v>
      </c>
      <c r="BQ70" s="7">
        <v>0</v>
      </c>
      <c r="BR70" s="8">
        <v>0</v>
      </c>
      <c r="BS70" s="9">
        <v>0</v>
      </c>
      <c r="BT70" s="7">
        <v>-3263818.7</v>
      </c>
      <c r="BU70" s="8">
        <v>-3300000</v>
      </c>
      <c r="BV70" s="9">
        <v>-3300000</v>
      </c>
      <c r="BW70" s="7">
        <v>-1135398.8999999999</v>
      </c>
      <c r="BX70" s="8">
        <v>-1174999.99999998</v>
      </c>
      <c r="BY70" s="9">
        <v>-1130000</v>
      </c>
      <c r="BZ70" s="7">
        <v>0</v>
      </c>
      <c r="CA70" s="8">
        <v>0</v>
      </c>
      <c r="CB70" s="9">
        <v>0</v>
      </c>
      <c r="CC70" s="7">
        <v>0</v>
      </c>
      <c r="CD70" s="8">
        <v>0</v>
      </c>
      <c r="CE70" s="9">
        <v>0</v>
      </c>
      <c r="CF70" s="7">
        <v>0</v>
      </c>
      <c r="CG70" s="8">
        <v>0</v>
      </c>
      <c r="CH70" s="9">
        <v>0</v>
      </c>
      <c r="CI70" s="7">
        <v>0</v>
      </c>
      <c r="CJ70" s="8">
        <v>0</v>
      </c>
      <c r="CK70" s="9">
        <v>0</v>
      </c>
      <c r="CL70" s="7">
        <v>0</v>
      </c>
      <c r="CM70" s="8">
        <v>0</v>
      </c>
      <c r="CN70" s="9">
        <v>0</v>
      </c>
      <c r="CO70" s="7">
        <v>0</v>
      </c>
      <c r="CP70" s="8">
        <v>0</v>
      </c>
      <c r="CQ70" s="9">
        <v>0</v>
      </c>
      <c r="CR70" s="7">
        <v>0</v>
      </c>
      <c r="CS70" s="8">
        <v>0</v>
      </c>
      <c r="CT70" s="9">
        <v>0</v>
      </c>
      <c r="CU70" s="7">
        <v>0</v>
      </c>
      <c r="CV70" s="8">
        <v>0</v>
      </c>
      <c r="CW70" s="9">
        <v>0</v>
      </c>
      <c r="CX70" s="7">
        <v>0</v>
      </c>
      <c r="CY70" s="8">
        <v>0</v>
      </c>
      <c r="CZ70" s="9">
        <v>0</v>
      </c>
      <c r="DA70" s="7">
        <v>0</v>
      </c>
      <c r="DB70" s="8">
        <v>0</v>
      </c>
      <c r="DC70" s="9">
        <v>0</v>
      </c>
      <c r="DD70" s="7">
        <v>0</v>
      </c>
      <c r="DE70" s="8">
        <v>0</v>
      </c>
      <c r="DF70" s="9">
        <v>0</v>
      </c>
      <c r="DG70" s="7">
        <v>-740.52</v>
      </c>
      <c r="DH70" s="8">
        <v>0</v>
      </c>
      <c r="DI70" s="9">
        <v>0</v>
      </c>
      <c r="DJ70" s="7">
        <v>0</v>
      </c>
      <c r="DK70" s="8">
        <v>0</v>
      </c>
      <c r="DL70" s="9">
        <v>0</v>
      </c>
      <c r="DM70" s="7">
        <v>0</v>
      </c>
      <c r="DN70" s="8">
        <v>0</v>
      </c>
      <c r="DO70" s="9">
        <v>0</v>
      </c>
      <c r="DP70" s="7">
        <v>0</v>
      </c>
      <c r="DQ70" s="8">
        <v>0</v>
      </c>
      <c r="DR70" s="9">
        <v>0</v>
      </c>
      <c r="DS70" s="7">
        <v>0</v>
      </c>
      <c r="DT70" s="8">
        <v>0</v>
      </c>
      <c r="DU70" s="9">
        <v>0</v>
      </c>
      <c r="DV70" s="7">
        <v>0</v>
      </c>
      <c r="DW70" s="8">
        <v>0</v>
      </c>
      <c r="DX70" s="9">
        <v>0</v>
      </c>
      <c r="DY70" s="7">
        <v>0</v>
      </c>
      <c r="DZ70" s="8">
        <v>0</v>
      </c>
      <c r="EA70" s="9">
        <v>0</v>
      </c>
      <c r="EB70" s="7">
        <v>0</v>
      </c>
      <c r="EC70" s="8">
        <v>0</v>
      </c>
      <c r="ED70" s="9">
        <v>0</v>
      </c>
      <c r="EE70" s="7">
        <v>0</v>
      </c>
      <c r="EF70" s="8">
        <v>0</v>
      </c>
      <c r="EG70" s="9">
        <v>0</v>
      </c>
      <c r="EH70" s="7">
        <v>0</v>
      </c>
      <c r="EI70" s="8">
        <v>0</v>
      </c>
      <c r="EJ70" s="9">
        <v>0</v>
      </c>
      <c r="EK70" s="7">
        <v>0</v>
      </c>
      <c r="EL70" s="8">
        <v>0</v>
      </c>
      <c r="EM70" s="9">
        <v>0</v>
      </c>
      <c r="EN70" s="7">
        <v>0</v>
      </c>
      <c r="EO70" s="8">
        <v>0</v>
      </c>
      <c r="EP70" s="9">
        <v>0</v>
      </c>
      <c r="EQ70" s="7">
        <v>0</v>
      </c>
      <c r="ER70" s="8">
        <v>0</v>
      </c>
      <c r="ES70" s="9">
        <v>0</v>
      </c>
      <c r="ET70" s="7">
        <v>0</v>
      </c>
      <c r="EU70" s="8">
        <v>0</v>
      </c>
      <c r="EV70" s="9">
        <v>0</v>
      </c>
      <c r="EW70" s="7">
        <v>0</v>
      </c>
      <c r="EX70" s="8">
        <v>0</v>
      </c>
      <c r="EY70" s="9">
        <v>0</v>
      </c>
      <c r="EZ70" s="7">
        <v>0</v>
      </c>
      <c r="FA70" s="8">
        <v>0</v>
      </c>
      <c r="FB70" s="9">
        <v>0</v>
      </c>
      <c r="FC70" s="7">
        <v>0</v>
      </c>
      <c r="FD70" s="8">
        <v>0</v>
      </c>
      <c r="FE70" s="9">
        <v>0</v>
      </c>
      <c r="FF70" s="7">
        <v>-474.27</v>
      </c>
      <c r="FG70" s="8">
        <v>0</v>
      </c>
      <c r="FH70" s="9">
        <v>0</v>
      </c>
      <c r="FI70" s="7">
        <v>0</v>
      </c>
      <c r="FJ70" s="8">
        <v>0</v>
      </c>
      <c r="FK70" s="9">
        <v>0</v>
      </c>
      <c r="FL70" s="7">
        <v>0</v>
      </c>
      <c r="FM70" s="8">
        <v>0</v>
      </c>
      <c r="FN70" s="9">
        <v>0</v>
      </c>
      <c r="FO70" s="7">
        <v>0</v>
      </c>
      <c r="FP70" s="8">
        <v>0</v>
      </c>
      <c r="FQ70" s="9">
        <v>0</v>
      </c>
      <c r="FR70" s="7">
        <v>0</v>
      </c>
      <c r="FS70" s="8">
        <v>0</v>
      </c>
      <c r="FT70" s="9">
        <v>0</v>
      </c>
      <c r="FU70" s="7">
        <v>0</v>
      </c>
      <c r="FV70" s="8">
        <v>0</v>
      </c>
      <c r="FW70" s="9">
        <v>0</v>
      </c>
      <c r="FX70" s="7">
        <v>0</v>
      </c>
      <c r="FY70" s="8">
        <v>125000</v>
      </c>
      <c r="FZ70" s="9">
        <v>0</v>
      </c>
      <c r="GA70" s="7">
        <v>0</v>
      </c>
      <c r="GB70" s="8">
        <v>0</v>
      </c>
      <c r="GC70" s="9">
        <v>0</v>
      </c>
      <c r="GD70" s="7">
        <v>0</v>
      </c>
      <c r="GE70" s="8">
        <v>0</v>
      </c>
      <c r="GF70" s="9">
        <v>0</v>
      </c>
      <c r="GG70" s="7">
        <v>0</v>
      </c>
      <c r="GH70" s="8">
        <v>0</v>
      </c>
      <c r="GI70" s="9">
        <v>0</v>
      </c>
      <c r="GJ70" s="7">
        <v>0</v>
      </c>
      <c r="GK70" s="8">
        <v>0</v>
      </c>
      <c r="GL70" s="9">
        <v>0</v>
      </c>
      <c r="GM70" s="7">
        <v>0</v>
      </c>
      <c r="GN70" s="8">
        <v>0</v>
      </c>
      <c r="GO70" s="9">
        <v>0</v>
      </c>
      <c r="GP70" s="7">
        <v>0</v>
      </c>
      <c r="GQ70" s="8">
        <v>0</v>
      </c>
      <c r="GR70" s="9">
        <v>0</v>
      </c>
      <c r="GS70" s="7">
        <v>0</v>
      </c>
      <c r="GT70" s="8">
        <v>0</v>
      </c>
      <c r="GU70" s="9">
        <v>0</v>
      </c>
      <c r="GV70" s="7">
        <v>0</v>
      </c>
      <c r="GW70" s="8">
        <v>0</v>
      </c>
      <c r="GX70" s="9">
        <v>0</v>
      </c>
      <c r="GY70" s="7">
        <v>0</v>
      </c>
      <c r="GZ70" s="8">
        <v>0</v>
      </c>
      <c r="HA70" s="9">
        <v>0</v>
      </c>
      <c r="HB70" s="7">
        <v>0</v>
      </c>
      <c r="HC70" s="8">
        <v>0</v>
      </c>
      <c r="HD70" s="9">
        <v>0</v>
      </c>
      <c r="HE70" s="7">
        <v>0</v>
      </c>
      <c r="HF70" s="8">
        <v>0</v>
      </c>
      <c r="HG70" s="9">
        <v>0</v>
      </c>
      <c r="HH70" s="7">
        <v>0</v>
      </c>
      <c r="HI70" s="8">
        <v>0</v>
      </c>
      <c r="HJ70" s="9">
        <v>0</v>
      </c>
      <c r="HK70" s="7">
        <v>0</v>
      </c>
      <c r="HL70" s="8">
        <v>0</v>
      </c>
      <c r="HM70" s="9">
        <v>0</v>
      </c>
      <c r="HN70" s="7">
        <v>0</v>
      </c>
      <c r="HO70" s="8">
        <v>0</v>
      </c>
      <c r="HP70" s="9">
        <v>0</v>
      </c>
    </row>
    <row r="71" spans="1:224" x14ac:dyDescent="0.25">
      <c r="A71" s="23" t="s">
        <v>279</v>
      </c>
      <c r="B71" s="26" t="s">
        <v>280</v>
      </c>
      <c r="C71" s="7">
        <v>0</v>
      </c>
      <c r="D71" s="8">
        <v>0</v>
      </c>
      <c r="E71" s="9">
        <v>0</v>
      </c>
      <c r="F71" s="7">
        <v>0</v>
      </c>
      <c r="G71" s="8">
        <v>0</v>
      </c>
      <c r="H71" s="9">
        <v>0</v>
      </c>
      <c r="I71" s="7">
        <v>0</v>
      </c>
      <c r="J71" s="8">
        <v>0</v>
      </c>
      <c r="K71" s="9">
        <v>0</v>
      </c>
      <c r="L71" s="7">
        <v>0</v>
      </c>
      <c r="M71" s="8">
        <v>0</v>
      </c>
      <c r="N71" s="9">
        <v>0</v>
      </c>
      <c r="O71" s="7">
        <v>0</v>
      </c>
      <c r="P71" s="8">
        <v>0</v>
      </c>
      <c r="Q71" s="9">
        <v>0</v>
      </c>
      <c r="R71" s="7">
        <v>0</v>
      </c>
      <c r="S71" s="8">
        <v>0</v>
      </c>
      <c r="T71" s="9">
        <v>0</v>
      </c>
      <c r="U71" s="7">
        <v>0</v>
      </c>
      <c r="V71" s="8">
        <v>0</v>
      </c>
      <c r="W71" s="9">
        <v>0</v>
      </c>
      <c r="X71" s="7">
        <v>0</v>
      </c>
      <c r="Y71" s="8">
        <v>0</v>
      </c>
      <c r="Z71" s="9">
        <v>0</v>
      </c>
      <c r="AA71" s="7">
        <v>0</v>
      </c>
      <c r="AB71" s="8">
        <v>0</v>
      </c>
      <c r="AC71" s="9">
        <v>0</v>
      </c>
      <c r="AD71" s="7">
        <v>0</v>
      </c>
      <c r="AE71" s="8">
        <v>0</v>
      </c>
      <c r="AF71" s="9">
        <v>0</v>
      </c>
      <c r="AG71" s="7">
        <v>0</v>
      </c>
      <c r="AH71" s="8">
        <v>0</v>
      </c>
      <c r="AI71" s="9">
        <v>0</v>
      </c>
      <c r="AJ71" s="7">
        <v>0</v>
      </c>
      <c r="AK71" s="8">
        <v>0</v>
      </c>
      <c r="AL71" s="9">
        <v>0</v>
      </c>
      <c r="AM71" s="7">
        <v>0</v>
      </c>
      <c r="AN71" s="8">
        <v>0</v>
      </c>
      <c r="AO71" s="9">
        <v>0</v>
      </c>
      <c r="AP71" s="7">
        <v>0</v>
      </c>
      <c r="AQ71" s="8">
        <v>0</v>
      </c>
      <c r="AR71" s="9">
        <v>0</v>
      </c>
      <c r="AS71" s="7">
        <v>0</v>
      </c>
      <c r="AT71" s="8">
        <v>0</v>
      </c>
      <c r="AU71" s="9">
        <v>0</v>
      </c>
      <c r="AV71" s="7">
        <v>0</v>
      </c>
      <c r="AW71" s="8">
        <v>0</v>
      </c>
      <c r="AX71" s="9">
        <v>0</v>
      </c>
      <c r="AY71" s="7">
        <v>0</v>
      </c>
      <c r="AZ71" s="8">
        <v>0</v>
      </c>
      <c r="BA71" s="9">
        <v>0</v>
      </c>
      <c r="BB71" s="7">
        <v>0</v>
      </c>
      <c r="BC71" s="8">
        <v>0</v>
      </c>
      <c r="BD71" s="9">
        <v>0</v>
      </c>
      <c r="BE71" s="7">
        <v>0</v>
      </c>
      <c r="BF71" s="8">
        <v>0</v>
      </c>
      <c r="BG71" s="9">
        <v>0</v>
      </c>
      <c r="BH71" s="7">
        <v>0</v>
      </c>
      <c r="BI71" s="8">
        <v>0</v>
      </c>
      <c r="BJ71" s="9">
        <v>0</v>
      </c>
      <c r="BK71" s="7">
        <v>0</v>
      </c>
      <c r="BL71" s="8">
        <v>0</v>
      </c>
      <c r="BM71" s="9">
        <v>0</v>
      </c>
      <c r="BN71" s="7">
        <v>0</v>
      </c>
      <c r="BO71" s="8">
        <v>0</v>
      </c>
      <c r="BP71" s="9">
        <v>0</v>
      </c>
      <c r="BQ71" s="7">
        <v>0</v>
      </c>
      <c r="BR71" s="8">
        <v>0</v>
      </c>
      <c r="BS71" s="9">
        <v>0</v>
      </c>
      <c r="BT71" s="7">
        <v>0</v>
      </c>
      <c r="BU71" s="8">
        <v>0</v>
      </c>
      <c r="BV71" s="9">
        <v>0</v>
      </c>
      <c r="BW71" s="7">
        <v>0</v>
      </c>
      <c r="BX71" s="8">
        <v>0</v>
      </c>
      <c r="BY71" s="9">
        <v>0</v>
      </c>
      <c r="BZ71" s="7">
        <v>0</v>
      </c>
      <c r="CA71" s="8">
        <v>0</v>
      </c>
      <c r="CB71" s="9">
        <v>0</v>
      </c>
      <c r="CC71" s="7">
        <v>0</v>
      </c>
      <c r="CD71" s="8">
        <v>0</v>
      </c>
      <c r="CE71" s="9">
        <v>0</v>
      </c>
      <c r="CF71" s="7">
        <v>0</v>
      </c>
      <c r="CG71" s="8">
        <v>0</v>
      </c>
      <c r="CH71" s="9">
        <v>0</v>
      </c>
      <c r="CI71" s="7">
        <v>0</v>
      </c>
      <c r="CJ71" s="8">
        <v>0</v>
      </c>
      <c r="CK71" s="9">
        <v>0</v>
      </c>
      <c r="CL71" s="7">
        <v>0</v>
      </c>
      <c r="CM71" s="8">
        <v>0</v>
      </c>
      <c r="CN71" s="9">
        <v>0</v>
      </c>
      <c r="CO71" s="7">
        <v>0</v>
      </c>
      <c r="CP71" s="8">
        <v>0</v>
      </c>
      <c r="CQ71" s="9">
        <v>0</v>
      </c>
      <c r="CR71" s="7">
        <v>0</v>
      </c>
      <c r="CS71" s="8">
        <v>0</v>
      </c>
      <c r="CT71" s="9">
        <v>0</v>
      </c>
      <c r="CU71" s="7">
        <v>0</v>
      </c>
      <c r="CV71" s="8">
        <v>0</v>
      </c>
      <c r="CW71" s="9">
        <v>0</v>
      </c>
      <c r="CX71" s="7">
        <v>0</v>
      </c>
      <c r="CY71" s="8">
        <v>0</v>
      </c>
      <c r="CZ71" s="9">
        <v>0</v>
      </c>
      <c r="DA71" s="7">
        <v>0</v>
      </c>
      <c r="DB71" s="8">
        <v>0</v>
      </c>
      <c r="DC71" s="9">
        <v>0</v>
      </c>
      <c r="DD71" s="7">
        <v>0</v>
      </c>
      <c r="DE71" s="8">
        <v>0</v>
      </c>
      <c r="DF71" s="9">
        <v>0</v>
      </c>
      <c r="DG71" s="7">
        <v>0</v>
      </c>
      <c r="DH71" s="8">
        <v>0</v>
      </c>
      <c r="DI71" s="9">
        <v>0</v>
      </c>
      <c r="DJ71" s="7">
        <v>0</v>
      </c>
      <c r="DK71" s="8">
        <v>0</v>
      </c>
      <c r="DL71" s="9">
        <v>0</v>
      </c>
      <c r="DM71" s="7">
        <v>0</v>
      </c>
      <c r="DN71" s="8">
        <v>0</v>
      </c>
      <c r="DO71" s="9">
        <v>0</v>
      </c>
      <c r="DP71" s="7">
        <v>0</v>
      </c>
      <c r="DQ71" s="8">
        <v>0</v>
      </c>
      <c r="DR71" s="9">
        <v>0</v>
      </c>
      <c r="DS71" s="7">
        <v>0</v>
      </c>
      <c r="DT71" s="8">
        <v>0</v>
      </c>
      <c r="DU71" s="9">
        <v>0</v>
      </c>
      <c r="DV71" s="7">
        <v>0</v>
      </c>
      <c r="DW71" s="8">
        <v>0</v>
      </c>
      <c r="DX71" s="9">
        <v>0</v>
      </c>
      <c r="DY71" s="7">
        <v>0</v>
      </c>
      <c r="DZ71" s="8">
        <v>0</v>
      </c>
      <c r="EA71" s="9">
        <v>0</v>
      </c>
      <c r="EB71" s="7">
        <v>0</v>
      </c>
      <c r="EC71" s="8">
        <v>0</v>
      </c>
      <c r="ED71" s="9">
        <v>0</v>
      </c>
      <c r="EE71" s="7">
        <v>0</v>
      </c>
      <c r="EF71" s="8">
        <v>0</v>
      </c>
      <c r="EG71" s="9">
        <v>0</v>
      </c>
      <c r="EH71" s="7">
        <v>0</v>
      </c>
      <c r="EI71" s="8">
        <v>0</v>
      </c>
      <c r="EJ71" s="9">
        <v>0</v>
      </c>
      <c r="EK71" s="7">
        <v>0</v>
      </c>
      <c r="EL71" s="8">
        <v>0</v>
      </c>
      <c r="EM71" s="9">
        <v>0</v>
      </c>
      <c r="EN71" s="7">
        <v>0</v>
      </c>
      <c r="EO71" s="8">
        <v>0</v>
      </c>
      <c r="EP71" s="9">
        <v>0</v>
      </c>
      <c r="EQ71" s="7">
        <v>0</v>
      </c>
      <c r="ER71" s="8">
        <v>0</v>
      </c>
      <c r="ES71" s="9">
        <v>0</v>
      </c>
      <c r="ET71" s="7">
        <v>0</v>
      </c>
      <c r="EU71" s="8">
        <v>0</v>
      </c>
      <c r="EV71" s="9">
        <v>0</v>
      </c>
      <c r="EW71" s="7">
        <v>0</v>
      </c>
      <c r="EX71" s="8">
        <v>0</v>
      </c>
      <c r="EY71" s="9">
        <v>0</v>
      </c>
      <c r="EZ71" s="7">
        <v>0</v>
      </c>
      <c r="FA71" s="8">
        <v>0</v>
      </c>
      <c r="FB71" s="9">
        <v>0</v>
      </c>
      <c r="FC71" s="7">
        <v>0</v>
      </c>
      <c r="FD71" s="8">
        <v>0</v>
      </c>
      <c r="FE71" s="9">
        <v>0</v>
      </c>
      <c r="FF71" s="7">
        <v>0</v>
      </c>
      <c r="FG71" s="8">
        <v>0</v>
      </c>
      <c r="FH71" s="9">
        <v>0</v>
      </c>
      <c r="FI71" s="7">
        <v>0</v>
      </c>
      <c r="FJ71" s="8">
        <v>0</v>
      </c>
      <c r="FK71" s="9">
        <v>0</v>
      </c>
      <c r="FL71" s="7">
        <v>0</v>
      </c>
      <c r="FM71" s="8">
        <v>0</v>
      </c>
      <c r="FN71" s="9">
        <v>0</v>
      </c>
      <c r="FO71" s="7">
        <v>0</v>
      </c>
      <c r="FP71" s="8">
        <v>0</v>
      </c>
      <c r="FQ71" s="9">
        <v>0</v>
      </c>
      <c r="FR71" s="7">
        <v>0</v>
      </c>
      <c r="FS71" s="8">
        <v>0</v>
      </c>
      <c r="FT71" s="9">
        <v>0</v>
      </c>
      <c r="FU71" s="7">
        <v>0</v>
      </c>
      <c r="FV71" s="8">
        <v>0</v>
      </c>
      <c r="FW71" s="9">
        <v>0</v>
      </c>
      <c r="FX71" s="7">
        <v>0</v>
      </c>
      <c r="FY71" s="8">
        <v>0</v>
      </c>
      <c r="FZ71" s="9">
        <v>0</v>
      </c>
      <c r="GA71" s="7">
        <v>0</v>
      </c>
      <c r="GB71" s="8">
        <v>0</v>
      </c>
      <c r="GC71" s="9">
        <v>0</v>
      </c>
      <c r="GD71" s="7">
        <v>0</v>
      </c>
      <c r="GE71" s="8">
        <v>0</v>
      </c>
      <c r="GF71" s="9">
        <v>0</v>
      </c>
      <c r="GG71" s="7">
        <v>0</v>
      </c>
      <c r="GH71" s="8">
        <v>0</v>
      </c>
      <c r="GI71" s="9">
        <v>0</v>
      </c>
      <c r="GJ71" s="7">
        <v>0</v>
      </c>
      <c r="GK71" s="8">
        <v>0</v>
      </c>
      <c r="GL71" s="9">
        <v>0</v>
      </c>
      <c r="GM71" s="7">
        <v>0</v>
      </c>
      <c r="GN71" s="8">
        <v>0</v>
      </c>
      <c r="GO71" s="9">
        <v>0</v>
      </c>
      <c r="GP71" s="7">
        <v>0</v>
      </c>
      <c r="GQ71" s="8">
        <v>0</v>
      </c>
      <c r="GR71" s="9">
        <v>0</v>
      </c>
      <c r="GS71" s="7">
        <v>0</v>
      </c>
      <c r="GT71" s="8">
        <v>0</v>
      </c>
      <c r="GU71" s="9">
        <v>0</v>
      </c>
      <c r="GV71" s="7">
        <v>0</v>
      </c>
      <c r="GW71" s="8">
        <v>0</v>
      </c>
      <c r="GX71" s="9">
        <v>0</v>
      </c>
      <c r="GY71" s="7">
        <v>0</v>
      </c>
      <c r="GZ71" s="8">
        <v>0</v>
      </c>
      <c r="HA71" s="9">
        <v>0</v>
      </c>
      <c r="HB71" s="7">
        <v>0</v>
      </c>
      <c r="HC71" s="8">
        <v>0</v>
      </c>
      <c r="HD71" s="9">
        <v>0</v>
      </c>
      <c r="HE71" s="7">
        <v>0</v>
      </c>
      <c r="HF71" s="8">
        <v>0</v>
      </c>
      <c r="HG71" s="9">
        <v>0</v>
      </c>
      <c r="HH71" s="7">
        <v>0</v>
      </c>
      <c r="HI71" s="8">
        <v>0</v>
      </c>
      <c r="HJ71" s="9">
        <v>0</v>
      </c>
      <c r="HK71" s="7">
        <v>0</v>
      </c>
      <c r="HL71" s="8">
        <v>0</v>
      </c>
      <c r="HM71" s="9">
        <v>0</v>
      </c>
      <c r="HN71" s="7">
        <v>0</v>
      </c>
      <c r="HO71" s="8">
        <v>0</v>
      </c>
      <c r="HP71" s="9">
        <v>0</v>
      </c>
    </row>
    <row r="72" spans="1:224" x14ac:dyDescent="0.25">
      <c r="A72" s="23" t="s">
        <v>281</v>
      </c>
      <c r="B72" s="26" t="s">
        <v>282</v>
      </c>
      <c r="C72" s="7">
        <v>-8088.59</v>
      </c>
      <c r="D72" s="8">
        <v>-109999.999999992</v>
      </c>
      <c r="E72" s="9">
        <v>-10000</v>
      </c>
      <c r="F72" s="7">
        <v>0</v>
      </c>
      <c r="G72" s="8">
        <v>0</v>
      </c>
      <c r="H72" s="9">
        <v>0</v>
      </c>
      <c r="I72" s="7">
        <v>0</v>
      </c>
      <c r="J72" s="8">
        <v>0</v>
      </c>
      <c r="K72" s="9">
        <v>0</v>
      </c>
      <c r="L72" s="7">
        <v>0</v>
      </c>
      <c r="M72" s="8">
        <v>0</v>
      </c>
      <c r="N72" s="9">
        <v>0</v>
      </c>
      <c r="O72" s="7">
        <v>0</v>
      </c>
      <c r="P72" s="8">
        <v>0</v>
      </c>
      <c r="Q72" s="9">
        <v>0</v>
      </c>
      <c r="R72" s="7">
        <v>0</v>
      </c>
      <c r="S72" s="8">
        <v>0</v>
      </c>
      <c r="T72" s="9">
        <v>0</v>
      </c>
      <c r="U72" s="7">
        <v>0</v>
      </c>
      <c r="V72" s="8">
        <v>0</v>
      </c>
      <c r="W72" s="9">
        <v>0</v>
      </c>
      <c r="X72" s="7">
        <v>0</v>
      </c>
      <c r="Y72" s="8">
        <v>0</v>
      </c>
      <c r="Z72" s="9">
        <v>0</v>
      </c>
      <c r="AA72" s="7">
        <v>0</v>
      </c>
      <c r="AB72" s="8">
        <v>0</v>
      </c>
      <c r="AC72" s="9">
        <v>0</v>
      </c>
      <c r="AD72" s="7">
        <v>0</v>
      </c>
      <c r="AE72" s="8">
        <v>0</v>
      </c>
      <c r="AF72" s="9">
        <v>0</v>
      </c>
      <c r="AG72" s="7">
        <v>0</v>
      </c>
      <c r="AH72" s="8">
        <v>0</v>
      </c>
      <c r="AI72" s="9">
        <v>0</v>
      </c>
      <c r="AJ72" s="7">
        <v>0</v>
      </c>
      <c r="AK72" s="8">
        <v>0</v>
      </c>
      <c r="AL72" s="9">
        <v>0</v>
      </c>
      <c r="AM72" s="7">
        <v>0</v>
      </c>
      <c r="AN72" s="8">
        <v>0</v>
      </c>
      <c r="AO72" s="9">
        <v>0</v>
      </c>
      <c r="AP72" s="7">
        <v>0</v>
      </c>
      <c r="AQ72" s="8">
        <v>0</v>
      </c>
      <c r="AR72" s="9">
        <v>0</v>
      </c>
      <c r="AS72" s="7">
        <v>0</v>
      </c>
      <c r="AT72" s="8">
        <v>0</v>
      </c>
      <c r="AU72" s="9">
        <v>0</v>
      </c>
      <c r="AV72" s="7">
        <v>0</v>
      </c>
      <c r="AW72" s="8">
        <v>0</v>
      </c>
      <c r="AX72" s="9">
        <v>0</v>
      </c>
      <c r="AY72" s="7">
        <v>0</v>
      </c>
      <c r="AZ72" s="8">
        <v>0</v>
      </c>
      <c r="BA72" s="9">
        <v>0</v>
      </c>
      <c r="BB72" s="7">
        <v>0</v>
      </c>
      <c r="BC72" s="8">
        <v>0</v>
      </c>
      <c r="BD72" s="9">
        <v>0</v>
      </c>
      <c r="BE72" s="7">
        <v>0</v>
      </c>
      <c r="BF72" s="8">
        <v>0</v>
      </c>
      <c r="BG72" s="9">
        <v>0</v>
      </c>
      <c r="BH72" s="7">
        <v>0</v>
      </c>
      <c r="BI72" s="8">
        <v>0</v>
      </c>
      <c r="BJ72" s="9">
        <v>0</v>
      </c>
      <c r="BK72" s="7">
        <v>0</v>
      </c>
      <c r="BL72" s="8">
        <v>0</v>
      </c>
      <c r="BM72" s="9">
        <v>0</v>
      </c>
      <c r="BN72" s="7">
        <v>0</v>
      </c>
      <c r="BO72" s="8">
        <v>0</v>
      </c>
      <c r="BP72" s="9">
        <v>0</v>
      </c>
      <c r="BQ72" s="7">
        <v>0</v>
      </c>
      <c r="BR72" s="8">
        <v>0</v>
      </c>
      <c r="BS72" s="9">
        <v>0</v>
      </c>
      <c r="BT72" s="7">
        <v>0</v>
      </c>
      <c r="BU72" s="8">
        <v>0</v>
      </c>
      <c r="BV72" s="9">
        <v>0</v>
      </c>
      <c r="BW72" s="7">
        <v>-8088.59</v>
      </c>
      <c r="BX72" s="8">
        <v>-9999.999999996</v>
      </c>
      <c r="BY72" s="9">
        <v>-10000</v>
      </c>
      <c r="BZ72" s="7">
        <v>0</v>
      </c>
      <c r="CA72" s="8">
        <v>0</v>
      </c>
      <c r="CB72" s="9">
        <v>0</v>
      </c>
      <c r="CC72" s="7">
        <v>0</v>
      </c>
      <c r="CD72" s="8">
        <v>0</v>
      </c>
      <c r="CE72" s="9">
        <v>0</v>
      </c>
      <c r="CF72" s="7">
        <v>0</v>
      </c>
      <c r="CG72" s="8">
        <v>0</v>
      </c>
      <c r="CH72" s="9">
        <v>0</v>
      </c>
      <c r="CI72" s="7">
        <v>0</v>
      </c>
      <c r="CJ72" s="8">
        <v>0</v>
      </c>
      <c r="CK72" s="9">
        <v>0</v>
      </c>
      <c r="CL72" s="7">
        <v>0</v>
      </c>
      <c r="CM72" s="8">
        <v>0</v>
      </c>
      <c r="CN72" s="9">
        <v>0</v>
      </c>
      <c r="CO72" s="7">
        <v>0</v>
      </c>
      <c r="CP72" s="8">
        <v>0</v>
      </c>
      <c r="CQ72" s="9">
        <v>0</v>
      </c>
      <c r="CR72" s="7">
        <v>0</v>
      </c>
      <c r="CS72" s="8">
        <v>0</v>
      </c>
      <c r="CT72" s="9">
        <v>0</v>
      </c>
      <c r="CU72" s="7">
        <v>0</v>
      </c>
      <c r="CV72" s="8">
        <v>-99999.999999995998</v>
      </c>
      <c r="CW72" s="9">
        <v>0</v>
      </c>
      <c r="CX72" s="7">
        <v>0</v>
      </c>
      <c r="CY72" s="8">
        <v>0</v>
      </c>
      <c r="CZ72" s="9">
        <v>0</v>
      </c>
      <c r="DA72" s="7">
        <v>0</v>
      </c>
      <c r="DB72" s="8">
        <v>0</v>
      </c>
      <c r="DC72" s="9">
        <v>0</v>
      </c>
      <c r="DD72" s="7">
        <v>0</v>
      </c>
      <c r="DE72" s="8">
        <v>0</v>
      </c>
      <c r="DF72" s="9">
        <v>0</v>
      </c>
      <c r="DG72" s="7">
        <v>0</v>
      </c>
      <c r="DH72" s="8">
        <v>0</v>
      </c>
      <c r="DI72" s="9">
        <v>0</v>
      </c>
      <c r="DJ72" s="7">
        <v>0</v>
      </c>
      <c r="DK72" s="8">
        <v>0</v>
      </c>
      <c r="DL72" s="9">
        <v>0</v>
      </c>
      <c r="DM72" s="7">
        <v>0</v>
      </c>
      <c r="DN72" s="8">
        <v>0</v>
      </c>
      <c r="DO72" s="9">
        <v>0</v>
      </c>
      <c r="DP72" s="7">
        <v>0</v>
      </c>
      <c r="DQ72" s="8">
        <v>0</v>
      </c>
      <c r="DR72" s="9">
        <v>0</v>
      </c>
      <c r="DS72" s="7">
        <v>0</v>
      </c>
      <c r="DT72" s="8">
        <v>0</v>
      </c>
      <c r="DU72" s="9">
        <v>0</v>
      </c>
      <c r="DV72" s="7">
        <v>0</v>
      </c>
      <c r="DW72" s="8">
        <v>0</v>
      </c>
      <c r="DX72" s="9">
        <v>0</v>
      </c>
      <c r="DY72" s="7">
        <v>0</v>
      </c>
      <c r="DZ72" s="8">
        <v>0</v>
      </c>
      <c r="EA72" s="9">
        <v>0</v>
      </c>
      <c r="EB72" s="7">
        <v>0</v>
      </c>
      <c r="EC72" s="8">
        <v>0</v>
      </c>
      <c r="ED72" s="9">
        <v>0</v>
      </c>
      <c r="EE72" s="7">
        <v>0</v>
      </c>
      <c r="EF72" s="8">
        <v>0</v>
      </c>
      <c r="EG72" s="9">
        <v>0</v>
      </c>
      <c r="EH72" s="7">
        <v>0</v>
      </c>
      <c r="EI72" s="8">
        <v>0</v>
      </c>
      <c r="EJ72" s="9">
        <v>0</v>
      </c>
      <c r="EK72" s="7">
        <v>0</v>
      </c>
      <c r="EL72" s="8">
        <v>0</v>
      </c>
      <c r="EM72" s="9">
        <v>0</v>
      </c>
      <c r="EN72" s="7">
        <v>0</v>
      </c>
      <c r="EO72" s="8">
        <v>0</v>
      </c>
      <c r="EP72" s="9">
        <v>0</v>
      </c>
      <c r="EQ72" s="7">
        <v>0</v>
      </c>
      <c r="ER72" s="8">
        <v>0</v>
      </c>
      <c r="ES72" s="9">
        <v>0</v>
      </c>
      <c r="ET72" s="7">
        <v>0</v>
      </c>
      <c r="EU72" s="8">
        <v>0</v>
      </c>
      <c r="EV72" s="9">
        <v>0</v>
      </c>
      <c r="EW72" s="7">
        <v>0</v>
      </c>
      <c r="EX72" s="8">
        <v>0</v>
      </c>
      <c r="EY72" s="9">
        <v>0</v>
      </c>
      <c r="EZ72" s="7">
        <v>0</v>
      </c>
      <c r="FA72" s="8">
        <v>0</v>
      </c>
      <c r="FB72" s="9">
        <v>0</v>
      </c>
      <c r="FC72" s="7">
        <v>0</v>
      </c>
      <c r="FD72" s="8">
        <v>0</v>
      </c>
      <c r="FE72" s="9">
        <v>0</v>
      </c>
      <c r="FF72" s="7">
        <v>0</v>
      </c>
      <c r="FG72" s="8">
        <v>0</v>
      </c>
      <c r="FH72" s="9">
        <v>0</v>
      </c>
      <c r="FI72" s="7">
        <v>0</v>
      </c>
      <c r="FJ72" s="8">
        <v>0</v>
      </c>
      <c r="FK72" s="9">
        <v>0</v>
      </c>
      <c r="FL72" s="7">
        <v>0</v>
      </c>
      <c r="FM72" s="8">
        <v>0</v>
      </c>
      <c r="FN72" s="9">
        <v>0</v>
      </c>
      <c r="FO72" s="7">
        <v>0</v>
      </c>
      <c r="FP72" s="8">
        <v>0</v>
      </c>
      <c r="FQ72" s="9">
        <v>0</v>
      </c>
      <c r="FR72" s="7">
        <v>0</v>
      </c>
      <c r="FS72" s="8">
        <v>0</v>
      </c>
      <c r="FT72" s="9">
        <v>0</v>
      </c>
      <c r="FU72" s="7">
        <v>0</v>
      </c>
      <c r="FV72" s="8">
        <v>0</v>
      </c>
      <c r="FW72" s="9">
        <v>0</v>
      </c>
      <c r="FX72" s="7">
        <v>0</v>
      </c>
      <c r="FY72" s="8">
        <v>0</v>
      </c>
      <c r="FZ72" s="9">
        <v>0</v>
      </c>
      <c r="GA72" s="7">
        <v>0</v>
      </c>
      <c r="GB72" s="8">
        <v>0</v>
      </c>
      <c r="GC72" s="9">
        <v>0</v>
      </c>
      <c r="GD72" s="7">
        <v>0</v>
      </c>
      <c r="GE72" s="8">
        <v>0</v>
      </c>
      <c r="GF72" s="9">
        <v>0</v>
      </c>
      <c r="GG72" s="7">
        <v>0</v>
      </c>
      <c r="GH72" s="8">
        <v>0</v>
      </c>
      <c r="GI72" s="9">
        <v>0</v>
      </c>
      <c r="GJ72" s="7">
        <v>0</v>
      </c>
      <c r="GK72" s="8">
        <v>0</v>
      </c>
      <c r="GL72" s="9">
        <v>0</v>
      </c>
      <c r="GM72" s="7">
        <v>0</v>
      </c>
      <c r="GN72" s="8">
        <v>0</v>
      </c>
      <c r="GO72" s="9">
        <v>0</v>
      </c>
      <c r="GP72" s="7">
        <v>0</v>
      </c>
      <c r="GQ72" s="8">
        <v>0</v>
      </c>
      <c r="GR72" s="9">
        <v>0</v>
      </c>
      <c r="GS72" s="7">
        <v>0</v>
      </c>
      <c r="GT72" s="8">
        <v>0</v>
      </c>
      <c r="GU72" s="9">
        <v>0</v>
      </c>
      <c r="GV72" s="7">
        <v>0</v>
      </c>
      <c r="GW72" s="8">
        <v>0</v>
      </c>
      <c r="GX72" s="9">
        <v>0</v>
      </c>
      <c r="GY72" s="7">
        <v>0</v>
      </c>
      <c r="GZ72" s="8">
        <v>0</v>
      </c>
      <c r="HA72" s="9">
        <v>0</v>
      </c>
      <c r="HB72" s="7">
        <v>0</v>
      </c>
      <c r="HC72" s="8">
        <v>0</v>
      </c>
      <c r="HD72" s="9">
        <v>0</v>
      </c>
      <c r="HE72" s="7">
        <v>0</v>
      </c>
      <c r="HF72" s="8">
        <v>0</v>
      </c>
      <c r="HG72" s="9">
        <v>0</v>
      </c>
      <c r="HH72" s="7">
        <v>0</v>
      </c>
      <c r="HI72" s="8">
        <v>0</v>
      </c>
      <c r="HJ72" s="9">
        <v>0</v>
      </c>
      <c r="HK72" s="7">
        <v>0</v>
      </c>
      <c r="HL72" s="8">
        <v>0</v>
      </c>
      <c r="HM72" s="9">
        <v>0</v>
      </c>
      <c r="HN72" s="7">
        <v>0</v>
      </c>
      <c r="HO72" s="8">
        <v>0</v>
      </c>
      <c r="HP72" s="9">
        <v>0</v>
      </c>
    </row>
    <row r="73" spans="1:224" x14ac:dyDescent="0.25">
      <c r="A73" s="23" t="s">
        <v>283</v>
      </c>
      <c r="B73" s="26" t="s">
        <v>282</v>
      </c>
      <c r="C73" s="7">
        <v>-765245.11</v>
      </c>
      <c r="D73" s="8">
        <v>-1400000</v>
      </c>
      <c r="E73" s="9">
        <v>0</v>
      </c>
      <c r="F73" s="7">
        <v>-765245.11</v>
      </c>
      <c r="G73" s="8">
        <v>0</v>
      </c>
      <c r="H73" s="9">
        <v>0</v>
      </c>
      <c r="I73" s="7">
        <v>0</v>
      </c>
      <c r="J73" s="8">
        <v>0</v>
      </c>
      <c r="K73" s="9">
        <v>0</v>
      </c>
      <c r="L73" s="7">
        <v>0</v>
      </c>
      <c r="M73" s="8">
        <v>0</v>
      </c>
      <c r="N73" s="9">
        <v>0</v>
      </c>
      <c r="O73" s="7">
        <v>0</v>
      </c>
      <c r="P73" s="8">
        <v>0</v>
      </c>
      <c r="Q73" s="9">
        <v>0</v>
      </c>
      <c r="R73" s="7">
        <v>0</v>
      </c>
      <c r="S73" s="8">
        <v>0</v>
      </c>
      <c r="T73" s="9">
        <v>0</v>
      </c>
      <c r="U73" s="7">
        <v>0</v>
      </c>
      <c r="V73" s="8">
        <v>0</v>
      </c>
      <c r="W73" s="9">
        <v>0</v>
      </c>
      <c r="X73" s="7">
        <v>0</v>
      </c>
      <c r="Y73" s="8">
        <v>0</v>
      </c>
      <c r="Z73" s="9">
        <v>0</v>
      </c>
      <c r="AA73" s="7">
        <v>0</v>
      </c>
      <c r="AB73" s="8">
        <v>0</v>
      </c>
      <c r="AC73" s="9">
        <v>0</v>
      </c>
      <c r="AD73" s="7">
        <v>0</v>
      </c>
      <c r="AE73" s="8">
        <v>0</v>
      </c>
      <c r="AF73" s="9">
        <v>0</v>
      </c>
      <c r="AG73" s="7">
        <v>0</v>
      </c>
      <c r="AH73" s="8">
        <v>0</v>
      </c>
      <c r="AI73" s="9">
        <v>0</v>
      </c>
      <c r="AJ73" s="7">
        <v>0</v>
      </c>
      <c r="AK73" s="8">
        <v>0</v>
      </c>
      <c r="AL73" s="9">
        <v>0</v>
      </c>
      <c r="AM73" s="7">
        <v>0</v>
      </c>
      <c r="AN73" s="8">
        <v>0</v>
      </c>
      <c r="AO73" s="9">
        <v>0</v>
      </c>
      <c r="AP73" s="7">
        <v>0</v>
      </c>
      <c r="AQ73" s="8">
        <v>0</v>
      </c>
      <c r="AR73" s="9">
        <v>0</v>
      </c>
      <c r="AS73" s="7">
        <v>0</v>
      </c>
      <c r="AT73" s="8">
        <v>0</v>
      </c>
      <c r="AU73" s="9">
        <v>0</v>
      </c>
      <c r="AV73" s="7">
        <v>0</v>
      </c>
      <c r="AW73" s="8">
        <v>0</v>
      </c>
      <c r="AX73" s="9">
        <v>0</v>
      </c>
      <c r="AY73" s="7">
        <v>0</v>
      </c>
      <c r="AZ73" s="8">
        <v>0</v>
      </c>
      <c r="BA73" s="9">
        <v>0</v>
      </c>
      <c r="BB73" s="7">
        <v>0</v>
      </c>
      <c r="BC73" s="8">
        <v>0</v>
      </c>
      <c r="BD73" s="9">
        <v>0</v>
      </c>
      <c r="BE73" s="7">
        <v>0</v>
      </c>
      <c r="BF73" s="8">
        <v>0</v>
      </c>
      <c r="BG73" s="9">
        <v>0</v>
      </c>
      <c r="BH73" s="7">
        <v>0</v>
      </c>
      <c r="BI73" s="8">
        <v>0</v>
      </c>
      <c r="BJ73" s="9">
        <v>0</v>
      </c>
      <c r="BK73" s="7">
        <v>0</v>
      </c>
      <c r="BL73" s="8">
        <v>0</v>
      </c>
      <c r="BM73" s="9">
        <v>0</v>
      </c>
      <c r="BN73" s="7">
        <v>0</v>
      </c>
      <c r="BO73" s="8">
        <v>0</v>
      </c>
      <c r="BP73" s="9">
        <v>0</v>
      </c>
      <c r="BQ73" s="7">
        <v>0</v>
      </c>
      <c r="BR73" s="8">
        <v>0</v>
      </c>
      <c r="BS73" s="9">
        <v>0</v>
      </c>
      <c r="BT73" s="7">
        <v>0</v>
      </c>
      <c r="BU73" s="8">
        <v>0</v>
      </c>
      <c r="BV73" s="9">
        <v>0</v>
      </c>
      <c r="BW73" s="7">
        <v>0</v>
      </c>
      <c r="BX73" s="8">
        <v>0</v>
      </c>
      <c r="BY73" s="9">
        <v>0</v>
      </c>
      <c r="BZ73" s="7">
        <v>0</v>
      </c>
      <c r="CA73" s="8">
        <v>0</v>
      </c>
      <c r="CB73" s="9">
        <v>0</v>
      </c>
      <c r="CC73" s="7">
        <v>0</v>
      </c>
      <c r="CD73" s="8">
        <v>0</v>
      </c>
      <c r="CE73" s="9">
        <v>0</v>
      </c>
      <c r="CF73" s="7">
        <v>0</v>
      </c>
      <c r="CG73" s="8">
        <v>0</v>
      </c>
      <c r="CH73" s="9">
        <v>0</v>
      </c>
      <c r="CI73" s="7">
        <v>0</v>
      </c>
      <c r="CJ73" s="8">
        <v>0</v>
      </c>
      <c r="CK73" s="9">
        <v>0</v>
      </c>
      <c r="CL73" s="7">
        <v>0</v>
      </c>
      <c r="CM73" s="8">
        <v>0</v>
      </c>
      <c r="CN73" s="9">
        <v>0</v>
      </c>
      <c r="CO73" s="7">
        <v>0</v>
      </c>
      <c r="CP73" s="8">
        <v>0</v>
      </c>
      <c r="CQ73" s="9">
        <v>0</v>
      </c>
      <c r="CR73" s="7">
        <v>0</v>
      </c>
      <c r="CS73" s="8">
        <v>0</v>
      </c>
      <c r="CT73" s="9">
        <v>0</v>
      </c>
      <c r="CU73" s="7">
        <v>0</v>
      </c>
      <c r="CV73" s="8">
        <v>0</v>
      </c>
      <c r="CW73" s="9">
        <v>0</v>
      </c>
      <c r="CX73" s="7">
        <v>0</v>
      </c>
      <c r="CY73" s="8">
        <v>0</v>
      </c>
      <c r="CZ73" s="9">
        <v>0</v>
      </c>
      <c r="DA73" s="7">
        <v>0</v>
      </c>
      <c r="DB73" s="8">
        <v>0</v>
      </c>
      <c r="DC73" s="9">
        <v>0</v>
      </c>
      <c r="DD73" s="7">
        <v>0</v>
      </c>
      <c r="DE73" s="8">
        <v>0</v>
      </c>
      <c r="DF73" s="9">
        <v>0</v>
      </c>
      <c r="DG73" s="7">
        <v>0</v>
      </c>
      <c r="DH73" s="8">
        <v>0</v>
      </c>
      <c r="DI73" s="9">
        <v>0</v>
      </c>
      <c r="DJ73" s="7">
        <v>0</v>
      </c>
      <c r="DK73" s="8">
        <v>0</v>
      </c>
      <c r="DL73" s="9">
        <v>0</v>
      </c>
      <c r="DM73" s="7">
        <v>0</v>
      </c>
      <c r="DN73" s="8">
        <v>0</v>
      </c>
      <c r="DO73" s="9">
        <v>0</v>
      </c>
      <c r="DP73" s="7">
        <v>0</v>
      </c>
      <c r="DQ73" s="8">
        <v>0</v>
      </c>
      <c r="DR73" s="9">
        <v>0</v>
      </c>
      <c r="DS73" s="7">
        <v>0</v>
      </c>
      <c r="DT73" s="8">
        <v>0</v>
      </c>
      <c r="DU73" s="9">
        <v>0</v>
      </c>
      <c r="DV73" s="7">
        <v>0</v>
      </c>
      <c r="DW73" s="8">
        <v>0</v>
      </c>
      <c r="DX73" s="9">
        <v>0</v>
      </c>
      <c r="DY73" s="7">
        <v>0</v>
      </c>
      <c r="DZ73" s="8">
        <v>0</v>
      </c>
      <c r="EA73" s="9">
        <v>0</v>
      </c>
      <c r="EB73" s="7">
        <v>0</v>
      </c>
      <c r="EC73" s="8">
        <v>0</v>
      </c>
      <c r="ED73" s="9">
        <v>0</v>
      </c>
      <c r="EE73" s="7">
        <v>0</v>
      </c>
      <c r="EF73" s="8">
        <v>0</v>
      </c>
      <c r="EG73" s="9">
        <v>0</v>
      </c>
      <c r="EH73" s="7">
        <v>0</v>
      </c>
      <c r="EI73" s="8">
        <v>0</v>
      </c>
      <c r="EJ73" s="9">
        <v>0</v>
      </c>
      <c r="EK73" s="7">
        <v>0</v>
      </c>
      <c r="EL73" s="8">
        <v>0</v>
      </c>
      <c r="EM73" s="9">
        <v>0</v>
      </c>
      <c r="EN73" s="7">
        <v>0</v>
      </c>
      <c r="EO73" s="8">
        <v>0</v>
      </c>
      <c r="EP73" s="9">
        <v>0</v>
      </c>
      <c r="EQ73" s="7">
        <v>0</v>
      </c>
      <c r="ER73" s="8">
        <v>0</v>
      </c>
      <c r="ES73" s="9">
        <v>0</v>
      </c>
      <c r="ET73" s="7">
        <v>0</v>
      </c>
      <c r="EU73" s="8">
        <v>0</v>
      </c>
      <c r="EV73" s="9">
        <v>0</v>
      </c>
      <c r="EW73" s="7">
        <v>0</v>
      </c>
      <c r="EX73" s="8">
        <v>0</v>
      </c>
      <c r="EY73" s="9">
        <v>0</v>
      </c>
      <c r="EZ73" s="7">
        <v>0</v>
      </c>
      <c r="FA73" s="8">
        <v>0</v>
      </c>
      <c r="FB73" s="9">
        <v>0</v>
      </c>
      <c r="FC73" s="7">
        <v>0</v>
      </c>
      <c r="FD73" s="8">
        <v>0</v>
      </c>
      <c r="FE73" s="9">
        <v>0</v>
      </c>
      <c r="FF73" s="7">
        <v>0</v>
      </c>
      <c r="FG73" s="8">
        <v>0</v>
      </c>
      <c r="FH73" s="9">
        <v>0</v>
      </c>
      <c r="FI73" s="7">
        <v>0</v>
      </c>
      <c r="FJ73" s="8">
        <v>0</v>
      </c>
      <c r="FK73" s="9">
        <v>0</v>
      </c>
      <c r="FL73" s="7">
        <v>0</v>
      </c>
      <c r="FM73" s="8">
        <v>0</v>
      </c>
      <c r="FN73" s="9">
        <v>0</v>
      </c>
      <c r="FO73" s="7">
        <v>0</v>
      </c>
      <c r="FP73" s="8">
        <v>0</v>
      </c>
      <c r="FQ73" s="9">
        <v>0</v>
      </c>
      <c r="FR73" s="7">
        <v>0</v>
      </c>
      <c r="FS73" s="8">
        <v>0</v>
      </c>
      <c r="FT73" s="9">
        <v>0</v>
      </c>
      <c r="FU73" s="7">
        <v>0</v>
      </c>
      <c r="FV73" s="8">
        <v>0</v>
      </c>
      <c r="FW73" s="9">
        <v>0</v>
      </c>
      <c r="FX73" s="7">
        <v>0</v>
      </c>
      <c r="FY73" s="8">
        <v>-1400000</v>
      </c>
      <c r="FZ73" s="9">
        <v>0</v>
      </c>
      <c r="GA73" s="7">
        <v>0</v>
      </c>
      <c r="GB73" s="8">
        <v>0</v>
      </c>
      <c r="GC73" s="9">
        <v>0</v>
      </c>
      <c r="GD73" s="7">
        <v>0</v>
      </c>
      <c r="GE73" s="8">
        <v>0</v>
      </c>
      <c r="GF73" s="9">
        <v>0</v>
      </c>
      <c r="GG73" s="7">
        <v>0</v>
      </c>
      <c r="GH73" s="8">
        <v>0</v>
      </c>
      <c r="GI73" s="9">
        <v>0</v>
      </c>
      <c r="GJ73" s="7">
        <v>0</v>
      </c>
      <c r="GK73" s="8">
        <v>0</v>
      </c>
      <c r="GL73" s="9">
        <v>0</v>
      </c>
      <c r="GM73" s="7">
        <v>0</v>
      </c>
      <c r="GN73" s="8">
        <v>0</v>
      </c>
      <c r="GO73" s="9">
        <v>0</v>
      </c>
      <c r="GP73" s="7">
        <v>0</v>
      </c>
      <c r="GQ73" s="8">
        <v>0</v>
      </c>
      <c r="GR73" s="9">
        <v>0</v>
      </c>
      <c r="GS73" s="7">
        <v>0</v>
      </c>
      <c r="GT73" s="8">
        <v>0</v>
      </c>
      <c r="GU73" s="9">
        <v>0</v>
      </c>
      <c r="GV73" s="7">
        <v>0</v>
      </c>
      <c r="GW73" s="8">
        <v>0</v>
      </c>
      <c r="GX73" s="9">
        <v>0</v>
      </c>
      <c r="GY73" s="7">
        <v>0</v>
      </c>
      <c r="GZ73" s="8">
        <v>0</v>
      </c>
      <c r="HA73" s="9">
        <v>0</v>
      </c>
      <c r="HB73" s="7">
        <v>0</v>
      </c>
      <c r="HC73" s="8">
        <v>0</v>
      </c>
      <c r="HD73" s="9">
        <v>0</v>
      </c>
      <c r="HE73" s="7">
        <v>0</v>
      </c>
      <c r="HF73" s="8">
        <v>0</v>
      </c>
      <c r="HG73" s="9">
        <v>0</v>
      </c>
      <c r="HH73" s="7">
        <v>0</v>
      </c>
      <c r="HI73" s="8">
        <v>0</v>
      </c>
      <c r="HJ73" s="9">
        <v>0</v>
      </c>
      <c r="HK73" s="7">
        <v>0</v>
      </c>
      <c r="HL73" s="8">
        <v>0</v>
      </c>
      <c r="HM73" s="9">
        <v>0</v>
      </c>
      <c r="HN73" s="7">
        <v>0</v>
      </c>
      <c r="HO73" s="8">
        <v>0</v>
      </c>
      <c r="HP73" s="9">
        <v>0</v>
      </c>
    </row>
    <row r="74" spans="1:224" x14ac:dyDescent="0.25">
      <c r="A74" s="23" t="s">
        <v>284</v>
      </c>
      <c r="B74" s="26" t="s">
        <v>282</v>
      </c>
      <c r="C74" s="7">
        <v>-110115.32</v>
      </c>
      <c r="D74" s="8">
        <v>-240000</v>
      </c>
      <c r="E74" s="9">
        <v>-240000</v>
      </c>
      <c r="F74" s="7">
        <v>0</v>
      </c>
      <c r="G74" s="8">
        <v>0</v>
      </c>
      <c r="H74" s="9">
        <v>0</v>
      </c>
      <c r="I74" s="7">
        <v>0</v>
      </c>
      <c r="J74" s="8">
        <v>0</v>
      </c>
      <c r="K74" s="9">
        <v>0</v>
      </c>
      <c r="L74" s="7">
        <v>-110115.32</v>
      </c>
      <c r="M74" s="8">
        <v>-40000</v>
      </c>
      <c r="N74" s="9">
        <v>-240000</v>
      </c>
      <c r="O74" s="7">
        <v>0</v>
      </c>
      <c r="P74" s="8">
        <v>0</v>
      </c>
      <c r="Q74" s="9">
        <v>0</v>
      </c>
      <c r="R74" s="7">
        <v>0</v>
      </c>
      <c r="S74" s="8">
        <v>0</v>
      </c>
      <c r="T74" s="9">
        <v>0</v>
      </c>
      <c r="U74" s="7">
        <v>0</v>
      </c>
      <c r="V74" s="8">
        <v>0</v>
      </c>
      <c r="W74" s="9">
        <v>0</v>
      </c>
      <c r="X74" s="7">
        <v>0</v>
      </c>
      <c r="Y74" s="8">
        <v>0</v>
      </c>
      <c r="Z74" s="9">
        <v>0</v>
      </c>
      <c r="AA74" s="7">
        <v>0</v>
      </c>
      <c r="AB74" s="8">
        <v>0</v>
      </c>
      <c r="AC74" s="9">
        <v>0</v>
      </c>
      <c r="AD74" s="7">
        <v>0</v>
      </c>
      <c r="AE74" s="8">
        <v>0</v>
      </c>
      <c r="AF74" s="9">
        <v>0</v>
      </c>
      <c r="AG74" s="7">
        <v>0</v>
      </c>
      <c r="AH74" s="8">
        <v>0</v>
      </c>
      <c r="AI74" s="9">
        <v>0</v>
      </c>
      <c r="AJ74" s="7">
        <v>0</v>
      </c>
      <c r="AK74" s="8">
        <v>0</v>
      </c>
      <c r="AL74" s="9">
        <v>0</v>
      </c>
      <c r="AM74" s="7">
        <v>0</v>
      </c>
      <c r="AN74" s="8">
        <v>0</v>
      </c>
      <c r="AO74" s="9">
        <v>0</v>
      </c>
      <c r="AP74" s="7">
        <v>0</v>
      </c>
      <c r="AQ74" s="8">
        <v>0</v>
      </c>
      <c r="AR74" s="9">
        <v>0</v>
      </c>
      <c r="AS74" s="7">
        <v>0</v>
      </c>
      <c r="AT74" s="8">
        <v>0</v>
      </c>
      <c r="AU74" s="9">
        <v>0</v>
      </c>
      <c r="AV74" s="7">
        <v>0</v>
      </c>
      <c r="AW74" s="8">
        <v>0</v>
      </c>
      <c r="AX74" s="9">
        <v>0</v>
      </c>
      <c r="AY74" s="7">
        <v>0</v>
      </c>
      <c r="AZ74" s="8">
        <v>0</v>
      </c>
      <c r="BA74" s="9">
        <v>0</v>
      </c>
      <c r="BB74" s="7">
        <v>0</v>
      </c>
      <c r="BC74" s="8">
        <v>0</v>
      </c>
      <c r="BD74" s="9">
        <v>0</v>
      </c>
      <c r="BE74" s="7">
        <v>0</v>
      </c>
      <c r="BF74" s="8">
        <v>0</v>
      </c>
      <c r="BG74" s="9">
        <v>0</v>
      </c>
      <c r="BH74" s="7">
        <v>0</v>
      </c>
      <c r="BI74" s="8">
        <v>0</v>
      </c>
      <c r="BJ74" s="9">
        <v>0</v>
      </c>
      <c r="BK74" s="7">
        <v>0</v>
      </c>
      <c r="BL74" s="8">
        <v>0</v>
      </c>
      <c r="BM74" s="9">
        <v>0</v>
      </c>
      <c r="BN74" s="7">
        <v>0</v>
      </c>
      <c r="BO74" s="8">
        <v>0</v>
      </c>
      <c r="BP74" s="9">
        <v>0</v>
      </c>
      <c r="BQ74" s="7">
        <v>0</v>
      </c>
      <c r="BR74" s="8">
        <v>0</v>
      </c>
      <c r="BS74" s="9">
        <v>0</v>
      </c>
      <c r="BT74" s="7">
        <v>0</v>
      </c>
      <c r="BU74" s="8">
        <v>0</v>
      </c>
      <c r="BV74" s="9">
        <v>0</v>
      </c>
      <c r="BW74" s="7">
        <v>0</v>
      </c>
      <c r="BX74" s="8">
        <v>0</v>
      </c>
      <c r="BY74" s="9">
        <v>0</v>
      </c>
      <c r="BZ74" s="7">
        <v>0</v>
      </c>
      <c r="CA74" s="8">
        <v>0</v>
      </c>
      <c r="CB74" s="9">
        <v>0</v>
      </c>
      <c r="CC74" s="7">
        <v>0</v>
      </c>
      <c r="CD74" s="8">
        <v>0</v>
      </c>
      <c r="CE74" s="9">
        <v>0</v>
      </c>
      <c r="CF74" s="7">
        <v>0</v>
      </c>
      <c r="CG74" s="8">
        <v>0</v>
      </c>
      <c r="CH74" s="9">
        <v>0</v>
      </c>
      <c r="CI74" s="7">
        <v>0</v>
      </c>
      <c r="CJ74" s="8">
        <v>0</v>
      </c>
      <c r="CK74" s="9">
        <v>0</v>
      </c>
      <c r="CL74" s="7">
        <v>0</v>
      </c>
      <c r="CM74" s="8">
        <v>0</v>
      </c>
      <c r="CN74" s="9">
        <v>0</v>
      </c>
      <c r="CO74" s="7">
        <v>0</v>
      </c>
      <c r="CP74" s="8">
        <v>0</v>
      </c>
      <c r="CQ74" s="9">
        <v>0</v>
      </c>
      <c r="CR74" s="7">
        <v>0</v>
      </c>
      <c r="CS74" s="8">
        <v>0</v>
      </c>
      <c r="CT74" s="9">
        <v>0</v>
      </c>
      <c r="CU74" s="7">
        <v>0</v>
      </c>
      <c r="CV74" s="8">
        <v>0</v>
      </c>
      <c r="CW74" s="9">
        <v>0</v>
      </c>
      <c r="CX74" s="7">
        <v>0</v>
      </c>
      <c r="CY74" s="8">
        <v>0</v>
      </c>
      <c r="CZ74" s="9">
        <v>0</v>
      </c>
      <c r="DA74" s="7">
        <v>0</v>
      </c>
      <c r="DB74" s="8">
        <v>0</v>
      </c>
      <c r="DC74" s="9">
        <v>0</v>
      </c>
      <c r="DD74" s="7">
        <v>0</v>
      </c>
      <c r="DE74" s="8">
        <v>0</v>
      </c>
      <c r="DF74" s="9">
        <v>0</v>
      </c>
      <c r="DG74" s="7">
        <v>0</v>
      </c>
      <c r="DH74" s="8">
        <v>0</v>
      </c>
      <c r="DI74" s="9">
        <v>0</v>
      </c>
      <c r="DJ74" s="7">
        <v>0</v>
      </c>
      <c r="DK74" s="8">
        <v>0</v>
      </c>
      <c r="DL74" s="9">
        <v>0</v>
      </c>
      <c r="DM74" s="7">
        <v>0</v>
      </c>
      <c r="DN74" s="8">
        <v>0</v>
      </c>
      <c r="DO74" s="9">
        <v>0</v>
      </c>
      <c r="DP74" s="7">
        <v>0</v>
      </c>
      <c r="DQ74" s="8">
        <v>0</v>
      </c>
      <c r="DR74" s="9">
        <v>0</v>
      </c>
      <c r="DS74" s="7">
        <v>0</v>
      </c>
      <c r="DT74" s="8">
        <v>0</v>
      </c>
      <c r="DU74" s="9">
        <v>0</v>
      </c>
      <c r="DV74" s="7">
        <v>0</v>
      </c>
      <c r="DW74" s="8">
        <v>0</v>
      </c>
      <c r="DX74" s="9">
        <v>0</v>
      </c>
      <c r="DY74" s="7">
        <v>0</v>
      </c>
      <c r="DZ74" s="8">
        <v>0</v>
      </c>
      <c r="EA74" s="9">
        <v>0</v>
      </c>
      <c r="EB74" s="7">
        <v>0</v>
      </c>
      <c r="EC74" s="8">
        <v>0</v>
      </c>
      <c r="ED74" s="9">
        <v>0</v>
      </c>
      <c r="EE74" s="7">
        <v>0</v>
      </c>
      <c r="EF74" s="8">
        <v>0</v>
      </c>
      <c r="EG74" s="9">
        <v>0</v>
      </c>
      <c r="EH74" s="7">
        <v>0</v>
      </c>
      <c r="EI74" s="8">
        <v>0</v>
      </c>
      <c r="EJ74" s="9">
        <v>0</v>
      </c>
      <c r="EK74" s="7">
        <v>0</v>
      </c>
      <c r="EL74" s="8">
        <v>0</v>
      </c>
      <c r="EM74" s="9">
        <v>0</v>
      </c>
      <c r="EN74" s="7">
        <v>0</v>
      </c>
      <c r="EO74" s="8">
        <v>0</v>
      </c>
      <c r="EP74" s="9">
        <v>0</v>
      </c>
      <c r="EQ74" s="7">
        <v>0</v>
      </c>
      <c r="ER74" s="8">
        <v>0</v>
      </c>
      <c r="ES74" s="9">
        <v>0</v>
      </c>
      <c r="ET74" s="7">
        <v>0</v>
      </c>
      <c r="EU74" s="8">
        <v>0</v>
      </c>
      <c r="EV74" s="9">
        <v>0</v>
      </c>
      <c r="EW74" s="7">
        <v>0</v>
      </c>
      <c r="EX74" s="8">
        <v>0</v>
      </c>
      <c r="EY74" s="9">
        <v>0</v>
      </c>
      <c r="EZ74" s="7">
        <v>0</v>
      </c>
      <c r="FA74" s="8">
        <v>0</v>
      </c>
      <c r="FB74" s="9">
        <v>0</v>
      </c>
      <c r="FC74" s="7">
        <v>0</v>
      </c>
      <c r="FD74" s="8">
        <v>0</v>
      </c>
      <c r="FE74" s="9">
        <v>0</v>
      </c>
      <c r="FF74" s="7">
        <v>0</v>
      </c>
      <c r="FG74" s="8">
        <v>0</v>
      </c>
      <c r="FH74" s="9">
        <v>0</v>
      </c>
      <c r="FI74" s="7">
        <v>0</v>
      </c>
      <c r="FJ74" s="8">
        <v>0</v>
      </c>
      <c r="FK74" s="9">
        <v>0</v>
      </c>
      <c r="FL74" s="7">
        <v>0</v>
      </c>
      <c r="FM74" s="8">
        <v>0</v>
      </c>
      <c r="FN74" s="9">
        <v>0</v>
      </c>
      <c r="FO74" s="7">
        <v>0</v>
      </c>
      <c r="FP74" s="8">
        <v>0</v>
      </c>
      <c r="FQ74" s="9">
        <v>0</v>
      </c>
      <c r="FR74" s="7">
        <v>0</v>
      </c>
      <c r="FS74" s="8">
        <v>0</v>
      </c>
      <c r="FT74" s="9">
        <v>0</v>
      </c>
      <c r="FU74" s="7">
        <v>0</v>
      </c>
      <c r="FV74" s="8">
        <v>0</v>
      </c>
      <c r="FW74" s="9">
        <v>0</v>
      </c>
      <c r="FX74" s="7">
        <v>0</v>
      </c>
      <c r="FY74" s="8">
        <v>-200000</v>
      </c>
      <c r="FZ74" s="9">
        <v>0</v>
      </c>
      <c r="GA74" s="7">
        <v>0</v>
      </c>
      <c r="GB74" s="8">
        <v>0</v>
      </c>
      <c r="GC74" s="9">
        <v>0</v>
      </c>
      <c r="GD74" s="7">
        <v>0</v>
      </c>
      <c r="GE74" s="8">
        <v>0</v>
      </c>
      <c r="GF74" s="9">
        <v>0</v>
      </c>
      <c r="GG74" s="7">
        <v>0</v>
      </c>
      <c r="GH74" s="8">
        <v>0</v>
      </c>
      <c r="GI74" s="9">
        <v>0</v>
      </c>
      <c r="GJ74" s="7">
        <v>0</v>
      </c>
      <c r="GK74" s="8">
        <v>0</v>
      </c>
      <c r="GL74" s="9">
        <v>0</v>
      </c>
      <c r="GM74" s="7">
        <v>0</v>
      </c>
      <c r="GN74" s="8">
        <v>0</v>
      </c>
      <c r="GO74" s="9">
        <v>0</v>
      </c>
      <c r="GP74" s="7">
        <v>0</v>
      </c>
      <c r="GQ74" s="8">
        <v>0</v>
      </c>
      <c r="GR74" s="9">
        <v>0</v>
      </c>
      <c r="GS74" s="7">
        <v>0</v>
      </c>
      <c r="GT74" s="8">
        <v>0</v>
      </c>
      <c r="GU74" s="9">
        <v>0</v>
      </c>
      <c r="GV74" s="7">
        <v>0</v>
      </c>
      <c r="GW74" s="8">
        <v>0</v>
      </c>
      <c r="GX74" s="9">
        <v>0</v>
      </c>
      <c r="GY74" s="7">
        <v>0</v>
      </c>
      <c r="GZ74" s="8">
        <v>0</v>
      </c>
      <c r="HA74" s="9">
        <v>0</v>
      </c>
      <c r="HB74" s="7">
        <v>0</v>
      </c>
      <c r="HC74" s="8">
        <v>0</v>
      </c>
      <c r="HD74" s="9">
        <v>0</v>
      </c>
      <c r="HE74" s="7">
        <v>0</v>
      </c>
      <c r="HF74" s="8">
        <v>0</v>
      </c>
      <c r="HG74" s="9">
        <v>0</v>
      </c>
      <c r="HH74" s="7">
        <v>0</v>
      </c>
      <c r="HI74" s="8">
        <v>0</v>
      </c>
      <c r="HJ74" s="9">
        <v>0</v>
      </c>
      <c r="HK74" s="7">
        <v>0</v>
      </c>
      <c r="HL74" s="8">
        <v>0</v>
      </c>
      <c r="HM74" s="9">
        <v>0</v>
      </c>
      <c r="HN74" s="7">
        <v>0</v>
      </c>
      <c r="HO74" s="8">
        <v>0</v>
      </c>
      <c r="HP74" s="9">
        <v>0</v>
      </c>
    </row>
    <row r="75" spans="1:224" x14ac:dyDescent="0.25">
      <c r="A75" s="23" t="s">
        <v>285</v>
      </c>
      <c r="B75" s="26" t="s">
        <v>286</v>
      </c>
      <c r="C75" s="7">
        <v>0</v>
      </c>
      <c r="D75" s="8">
        <v>0</v>
      </c>
      <c r="E75" s="9">
        <v>-2555000</v>
      </c>
      <c r="F75" s="7">
        <v>0</v>
      </c>
      <c r="G75" s="8">
        <v>-2555000</v>
      </c>
      <c r="H75" s="9">
        <v>-2555000</v>
      </c>
      <c r="I75" s="7">
        <v>0</v>
      </c>
      <c r="J75" s="8">
        <v>0</v>
      </c>
      <c r="K75" s="9">
        <v>0</v>
      </c>
      <c r="L75" s="7">
        <v>0</v>
      </c>
      <c r="M75" s="8">
        <v>0</v>
      </c>
      <c r="N75" s="9">
        <v>0</v>
      </c>
      <c r="O75" s="7">
        <v>0</v>
      </c>
      <c r="P75" s="8">
        <v>0</v>
      </c>
      <c r="Q75" s="9">
        <v>0</v>
      </c>
      <c r="R75" s="7">
        <v>0</v>
      </c>
      <c r="S75" s="8">
        <v>0</v>
      </c>
      <c r="T75" s="9">
        <v>0</v>
      </c>
      <c r="U75" s="7">
        <v>0</v>
      </c>
      <c r="V75" s="8">
        <v>0</v>
      </c>
      <c r="W75" s="9">
        <v>0</v>
      </c>
      <c r="X75" s="7">
        <v>0</v>
      </c>
      <c r="Y75" s="8">
        <v>0</v>
      </c>
      <c r="Z75" s="9">
        <v>0</v>
      </c>
      <c r="AA75" s="7">
        <v>0</v>
      </c>
      <c r="AB75" s="8">
        <v>0</v>
      </c>
      <c r="AC75" s="9">
        <v>0</v>
      </c>
      <c r="AD75" s="7">
        <v>0</v>
      </c>
      <c r="AE75" s="8">
        <v>0</v>
      </c>
      <c r="AF75" s="9">
        <v>0</v>
      </c>
      <c r="AG75" s="7">
        <v>0</v>
      </c>
      <c r="AH75" s="8">
        <v>0</v>
      </c>
      <c r="AI75" s="9">
        <v>0</v>
      </c>
      <c r="AJ75" s="7">
        <v>0</v>
      </c>
      <c r="AK75" s="8">
        <v>0</v>
      </c>
      <c r="AL75" s="9">
        <v>0</v>
      </c>
      <c r="AM75" s="7">
        <v>0</v>
      </c>
      <c r="AN75" s="8">
        <v>0</v>
      </c>
      <c r="AO75" s="9">
        <v>0</v>
      </c>
      <c r="AP75" s="7">
        <v>0</v>
      </c>
      <c r="AQ75" s="8">
        <v>0</v>
      </c>
      <c r="AR75" s="9">
        <v>0</v>
      </c>
      <c r="AS75" s="7">
        <v>0</v>
      </c>
      <c r="AT75" s="8">
        <v>0</v>
      </c>
      <c r="AU75" s="9">
        <v>0</v>
      </c>
      <c r="AV75" s="7">
        <v>0</v>
      </c>
      <c r="AW75" s="8">
        <v>0</v>
      </c>
      <c r="AX75" s="9">
        <v>0</v>
      </c>
      <c r="AY75" s="7">
        <v>0</v>
      </c>
      <c r="AZ75" s="8">
        <v>0</v>
      </c>
      <c r="BA75" s="9">
        <v>0</v>
      </c>
      <c r="BB75" s="7">
        <v>0</v>
      </c>
      <c r="BC75" s="8">
        <v>0</v>
      </c>
      <c r="BD75" s="9">
        <v>0</v>
      </c>
      <c r="BE75" s="7">
        <v>0</v>
      </c>
      <c r="BF75" s="8">
        <v>0</v>
      </c>
      <c r="BG75" s="9">
        <v>0</v>
      </c>
      <c r="BH75" s="7">
        <v>0</v>
      </c>
      <c r="BI75" s="8">
        <v>0</v>
      </c>
      <c r="BJ75" s="9">
        <v>0</v>
      </c>
      <c r="BK75" s="7">
        <v>0</v>
      </c>
      <c r="BL75" s="8">
        <v>0</v>
      </c>
      <c r="BM75" s="9">
        <v>0</v>
      </c>
      <c r="BN75" s="7">
        <v>0</v>
      </c>
      <c r="BO75" s="8">
        <v>0</v>
      </c>
      <c r="BP75" s="9">
        <v>0</v>
      </c>
      <c r="BQ75" s="7">
        <v>0</v>
      </c>
      <c r="BR75" s="8">
        <v>0</v>
      </c>
      <c r="BS75" s="9">
        <v>0</v>
      </c>
      <c r="BT75" s="7">
        <v>0</v>
      </c>
      <c r="BU75" s="8">
        <v>0</v>
      </c>
      <c r="BV75" s="9">
        <v>0</v>
      </c>
      <c r="BW75" s="7">
        <v>0</v>
      </c>
      <c r="BX75" s="8">
        <v>0</v>
      </c>
      <c r="BY75" s="9">
        <v>0</v>
      </c>
      <c r="BZ75" s="7">
        <v>0</v>
      </c>
      <c r="CA75" s="8">
        <v>0</v>
      </c>
      <c r="CB75" s="9">
        <v>0</v>
      </c>
      <c r="CC75" s="7">
        <v>0</v>
      </c>
      <c r="CD75" s="8">
        <v>0</v>
      </c>
      <c r="CE75" s="9">
        <v>0</v>
      </c>
      <c r="CF75" s="7">
        <v>0</v>
      </c>
      <c r="CG75" s="8">
        <v>0</v>
      </c>
      <c r="CH75" s="9">
        <v>0</v>
      </c>
      <c r="CI75" s="7">
        <v>0</v>
      </c>
      <c r="CJ75" s="8">
        <v>0</v>
      </c>
      <c r="CK75" s="9">
        <v>0</v>
      </c>
      <c r="CL75" s="7">
        <v>0</v>
      </c>
      <c r="CM75" s="8">
        <v>0</v>
      </c>
      <c r="CN75" s="9">
        <v>0</v>
      </c>
      <c r="CO75" s="7">
        <v>0</v>
      </c>
      <c r="CP75" s="8">
        <v>0</v>
      </c>
      <c r="CQ75" s="9">
        <v>0</v>
      </c>
      <c r="CR75" s="7">
        <v>0</v>
      </c>
      <c r="CS75" s="8">
        <v>0</v>
      </c>
      <c r="CT75" s="9">
        <v>0</v>
      </c>
      <c r="CU75" s="7">
        <v>0</v>
      </c>
      <c r="CV75" s="8">
        <v>0</v>
      </c>
      <c r="CW75" s="9">
        <v>0</v>
      </c>
      <c r="CX75" s="7">
        <v>0</v>
      </c>
      <c r="CY75" s="8">
        <v>0</v>
      </c>
      <c r="CZ75" s="9">
        <v>0</v>
      </c>
      <c r="DA75" s="7">
        <v>0</v>
      </c>
      <c r="DB75" s="8">
        <v>0</v>
      </c>
      <c r="DC75" s="9">
        <v>0</v>
      </c>
      <c r="DD75" s="7">
        <v>0</v>
      </c>
      <c r="DE75" s="8">
        <v>0</v>
      </c>
      <c r="DF75" s="9">
        <v>0</v>
      </c>
      <c r="DG75" s="7">
        <v>0</v>
      </c>
      <c r="DH75" s="8">
        <v>0</v>
      </c>
      <c r="DI75" s="9">
        <v>0</v>
      </c>
      <c r="DJ75" s="7">
        <v>0</v>
      </c>
      <c r="DK75" s="8">
        <v>0</v>
      </c>
      <c r="DL75" s="9">
        <v>0</v>
      </c>
      <c r="DM75" s="7">
        <v>0</v>
      </c>
      <c r="DN75" s="8">
        <v>0</v>
      </c>
      <c r="DO75" s="9">
        <v>0</v>
      </c>
      <c r="DP75" s="7">
        <v>0</v>
      </c>
      <c r="DQ75" s="8">
        <v>0</v>
      </c>
      <c r="DR75" s="9">
        <v>0</v>
      </c>
      <c r="DS75" s="7">
        <v>0</v>
      </c>
      <c r="DT75" s="8">
        <v>0</v>
      </c>
      <c r="DU75" s="9">
        <v>0</v>
      </c>
      <c r="DV75" s="7">
        <v>0</v>
      </c>
      <c r="DW75" s="8">
        <v>0</v>
      </c>
      <c r="DX75" s="9">
        <v>0</v>
      </c>
      <c r="DY75" s="7">
        <v>0</v>
      </c>
      <c r="DZ75" s="8">
        <v>0</v>
      </c>
      <c r="EA75" s="9">
        <v>0</v>
      </c>
      <c r="EB75" s="7">
        <v>0</v>
      </c>
      <c r="EC75" s="8">
        <v>0</v>
      </c>
      <c r="ED75" s="9">
        <v>0</v>
      </c>
      <c r="EE75" s="7">
        <v>0</v>
      </c>
      <c r="EF75" s="8">
        <v>0</v>
      </c>
      <c r="EG75" s="9">
        <v>0</v>
      </c>
      <c r="EH75" s="7">
        <v>0</v>
      </c>
      <c r="EI75" s="8">
        <v>0</v>
      </c>
      <c r="EJ75" s="9">
        <v>0</v>
      </c>
      <c r="EK75" s="7">
        <v>0</v>
      </c>
      <c r="EL75" s="8">
        <v>0</v>
      </c>
      <c r="EM75" s="9">
        <v>0</v>
      </c>
      <c r="EN75" s="7">
        <v>0</v>
      </c>
      <c r="EO75" s="8">
        <v>0</v>
      </c>
      <c r="EP75" s="9">
        <v>0</v>
      </c>
      <c r="EQ75" s="7">
        <v>0</v>
      </c>
      <c r="ER75" s="8">
        <v>0</v>
      </c>
      <c r="ES75" s="9">
        <v>0</v>
      </c>
      <c r="ET75" s="7">
        <v>0</v>
      </c>
      <c r="EU75" s="8">
        <v>0</v>
      </c>
      <c r="EV75" s="9">
        <v>0</v>
      </c>
      <c r="EW75" s="7">
        <v>0</v>
      </c>
      <c r="EX75" s="8">
        <v>0</v>
      </c>
      <c r="EY75" s="9">
        <v>0</v>
      </c>
      <c r="EZ75" s="7">
        <v>0</v>
      </c>
      <c r="FA75" s="8">
        <v>0</v>
      </c>
      <c r="FB75" s="9">
        <v>0</v>
      </c>
      <c r="FC75" s="7">
        <v>0</v>
      </c>
      <c r="FD75" s="8">
        <v>0</v>
      </c>
      <c r="FE75" s="9">
        <v>0</v>
      </c>
      <c r="FF75" s="7">
        <v>0</v>
      </c>
      <c r="FG75" s="8">
        <v>0</v>
      </c>
      <c r="FH75" s="9">
        <v>0</v>
      </c>
      <c r="FI75" s="7">
        <v>0</v>
      </c>
      <c r="FJ75" s="8">
        <v>0</v>
      </c>
      <c r="FK75" s="9">
        <v>0</v>
      </c>
      <c r="FL75" s="7">
        <v>0</v>
      </c>
      <c r="FM75" s="8">
        <v>0</v>
      </c>
      <c r="FN75" s="9">
        <v>0</v>
      </c>
      <c r="FO75" s="7">
        <v>0</v>
      </c>
      <c r="FP75" s="8">
        <v>0</v>
      </c>
      <c r="FQ75" s="9">
        <v>0</v>
      </c>
      <c r="FR75" s="7">
        <v>0</v>
      </c>
      <c r="FS75" s="8">
        <v>0</v>
      </c>
      <c r="FT75" s="9">
        <v>0</v>
      </c>
      <c r="FU75" s="7">
        <v>0</v>
      </c>
      <c r="FV75" s="8">
        <v>0</v>
      </c>
      <c r="FW75" s="9">
        <v>0</v>
      </c>
      <c r="FX75" s="7">
        <v>0</v>
      </c>
      <c r="FY75" s="8">
        <v>2555000</v>
      </c>
      <c r="FZ75" s="9">
        <v>0</v>
      </c>
      <c r="GA75" s="7">
        <v>0</v>
      </c>
      <c r="GB75" s="8">
        <v>0</v>
      </c>
      <c r="GC75" s="9">
        <v>0</v>
      </c>
      <c r="GD75" s="7">
        <v>0</v>
      </c>
      <c r="GE75" s="8">
        <v>0</v>
      </c>
      <c r="GF75" s="9">
        <v>0</v>
      </c>
      <c r="GG75" s="7">
        <v>0</v>
      </c>
      <c r="GH75" s="8">
        <v>0</v>
      </c>
      <c r="GI75" s="9">
        <v>0</v>
      </c>
      <c r="GJ75" s="7">
        <v>0</v>
      </c>
      <c r="GK75" s="8">
        <v>0</v>
      </c>
      <c r="GL75" s="9">
        <v>0</v>
      </c>
      <c r="GM75" s="7">
        <v>0</v>
      </c>
      <c r="GN75" s="8">
        <v>0</v>
      </c>
      <c r="GO75" s="9">
        <v>0</v>
      </c>
      <c r="GP75" s="7">
        <v>0</v>
      </c>
      <c r="GQ75" s="8">
        <v>0</v>
      </c>
      <c r="GR75" s="9">
        <v>0</v>
      </c>
      <c r="GS75" s="7">
        <v>0</v>
      </c>
      <c r="GT75" s="8">
        <v>0</v>
      </c>
      <c r="GU75" s="9">
        <v>0</v>
      </c>
      <c r="GV75" s="7">
        <v>0</v>
      </c>
      <c r="GW75" s="8">
        <v>0</v>
      </c>
      <c r="GX75" s="9">
        <v>0</v>
      </c>
      <c r="GY75" s="7">
        <v>0</v>
      </c>
      <c r="GZ75" s="8">
        <v>0</v>
      </c>
      <c r="HA75" s="9">
        <v>0</v>
      </c>
      <c r="HB75" s="7">
        <v>0</v>
      </c>
      <c r="HC75" s="8">
        <v>0</v>
      </c>
      <c r="HD75" s="9">
        <v>0</v>
      </c>
      <c r="HE75" s="7">
        <v>0</v>
      </c>
      <c r="HF75" s="8">
        <v>0</v>
      </c>
      <c r="HG75" s="9">
        <v>0</v>
      </c>
      <c r="HH75" s="7">
        <v>0</v>
      </c>
      <c r="HI75" s="8">
        <v>0</v>
      </c>
      <c r="HJ75" s="9">
        <v>0</v>
      </c>
      <c r="HK75" s="7">
        <v>0</v>
      </c>
      <c r="HL75" s="8">
        <v>0</v>
      </c>
      <c r="HM75" s="9">
        <v>0</v>
      </c>
      <c r="HN75" s="7">
        <v>0</v>
      </c>
      <c r="HO75" s="8">
        <v>0</v>
      </c>
      <c r="HP75" s="9">
        <v>0</v>
      </c>
    </row>
    <row r="76" spans="1:224" x14ac:dyDescent="0.25">
      <c r="A76" s="24" t="s">
        <v>287</v>
      </c>
      <c r="B76" s="26" t="s">
        <v>288</v>
      </c>
      <c r="C76" s="19">
        <v>-502550</v>
      </c>
      <c r="D76" s="20">
        <v>0</v>
      </c>
      <c r="E76" s="21">
        <v>-15000000</v>
      </c>
      <c r="F76" s="19">
        <v>-502550</v>
      </c>
      <c r="G76" s="20">
        <v>0</v>
      </c>
      <c r="H76" s="21">
        <v>-15000000</v>
      </c>
      <c r="I76" s="19">
        <v>0</v>
      </c>
      <c r="J76" s="20">
        <v>0</v>
      </c>
      <c r="K76" s="21">
        <v>0</v>
      </c>
      <c r="L76" s="19">
        <v>0</v>
      </c>
      <c r="M76" s="20">
        <v>0</v>
      </c>
      <c r="N76" s="21">
        <v>0</v>
      </c>
      <c r="O76" s="19">
        <v>0</v>
      </c>
      <c r="P76" s="20">
        <v>0</v>
      </c>
      <c r="Q76" s="21">
        <v>0</v>
      </c>
      <c r="R76" s="19">
        <v>0</v>
      </c>
      <c r="S76" s="20">
        <v>0</v>
      </c>
      <c r="T76" s="21">
        <v>0</v>
      </c>
      <c r="U76" s="19">
        <v>0</v>
      </c>
      <c r="V76" s="20">
        <v>0</v>
      </c>
      <c r="W76" s="21">
        <v>0</v>
      </c>
      <c r="X76" s="19">
        <v>0</v>
      </c>
      <c r="Y76" s="20">
        <v>0</v>
      </c>
      <c r="Z76" s="21">
        <v>0</v>
      </c>
      <c r="AA76" s="19">
        <v>0</v>
      </c>
      <c r="AB76" s="20">
        <v>0</v>
      </c>
      <c r="AC76" s="21">
        <v>0</v>
      </c>
      <c r="AD76" s="19">
        <v>0</v>
      </c>
      <c r="AE76" s="20">
        <v>0</v>
      </c>
      <c r="AF76" s="21">
        <v>0</v>
      </c>
      <c r="AG76" s="19">
        <v>0</v>
      </c>
      <c r="AH76" s="20">
        <v>0</v>
      </c>
      <c r="AI76" s="21">
        <v>0</v>
      </c>
      <c r="AJ76" s="19">
        <v>0</v>
      </c>
      <c r="AK76" s="20">
        <v>0</v>
      </c>
      <c r="AL76" s="21">
        <v>0</v>
      </c>
      <c r="AM76" s="19">
        <v>0</v>
      </c>
      <c r="AN76" s="20">
        <v>0</v>
      </c>
      <c r="AO76" s="21">
        <v>0</v>
      </c>
      <c r="AP76" s="19">
        <v>0</v>
      </c>
      <c r="AQ76" s="20">
        <v>0</v>
      </c>
      <c r="AR76" s="21">
        <v>0</v>
      </c>
      <c r="AS76" s="19">
        <v>0</v>
      </c>
      <c r="AT76" s="20">
        <v>0</v>
      </c>
      <c r="AU76" s="21">
        <v>0</v>
      </c>
      <c r="AV76" s="19">
        <v>0</v>
      </c>
      <c r="AW76" s="20">
        <v>0</v>
      </c>
      <c r="AX76" s="21">
        <v>0</v>
      </c>
      <c r="AY76" s="19">
        <v>0</v>
      </c>
      <c r="AZ76" s="20">
        <v>0</v>
      </c>
      <c r="BA76" s="21">
        <v>0</v>
      </c>
      <c r="BB76" s="19">
        <v>0</v>
      </c>
      <c r="BC76" s="20">
        <v>0</v>
      </c>
      <c r="BD76" s="21">
        <v>0</v>
      </c>
      <c r="BE76" s="19">
        <v>0</v>
      </c>
      <c r="BF76" s="20">
        <v>0</v>
      </c>
      <c r="BG76" s="21">
        <v>0</v>
      </c>
      <c r="BH76" s="19">
        <v>0</v>
      </c>
      <c r="BI76" s="20">
        <v>0</v>
      </c>
      <c r="BJ76" s="21">
        <v>0</v>
      </c>
      <c r="BK76" s="19">
        <v>0</v>
      </c>
      <c r="BL76" s="20">
        <v>0</v>
      </c>
      <c r="BM76" s="21">
        <v>0</v>
      </c>
      <c r="BN76" s="19">
        <v>0</v>
      </c>
      <c r="BO76" s="20">
        <v>0</v>
      </c>
      <c r="BP76" s="21">
        <v>0</v>
      </c>
      <c r="BQ76" s="19">
        <v>0</v>
      </c>
      <c r="BR76" s="20">
        <v>0</v>
      </c>
      <c r="BS76" s="21">
        <v>0</v>
      </c>
      <c r="BT76" s="19">
        <v>0</v>
      </c>
      <c r="BU76" s="20">
        <v>0</v>
      </c>
      <c r="BV76" s="21">
        <v>0</v>
      </c>
      <c r="BW76" s="19">
        <v>0</v>
      </c>
      <c r="BX76" s="20">
        <v>0</v>
      </c>
      <c r="BY76" s="21">
        <v>0</v>
      </c>
      <c r="BZ76" s="19">
        <v>0</v>
      </c>
      <c r="CA76" s="20">
        <v>0</v>
      </c>
      <c r="CB76" s="21">
        <v>0</v>
      </c>
      <c r="CC76" s="19">
        <v>0</v>
      </c>
      <c r="CD76" s="20">
        <v>0</v>
      </c>
      <c r="CE76" s="21">
        <v>0</v>
      </c>
      <c r="CF76" s="19">
        <v>0</v>
      </c>
      <c r="CG76" s="20">
        <v>0</v>
      </c>
      <c r="CH76" s="21">
        <v>0</v>
      </c>
      <c r="CI76" s="19">
        <v>0</v>
      </c>
      <c r="CJ76" s="20">
        <v>0</v>
      </c>
      <c r="CK76" s="21">
        <v>0</v>
      </c>
      <c r="CL76" s="19">
        <v>0</v>
      </c>
      <c r="CM76" s="20">
        <v>0</v>
      </c>
      <c r="CN76" s="21">
        <v>0</v>
      </c>
      <c r="CO76" s="19">
        <v>0</v>
      </c>
      <c r="CP76" s="20">
        <v>0</v>
      </c>
      <c r="CQ76" s="21">
        <v>0</v>
      </c>
      <c r="CR76" s="19">
        <v>0</v>
      </c>
      <c r="CS76" s="20">
        <v>0</v>
      </c>
      <c r="CT76" s="21">
        <v>0</v>
      </c>
      <c r="CU76" s="19">
        <v>0</v>
      </c>
      <c r="CV76" s="20">
        <v>0</v>
      </c>
      <c r="CW76" s="21">
        <v>0</v>
      </c>
      <c r="CX76" s="19">
        <v>0</v>
      </c>
      <c r="CY76" s="20">
        <v>0</v>
      </c>
      <c r="CZ76" s="21">
        <v>0</v>
      </c>
      <c r="DA76" s="19">
        <v>0</v>
      </c>
      <c r="DB76" s="20">
        <v>0</v>
      </c>
      <c r="DC76" s="21">
        <v>0</v>
      </c>
      <c r="DD76" s="19">
        <v>0</v>
      </c>
      <c r="DE76" s="20">
        <v>0</v>
      </c>
      <c r="DF76" s="21">
        <v>0</v>
      </c>
      <c r="DG76" s="19">
        <v>0</v>
      </c>
      <c r="DH76" s="20">
        <v>0</v>
      </c>
      <c r="DI76" s="21">
        <v>0</v>
      </c>
      <c r="DJ76" s="19">
        <v>0</v>
      </c>
      <c r="DK76" s="20">
        <v>0</v>
      </c>
      <c r="DL76" s="21">
        <v>0</v>
      </c>
      <c r="DM76" s="19">
        <v>0</v>
      </c>
      <c r="DN76" s="20">
        <v>0</v>
      </c>
      <c r="DO76" s="21">
        <v>0</v>
      </c>
      <c r="DP76" s="19">
        <v>0</v>
      </c>
      <c r="DQ76" s="20">
        <v>0</v>
      </c>
      <c r="DR76" s="21">
        <v>0</v>
      </c>
      <c r="DS76" s="19">
        <v>0</v>
      </c>
      <c r="DT76" s="20">
        <v>0</v>
      </c>
      <c r="DU76" s="21">
        <v>0</v>
      </c>
      <c r="DV76" s="19">
        <v>0</v>
      </c>
      <c r="DW76" s="20">
        <v>0</v>
      </c>
      <c r="DX76" s="21">
        <v>0</v>
      </c>
      <c r="DY76" s="19">
        <v>0</v>
      </c>
      <c r="DZ76" s="20">
        <v>0</v>
      </c>
      <c r="EA76" s="21">
        <v>0</v>
      </c>
      <c r="EB76" s="19">
        <v>0</v>
      </c>
      <c r="EC76" s="20">
        <v>0</v>
      </c>
      <c r="ED76" s="21">
        <v>0</v>
      </c>
      <c r="EE76" s="19">
        <v>0</v>
      </c>
      <c r="EF76" s="20">
        <v>0</v>
      </c>
      <c r="EG76" s="21">
        <v>0</v>
      </c>
      <c r="EH76" s="19">
        <v>0</v>
      </c>
      <c r="EI76" s="20">
        <v>0</v>
      </c>
      <c r="EJ76" s="21">
        <v>0</v>
      </c>
      <c r="EK76" s="19">
        <v>0</v>
      </c>
      <c r="EL76" s="20">
        <v>0</v>
      </c>
      <c r="EM76" s="21">
        <v>0</v>
      </c>
      <c r="EN76" s="19">
        <v>0</v>
      </c>
      <c r="EO76" s="20">
        <v>0</v>
      </c>
      <c r="EP76" s="21">
        <v>0</v>
      </c>
      <c r="EQ76" s="19">
        <v>0</v>
      </c>
      <c r="ER76" s="20">
        <v>0</v>
      </c>
      <c r="ES76" s="21">
        <v>0</v>
      </c>
      <c r="ET76" s="19">
        <v>0</v>
      </c>
      <c r="EU76" s="20">
        <v>0</v>
      </c>
      <c r="EV76" s="21">
        <v>0</v>
      </c>
      <c r="EW76" s="19">
        <v>0</v>
      </c>
      <c r="EX76" s="20">
        <v>0</v>
      </c>
      <c r="EY76" s="21">
        <v>0</v>
      </c>
      <c r="EZ76" s="19">
        <v>0</v>
      </c>
      <c r="FA76" s="20">
        <v>0</v>
      </c>
      <c r="FB76" s="21">
        <v>0</v>
      </c>
      <c r="FC76" s="19">
        <v>0</v>
      </c>
      <c r="FD76" s="20">
        <v>0</v>
      </c>
      <c r="FE76" s="21">
        <v>0</v>
      </c>
      <c r="FF76" s="19">
        <v>0</v>
      </c>
      <c r="FG76" s="20">
        <v>0</v>
      </c>
      <c r="FH76" s="21">
        <v>0</v>
      </c>
      <c r="FI76" s="19">
        <v>0</v>
      </c>
      <c r="FJ76" s="20">
        <v>0</v>
      </c>
      <c r="FK76" s="21">
        <v>0</v>
      </c>
      <c r="FL76" s="19">
        <v>0</v>
      </c>
      <c r="FM76" s="20">
        <v>0</v>
      </c>
      <c r="FN76" s="21">
        <v>0</v>
      </c>
      <c r="FO76" s="19">
        <v>0</v>
      </c>
      <c r="FP76" s="20">
        <v>0</v>
      </c>
      <c r="FQ76" s="21">
        <v>0</v>
      </c>
      <c r="FR76" s="19">
        <v>0</v>
      </c>
      <c r="FS76" s="20">
        <v>0</v>
      </c>
      <c r="FT76" s="21">
        <v>0</v>
      </c>
      <c r="FU76" s="19">
        <v>0</v>
      </c>
      <c r="FV76" s="20">
        <v>0</v>
      </c>
      <c r="FW76" s="21">
        <v>0</v>
      </c>
      <c r="FX76" s="19">
        <v>0</v>
      </c>
      <c r="FY76" s="20">
        <v>0</v>
      </c>
      <c r="FZ76" s="21">
        <v>0</v>
      </c>
      <c r="GA76" s="19">
        <v>0</v>
      </c>
      <c r="GB76" s="20">
        <v>0</v>
      </c>
      <c r="GC76" s="21">
        <v>0</v>
      </c>
      <c r="GD76" s="19">
        <v>0</v>
      </c>
      <c r="GE76" s="20">
        <v>0</v>
      </c>
      <c r="GF76" s="21">
        <v>0</v>
      </c>
      <c r="GG76" s="19">
        <v>0</v>
      </c>
      <c r="GH76" s="20">
        <v>0</v>
      </c>
      <c r="GI76" s="21">
        <v>0</v>
      </c>
      <c r="GJ76" s="19">
        <v>0</v>
      </c>
      <c r="GK76" s="20">
        <v>0</v>
      </c>
      <c r="GL76" s="21">
        <v>0</v>
      </c>
      <c r="GM76" s="19">
        <v>0</v>
      </c>
      <c r="GN76" s="20">
        <v>0</v>
      </c>
      <c r="GO76" s="21">
        <v>0</v>
      </c>
      <c r="GP76" s="19">
        <v>0</v>
      </c>
      <c r="GQ76" s="20">
        <v>0</v>
      </c>
      <c r="GR76" s="21">
        <v>0</v>
      </c>
      <c r="GS76" s="19">
        <v>0</v>
      </c>
      <c r="GT76" s="20">
        <v>0</v>
      </c>
      <c r="GU76" s="21">
        <v>0</v>
      </c>
      <c r="GV76" s="19">
        <v>0</v>
      </c>
      <c r="GW76" s="20">
        <v>0</v>
      </c>
      <c r="GX76" s="21">
        <v>0</v>
      </c>
      <c r="GY76" s="19">
        <v>0</v>
      </c>
      <c r="GZ76" s="20">
        <v>0</v>
      </c>
      <c r="HA76" s="21">
        <v>0</v>
      </c>
      <c r="HB76" s="19">
        <v>0</v>
      </c>
      <c r="HC76" s="20">
        <v>0</v>
      </c>
      <c r="HD76" s="21">
        <v>0</v>
      </c>
      <c r="HE76" s="19">
        <v>0</v>
      </c>
      <c r="HF76" s="20">
        <v>0</v>
      </c>
      <c r="HG76" s="21">
        <v>0</v>
      </c>
      <c r="HH76" s="19">
        <v>0</v>
      </c>
      <c r="HI76" s="20">
        <v>0</v>
      </c>
      <c r="HJ76" s="21">
        <v>0</v>
      </c>
      <c r="HK76" s="19">
        <v>0</v>
      </c>
      <c r="HL76" s="20">
        <v>0</v>
      </c>
      <c r="HM76" s="21">
        <v>0</v>
      </c>
      <c r="HN76" s="19">
        <v>0</v>
      </c>
      <c r="HO76" s="20">
        <v>0</v>
      </c>
      <c r="HP76" s="21">
        <v>0</v>
      </c>
    </row>
    <row r="77" spans="1:224" s="2" customFormat="1" x14ac:dyDescent="0.25">
      <c r="A77" s="22" t="s">
        <v>289</v>
      </c>
      <c r="B77" s="25" t="s">
        <v>290</v>
      </c>
      <c r="C77" s="16">
        <f>SUM(C78:C82)</f>
        <v>-32603956.140000008</v>
      </c>
      <c r="D77" s="16">
        <f t="shared" ref="D77:E77" si="290">SUM(D78:D82)</f>
        <v>-32113020.207638003</v>
      </c>
      <c r="E77" s="16">
        <f t="shared" si="290"/>
        <v>-33106735.00000003</v>
      </c>
      <c r="F77" s="16">
        <f t="shared" ref="F77" si="291">SUM(F78:F82)</f>
        <v>-1219778.6099999999</v>
      </c>
      <c r="G77" s="16">
        <f t="shared" ref="G77" si="292">SUM(G78:G82)</f>
        <v>-1224999.999999847</v>
      </c>
      <c r="H77" s="16">
        <f t="shared" ref="H77" si="293">SUM(H78:H82)</f>
        <v>-1223828</v>
      </c>
      <c r="I77" s="16">
        <f t="shared" ref="I77" si="294">SUM(I78:I82)</f>
        <v>-2937534.54</v>
      </c>
      <c r="J77" s="16">
        <f t="shared" ref="J77" si="295">SUM(J78:J82)</f>
        <v>-3118786.8255050471</v>
      </c>
      <c r="K77" s="16">
        <f t="shared" ref="K77" si="296">SUM(K78:K82)</f>
        <v>-2810000</v>
      </c>
      <c r="L77" s="16">
        <f t="shared" ref="L77" si="297">SUM(L78:L82)</f>
        <v>-1174112.42</v>
      </c>
      <c r="M77" s="16">
        <f t="shared" ref="M77" si="298">SUM(M78:M82)</f>
        <v>-1133618.9275840968</v>
      </c>
      <c r="N77" s="16">
        <f t="shared" ref="N77" si="299">SUM(N78:N82)</f>
        <v>-1133619</v>
      </c>
      <c r="O77" s="16">
        <f t="shared" ref="O77" si="300">SUM(O78:O82)</f>
        <v>-975700.97</v>
      </c>
      <c r="P77" s="16">
        <f t="shared" ref="P77" si="301">SUM(P78:P82)</f>
        <v>-994999.9999998589</v>
      </c>
      <c r="Q77" s="16">
        <f t="shared" ref="Q77" si="302">SUM(Q78:Q82)</f>
        <v>-901650</v>
      </c>
      <c r="R77" s="16">
        <f t="shared" ref="R77" si="303">SUM(R78:R82)</f>
        <v>-261572.32</v>
      </c>
      <c r="S77" s="16">
        <f t="shared" ref="S77" si="304">SUM(S78:S82)</f>
        <v>-282347.86972561496</v>
      </c>
      <c r="T77" s="16">
        <f t="shared" ref="T77" si="305">SUM(T78:T82)</f>
        <v>-290000</v>
      </c>
      <c r="U77" s="16">
        <f t="shared" ref="U77" si="306">SUM(U78:U82)</f>
        <v>-1044091.98</v>
      </c>
      <c r="V77" s="16">
        <f t="shared" ref="V77" si="307">SUM(V78:V82)</f>
        <v>-1117161.9777944169</v>
      </c>
      <c r="W77" s="16">
        <f t="shared" ref="W77" si="308">SUM(W78:W82)</f>
        <v>-1117162</v>
      </c>
      <c r="X77" s="16">
        <f t="shared" ref="X77" si="309">SUM(X78:X82)</f>
        <v>-1348366.12</v>
      </c>
      <c r="Y77" s="16">
        <f t="shared" ref="Y77" si="310">SUM(Y78:Y82)</f>
        <v>-1397739.5106165339</v>
      </c>
      <c r="Z77" s="16">
        <f t="shared" ref="Z77" si="311">SUM(Z78:Z82)</f>
        <v>-1515000</v>
      </c>
      <c r="AA77" s="16">
        <f t="shared" ref="AA77" si="312">SUM(AA78:AA82)</f>
        <v>-1005016.1799999999</v>
      </c>
      <c r="AB77" s="16">
        <f t="shared" ref="AB77" si="313">SUM(AB78:AB82)</f>
        <v>-995251.38191759214</v>
      </c>
      <c r="AC77" s="16">
        <f t="shared" ref="AC77" si="314">SUM(AC78:AC82)</f>
        <v>-995000</v>
      </c>
      <c r="AD77" s="16">
        <f t="shared" ref="AD77" si="315">SUM(AD78:AD82)</f>
        <v>-704652.80999999994</v>
      </c>
      <c r="AE77" s="16">
        <f t="shared" ref="AE77" si="316">SUM(AE78:AE82)</f>
        <v>-699999.99999993993</v>
      </c>
      <c r="AF77" s="16">
        <f t="shared" ref="AF77" si="317">SUM(AF78:AF82)</f>
        <v>-718500</v>
      </c>
      <c r="AG77" s="16">
        <f t="shared" ref="AG77" si="318">SUM(AG78:AG82)</f>
        <v>-1269211.08</v>
      </c>
      <c r="AH77" s="16">
        <f t="shared" ref="AH77" si="319">SUM(AH78:AH82)</f>
        <v>-1269999.9999998261</v>
      </c>
      <c r="AI77" s="16">
        <f t="shared" ref="AI77" si="320">SUM(AI78:AI82)</f>
        <v>-1670000</v>
      </c>
      <c r="AJ77" s="16">
        <f t="shared" ref="AJ77" si="321">SUM(AJ78:AJ82)</f>
        <v>-860590.86</v>
      </c>
      <c r="AK77" s="16">
        <f t="shared" ref="AK77" si="322">SUM(AK78:AK82)</f>
        <v>-836734.81109554996</v>
      </c>
      <c r="AL77" s="16">
        <f t="shared" ref="AL77" si="323">SUM(AL78:AL82)</f>
        <v>-904782</v>
      </c>
      <c r="AM77" s="16">
        <f t="shared" ref="AM77" si="324">SUM(AM78:AM82)</f>
        <v>-447172.93000000005</v>
      </c>
      <c r="AN77" s="16">
        <f t="shared" ref="AN77" si="325">SUM(AN78:AN82)</f>
        <v>-447999.99999995704</v>
      </c>
      <c r="AO77" s="16">
        <f t="shared" ref="AO77" si="326">SUM(AO78:AO82)</f>
        <v>-510000</v>
      </c>
      <c r="AP77" s="16">
        <f t="shared" ref="AP77" si="327">SUM(AP78:AP82)</f>
        <v>-548546.06000000006</v>
      </c>
      <c r="AQ77" s="16">
        <f t="shared" ref="AQ77" si="328">SUM(AQ78:AQ82)</f>
        <v>-539999.999999917</v>
      </c>
      <c r="AR77" s="16">
        <f t="shared" ref="AR77" si="329">SUM(AR78:AR82)</f>
        <v>-575000</v>
      </c>
      <c r="AS77" s="16">
        <f t="shared" ref="AS77" si="330">SUM(AS78:AS82)</f>
        <v>-335222.2</v>
      </c>
      <c r="AT77" s="16">
        <f t="shared" ref="AT77" si="331">SUM(AT78:AT82)</f>
        <v>-315581.30590490601</v>
      </c>
      <c r="AU77" s="16">
        <f t="shared" ref="AU77" si="332">SUM(AU78:AU82)</f>
        <v>-294000</v>
      </c>
      <c r="AV77" s="16">
        <f t="shared" ref="AV77" si="333">SUM(AV78:AV82)</f>
        <v>-51016.130000000005</v>
      </c>
      <c r="AW77" s="16">
        <f t="shared" ref="AW77" si="334">SUM(AW78:AW82)</f>
        <v>-58190.715997252002</v>
      </c>
      <c r="AX77" s="16">
        <f t="shared" ref="AX77" si="335">SUM(AX78:AX82)</f>
        <v>-62000</v>
      </c>
      <c r="AY77" s="16">
        <f t="shared" ref="AY77" si="336">SUM(AY78:AY82)</f>
        <v>-820988.51000000013</v>
      </c>
      <c r="AZ77" s="16">
        <f t="shared" ref="AZ77" si="337">SUM(AZ78:AZ82)</f>
        <v>-823796.06511013105</v>
      </c>
      <c r="BA77" s="16">
        <f t="shared" ref="BA77" si="338">SUM(BA78:BA82)</f>
        <v>-830000</v>
      </c>
      <c r="BB77" s="16">
        <f t="shared" ref="BB77" si="339">SUM(BB78:BB82)</f>
        <v>-551551.89</v>
      </c>
      <c r="BC77" s="16">
        <f t="shared" ref="BC77" si="340">SUM(BC78:BC82)</f>
        <v>-529999.99999988999</v>
      </c>
      <c r="BD77" s="16">
        <f t="shared" ref="BD77" si="341">SUM(BD78:BD82)</f>
        <v>-550000</v>
      </c>
      <c r="BE77" s="16">
        <f t="shared" ref="BE77" si="342">SUM(BE78:BE82)</f>
        <v>-245591.72</v>
      </c>
      <c r="BF77" s="16">
        <f t="shared" ref="BF77" si="343">SUM(BF78:BF82)</f>
        <v>-374999.999999878</v>
      </c>
      <c r="BG77" s="16">
        <f t="shared" ref="BG77" si="344">SUM(BG78:BG82)</f>
        <v>-405000</v>
      </c>
      <c r="BH77" s="16">
        <f t="shared" ref="BH77" si="345">SUM(BH78:BH82)</f>
        <v>-46396.44</v>
      </c>
      <c r="BI77" s="16">
        <f t="shared" ref="BI77" si="346">SUM(BI78:BI82)</f>
        <v>-50999.999999968</v>
      </c>
      <c r="BJ77" s="16">
        <f t="shared" ref="BJ77" si="347">SUM(BJ78:BJ82)</f>
        <v>-51000</v>
      </c>
      <c r="BK77" s="16">
        <f t="shared" ref="BK77" si="348">SUM(BK78:BK82)</f>
        <v>-277428.2</v>
      </c>
      <c r="BL77" s="16">
        <f t="shared" ref="BL77" si="349">SUM(BL78:BL82)</f>
        <v>-279999.99999995501</v>
      </c>
      <c r="BM77" s="16">
        <f t="shared" ref="BM77" si="350">SUM(BM78:BM82)</f>
        <v>-275000</v>
      </c>
      <c r="BN77" s="16">
        <f t="shared" ref="BN77" si="351">SUM(BN78:BN82)</f>
        <v>-606095.29</v>
      </c>
      <c r="BO77" s="16">
        <f t="shared" ref="BO77" si="352">SUM(BO78:BO82)</f>
        <v>-649999.99999987904</v>
      </c>
      <c r="BP77" s="16">
        <f t="shared" ref="BP77" si="353">SUM(BP78:BP82)</f>
        <v>-650000</v>
      </c>
      <c r="BQ77" s="16">
        <f t="shared" ref="BQ77" si="354">SUM(BQ78:BQ82)</f>
        <v>-156149.44</v>
      </c>
      <c r="BR77" s="16">
        <f t="shared" ref="BR77" si="355">SUM(BR78:BR82)</f>
        <v>-154999.999999919</v>
      </c>
      <c r="BS77" s="16">
        <f t="shared" ref="BS77" si="356">SUM(BS78:BS82)</f>
        <v>-155000</v>
      </c>
      <c r="BT77" s="16">
        <f t="shared" ref="BT77" si="357">SUM(BT78:BT82)</f>
        <v>-420522.08</v>
      </c>
      <c r="BU77" s="16">
        <f t="shared" ref="BU77" si="358">SUM(BU78:BU82)</f>
        <v>-414999.99999997299</v>
      </c>
      <c r="BV77" s="16">
        <f t="shared" ref="BV77" si="359">SUM(BV78:BV82)</f>
        <v>-470000</v>
      </c>
      <c r="BW77" s="16">
        <f t="shared" ref="BW77" si="360">SUM(BW78:BW82)</f>
        <v>-586376.34</v>
      </c>
      <c r="BX77" s="16">
        <f t="shared" ref="BX77" si="361">SUM(BX78:BX82)</f>
        <v>-644999.99999987299</v>
      </c>
      <c r="BY77" s="16">
        <f t="shared" ref="BY77" si="362">SUM(BY78:BY82)</f>
        <v>-532000</v>
      </c>
      <c r="BZ77" s="16">
        <f t="shared" ref="BZ77" si="363">SUM(BZ78:BZ82)</f>
        <v>-464607.28</v>
      </c>
      <c r="CA77" s="16">
        <f t="shared" ref="CA77" si="364">SUM(CA78:CA82)</f>
        <v>-498834.95873581502</v>
      </c>
      <c r="CB77" s="16">
        <f t="shared" ref="CB77" si="365">SUM(CB78:CB82)</f>
        <v>-512000</v>
      </c>
      <c r="CC77" s="16">
        <f t="shared" ref="CC77" si="366">SUM(CC78:CC82)</f>
        <v>-56579.18</v>
      </c>
      <c r="CD77" s="16">
        <f t="shared" ref="CD77" si="367">SUM(CD78:CD82)</f>
        <v>-51999.999999968997</v>
      </c>
      <c r="CE77" s="16">
        <f t="shared" ref="CE77" si="368">SUM(CE78:CE82)</f>
        <v>-68700</v>
      </c>
      <c r="CF77" s="16">
        <f t="shared" ref="CF77" si="369">SUM(CF78:CF82)</f>
        <v>-79282</v>
      </c>
      <c r="CG77" s="16">
        <f t="shared" ref="CG77" si="370">SUM(CG78:CG82)</f>
        <v>-81999.99999995</v>
      </c>
      <c r="CH77" s="16">
        <f t="shared" ref="CH77" si="371">SUM(CH78:CH82)</f>
        <v>-80000</v>
      </c>
      <c r="CI77" s="16">
        <f t="shared" ref="CI77" si="372">SUM(CI78:CI82)</f>
        <v>-61689.229999999996</v>
      </c>
      <c r="CJ77" s="16">
        <f t="shared" ref="CJ77" si="373">SUM(CJ78:CJ82)</f>
        <v>-69999.999999969004</v>
      </c>
      <c r="CK77" s="16">
        <f t="shared" ref="CK77" si="374">SUM(CK78:CK82)</f>
        <v>-70000</v>
      </c>
      <c r="CL77" s="16">
        <f t="shared" ref="CL77" si="375">SUM(CL78:CL82)</f>
        <v>-351066.98</v>
      </c>
      <c r="CM77" s="16">
        <f t="shared" ref="CM77" si="376">SUM(CM78:CM82)</f>
        <v>-374999.999999917</v>
      </c>
      <c r="CN77" s="16">
        <f t="shared" ref="CN77" si="377">SUM(CN78:CN82)</f>
        <v>-375000</v>
      </c>
      <c r="CO77" s="16">
        <f t="shared" ref="CO77" si="378">SUM(CO78:CO82)</f>
        <v>-1216746.56</v>
      </c>
      <c r="CP77" s="16">
        <f t="shared" ref="CP77" si="379">SUM(CP78:CP82)</f>
        <v>-1254999.9999998901</v>
      </c>
      <c r="CQ77" s="16">
        <f t="shared" ref="CQ77" si="380">SUM(CQ78:CQ82)</f>
        <v>-1280000</v>
      </c>
      <c r="CR77" s="16">
        <f t="shared" ref="CR77" si="381">SUM(CR78:CR82)</f>
        <v>-322433.02</v>
      </c>
      <c r="CS77" s="16">
        <f t="shared" ref="CS77" si="382">SUM(CS78:CS82)</f>
        <v>-299999.999999961</v>
      </c>
      <c r="CT77" s="16">
        <f t="shared" ref="CT77" si="383">SUM(CT78:CT82)</f>
        <v>-300000</v>
      </c>
      <c r="CU77" s="16">
        <f t="shared" ref="CU77" si="384">SUM(CU78:CU82)</f>
        <v>-431589.66000000003</v>
      </c>
      <c r="CV77" s="16">
        <f t="shared" ref="CV77" si="385">SUM(CV78:CV82)</f>
        <v>-406999.99999993801</v>
      </c>
      <c r="CW77" s="16">
        <f t="shared" ref="CW77" si="386">SUM(CW78:CW82)</f>
        <v>-399000</v>
      </c>
      <c r="CX77" s="16">
        <f t="shared" ref="CX77" si="387">SUM(CX78:CX82)</f>
        <v>-685240.78</v>
      </c>
      <c r="CY77" s="16">
        <f t="shared" ref="CY77" si="388">SUM(CY78:CY82)</f>
        <v>-704999.99999994703</v>
      </c>
      <c r="CZ77" s="16">
        <f t="shared" ref="CZ77" si="389">SUM(CZ78:CZ82)</f>
        <v>-730000</v>
      </c>
      <c r="DA77" s="16">
        <f t="shared" ref="DA77" si="390">SUM(DA78:DA82)</f>
        <v>-6370.72</v>
      </c>
      <c r="DB77" s="16">
        <f t="shared" ref="DB77" si="391">SUM(DB78:DB82)</f>
        <v>-8999.9999999949996</v>
      </c>
      <c r="DC77" s="16">
        <f t="shared" ref="DC77" si="392">SUM(DC78:DC82)</f>
        <v>-9700</v>
      </c>
      <c r="DD77" s="16">
        <f t="shared" ref="DD77" si="393">SUM(DD78:DD82)</f>
        <v>-298145.21999999997</v>
      </c>
      <c r="DE77" s="16">
        <f t="shared" ref="DE77" si="394">SUM(DE78:DE82)</f>
        <v>-289999.99999997905</v>
      </c>
      <c r="DF77" s="16">
        <f t="shared" ref="DF77" si="395">SUM(DF78:DF82)</f>
        <v>-295000</v>
      </c>
      <c r="DG77" s="16">
        <f t="shared" ref="DG77" si="396">SUM(DG78:DG82)</f>
        <v>-156064.88</v>
      </c>
      <c r="DH77" s="16">
        <f t="shared" ref="DH77" si="397">SUM(DH78:DH82)</f>
        <v>-154999.999999981</v>
      </c>
      <c r="DI77" s="16">
        <f t="shared" ref="DI77" si="398">SUM(DI78:DI82)</f>
        <v>-180000</v>
      </c>
      <c r="DJ77" s="16">
        <f t="shared" ref="DJ77" si="399">SUM(DJ78:DJ82)</f>
        <v>-68364</v>
      </c>
      <c r="DK77" s="16">
        <f t="shared" ref="DK77" si="400">SUM(DK78:DK82)</f>
        <v>-67999.999999990003</v>
      </c>
      <c r="DL77" s="16">
        <f t="shared" ref="DL77" si="401">SUM(DL78:DL82)</f>
        <v>-78000</v>
      </c>
      <c r="DM77" s="16">
        <f t="shared" ref="DM77" si="402">SUM(DM78:DM82)</f>
        <v>-154705.96</v>
      </c>
      <c r="DN77" s="16">
        <f t="shared" ref="DN77" si="403">SUM(DN78:DN82)</f>
        <v>-157999.99999997602</v>
      </c>
      <c r="DO77" s="16">
        <f t="shared" ref="DO77" si="404">SUM(DO78:DO82)</f>
        <v>-141500</v>
      </c>
      <c r="DP77" s="16">
        <f t="shared" ref="DP77" si="405">SUM(DP78:DP82)</f>
        <v>-210862.83000000002</v>
      </c>
      <c r="DQ77" s="16">
        <f t="shared" ref="DQ77" si="406">SUM(DQ78:DQ82)</f>
        <v>-210854.33198656898</v>
      </c>
      <c r="DR77" s="16">
        <f t="shared" ref="DR77" si="407">SUM(DR78:DR82)</f>
        <v>-210000</v>
      </c>
      <c r="DS77" s="16">
        <f t="shared" ref="DS77" si="408">SUM(DS78:DS82)</f>
        <v>-542.79999999999995</v>
      </c>
      <c r="DT77" s="16">
        <f t="shared" ref="DT77" si="409">SUM(DT78:DT82)</f>
        <v>-2000</v>
      </c>
      <c r="DU77" s="16">
        <f t="shared" ref="DU77" si="410">SUM(DU78:DU82)</f>
        <v>0</v>
      </c>
      <c r="DV77" s="16">
        <f t="shared" ref="DV77" si="411">SUM(DV78:DV82)</f>
        <v>-42578.020000000004</v>
      </c>
      <c r="DW77" s="16">
        <f t="shared" ref="DW77" si="412">SUM(DW78:DW82)</f>
        <v>-26999.999999991</v>
      </c>
      <c r="DX77" s="16">
        <f t="shared" ref="DX77" si="413">SUM(DX78:DX82)</f>
        <v>-42000</v>
      </c>
      <c r="DY77" s="16">
        <f t="shared" ref="DY77" si="414">SUM(DY78:DY82)</f>
        <v>-6895.86</v>
      </c>
      <c r="DZ77" s="16">
        <f t="shared" ref="DZ77" si="415">SUM(DZ78:DZ82)</f>
        <v>-8999.9999999880001</v>
      </c>
      <c r="EA77" s="16">
        <f t="shared" ref="EA77" si="416">SUM(EA78:EA82)</f>
        <v>0</v>
      </c>
      <c r="EB77" s="16">
        <f t="shared" ref="EB77" si="417">SUM(EB78:EB82)</f>
        <v>-4805.59</v>
      </c>
      <c r="EC77" s="16">
        <f t="shared" ref="EC77" si="418">SUM(EC78:EC82)</f>
        <v>-7999.999999996</v>
      </c>
      <c r="ED77" s="16">
        <f t="shared" ref="ED77" si="419">SUM(ED78:ED82)</f>
        <v>-10000</v>
      </c>
      <c r="EE77" s="16">
        <f t="shared" ref="EE77" si="420">SUM(EE78:EE82)</f>
        <v>-722096.8600000001</v>
      </c>
      <c r="EF77" s="16">
        <f t="shared" ref="EF77" si="421">SUM(EF78:EF82)</f>
        <v>-724999.9999999681</v>
      </c>
      <c r="EG77" s="16">
        <f t="shared" ref="EG77" si="422">SUM(EG78:EG82)</f>
        <v>-524000</v>
      </c>
      <c r="EH77" s="16">
        <f t="shared" ref="EH77" si="423">SUM(EH78:EH82)</f>
        <v>-582338.76</v>
      </c>
      <c r="EI77" s="16">
        <f t="shared" ref="EI77" si="424">SUM(EI78:EI82)</f>
        <v>-789875.94759136206</v>
      </c>
      <c r="EJ77" s="16">
        <f t="shared" ref="EJ77" si="425">SUM(EJ78:EJ82)</f>
        <v>-725535</v>
      </c>
      <c r="EK77" s="16">
        <f t="shared" ref="EK77" si="426">SUM(EK78:EK82)</f>
        <v>-706648.11</v>
      </c>
      <c r="EL77" s="16">
        <f t="shared" ref="EL77" si="427">SUM(EL78:EL82)</f>
        <v>-699999.99999991595</v>
      </c>
      <c r="EM77" s="16">
        <f t="shared" ref="EM77" si="428">SUM(EM78:EM82)</f>
        <v>-757250</v>
      </c>
      <c r="EN77" s="16">
        <f t="shared" ref="EN77" si="429">SUM(EN78:EN82)</f>
        <v>-542.79999999999995</v>
      </c>
      <c r="EO77" s="16">
        <f t="shared" ref="EO77" si="430">SUM(EO78:EO82)</f>
        <v>-2000</v>
      </c>
      <c r="EP77" s="16">
        <f t="shared" ref="EP77" si="431">SUM(EP78:EP82)</f>
        <v>-2000</v>
      </c>
      <c r="EQ77" s="16">
        <f t="shared" ref="EQ77" si="432">SUM(EQ78:EQ82)</f>
        <v>-2273.5299999999997</v>
      </c>
      <c r="ER77" s="16">
        <f t="shared" ref="ER77" si="433">SUM(ER78:ER82)</f>
        <v>-3999.9999999940001</v>
      </c>
      <c r="ES77" s="16">
        <f t="shared" ref="ES77" si="434">SUM(ES78:ES82)</f>
        <v>-8000</v>
      </c>
      <c r="ET77" s="16">
        <f t="shared" ref="ET77" si="435">SUM(ET78:ET82)</f>
        <v>-184217.66999999998</v>
      </c>
      <c r="EU77" s="16">
        <f t="shared" ref="EU77" si="436">SUM(EU78:EU82)</f>
        <v>-186999.999999986</v>
      </c>
      <c r="EV77" s="16">
        <f t="shared" ref="EV77" si="437">SUM(EV78:EV82)</f>
        <v>0</v>
      </c>
      <c r="EW77" s="16">
        <f t="shared" ref="EW77" si="438">SUM(EW78:EW82)</f>
        <v>-2907890.3299999996</v>
      </c>
      <c r="EX77" s="16">
        <f t="shared" ref="EX77" si="439">SUM(EX78:EX82)</f>
        <v>-2914999.999999979</v>
      </c>
      <c r="EY77" s="16">
        <f t="shared" ref="EY77" si="440">SUM(EY78:EY82)</f>
        <v>-2885000</v>
      </c>
      <c r="EZ77" s="16">
        <f t="shared" ref="EZ77" si="441">SUM(EZ78:EZ82)</f>
        <v>0</v>
      </c>
      <c r="FA77" s="16">
        <f t="shared" ref="FA77" si="442">SUM(FA78:FA82)</f>
        <v>0</v>
      </c>
      <c r="FB77" s="16">
        <f t="shared" ref="FB77" si="443">SUM(FB78:FB82)</f>
        <v>0</v>
      </c>
      <c r="FC77" s="16">
        <f t="shared" ref="FC77" si="444">SUM(FC78:FC82)</f>
        <v>-402077.54000000004</v>
      </c>
      <c r="FD77" s="16">
        <f t="shared" ref="FD77" si="445">SUM(FD78:FD82)</f>
        <v>-405999.99999997398</v>
      </c>
      <c r="FE77" s="16">
        <f t="shared" ref="FE77" si="446">SUM(FE78:FE82)</f>
        <v>-430000</v>
      </c>
      <c r="FF77" s="16">
        <f t="shared" ref="FF77" si="447">SUM(FF78:FF82)</f>
        <v>-1081229.7100000002</v>
      </c>
      <c r="FG77" s="16">
        <f t="shared" ref="FG77" si="448">SUM(FG78:FG82)</f>
        <v>-1069999.9999999381</v>
      </c>
      <c r="FH77" s="16">
        <f t="shared" ref="FH77" si="449">SUM(FH78:FH82)</f>
        <v>-1101364</v>
      </c>
      <c r="FI77" s="16">
        <f t="shared" ref="FI77" si="450">SUM(FI78:FI82)</f>
        <v>0</v>
      </c>
      <c r="FJ77" s="16">
        <f t="shared" ref="FJ77" si="451">SUM(FJ78:FJ82)</f>
        <v>0</v>
      </c>
      <c r="FK77" s="16">
        <f t="shared" ref="FK77" si="452">SUM(FK78:FK82)</f>
        <v>0</v>
      </c>
      <c r="FL77" s="16">
        <f t="shared" ref="FL77" si="453">SUM(FL78:FL82)</f>
        <v>-29611.89</v>
      </c>
      <c r="FM77" s="16">
        <f t="shared" ref="FM77" si="454">SUM(FM78:FM82)</f>
        <v>0</v>
      </c>
      <c r="FN77" s="16">
        <f t="shared" ref="FN77" si="455">SUM(FN78:FN82)</f>
        <v>0</v>
      </c>
      <c r="FO77" s="16">
        <f t="shared" ref="FO77" si="456">SUM(FO78:FO82)</f>
        <v>-149920.45000000001</v>
      </c>
      <c r="FP77" s="16">
        <f t="shared" ref="FP77" si="457">SUM(FP78:FP82)</f>
        <v>0</v>
      </c>
      <c r="FQ77" s="16">
        <f t="shared" ref="FQ77" si="458">SUM(FQ78:FQ82)</f>
        <v>0</v>
      </c>
      <c r="FR77" s="16">
        <f t="shared" ref="FR77" si="459">SUM(FR78:FR82)</f>
        <v>-42809.799999999996</v>
      </c>
      <c r="FS77" s="16">
        <f t="shared" ref="FS77" si="460">SUM(FS78:FS82)</f>
        <v>0</v>
      </c>
      <c r="FT77" s="16">
        <f t="shared" ref="FT77" si="461">SUM(FT78:FT82)</f>
        <v>0</v>
      </c>
      <c r="FU77" s="16">
        <f t="shared" ref="FU77" si="462">SUM(FU78:FU82)</f>
        <v>0</v>
      </c>
      <c r="FV77" s="16">
        <f t="shared" ref="FV77" si="463">SUM(FV78:FV82)</f>
        <v>0</v>
      </c>
      <c r="FW77" s="16">
        <f t="shared" ref="FW77" si="464">SUM(FW78:FW82)</f>
        <v>0</v>
      </c>
      <c r="FX77" s="16">
        <f t="shared" ref="FX77" si="465">SUM(FX78:FX82)</f>
        <v>0</v>
      </c>
      <c r="FY77" s="16">
        <f t="shared" ref="FY77" si="466">SUM(FY78:FY82)</f>
        <v>986000</v>
      </c>
      <c r="FZ77" s="16">
        <f t="shared" ref="FZ77" si="467">SUM(FZ78:FZ82)</f>
        <v>0</v>
      </c>
      <c r="GA77" s="16">
        <f t="shared" ref="GA77" si="468">SUM(GA78:GA82)</f>
        <v>-122403.92</v>
      </c>
      <c r="GB77" s="16">
        <f t="shared" ref="GB77" si="469">SUM(GB78:GB82)</f>
        <v>-92799.999999978987</v>
      </c>
      <c r="GC77" s="16">
        <f t="shared" ref="GC77" si="470">SUM(GC78:GC82)</f>
        <v>-117700</v>
      </c>
      <c r="GD77" s="16">
        <f t="shared" ref="GD77" si="471">SUM(GD78:GD82)</f>
        <v>-88783.51</v>
      </c>
      <c r="GE77" s="16">
        <f t="shared" ref="GE77" si="472">SUM(GE78:GE82)</f>
        <v>-129573.15186724301</v>
      </c>
      <c r="GF77" s="16">
        <f t="shared" ref="GF77" si="473">SUM(GF78:GF82)</f>
        <v>-129573</v>
      </c>
      <c r="GG77" s="16">
        <f t="shared" ref="GG77" si="474">SUM(GG78:GG82)</f>
        <v>-224339.91</v>
      </c>
      <c r="GH77" s="16">
        <f t="shared" ref="GH77" si="475">SUM(GH78:GH82)</f>
        <v>-244799.99999998399</v>
      </c>
      <c r="GI77" s="16">
        <f t="shared" ref="GI77" si="476">SUM(GI78:GI82)</f>
        <v>-244800</v>
      </c>
      <c r="GJ77" s="16">
        <f t="shared" ref="GJ77" si="477">SUM(GJ78:GJ82)</f>
        <v>-2149797.9</v>
      </c>
      <c r="GK77" s="16">
        <f t="shared" ref="GK77" si="478">SUM(GK78:GK82)</f>
        <v>-2179799.9999997918</v>
      </c>
      <c r="GL77" s="16">
        <f t="shared" ref="GL77" si="479">SUM(GL78:GL82)</f>
        <v>-2105450</v>
      </c>
      <c r="GM77" s="16">
        <f t="shared" ref="GM77" si="480">SUM(GM78:GM82)</f>
        <v>-12690.439999999999</v>
      </c>
      <c r="GN77" s="16">
        <f t="shared" ref="GN77" si="481">SUM(GN78:GN82)</f>
        <v>0</v>
      </c>
      <c r="GO77" s="16">
        <f t="shared" ref="GO77" si="482">SUM(GO78:GO82)</f>
        <v>0</v>
      </c>
      <c r="GP77" s="16">
        <f t="shared" ref="GP77" si="483">SUM(GP78:GP82)</f>
        <v>-150038.31</v>
      </c>
      <c r="GQ77" s="16">
        <f t="shared" ref="GQ77" si="484">SUM(GQ78:GQ82)</f>
        <v>-160799.999999994</v>
      </c>
      <c r="GR77" s="16">
        <f t="shared" ref="GR77" si="485">SUM(GR78:GR82)</f>
        <v>-200800</v>
      </c>
      <c r="GS77" s="16">
        <f t="shared" ref="GS77" si="486">SUM(GS78:GS82)</f>
        <v>-23746.410000000003</v>
      </c>
      <c r="GT77" s="16">
        <f t="shared" ref="GT77" si="487">SUM(GT78:GT82)</f>
        <v>-27472.426208343</v>
      </c>
      <c r="GU77" s="16">
        <f t="shared" ref="GU77" si="488">SUM(GU78:GU82)</f>
        <v>-30822</v>
      </c>
      <c r="GV77" s="16">
        <f t="shared" ref="GV77" si="489">SUM(GV78:GV82)</f>
        <v>-211474.88</v>
      </c>
      <c r="GW77" s="16">
        <f t="shared" ref="GW77" si="490">SUM(GW78:GW82)</f>
        <v>-219999.999999975</v>
      </c>
      <c r="GX77" s="16">
        <f t="shared" ref="GX77" si="491">SUM(GX78:GX82)</f>
        <v>-220000</v>
      </c>
      <c r="GY77" s="16">
        <f t="shared" ref="GY77" si="492">SUM(GY78:GY82)</f>
        <v>-96577.13</v>
      </c>
      <c r="GZ77" s="16">
        <f t="shared" ref="GZ77" si="493">SUM(GZ78:GZ82)</f>
        <v>0</v>
      </c>
      <c r="HA77" s="16">
        <f t="shared" ref="HA77" si="494">SUM(HA78:HA82)</f>
        <v>0</v>
      </c>
      <c r="HB77" s="16">
        <f t="shared" ref="HB77" si="495">SUM(HB78:HB82)</f>
        <v>-186318.59</v>
      </c>
      <c r="HC77" s="16">
        <f t="shared" ref="HC77" si="496">SUM(HC78:HC82)</f>
        <v>-204999.99999999598</v>
      </c>
      <c r="HD77" s="16">
        <f t="shared" ref="HD77" si="497">SUM(HD78:HD82)</f>
        <v>-205000</v>
      </c>
      <c r="HE77" s="16">
        <f t="shared" ref="HE77" si="498">SUM(HE78:HE82)</f>
        <v>0</v>
      </c>
      <c r="HF77" s="16">
        <f t="shared" ref="HF77" si="499">SUM(HF78:HF82)</f>
        <v>0</v>
      </c>
      <c r="HG77" s="16">
        <f t="shared" ref="HG77" si="500">SUM(HG78:HG82)</f>
        <v>0</v>
      </c>
      <c r="HH77" s="16">
        <f t="shared" ref="HH77" si="501">SUM(HH78:HH82)</f>
        <v>-13872</v>
      </c>
      <c r="HI77" s="16">
        <f t="shared" ref="HI77" si="502">SUM(HI78:HI82)</f>
        <v>0</v>
      </c>
      <c r="HJ77" s="16">
        <f t="shared" ref="HJ77" si="503">SUM(HJ78:HJ82)</f>
        <v>0</v>
      </c>
      <c r="HK77" s="16">
        <f t="shared" ref="HK77" si="504">SUM(HK78:HK82)</f>
        <v>0</v>
      </c>
      <c r="HL77" s="16">
        <f t="shared" ref="HL77" si="505">SUM(HL78:HL82)</f>
        <v>0</v>
      </c>
      <c r="HM77" s="16">
        <f t="shared" ref="HM77" si="506">SUM(HM78:HM82)</f>
        <v>0</v>
      </c>
      <c r="HN77" s="16">
        <f t="shared" ref="HN77" si="507">SUM(HN78:HN82)</f>
        <v>0</v>
      </c>
      <c r="HO77" s="16">
        <f t="shared" ref="HO77" si="508">SUM(HO78:HO82)</f>
        <v>0</v>
      </c>
      <c r="HP77" s="16">
        <f t="shared" ref="HP77" si="509">SUM(HP78:HP82)</f>
        <v>0</v>
      </c>
    </row>
    <row r="78" spans="1:224" x14ac:dyDescent="0.25">
      <c r="A78" s="23" t="s">
        <v>291</v>
      </c>
      <c r="B78" s="26" t="s">
        <v>292</v>
      </c>
      <c r="C78" s="7">
        <v>-2678306.7000000002</v>
      </c>
      <c r="D78" s="8">
        <v>-2676714.8982582102</v>
      </c>
      <c r="E78" s="9">
        <v>-2711351</v>
      </c>
      <c r="F78" s="7">
        <v>-105492.19</v>
      </c>
      <c r="G78" s="8">
        <v>-99999.999999959007</v>
      </c>
      <c r="H78" s="9">
        <v>-100000</v>
      </c>
      <c r="I78" s="7">
        <v>-242620.78</v>
      </c>
      <c r="J78" s="8">
        <v>-294804.00789759401</v>
      </c>
      <c r="K78" s="9">
        <v>-190000</v>
      </c>
      <c r="L78" s="7">
        <v>-137684.94</v>
      </c>
      <c r="M78" s="8">
        <v>-144999.99999996999</v>
      </c>
      <c r="N78" s="9">
        <v>-145000</v>
      </c>
      <c r="O78" s="7">
        <v>-71364.62</v>
      </c>
      <c r="P78" s="8">
        <v>-74999.999999965003</v>
      </c>
      <c r="Q78" s="9">
        <v>-76000</v>
      </c>
      <c r="R78" s="7">
        <v>-24975.62</v>
      </c>
      <c r="S78" s="8">
        <v>-29999.999999987002</v>
      </c>
      <c r="T78" s="9">
        <v>-30000</v>
      </c>
      <c r="U78" s="7">
        <v>-65794.89</v>
      </c>
      <c r="V78" s="8">
        <v>-81729.005974788</v>
      </c>
      <c r="W78" s="9">
        <v>-82000</v>
      </c>
      <c r="X78" s="7">
        <v>-111568.55</v>
      </c>
      <c r="Y78" s="8">
        <v>-105999.999999983</v>
      </c>
      <c r="Z78" s="9">
        <v>-120000</v>
      </c>
      <c r="AA78" s="7">
        <v>-38411.1</v>
      </c>
      <c r="AB78" s="8">
        <v>-44999.999999945001</v>
      </c>
      <c r="AC78" s="9">
        <v>-45000</v>
      </c>
      <c r="AD78" s="7">
        <v>-24536.23</v>
      </c>
      <c r="AE78" s="8">
        <v>-24999.999999986001</v>
      </c>
      <c r="AF78" s="9">
        <v>-25000</v>
      </c>
      <c r="AG78" s="7">
        <v>-79092.320000000007</v>
      </c>
      <c r="AH78" s="8">
        <v>-84999.999999954001</v>
      </c>
      <c r="AI78" s="9">
        <v>-80000</v>
      </c>
      <c r="AJ78" s="7">
        <v>-35348.33</v>
      </c>
      <c r="AK78" s="8">
        <v>-34999.999999963002</v>
      </c>
      <c r="AL78" s="9">
        <v>-36000</v>
      </c>
      <c r="AM78" s="7">
        <v>-17990.259999999998</v>
      </c>
      <c r="AN78" s="8">
        <v>-17999.999999991</v>
      </c>
      <c r="AO78" s="9">
        <v>-25000</v>
      </c>
      <c r="AP78" s="7">
        <v>-29786.05</v>
      </c>
      <c r="AQ78" s="8">
        <v>-29999.999999977001</v>
      </c>
      <c r="AR78" s="9">
        <v>-35000</v>
      </c>
      <c r="AS78" s="7">
        <v>-9417.23</v>
      </c>
      <c r="AT78" s="8">
        <v>-9999.9999999800002</v>
      </c>
      <c r="AU78" s="9">
        <v>-8000</v>
      </c>
      <c r="AV78" s="7">
        <v>-899.11</v>
      </c>
      <c r="AW78" s="8">
        <v>-999.99999999600004</v>
      </c>
      <c r="AX78" s="9">
        <v>-1000</v>
      </c>
      <c r="AY78" s="7">
        <v>-84571.16</v>
      </c>
      <c r="AZ78" s="8">
        <v>-74999.999999969004</v>
      </c>
      <c r="BA78" s="9">
        <v>-95000</v>
      </c>
      <c r="BB78" s="7">
        <v>-24732.99</v>
      </c>
      <c r="BC78" s="8">
        <v>-29999.999999978001</v>
      </c>
      <c r="BD78" s="9">
        <v>-30000</v>
      </c>
      <c r="BE78" s="7">
        <v>-19260.990000000002</v>
      </c>
      <c r="BF78" s="8">
        <v>-19999.999999973999</v>
      </c>
      <c r="BG78" s="9">
        <v>-25000</v>
      </c>
      <c r="BH78" s="7">
        <v>-253.82</v>
      </c>
      <c r="BI78" s="8">
        <v>-999.99999999500005</v>
      </c>
      <c r="BJ78" s="9">
        <v>-1000</v>
      </c>
      <c r="BK78" s="7">
        <v>-14053.69</v>
      </c>
      <c r="BL78" s="8">
        <v>-14999.999999991</v>
      </c>
      <c r="BM78" s="9">
        <v>-23000</v>
      </c>
      <c r="BN78" s="7">
        <v>-83427.16</v>
      </c>
      <c r="BO78" s="8">
        <v>-84999.999999973006</v>
      </c>
      <c r="BP78" s="9">
        <v>-85000</v>
      </c>
      <c r="BQ78" s="7">
        <v>-9045.7199999999993</v>
      </c>
      <c r="BR78" s="8">
        <v>-9999.9999999789998</v>
      </c>
      <c r="BS78" s="9">
        <v>-10000</v>
      </c>
      <c r="BT78" s="7">
        <v>-29305.07</v>
      </c>
      <c r="BU78" s="8">
        <v>-29999.999999993001</v>
      </c>
      <c r="BV78" s="9">
        <v>-35000</v>
      </c>
      <c r="BW78" s="7">
        <v>-63648.56</v>
      </c>
      <c r="BX78" s="8">
        <v>-69999.999999970998</v>
      </c>
      <c r="BY78" s="9">
        <v>-80000</v>
      </c>
      <c r="BZ78" s="7">
        <v>-66555.539999999994</v>
      </c>
      <c r="CA78" s="8">
        <v>-79710.358719494005</v>
      </c>
      <c r="CB78" s="9">
        <v>-80000</v>
      </c>
      <c r="CC78" s="7">
        <v>-1801.67</v>
      </c>
      <c r="CD78" s="8">
        <v>-1999.9999999940001</v>
      </c>
      <c r="CE78" s="9">
        <v>-700</v>
      </c>
      <c r="CF78" s="7">
        <v>-5344.53</v>
      </c>
      <c r="CG78" s="8">
        <v>-6999.9999999849997</v>
      </c>
      <c r="CH78" s="9">
        <v>-7000</v>
      </c>
      <c r="CI78" s="7">
        <v>-3787.49</v>
      </c>
      <c r="CJ78" s="8">
        <v>-4999.9999999940001</v>
      </c>
      <c r="CK78" s="9">
        <v>-5000</v>
      </c>
      <c r="CL78" s="7">
        <v>-34952.089999999997</v>
      </c>
      <c r="CM78" s="8">
        <v>-39999.999999983003</v>
      </c>
      <c r="CN78" s="9">
        <v>-40000</v>
      </c>
      <c r="CO78" s="7">
        <v>-98539.01</v>
      </c>
      <c r="CP78" s="8">
        <v>-89999.999999976004</v>
      </c>
      <c r="CQ78" s="9">
        <v>-90000</v>
      </c>
      <c r="CR78" s="7">
        <v>-5246.28</v>
      </c>
      <c r="CS78" s="8">
        <v>-4999.9999999900001</v>
      </c>
      <c r="CT78" s="9">
        <v>-5000</v>
      </c>
      <c r="CU78" s="7">
        <v>-16166.38</v>
      </c>
      <c r="CV78" s="8">
        <v>-11999.999999981001</v>
      </c>
      <c r="CW78" s="9">
        <v>-19000</v>
      </c>
      <c r="CX78" s="7">
        <v>-47791.21</v>
      </c>
      <c r="CY78" s="8">
        <v>-34999.999999988002</v>
      </c>
      <c r="CZ78" s="9">
        <v>-40000</v>
      </c>
      <c r="DA78" s="7">
        <v>0</v>
      </c>
      <c r="DB78" s="8">
        <v>0</v>
      </c>
      <c r="DC78" s="9">
        <v>0</v>
      </c>
      <c r="DD78" s="7">
        <v>-8863.1299999999992</v>
      </c>
      <c r="DE78" s="8">
        <v>-9999.9999999939992</v>
      </c>
      <c r="DF78" s="9">
        <v>-10000</v>
      </c>
      <c r="DG78" s="7">
        <v>-13818.79</v>
      </c>
      <c r="DH78" s="8">
        <v>-9999.9999999949996</v>
      </c>
      <c r="DI78" s="9">
        <v>-25000</v>
      </c>
      <c r="DJ78" s="7">
        <v>-1883</v>
      </c>
      <c r="DK78" s="8">
        <v>-1999.999999997</v>
      </c>
      <c r="DL78" s="9">
        <v>-2000</v>
      </c>
      <c r="DM78" s="7">
        <v>-1556.35</v>
      </c>
      <c r="DN78" s="8">
        <v>-4999.9999999969996</v>
      </c>
      <c r="DO78" s="9">
        <v>-1500</v>
      </c>
      <c r="DP78" s="7">
        <v>-8603.15</v>
      </c>
      <c r="DQ78" s="8">
        <v>-9999.9999999930005</v>
      </c>
      <c r="DR78" s="9">
        <v>-10000</v>
      </c>
      <c r="DS78" s="7">
        <v>0</v>
      </c>
      <c r="DT78" s="8">
        <v>0</v>
      </c>
      <c r="DU78" s="9">
        <v>0</v>
      </c>
      <c r="DV78" s="7">
        <v>-586.84</v>
      </c>
      <c r="DW78" s="8">
        <v>-1999.999999999</v>
      </c>
      <c r="DX78" s="9">
        <v>0</v>
      </c>
      <c r="DY78" s="7">
        <v>-211.19</v>
      </c>
      <c r="DZ78" s="8">
        <v>0</v>
      </c>
      <c r="EA78" s="9">
        <v>0</v>
      </c>
      <c r="EB78" s="7">
        <v>-30.25</v>
      </c>
      <c r="EC78" s="8">
        <v>-1000</v>
      </c>
      <c r="ED78" s="9">
        <v>-1000</v>
      </c>
      <c r="EE78" s="7">
        <v>-19716.14</v>
      </c>
      <c r="EF78" s="8">
        <v>-19999.999999995001</v>
      </c>
      <c r="EG78" s="9">
        <v>-22000</v>
      </c>
      <c r="EH78" s="7">
        <v>-34403.78</v>
      </c>
      <c r="EI78" s="8">
        <v>-36875.947591454002</v>
      </c>
      <c r="EJ78" s="9">
        <v>-33241</v>
      </c>
      <c r="EK78" s="7">
        <v>-39997.449999999997</v>
      </c>
      <c r="EL78" s="8">
        <v>-39999.999999984</v>
      </c>
      <c r="EM78" s="9">
        <v>-35000</v>
      </c>
      <c r="EN78" s="7">
        <v>0</v>
      </c>
      <c r="EO78" s="8">
        <v>0</v>
      </c>
      <c r="EP78" s="9">
        <v>0</v>
      </c>
      <c r="EQ78" s="7">
        <v>-141.72999999999999</v>
      </c>
      <c r="ER78" s="8">
        <v>-999.99999999800002</v>
      </c>
      <c r="ES78" s="9">
        <v>-2000</v>
      </c>
      <c r="ET78" s="7">
        <v>-248.21</v>
      </c>
      <c r="EU78" s="8">
        <v>-2999.999999999</v>
      </c>
      <c r="EV78" s="9">
        <v>0</v>
      </c>
      <c r="EW78" s="7">
        <v>-24869.26</v>
      </c>
      <c r="EX78" s="8">
        <v>-24999.999999995998</v>
      </c>
      <c r="EY78" s="9">
        <v>-5000</v>
      </c>
      <c r="EZ78" s="7">
        <v>0</v>
      </c>
      <c r="FA78" s="8">
        <v>0</v>
      </c>
      <c r="FB78" s="9">
        <v>0</v>
      </c>
      <c r="FC78" s="7">
        <v>-49656.69</v>
      </c>
      <c r="FD78" s="8">
        <v>-50999.999999993001</v>
      </c>
      <c r="FE78" s="9">
        <v>-50000</v>
      </c>
      <c r="FF78" s="7">
        <v>-14465.43</v>
      </c>
      <c r="FG78" s="8">
        <v>-14999.999999988</v>
      </c>
      <c r="FH78" s="9">
        <v>-15748</v>
      </c>
      <c r="FI78" s="7">
        <v>0</v>
      </c>
      <c r="FJ78" s="8">
        <v>0</v>
      </c>
      <c r="FK78" s="9">
        <v>0</v>
      </c>
      <c r="FL78" s="7">
        <v>-137.94</v>
      </c>
      <c r="FM78" s="8">
        <v>0</v>
      </c>
      <c r="FN78" s="9">
        <v>0</v>
      </c>
      <c r="FO78" s="7">
        <v>-984.14</v>
      </c>
      <c r="FP78" s="8">
        <v>0</v>
      </c>
      <c r="FQ78" s="9">
        <v>0</v>
      </c>
      <c r="FR78" s="7">
        <v>0</v>
      </c>
      <c r="FS78" s="8">
        <v>0</v>
      </c>
      <c r="FT78" s="9">
        <v>0</v>
      </c>
      <c r="FU78" s="7">
        <v>0</v>
      </c>
      <c r="FV78" s="8">
        <v>0</v>
      </c>
      <c r="FW78" s="9">
        <v>0</v>
      </c>
      <c r="FX78" s="7">
        <v>0</v>
      </c>
      <c r="FY78" s="8">
        <v>110000</v>
      </c>
      <c r="FZ78" s="9">
        <v>0</v>
      </c>
      <c r="GA78" s="7">
        <v>-4190.33</v>
      </c>
      <c r="GB78" s="8">
        <v>-4799.9999999949996</v>
      </c>
      <c r="GC78" s="9">
        <v>-7200</v>
      </c>
      <c r="GD78" s="7">
        <v>-2046.43</v>
      </c>
      <c r="GE78" s="8">
        <v>-1923.151867281</v>
      </c>
      <c r="GF78" s="9">
        <v>-1923</v>
      </c>
      <c r="GG78" s="7">
        <v>-3468.12</v>
      </c>
      <c r="GH78" s="8">
        <v>-4799.999999996</v>
      </c>
      <c r="GI78" s="9">
        <v>-4800</v>
      </c>
      <c r="GJ78" s="7">
        <v>-822223.94</v>
      </c>
      <c r="GK78" s="8">
        <v>-798799.99999995297</v>
      </c>
      <c r="GL78" s="9">
        <v>-764967</v>
      </c>
      <c r="GM78" s="7">
        <v>-2102.5500000000002</v>
      </c>
      <c r="GN78" s="8">
        <v>0</v>
      </c>
      <c r="GO78" s="9">
        <v>0</v>
      </c>
      <c r="GP78" s="7">
        <v>-424.68</v>
      </c>
      <c r="GQ78" s="8">
        <v>-799.99999999800002</v>
      </c>
      <c r="GR78" s="9">
        <v>-800</v>
      </c>
      <c r="GS78" s="7">
        <v>-4141.54</v>
      </c>
      <c r="GT78" s="8">
        <v>-5472.4262083590002</v>
      </c>
      <c r="GU78" s="9">
        <v>-5472</v>
      </c>
      <c r="GV78" s="7">
        <v>-3822.24</v>
      </c>
      <c r="GW78" s="8">
        <v>-4999.9999999949996</v>
      </c>
      <c r="GX78" s="9">
        <v>-5000</v>
      </c>
      <c r="GY78" s="7">
        <v>0</v>
      </c>
      <c r="GZ78" s="8">
        <v>0</v>
      </c>
      <c r="HA78" s="9">
        <v>0</v>
      </c>
      <c r="HB78" s="7">
        <v>-12247.82</v>
      </c>
      <c r="HC78" s="8">
        <v>-39999.999999995998</v>
      </c>
      <c r="HD78" s="9">
        <v>-40000</v>
      </c>
      <c r="HE78" s="7">
        <v>0</v>
      </c>
      <c r="HF78" s="8">
        <v>0</v>
      </c>
      <c r="HG78" s="9">
        <v>0</v>
      </c>
      <c r="HH78" s="7">
        <v>0</v>
      </c>
      <c r="HI78" s="8">
        <v>0</v>
      </c>
      <c r="HJ78" s="9">
        <v>0</v>
      </c>
      <c r="HK78" s="7">
        <v>0</v>
      </c>
      <c r="HL78" s="8">
        <v>0</v>
      </c>
      <c r="HM78" s="9">
        <v>0</v>
      </c>
      <c r="HN78" s="7">
        <v>0</v>
      </c>
      <c r="HO78" s="8">
        <v>0</v>
      </c>
      <c r="HP78" s="9">
        <v>0</v>
      </c>
    </row>
    <row r="79" spans="1:224" x14ac:dyDescent="0.25">
      <c r="A79" s="23" t="s">
        <v>293</v>
      </c>
      <c r="B79" s="26" t="s">
        <v>294</v>
      </c>
      <c r="C79" s="7">
        <v>-12882614.84</v>
      </c>
      <c r="D79" s="8">
        <v>-12499626.286122</v>
      </c>
      <c r="E79" s="9">
        <v>-13566586</v>
      </c>
      <c r="F79" s="7">
        <v>-533799.96</v>
      </c>
      <c r="G79" s="8">
        <v>-534999.99999996903</v>
      </c>
      <c r="H79" s="9">
        <v>-523828</v>
      </c>
      <c r="I79" s="7">
        <v>-1436614.19</v>
      </c>
      <c r="J79" s="8">
        <v>-2109762.1754898699</v>
      </c>
      <c r="K79" s="9">
        <v>-2000000</v>
      </c>
      <c r="L79" s="7">
        <v>-664953.94999999995</v>
      </c>
      <c r="M79" s="8">
        <v>-619999.99999996996</v>
      </c>
      <c r="N79" s="9">
        <v>-620000</v>
      </c>
      <c r="O79" s="7">
        <v>-554275.87</v>
      </c>
      <c r="P79" s="8">
        <v>-559999.99999996799</v>
      </c>
      <c r="Q79" s="9">
        <v>-450000</v>
      </c>
      <c r="R79" s="7">
        <v>-110865.13</v>
      </c>
      <c r="S79" s="8">
        <v>-114999.99999998399</v>
      </c>
      <c r="T79" s="9">
        <v>-115000</v>
      </c>
      <c r="U79" s="7">
        <v>-488011.77</v>
      </c>
      <c r="V79" s="8">
        <v>-469999.99999997602</v>
      </c>
      <c r="W79" s="9">
        <v>-460000</v>
      </c>
      <c r="X79" s="7">
        <v>-759736.41</v>
      </c>
      <c r="Y79" s="8">
        <v>-759739.51061660098</v>
      </c>
      <c r="Z79" s="9">
        <v>-800000</v>
      </c>
      <c r="AA79" s="7">
        <v>-440889.19</v>
      </c>
      <c r="AB79" s="8">
        <v>-439999.99999995402</v>
      </c>
      <c r="AC79" s="9">
        <v>-440000</v>
      </c>
      <c r="AD79" s="7">
        <v>-443632.88</v>
      </c>
      <c r="AE79" s="8">
        <v>-429999.99999999098</v>
      </c>
      <c r="AF79" s="9">
        <v>-450000</v>
      </c>
      <c r="AG79" s="7">
        <v>-719368.92</v>
      </c>
      <c r="AH79" s="8">
        <v>-689999.99999995704</v>
      </c>
      <c r="AI79" s="9">
        <v>-1000000</v>
      </c>
      <c r="AJ79" s="7">
        <v>-492982.92</v>
      </c>
      <c r="AK79" s="8">
        <v>-449999.99999996199</v>
      </c>
      <c r="AL79" s="9">
        <v>-500000</v>
      </c>
      <c r="AM79" s="7">
        <v>-232916.37</v>
      </c>
      <c r="AN79" s="8">
        <v>-234999.999999989</v>
      </c>
      <c r="AO79" s="9">
        <v>-270000</v>
      </c>
      <c r="AP79" s="7">
        <v>-294522.19</v>
      </c>
      <c r="AQ79" s="8">
        <v>-279999.999999983</v>
      </c>
      <c r="AR79" s="9">
        <v>-310000</v>
      </c>
      <c r="AS79" s="7">
        <v>-156097.29</v>
      </c>
      <c r="AT79" s="8">
        <v>-129999.99999998001</v>
      </c>
      <c r="AU79" s="9">
        <v>-90000</v>
      </c>
      <c r="AV79" s="7">
        <v>-14484.9</v>
      </c>
      <c r="AW79" s="8">
        <v>-11999.999999996</v>
      </c>
      <c r="AX79" s="9">
        <v>-15000</v>
      </c>
      <c r="AY79" s="7">
        <v>-369001.76</v>
      </c>
      <c r="AZ79" s="8">
        <v>-369999.99999997002</v>
      </c>
      <c r="BA79" s="9">
        <v>-370000</v>
      </c>
      <c r="BB79" s="7">
        <v>-291685.42</v>
      </c>
      <c r="BC79" s="8">
        <v>-274999.99999997002</v>
      </c>
      <c r="BD79" s="9">
        <v>-280000</v>
      </c>
      <c r="BE79" s="7">
        <v>-62009.65</v>
      </c>
      <c r="BF79" s="8">
        <v>-59999.999999977998</v>
      </c>
      <c r="BG79" s="9">
        <v>-60000</v>
      </c>
      <c r="BH79" s="7">
        <v>-14656.46</v>
      </c>
      <c r="BI79" s="8">
        <v>-14999.999999993001</v>
      </c>
      <c r="BJ79" s="9">
        <v>-15000</v>
      </c>
      <c r="BK79" s="7">
        <v>-181603.23</v>
      </c>
      <c r="BL79" s="8">
        <v>-179999.99999998699</v>
      </c>
      <c r="BM79" s="9">
        <v>-170000</v>
      </c>
      <c r="BN79" s="7">
        <v>-213654.04</v>
      </c>
      <c r="BO79" s="8">
        <v>-214999.99999997701</v>
      </c>
      <c r="BP79" s="9">
        <v>-215000</v>
      </c>
      <c r="BQ79" s="7">
        <v>-47474.81</v>
      </c>
      <c r="BR79" s="8">
        <v>-44999.999999990003</v>
      </c>
      <c r="BS79" s="9">
        <v>-42000</v>
      </c>
      <c r="BT79" s="7">
        <v>-188785.73</v>
      </c>
      <c r="BU79" s="8">
        <v>-179999.99999999499</v>
      </c>
      <c r="BV79" s="9">
        <v>-220000</v>
      </c>
      <c r="BW79" s="7">
        <v>-252466.56</v>
      </c>
      <c r="BX79" s="8">
        <v>-269999.99999997101</v>
      </c>
      <c r="BY79" s="9">
        <v>-270000</v>
      </c>
      <c r="BZ79" s="7">
        <v>-165848.45000000001</v>
      </c>
      <c r="CA79" s="8">
        <v>-170124.60001634201</v>
      </c>
      <c r="CB79" s="9">
        <v>-172000</v>
      </c>
      <c r="CC79" s="7">
        <v>-21348.83</v>
      </c>
      <c r="CD79" s="8">
        <v>-19999.999999991</v>
      </c>
      <c r="CE79" s="9">
        <v>-20000</v>
      </c>
      <c r="CF79" s="7">
        <v>-16035.86</v>
      </c>
      <c r="CG79" s="8">
        <v>-14999.999999992</v>
      </c>
      <c r="CH79" s="9">
        <v>-12000</v>
      </c>
      <c r="CI79" s="7">
        <v>-21253.89</v>
      </c>
      <c r="CJ79" s="8">
        <v>-19999.999999989999</v>
      </c>
      <c r="CK79" s="9">
        <v>-20000</v>
      </c>
      <c r="CL79" s="7">
        <v>-183790.81</v>
      </c>
      <c r="CM79" s="8">
        <v>-189999.99999997899</v>
      </c>
      <c r="CN79" s="9">
        <v>-190000</v>
      </c>
      <c r="CO79" s="7">
        <v>-644632.03</v>
      </c>
      <c r="CP79" s="8">
        <v>-669999.99999997101</v>
      </c>
      <c r="CQ79" s="9">
        <v>-680000</v>
      </c>
      <c r="CR79" s="7">
        <v>-68332.97</v>
      </c>
      <c r="CS79" s="8">
        <v>-59999.999999993997</v>
      </c>
      <c r="CT79" s="9">
        <v>-60000</v>
      </c>
      <c r="CU79" s="7">
        <v>-196756.8</v>
      </c>
      <c r="CV79" s="8">
        <v>-189999.99999999101</v>
      </c>
      <c r="CW79" s="9">
        <v>-170000</v>
      </c>
      <c r="CX79" s="7">
        <v>-185724.43</v>
      </c>
      <c r="CY79" s="8">
        <v>-189999.99999999101</v>
      </c>
      <c r="CZ79" s="9">
        <v>-190000</v>
      </c>
      <c r="DA79" s="7">
        <v>-1373.47</v>
      </c>
      <c r="DB79" s="8">
        <v>-1999.999999999</v>
      </c>
      <c r="DC79" s="9">
        <v>-2700</v>
      </c>
      <c r="DD79" s="7">
        <v>-21885.3</v>
      </c>
      <c r="DE79" s="8">
        <v>-19999.999999994001</v>
      </c>
      <c r="DF79" s="9">
        <v>-20000</v>
      </c>
      <c r="DG79" s="7">
        <v>-28205.3</v>
      </c>
      <c r="DH79" s="8">
        <v>-34999.999999997002</v>
      </c>
      <c r="DI79" s="9">
        <v>-35000</v>
      </c>
      <c r="DJ79" s="7">
        <v>-2933.7</v>
      </c>
      <c r="DK79" s="8">
        <v>-3000</v>
      </c>
      <c r="DL79" s="9">
        <v>-3000</v>
      </c>
      <c r="DM79" s="7">
        <v>-38122.050000000003</v>
      </c>
      <c r="DN79" s="8">
        <v>-34999.999999993001</v>
      </c>
      <c r="DO79" s="9">
        <v>-36000</v>
      </c>
      <c r="DP79" s="7">
        <v>-82111.28</v>
      </c>
      <c r="DQ79" s="8">
        <v>-69999.999999993001</v>
      </c>
      <c r="DR79" s="9">
        <v>-70000</v>
      </c>
      <c r="DS79" s="7">
        <v>0</v>
      </c>
      <c r="DT79" s="8">
        <v>0</v>
      </c>
      <c r="DU79" s="9">
        <v>0</v>
      </c>
      <c r="DV79" s="7">
        <v>-490.05</v>
      </c>
      <c r="DW79" s="8">
        <v>0</v>
      </c>
      <c r="DX79" s="9">
        <v>-5000</v>
      </c>
      <c r="DY79" s="7">
        <v>0</v>
      </c>
      <c r="DZ79" s="8">
        <v>-2000</v>
      </c>
      <c r="EA79" s="9">
        <v>0</v>
      </c>
      <c r="EB79" s="7">
        <v>0</v>
      </c>
      <c r="EC79" s="8">
        <v>0</v>
      </c>
      <c r="ED79" s="9">
        <v>0</v>
      </c>
      <c r="EE79" s="7">
        <v>-437376.2</v>
      </c>
      <c r="EF79" s="8">
        <v>-449999.99999999302</v>
      </c>
      <c r="EG79" s="9">
        <v>-450000</v>
      </c>
      <c r="EH79" s="7">
        <v>-101331.93</v>
      </c>
      <c r="EI79" s="8">
        <v>-103999.999999974</v>
      </c>
      <c r="EJ79" s="9">
        <v>-110269</v>
      </c>
      <c r="EK79" s="7">
        <v>-444247.24</v>
      </c>
      <c r="EL79" s="8">
        <v>-439999.99999998102</v>
      </c>
      <c r="EM79" s="9">
        <v>-471250</v>
      </c>
      <c r="EN79" s="7">
        <v>0</v>
      </c>
      <c r="EO79" s="8">
        <v>0</v>
      </c>
      <c r="EP79" s="9">
        <v>0</v>
      </c>
      <c r="EQ79" s="7">
        <v>0</v>
      </c>
      <c r="ER79" s="8">
        <v>0</v>
      </c>
      <c r="ES79" s="9">
        <v>0</v>
      </c>
      <c r="ET79" s="7">
        <v>-3837.82</v>
      </c>
      <c r="EU79" s="8">
        <v>-4999.9999999969996</v>
      </c>
      <c r="EV79" s="9">
        <v>0</v>
      </c>
      <c r="EW79" s="7">
        <v>-255882.94</v>
      </c>
      <c r="EX79" s="8">
        <v>-229999.999999994</v>
      </c>
      <c r="EY79" s="9">
        <v>-230000</v>
      </c>
      <c r="EZ79" s="7">
        <v>0</v>
      </c>
      <c r="FA79" s="8">
        <v>0</v>
      </c>
      <c r="FB79" s="9">
        <v>0</v>
      </c>
      <c r="FC79" s="7">
        <v>-197839.64</v>
      </c>
      <c r="FD79" s="8">
        <v>-209999.99999999499</v>
      </c>
      <c r="FE79" s="9">
        <v>-238000</v>
      </c>
      <c r="FF79" s="7">
        <v>-706364.8</v>
      </c>
      <c r="FG79" s="8">
        <v>-699999.99999998498</v>
      </c>
      <c r="FH79" s="9">
        <v>-610289</v>
      </c>
      <c r="FI79" s="7">
        <v>0</v>
      </c>
      <c r="FJ79" s="8">
        <v>0</v>
      </c>
      <c r="FK79" s="9">
        <v>0</v>
      </c>
      <c r="FL79" s="7">
        <v>0</v>
      </c>
      <c r="FM79" s="8">
        <v>0</v>
      </c>
      <c r="FN79" s="9">
        <v>0</v>
      </c>
      <c r="FO79" s="7">
        <v>-3329.69</v>
      </c>
      <c r="FP79" s="8">
        <v>0</v>
      </c>
      <c r="FQ79" s="9">
        <v>0</v>
      </c>
      <c r="FR79" s="7">
        <v>0</v>
      </c>
      <c r="FS79" s="8">
        <v>0</v>
      </c>
      <c r="FT79" s="9">
        <v>0</v>
      </c>
      <c r="FU79" s="7">
        <v>0</v>
      </c>
      <c r="FV79" s="8">
        <v>0</v>
      </c>
      <c r="FW79" s="9">
        <v>0</v>
      </c>
      <c r="FX79" s="7">
        <v>0</v>
      </c>
      <c r="FY79" s="8">
        <v>865000</v>
      </c>
      <c r="FZ79" s="9">
        <v>0</v>
      </c>
      <c r="GA79" s="7">
        <v>0</v>
      </c>
      <c r="GB79" s="8">
        <v>0</v>
      </c>
      <c r="GC79" s="9">
        <v>0</v>
      </c>
      <c r="GD79" s="7">
        <v>-9707.7000000000007</v>
      </c>
      <c r="GE79" s="8">
        <v>-9999.999999996</v>
      </c>
      <c r="GF79" s="9">
        <v>-10000</v>
      </c>
      <c r="GG79" s="7">
        <v>0</v>
      </c>
      <c r="GH79" s="8">
        <v>0</v>
      </c>
      <c r="GI79" s="9">
        <v>0</v>
      </c>
      <c r="GJ79" s="7">
        <v>-78261.45</v>
      </c>
      <c r="GK79" s="8">
        <v>-76999.999999983993</v>
      </c>
      <c r="GL79" s="9">
        <v>-75250</v>
      </c>
      <c r="GM79" s="7">
        <v>0</v>
      </c>
      <c r="GN79" s="8">
        <v>0</v>
      </c>
      <c r="GO79" s="9">
        <v>0</v>
      </c>
      <c r="GP79" s="7">
        <v>-1100.6099999999999</v>
      </c>
      <c r="GQ79" s="8">
        <v>0</v>
      </c>
      <c r="GR79" s="9">
        <v>0</v>
      </c>
      <c r="GS79" s="7">
        <v>0</v>
      </c>
      <c r="GT79" s="8">
        <v>0</v>
      </c>
      <c r="GU79" s="9">
        <v>0</v>
      </c>
      <c r="GV79" s="7">
        <v>0</v>
      </c>
      <c r="GW79" s="8">
        <v>0</v>
      </c>
      <c r="GX79" s="9">
        <v>0</v>
      </c>
      <c r="GY79" s="7">
        <v>0</v>
      </c>
      <c r="GZ79" s="8">
        <v>0</v>
      </c>
      <c r="HA79" s="9">
        <v>0</v>
      </c>
      <c r="HB79" s="7">
        <v>0</v>
      </c>
      <c r="HC79" s="8">
        <v>0</v>
      </c>
      <c r="HD79" s="9">
        <v>0</v>
      </c>
      <c r="HE79" s="7">
        <v>0</v>
      </c>
      <c r="HF79" s="8">
        <v>0</v>
      </c>
      <c r="HG79" s="9">
        <v>0</v>
      </c>
      <c r="HH79" s="7">
        <v>0</v>
      </c>
      <c r="HI79" s="8">
        <v>0</v>
      </c>
      <c r="HJ79" s="9">
        <v>0</v>
      </c>
      <c r="HK79" s="7">
        <v>0</v>
      </c>
      <c r="HL79" s="8">
        <v>0</v>
      </c>
      <c r="HM79" s="9">
        <v>0</v>
      </c>
      <c r="HN79" s="7">
        <v>0</v>
      </c>
      <c r="HO79" s="8">
        <v>0</v>
      </c>
      <c r="HP79" s="9">
        <v>0</v>
      </c>
    </row>
    <row r="80" spans="1:224" x14ac:dyDescent="0.25">
      <c r="A80" s="23" t="s">
        <v>295</v>
      </c>
      <c r="B80" s="26" t="s">
        <v>296</v>
      </c>
      <c r="C80" s="7">
        <v>-5652314.1600000001</v>
      </c>
      <c r="D80" s="8">
        <v>-5369893.2784323003</v>
      </c>
      <c r="E80" s="9">
        <v>-5675212.0000000102</v>
      </c>
      <c r="F80" s="7">
        <v>-207897.72</v>
      </c>
      <c r="G80" s="8">
        <v>-224999.99999995899</v>
      </c>
      <c r="H80" s="9">
        <v>-235000</v>
      </c>
      <c r="I80" s="7">
        <v>-396465.52</v>
      </c>
      <c r="J80" s="8">
        <v>-328220.81848533999</v>
      </c>
      <c r="K80" s="9">
        <v>-220000</v>
      </c>
      <c r="L80" s="7">
        <v>-180174.69</v>
      </c>
      <c r="M80" s="8">
        <v>-198618.92758418599</v>
      </c>
      <c r="N80" s="9">
        <v>-198619</v>
      </c>
      <c r="O80" s="7">
        <v>-172261.67</v>
      </c>
      <c r="P80" s="8">
        <v>-159999.99999996301</v>
      </c>
      <c r="Q80" s="9">
        <v>-175000</v>
      </c>
      <c r="R80" s="7">
        <v>-67126.710000000006</v>
      </c>
      <c r="S80" s="8">
        <v>-74347.869725664001</v>
      </c>
      <c r="T80" s="9">
        <v>-75000</v>
      </c>
      <c r="U80" s="7">
        <v>-104196.26</v>
      </c>
      <c r="V80" s="8">
        <v>-133675.43194256999</v>
      </c>
      <c r="W80" s="9">
        <v>-134000</v>
      </c>
      <c r="X80" s="7">
        <v>-141734.75</v>
      </c>
      <c r="Y80" s="8">
        <v>-155999.99999997701</v>
      </c>
      <c r="Z80" s="9">
        <v>-180000</v>
      </c>
      <c r="AA80" s="7">
        <v>-167311.13</v>
      </c>
      <c r="AB80" s="8">
        <v>-180251.381917755</v>
      </c>
      <c r="AC80" s="9">
        <v>-180000</v>
      </c>
      <c r="AD80" s="7">
        <v>-74464.789999999994</v>
      </c>
      <c r="AE80" s="8">
        <v>-78999.999999977998</v>
      </c>
      <c r="AF80" s="9">
        <v>-79000</v>
      </c>
      <c r="AG80" s="7">
        <v>-176281.87</v>
      </c>
      <c r="AH80" s="8">
        <v>-194999.99999996001</v>
      </c>
      <c r="AI80" s="9">
        <v>-190000</v>
      </c>
      <c r="AJ80" s="7">
        <v>-149967.21</v>
      </c>
      <c r="AK80" s="8">
        <v>-176734.81109566501</v>
      </c>
      <c r="AL80" s="9">
        <v>-168182</v>
      </c>
      <c r="AM80" s="7">
        <v>-72458.03</v>
      </c>
      <c r="AN80" s="8">
        <v>-74999.999999990003</v>
      </c>
      <c r="AO80" s="9">
        <v>-65000</v>
      </c>
      <c r="AP80" s="7">
        <v>-73899.929999999993</v>
      </c>
      <c r="AQ80" s="8">
        <v>-79999.999999981999</v>
      </c>
      <c r="AR80" s="9">
        <v>-80000</v>
      </c>
      <c r="AS80" s="7">
        <v>-61058.44</v>
      </c>
      <c r="AT80" s="8">
        <v>-65581.305904973007</v>
      </c>
      <c r="AU80" s="9">
        <v>-66000</v>
      </c>
      <c r="AV80" s="7">
        <v>-22702.97</v>
      </c>
      <c r="AW80" s="8">
        <v>-24999.999999994001</v>
      </c>
      <c r="AX80" s="9">
        <v>-25000</v>
      </c>
      <c r="AY80" s="7">
        <v>-171550.43</v>
      </c>
      <c r="AZ80" s="8">
        <v>-188796.06511023501</v>
      </c>
      <c r="BA80" s="9">
        <v>-170000</v>
      </c>
      <c r="BB80" s="7">
        <v>-112368.43</v>
      </c>
      <c r="BC80" s="8">
        <v>-119999.999999969</v>
      </c>
      <c r="BD80" s="9">
        <v>-120000</v>
      </c>
      <c r="BE80" s="7">
        <v>-90232.48</v>
      </c>
      <c r="BF80" s="8">
        <v>-174999.999999961</v>
      </c>
      <c r="BG80" s="9">
        <v>-200000</v>
      </c>
      <c r="BH80" s="7">
        <v>-23221.08</v>
      </c>
      <c r="BI80" s="8">
        <v>-24999.999999987002</v>
      </c>
      <c r="BJ80" s="9">
        <v>-25000</v>
      </c>
      <c r="BK80" s="7">
        <v>-46423.839999999997</v>
      </c>
      <c r="BL80" s="8">
        <v>-44999.999999986998</v>
      </c>
      <c r="BM80" s="9">
        <v>-45000</v>
      </c>
      <c r="BN80" s="7">
        <v>-122312.36</v>
      </c>
      <c r="BO80" s="8">
        <v>-139999.99999996499</v>
      </c>
      <c r="BP80" s="9">
        <v>-140000</v>
      </c>
      <c r="BQ80" s="7">
        <v>-35098.269999999997</v>
      </c>
      <c r="BR80" s="8">
        <v>-34999.999999972999</v>
      </c>
      <c r="BS80" s="9">
        <v>-39000</v>
      </c>
      <c r="BT80" s="7">
        <v>-38191.370000000003</v>
      </c>
      <c r="BU80" s="8">
        <v>-39999.999999995001</v>
      </c>
      <c r="BV80" s="9">
        <v>-40000</v>
      </c>
      <c r="BW80" s="7">
        <v>-43354.93</v>
      </c>
      <c r="BX80" s="8">
        <v>-54999.999999970998</v>
      </c>
      <c r="BY80" s="9">
        <v>-60000</v>
      </c>
      <c r="BZ80" s="7">
        <v>-87110.65</v>
      </c>
      <c r="CA80" s="8">
        <v>-79999.999999987995</v>
      </c>
      <c r="CB80" s="9">
        <v>-80000</v>
      </c>
      <c r="CC80" s="7">
        <v>-22047.97</v>
      </c>
      <c r="CD80" s="8">
        <v>-19999.999999993001</v>
      </c>
      <c r="CE80" s="9">
        <v>-40000</v>
      </c>
      <c r="CF80" s="7">
        <v>-33788.550000000003</v>
      </c>
      <c r="CG80" s="8">
        <v>-32999.999999986998</v>
      </c>
      <c r="CH80" s="9">
        <v>-37000</v>
      </c>
      <c r="CI80" s="7">
        <v>-18251.62</v>
      </c>
      <c r="CJ80" s="8">
        <v>-19999.999999991</v>
      </c>
      <c r="CK80" s="9">
        <v>-20000</v>
      </c>
      <c r="CL80" s="7">
        <v>-66967.09</v>
      </c>
      <c r="CM80" s="8">
        <v>-74999.999999977998</v>
      </c>
      <c r="CN80" s="9">
        <v>-75000</v>
      </c>
      <c r="CO80" s="7">
        <v>-232947.17</v>
      </c>
      <c r="CP80" s="8">
        <v>-239999.999999972</v>
      </c>
      <c r="CQ80" s="9">
        <v>-240000</v>
      </c>
      <c r="CR80" s="7">
        <v>-180663.23</v>
      </c>
      <c r="CS80" s="8">
        <v>-164999.999999989</v>
      </c>
      <c r="CT80" s="9">
        <v>-165000</v>
      </c>
      <c r="CU80" s="7">
        <v>-113376.89</v>
      </c>
      <c r="CV80" s="8">
        <v>-104999.99999998399</v>
      </c>
      <c r="CW80" s="9">
        <v>-90000</v>
      </c>
      <c r="CX80" s="7">
        <v>-260549.52</v>
      </c>
      <c r="CY80" s="8">
        <v>-244999.99999998501</v>
      </c>
      <c r="CZ80" s="9">
        <v>-260000</v>
      </c>
      <c r="DA80" s="7">
        <v>-4281.96</v>
      </c>
      <c r="DB80" s="8">
        <v>-4999.9999999969996</v>
      </c>
      <c r="DC80" s="9">
        <v>-7000</v>
      </c>
      <c r="DD80" s="7">
        <v>-82385.460000000006</v>
      </c>
      <c r="DE80" s="8">
        <v>-89999.999999994005</v>
      </c>
      <c r="DF80" s="9">
        <v>-90000</v>
      </c>
      <c r="DG80" s="7">
        <v>-55743.72</v>
      </c>
      <c r="DH80" s="8">
        <v>-54999.999999995001</v>
      </c>
      <c r="DI80" s="9">
        <v>-50000</v>
      </c>
      <c r="DJ80" s="7">
        <v>-60750.39</v>
      </c>
      <c r="DK80" s="8">
        <v>-59999.999999997999</v>
      </c>
      <c r="DL80" s="9">
        <v>-70000</v>
      </c>
      <c r="DM80" s="7">
        <v>-58697</v>
      </c>
      <c r="DN80" s="8">
        <v>-62999.999999995001</v>
      </c>
      <c r="DO80" s="9">
        <v>-63000</v>
      </c>
      <c r="DP80" s="7">
        <v>-80288.14</v>
      </c>
      <c r="DQ80" s="8">
        <v>-84999.999999994994</v>
      </c>
      <c r="DR80" s="9">
        <v>-85000</v>
      </c>
      <c r="DS80" s="7">
        <v>-542.79999999999995</v>
      </c>
      <c r="DT80" s="8">
        <v>-2000</v>
      </c>
      <c r="DU80" s="9">
        <v>0</v>
      </c>
      <c r="DV80" s="7">
        <v>-4336.68</v>
      </c>
      <c r="DW80" s="8">
        <v>-4999.9999999989996</v>
      </c>
      <c r="DX80" s="9">
        <v>-8000</v>
      </c>
      <c r="DY80" s="7">
        <v>-4797.8100000000004</v>
      </c>
      <c r="DZ80" s="8">
        <v>-4999.999999996</v>
      </c>
      <c r="EA80" s="9">
        <v>0</v>
      </c>
      <c r="EB80" s="7">
        <v>-3746.87</v>
      </c>
      <c r="EC80" s="8">
        <v>-4999.9999999969996</v>
      </c>
      <c r="ED80" s="9">
        <v>-6000</v>
      </c>
      <c r="EE80" s="7">
        <v>-27508.25</v>
      </c>
      <c r="EF80" s="8">
        <v>-24999.999999994001</v>
      </c>
      <c r="EG80" s="9">
        <v>-37000</v>
      </c>
      <c r="EH80" s="7">
        <v>-138047.57999999999</v>
      </c>
      <c r="EI80" s="8">
        <v>-158999.999999967</v>
      </c>
      <c r="EJ80" s="9">
        <v>-149984</v>
      </c>
      <c r="EK80" s="7">
        <v>-49439.45</v>
      </c>
      <c r="EL80" s="8">
        <v>-49999.999999975997</v>
      </c>
      <c r="EM80" s="9">
        <v>-61000</v>
      </c>
      <c r="EN80" s="7">
        <v>-542.79999999999995</v>
      </c>
      <c r="EO80" s="8">
        <v>-2000</v>
      </c>
      <c r="EP80" s="9">
        <v>-2000</v>
      </c>
      <c r="EQ80" s="7">
        <v>-1840.55</v>
      </c>
      <c r="ER80" s="8">
        <v>-1999.999999997</v>
      </c>
      <c r="ES80" s="9">
        <v>-3000</v>
      </c>
      <c r="ET80" s="7">
        <v>-3759.3</v>
      </c>
      <c r="EU80" s="8">
        <v>-4999.9999999969996</v>
      </c>
      <c r="EV80" s="9">
        <v>0</v>
      </c>
      <c r="EW80" s="7">
        <v>-48096.22</v>
      </c>
      <c r="EX80" s="8">
        <v>-49999.999999995001</v>
      </c>
      <c r="EY80" s="9">
        <v>-50000</v>
      </c>
      <c r="EZ80" s="7">
        <v>0</v>
      </c>
      <c r="FA80" s="8">
        <v>0</v>
      </c>
      <c r="FB80" s="9">
        <v>0</v>
      </c>
      <c r="FC80" s="7">
        <v>-52664.800000000003</v>
      </c>
      <c r="FD80" s="8">
        <v>-54999.999999991996</v>
      </c>
      <c r="FE80" s="9">
        <v>-42000</v>
      </c>
      <c r="FF80" s="7">
        <v>-161221.76000000001</v>
      </c>
      <c r="FG80" s="8">
        <v>-154999.999999981</v>
      </c>
      <c r="FH80" s="9">
        <v>-199660</v>
      </c>
      <c r="FI80" s="7">
        <v>0</v>
      </c>
      <c r="FJ80" s="8">
        <v>0</v>
      </c>
      <c r="FK80" s="9">
        <v>0</v>
      </c>
      <c r="FL80" s="7">
        <v>-24147.53</v>
      </c>
      <c r="FM80" s="8">
        <v>0</v>
      </c>
      <c r="FN80" s="9">
        <v>0</v>
      </c>
      <c r="FO80" s="7">
        <v>-126746.53</v>
      </c>
      <c r="FP80" s="8">
        <v>0</v>
      </c>
      <c r="FQ80" s="9">
        <v>0</v>
      </c>
      <c r="FR80" s="7">
        <v>-40740.699999999997</v>
      </c>
      <c r="FS80" s="8">
        <v>0</v>
      </c>
      <c r="FT80" s="9">
        <v>0</v>
      </c>
      <c r="FU80" s="7">
        <v>0</v>
      </c>
      <c r="FV80" s="8">
        <v>0</v>
      </c>
      <c r="FW80" s="9">
        <v>0</v>
      </c>
      <c r="FX80" s="7">
        <v>0</v>
      </c>
      <c r="FY80" s="8">
        <v>254000</v>
      </c>
      <c r="FZ80" s="9">
        <v>0</v>
      </c>
      <c r="GA80" s="7">
        <v>-64130.17</v>
      </c>
      <c r="GB80" s="8">
        <v>-52999.999999991996</v>
      </c>
      <c r="GC80" s="9">
        <v>-73000</v>
      </c>
      <c r="GD80" s="7">
        <v>-53456.18</v>
      </c>
      <c r="GE80" s="8">
        <v>-95666.666666656005</v>
      </c>
      <c r="GF80" s="9">
        <v>-95667</v>
      </c>
      <c r="GG80" s="7">
        <v>-189751.51</v>
      </c>
      <c r="GH80" s="8">
        <v>-199999.999999992</v>
      </c>
      <c r="GI80" s="9">
        <v>-200000</v>
      </c>
      <c r="GJ80" s="7">
        <v>-231697.56</v>
      </c>
      <c r="GK80" s="8">
        <v>-231999.99999993501</v>
      </c>
      <c r="GL80" s="9">
        <v>-257400</v>
      </c>
      <c r="GM80" s="7">
        <v>-7163.43</v>
      </c>
      <c r="GN80" s="8">
        <v>0</v>
      </c>
      <c r="GO80" s="9">
        <v>0</v>
      </c>
      <c r="GP80" s="7">
        <v>-126285.63</v>
      </c>
      <c r="GQ80" s="8">
        <v>-129999.999999996</v>
      </c>
      <c r="GR80" s="9">
        <v>-130000</v>
      </c>
      <c r="GS80" s="7">
        <v>-9685</v>
      </c>
      <c r="GT80" s="8">
        <v>-10999.999999992</v>
      </c>
      <c r="GU80" s="9">
        <v>-13700</v>
      </c>
      <c r="GV80" s="7">
        <v>-164216.16</v>
      </c>
      <c r="GW80" s="8">
        <v>-64999.999999991996</v>
      </c>
      <c r="GX80" s="9">
        <v>-65000</v>
      </c>
      <c r="GY80" s="7">
        <v>-605</v>
      </c>
      <c r="GZ80" s="8">
        <v>0</v>
      </c>
      <c r="HA80" s="9">
        <v>0</v>
      </c>
      <c r="HB80" s="7">
        <v>-8420.65</v>
      </c>
      <c r="HC80" s="8">
        <v>0</v>
      </c>
      <c r="HD80" s="9">
        <v>0</v>
      </c>
      <c r="HE80" s="7">
        <v>0</v>
      </c>
      <c r="HF80" s="8">
        <v>0</v>
      </c>
      <c r="HG80" s="9">
        <v>0</v>
      </c>
      <c r="HH80" s="7">
        <v>-119</v>
      </c>
      <c r="HI80" s="8">
        <v>0</v>
      </c>
      <c r="HJ80" s="9">
        <v>0</v>
      </c>
      <c r="HK80" s="7">
        <v>0</v>
      </c>
      <c r="HL80" s="8">
        <v>0</v>
      </c>
      <c r="HM80" s="9">
        <v>0</v>
      </c>
      <c r="HN80" s="7">
        <v>0</v>
      </c>
      <c r="HO80" s="8">
        <v>0</v>
      </c>
      <c r="HP80" s="9">
        <v>0</v>
      </c>
    </row>
    <row r="81" spans="1:224" x14ac:dyDescent="0.25">
      <c r="A81" s="23" t="s">
        <v>297</v>
      </c>
      <c r="B81" s="26" t="s">
        <v>298</v>
      </c>
      <c r="C81" s="7">
        <v>-3244072.02</v>
      </c>
      <c r="D81" s="8">
        <v>-3366765.5632302398</v>
      </c>
      <c r="E81" s="9">
        <v>-3079102</v>
      </c>
      <c r="F81" s="7">
        <v>0</v>
      </c>
      <c r="G81" s="8">
        <v>0</v>
      </c>
      <c r="H81" s="9">
        <v>0</v>
      </c>
      <c r="I81" s="7">
        <v>0</v>
      </c>
      <c r="J81" s="8">
        <v>0</v>
      </c>
      <c r="K81" s="9">
        <v>0</v>
      </c>
      <c r="L81" s="7">
        <v>0</v>
      </c>
      <c r="M81" s="8">
        <v>0</v>
      </c>
      <c r="N81" s="9">
        <v>0</v>
      </c>
      <c r="O81" s="7">
        <v>0</v>
      </c>
      <c r="P81" s="8">
        <v>0</v>
      </c>
      <c r="Q81" s="9">
        <v>-650</v>
      </c>
      <c r="R81" s="7">
        <v>0</v>
      </c>
      <c r="S81" s="8">
        <v>0</v>
      </c>
      <c r="T81" s="9">
        <v>0</v>
      </c>
      <c r="U81" s="7">
        <v>-247930.38</v>
      </c>
      <c r="V81" s="8">
        <v>-273765.563230281</v>
      </c>
      <c r="W81" s="9">
        <v>-284162</v>
      </c>
      <c r="X81" s="7">
        <v>0</v>
      </c>
      <c r="Y81" s="8">
        <v>0</v>
      </c>
      <c r="Z81" s="9">
        <v>0</v>
      </c>
      <c r="AA81" s="7">
        <v>0</v>
      </c>
      <c r="AB81" s="8">
        <v>0</v>
      </c>
      <c r="AC81" s="9">
        <v>0</v>
      </c>
      <c r="AD81" s="7">
        <v>-7329.7</v>
      </c>
      <c r="AE81" s="8">
        <v>-6000</v>
      </c>
      <c r="AF81" s="9">
        <v>-4500</v>
      </c>
      <c r="AG81" s="7">
        <v>0</v>
      </c>
      <c r="AH81" s="8">
        <v>0</v>
      </c>
      <c r="AI81" s="9">
        <v>0</v>
      </c>
      <c r="AJ81" s="7">
        <v>0</v>
      </c>
      <c r="AK81" s="8">
        <v>0</v>
      </c>
      <c r="AL81" s="9">
        <v>0</v>
      </c>
      <c r="AM81" s="7">
        <v>0</v>
      </c>
      <c r="AN81" s="8">
        <v>0</v>
      </c>
      <c r="AO81" s="9">
        <v>0</v>
      </c>
      <c r="AP81" s="7">
        <v>-52180.65</v>
      </c>
      <c r="AQ81" s="8">
        <v>-49999.999999993997</v>
      </c>
      <c r="AR81" s="9">
        <v>-50000</v>
      </c>
      <c r="AS81" s="7">
        <v>-56559.88</v>
      </c>
      <c r="AT81" s="8">
        <v>-59999.999999995001</v>
      </c>
      <c r="AU81" s="9">
        <v>-60000</v>
      </c>
      <c r="AV81" s="7">
        <v>0</v>
      </c>
      <c r="AW81" s="8">
        <v>0</v>
      </c>
      <c r="AX81" s="9">
        <v>0</v>
      </c>
      <c r="AY81" s="7">
        <v>0</v>
      </c>
      <c r="AZ81" s="8">
        <v>0</v>
      </c>
      <c r="BA81" s="9">
        <v>0</v>
      </c>
      <c r="BB81" s="7">
        <v>0</v>
      </c>
      <c r="BC81" s="8">
        <v>0</v>
      </c>
      <c r="BD81" s="9">
        <v>0</v>
      </c>
      <c r="BE81" s="7">
        <v>0</v>
      </c>
      <c r="BF81" s="8">
        <v>0</v>
      </c>
      <c r="BG81" s="9">
        <v>0</v>
      </c>
      <c r="BH81" s="7">
        <v>0</v>
      </c>
      <c r="BI81" s="8">
        <v>0</v>
      </c>
      <c r="BJ81" s="9">
        <v>0</v>
      </c>
      <c r="BK81" s="7">
        <v>0</v>
      </c>
      <c r="BL81" s="8">
        <v>0</v>
      </c>
      <c r="BM81" s="9">
        <v>0</v>
      </c>
      <c r="BN81" s="7">
        <v>0</v>
      </c>
      <c r="BO81" s="8">
        <v>0</v>
      </c>
      <c r="BP81" s="9">
        <v>0</v>
      </c>
      <c r="BQ81" s="7">
        <v>0</v>
      </c>
      <c r="BR81" s="8">
        <v>0</v>
      </c>
      <c r="BS81" s="9">
        <v>0</v>
      </c>
      <c r="BT81" s="7">
        <v>-68870.83</v>
      </c>
      <c r="BU81" s="8">
        <v>-74999.999999994994</v>
      </c>
      <c r="BV81" s="9">
        <v>-75000</v>
      </c>
      <c r="BW81" s="7">
        <v>-125933.75999999999</v>
      </c>
      <c r="BX81" s="8">
        <v>-149999.99999998999</v>
      </c>
      <c r="BY81" s="9">
        <v>-12000</v>
      </c>
      <c r="BZ81" s="7">
        <v>0</v>
      </c>
      <c r="CA81" s="8">
        <v>0</v>
      </c>
      <c r="CB81" s="9">
        <v>0</v>
      </c>
      <c r="CC81" s="7">
        <v>0</v>
      </c>
      <c r="CD81" s="8">
        <v>0</v>
      </c>
      <c r="CE81" s="9">
        <v>0</v>
      </c>
      <c r="CF81" s="7">
        <v>-872.01</v>
      </c>
      <c r="CG81" s="8">
        <v>-2000</v>
      </c>
      <c r="CH81" s="9">
        <v>-2000</v>
      </c>
      <c r="CI81" s="7">
        <v>0</v>
      </c>
      <c r="CJ81" s="8">
        <v>0</v>
      </c>
      <c r="CK81" s="9">
        <v>0</v>
      </c>
      <c r="CL81" s="7">
        <v>0</v>
      </c>
      <c r="CM81" s="8">
        <v>0</v>
      </c>
      <c r="CN81" s="9">
        <v>0</v>
      </c>
      <c r="CO81" s="7">
        <v>0</v>
      </c>
      <c r="CP81" s="8">
        <v>0</v>
      </c>
      <c r="CQ81" s="9">
        <v>0</v>
      </c>
      <c r="CR81" s="7">
        <v>0</v>
      </c>
      <c r="CS81" s="8">
        <v>0</v>
      </c>
      <c r="CT81" s="9">
        <v>0</v>
      </c>
      <c r="CU81" s="7">
        <v>0</v>
      </c>
      <c r="CV81" s="8">
        <v>0</v>
      </c>
      <c r="CW81" s="9">
        <v>0</v>
      </c>
      <c r="CX81" s="7">
        <v>0</v>
      </c>
      <c r="CY81" s="8">
        <v>-5000</v>
      </c>
      <c r="CZ81" s="9">
        <v>-10000</v>
      </c>
      <c r="DA81" s="7">
        <v>0</v>
      </c>
      <c r="DB81" s="8">
        <v>0</v>
      </c>
      <c r="DC81" s="9">
        <v>0</v>
      </c>
      <c r="DD81" s="7">
        <v>0</v>
      </c>
      <c r="DE81" s="8">
        <v>0</v>
      </c>
      <c r="DF81" s="9">
        <v>0</v>
      </c>
      <c r="DG81" s="7">
        <v>0</v>
      </c>
      <c r="DH81" s="8">
        <v>0</v>
      </c>
      <c r="DI81" s="9">
        <v>0</v>
      </c>
      <c r="DJ81" s="7">
        <v>0</v>
      </c>
      <c r="DK81" s="8">
        <v>0</v>
      </c>
      <c r="DL81" s="9">
        <v>0</v>
      </c>
      <c r="DM81" s="7">
        <v>-9025.99</v>
      </c>
      <c r="DN81" s="8">
        <v>-9999.999999996</v>
      </c>
      <c r="DO81" s="9">
        <v>-11000</v>
      </c>
      <c r="DP81" s="7">
        <v>0</v>
      </c>
      <c r="DQ81" s="8">
        <v>0</v>
      </c>
      <c r="DR81" s="9">
        <v>0</v>
      </c>
      <c r="DS81" s="7">
        <v>0</v>
      </c>
      <c r="DT81" s="8">
        <v>0</v>
      </c>
      <c r="DU81" s="9">
        <v>0</v>
      </c>
      <c r="DV81" s="7">
        <v>-16698</v>
      </c>
      <c r="DW81" s="8">
        <v>0</v>
      </c>
      <c r="DX81" s="9">
        <v>-8000</v>
      </c>
      <c r="DY81" s="7">
        <v>0</v>
      </c>
      <c r="DZ81" s="8">
        <v>0</v>
      </c>
      <c r="EA81" s="9">
        <v>0</v>
      </c>
      <c r="EB81" s="7">
        <v>0</v>
      </c>
      <c r="EC81" s="8">
        <v>0</v>
      </c>
      <c r="ED81" s="9">
        <v>0</v>
      </c>
      <c r="EE81" s="7">
        <v>-17514.96</v>
      </c>
      <c r="EF81" s="8">
        <v>-29999.999999996999</v>
      </c>
      <c r="EG81" s="9">
        <v>-15000</v>
      </c>
      <c r="EH81" s="7">
        <v>-23882.42</v>
      </c>
      <c r="EI81" s="8">
        <v>-24999.999999995998</v>
      </c>
      <c r="EJ81" s="9">
        <v>-36790</v>
      </c>
      <c r="EK81" s="7">
        <v>-6164.95</v>
      </c>
      <c r="EL81" s="8">
        <v>-10000</v>
      </c>
      <c r="EM81" s="9">
        <v>-10000</v>
      </c>
      <c r="EN81" s="7">
        <v>0</v>
      </c>
      <c r="EO81" s="8">
        <v>0</v>
      </c>
      <c r="EP81" s="9">
        <v>0</v>
      </c>
      <c r="EQ81" s="7">
        <v>0</v>
      </c>
      <c r="ER81" s="8">
        <v>0</v>
      </c>
      <c r="ES81" s="9">
        <v>0</v>
      </c>
      <c r="ET81" s="7">
        <v>-172847.4</v>
      </c>
      <c r="EU81" s="8">
        <v>-169999.99999999499</v>
      </c>
      <c r="EV81" s="9">
        <v>0</v>
      </c>
      <c r="EW81" s="7">
        <v>-2438261.09</v>
      </c>
      <c r="EX81" s="8">
        <v>-2500000</v>
      </c>
      <c r="EY81" s="9">
        <v>-2500000</v>
      </c>
      <c r="EZ81" s="7">
        <v>0</v>
      </c>
      <c r="FA81" s="8">
        <v>0</v>
      </c>
      <c r="FB81" s="9">
        <v>0</v>
      </c>
      <c r="FC81" s="7">
        <v>0</v>
      </c>
      <c r="FD81" s="8">
        <v>0</v>
      </c>
      <c r="FE81" s="9">
        <v>0</v>
      </c>
      <c r="FF81" s="7">
        <v>0</v>
      </c>
      <c r="FG81" s="8">
        <v>0</v>
      </c>
      <c r="FH81" s="9">
        <v>0</v>
      </c>
      <c r="FI81" s="7">
        <v>0</v>
      </c>
      <c r="FJ81" s="8">
        <v>0</v>
      </c>
      <c r="FK81" s="9">
        <v>0</v>
      </c>
      <c r="FL81" s="7">
        <v>0</v>
      </c>
      <c r="FM81" s="8">
        <v>0</v>
      </c>
      <c r="FN81" s="9">
        <v>0</v>
      </c>
      <c r="FO81" s="7">
        <v>0</v>
      </c>
      <c r="FP81" s="8">
        <v>0</v>
      </c>
      <c r="FQ81" s="9">
        <v>0</v>
      </c>
      <c r="FR81" s="7">
        <v>0</v>
      </c>
      <c r="FS81" s="8">
        <v>0</v>
      </c>
      <c r="FT81" s="9">
        <v>0</v>
      </c>
      <c r="FU81" s="7">
        <v>0</v>
      </c>
      <c r="FV81" s="8">
        <v>0</v>
      </c>
      <c r="FW81" s="9">
        <v>0</v>
      </c>
      <c r="FX81" s="7">
        <v>0</v>
      </c>
      <c r="FY81" s="8">
        <v>0</v>
      </c>
      <c r="FZ81" s="9">
        <v>0</v>
      </c>
      <c r="GA81" s="7">
        <v>0</v>
      </c>
      <c r="GB81" s="8">
        <v>0</v>
      </c>
      <c r="GC81" s="9">
        <v>0</v>
      </c>
      <c r="GD81" s="7">
        <v>0</v>
      </c>
      <c r="GE81" s="8">
        <v>0</v>
      </c>
      <c r="GF81" s="9">
        <v>0</v>
      </c>
      <c r="GG81" s="7">
        <v>0</v>
      </c>
      <c r="GH81" s="8">
        <v>0</v>
      </c>
      <c r="GI81" s="9">
        <v>0</v>
      </c>
      <c r="GJ81" s="7">
        <v>0</v>
      </c>
      <c r="GK81" s="8">
        <v>0</v>
      </c>
      <c r="GL81" s="9">
        <v>0</v>
      </c>
      <c r="GM81" s="7">
        <v>0</v>
      </c>
      <c r="GN81" s="8">
        <v>0</v>
      </c>
      <c r="GO81" s="9">
        <v>0</v>
      </c>
      <c r="GP81" s="7">
        <v>0</v>
      </c>
      <c r="GQ81" s="8">
        <v>0</v>
      </c>
      <c r="GR81" s="9">
        <v>0</v>
      </c>
      <c r="GS81" s="7">
        <v>0</v>
      </c>
      <c r="GT81" s="8">
        <v>0</v>
      </c>
      <c r="GU81" s="9">
        <v>0</v>
      </c>
      <c r="GV81" s="7">
        <v>0</v>
      </c>
      <c r="GW81" s="8">
        <v>0</v>
      </c>
      <c r="GX81" s="9">
        <v>0</v>
      </c>
      <c r="GY81" s="7">
        <v>0</v>
      </c>
      <c r="GZ81" s="8">
        <v>0</v>
      </c>
      <c r="HA81" s="9">
        <v>0</v>
      </c>
      <c r="HB81" s="7">
        <v>0</v>
      </c>
      <c r="HC81" s="8">
        <v>0</v>
      </c>
      <c r="HD81" s="9">
        <v>0</v>
      </c>
      <c r="HE81" s="7">
        <v>0</v>
      </c>
      <c r="HF81" s="8">
        <v>0</v>
      </c>
      <c r="HG81" s="9">
        <v>0</v>
      </c>
      <c r="HH81" s="7">
        <v>0</v>
      </c>
      <c r="HI81" s="8">
        <v>0</v>
      </c>
      <c r="HJ81" s="9">
        <v>0</v>
      </c>
      <c r="HK81" s="7">
        <v>0</v>
      </c>
      <c r="HL81" s="8">
        <v>0</v>
      </c>
      <c r="HM81" s="9">
        <v>0</v>
      </c>
      <c r="HN81" s="7">
        <v>0</v>
      </c>
      <c r="HO81" s="8">
        <v>0</v>
      </c>
      <c r="HP81" s="9">
        <v>0</v>
      </c>
    </row>
    <row r="82" spans="1:224" x14ac:dyDescent="0.25">
      <c r="A82" s="23" t="s">
        <v>299</v>
      </c>
      <c r="B82" s="26" t="s">
        <v>300</v>
      </c>
      <c r="C82" s="7">
        <v>-8146648.4200000102</v>
      </c>
      <c r="D82" s="8">
        <v>-8200020.18159525</v>
      </c>
      <c r="E82" s="9">
        <v>-8074484.0000000196</v>
      </c>
      <c r="F82" s="7">
        <v>-372588.74</v>
      </c>
      <c r="G82" s="8">
        <v>-364999.99999996001</v>
      </c>
      <c r="H82" s="9">
        <v>-365000</v>
      </c>
      <c r="I82" s="7">
        <v>-861834.05</v>
      </c>
      <c r="J82" s="8">
        <v>-385999.82363224297</v>
      </c>
      <c r="K82" s="9">
        <v>-400000</v>
      </c>
      <c r="L82" s="7">
        <v>-191298.84</v>
      </c>
      <c r="M82" s="8">
        <v>-169999.99999997101</v>
      </c>
      <c r="N82" s="9">
        <v>-170000</v>
      </c>
      <c r="O82" s="7">
        <v>-177798.81</v>
      </c>
      <c r="P82" s="8">
        <v>-199999.99999996301</v>
      </c>
      <c r="Q82" s="9">
        <v>-200000</v>
      </c>
      <c r="R82" s="7">
        <v>-58604.86</v>
      </c>
      <c r="S82" s="8">
        <v>-62999.999999979998</v>
      </c>
      <c r="T82" s="9">
        <v>-70000</v>
      </c>
      <c r="U82" s="7">
        <v>-138158.68</v>
      </c>
      <c r="V82" s="8">
        <v>-157991.97664680201</v>
      </c>
      <c r="W82" s="9">
        <v>-157000</v>
      </c>
      <c r="X82" s="7">
        <v>-335326.40999999997</v>
      </c>
      <c r="Y82" s="8">
        <v>-375999.99999997299</v>
      </c>
      <c r="Z82" s="9">
        <v>-415000</v>
      </c>
      <c r="AA82" s="7">
        <v>-358404.76</v>
      </c>
      <c r="AB82" s="8">
        <v>-329999.99999993801</v>
      </c>
      <c r="AC82" s="9">
        <v>-330000</v>
      </c>
      <c r="AD82" s="7">
        <v>-154689.21</v>
      </c>
      <c r="AE82" s="8">
        <v>-159999.99999998501</v>
      </c>
      <c r="AF82" s="9">
        <v>-160000</v>
      </c>
      <c r="AG82" s="7">
        <v>-294467.96999999997</v>
      </c>
      <c r="AH82" s="8">
        <v>-299999.99999995501</v>
      </c>
      <c r="AI82" s="9">
        <v>-400000</v>
      </c>
      <c r="AJ82" s="7">
        <v>-182292.4</v>
      </c>
      <c r="AK82" s="8">
        <v>-174999.99999996001</v>
      </c>
      <c r="AL82" s="9">
        <v>-200600</v>
      </c>
      <c r="AM82" s="7">
        <v>-123808.27</v>
      </c>
      <c r="AN82" s="8">
        <v>-119999.99999998701</v>
      </c>
      <c r="AO82" s="9">
        <v>-150000</v>
      </c>
      <c r="AP82" s="7">
        <v>-98157.24</v>
      </c>
      <c r="AQ82" s="8">
        <v>-99999.999999980995</v>
      </c>
      <c r="AR82" s="9">
        <v>-100000</v>
      </c>
      <c r="AS82" s="7">
        <v>-52089.36</v>
      </c>
      <c r="AT82" s="8">
        <v>-49999.999999977998</v>
      </c>
      <c r="AU82" s="9">
        <v>-70000</v>
      </c>
      <c r="AV82" s="7">
        <v>-12929.15</v>
      </c>
      <c r="AW82" s="8">
        <v>-20190.715997266001</v>
      </c>
      <c r="AX82" s="9">
        <v>-21000</v>
      </c>
      <c r="AY82" s="7">
        <v>-195865.16</v>
      </c>
      <c r="AZ82" s="8">
        <v>-189999.99999995701</v>
      </c>
      <c r="BA82" s="9">
        <v>-195000</v>
      </c>
      <c r="BB82" s="7">
        <v>-122765.05</v>
      </c>
      <c r="BC82" s="8">
        <v>-104999.99999997301</v>
      </c>
      <c r="BD82" s="9">
        <v>-120000</v>
      </c>
      <c r="BE82" s="7">
        <v>-74088.600000000006</v>
      </c>
      <c r="BF82" s="8">
        <v>-119999.999999965</v>
      </c>
      <c r="BG82" s="9">
        <v>-120000</v>
      </c>
      <c r="BH82" s="7">
        <v>-8265.08</v>
      </c>
      <c r="BI82" s="8">
        <v>-9999.9999999930005</v>
      </c>
      <c r="BJ82" s="9">
        <v>-10000</v>
      </c>
      <c r="BK82" s="7">
        <v>-35347.440000000002</v>
      </c>
      <c r="BL82" s="8">
        <v>-39999.999999990003</v>
      </c>
      <c r="BM82" s="9">
        <v>-37000</v>
      </c>
      <c r="BN82" s="7">
        <v>-186701.73</v>
      </c>
      <c r="BO82" s="8">
        <v>-209999.999999964</v>
      </c>
      <c r="BP82" s="9">
        <v>-210000</v>
      </c>
      <c r="BQ82" s="7">
        <v>-64530.64</v>
      </c>
      <c r="BR82" s="8">
        <v>-64999.999999977001</v>
      </c>
      <c r="BS82" s="9">
        <v>-64000</v>
      </c>
      <c r="BT82" s="7">
        <v>-95369.08</v>
      </c>
      <c r="BU82" s="8">
        <v>-89999.999999994994</v>
      </c>
      <c r="BV82" s="9">
        <v>-100000</v>
      </c>
      <c r="BW82" s="7">
        <v>-100972.53</v>
      </c>
      <c r="BX82" s="8">
        <v>-99999.999999969994</v>
      </c>
      <c r="BY82" s="9">
        <v>-110000</v>
      </c>
      <c r="BZ82" s="7">
        <v>-145092.64000000001</v>
      </c>
      <c r="CA82" s="8">
        <v>-168999.99999999101</v>
      </c>
      <c r="CB82" s="9">
        <v>-180000</v>
      </c>
      <c r="CC82" s="7">
        <v>-11380.71</v>
      </c>
      <c r="CD82" s="8">
        <v>-9999.9999999909996</v>
      </c>
      <c r="CE82" s="9">
        <v>-8000</v>
      </c>
      <c r="CF82" s="7">
        <v>-23241.05</v>
      </c>
      <c r="CG82" s="8">
        <v>-24999.999999986001</v>
      </c>
      <c r="CH82" s="9">
        <v>-22000</v>
      </c>
      <c r="CI82" s="7">
        <v>-18396.23</v>
      </c>
      <c r="CJ82" s="8">
        <v>-24999.999999994001</v>
      </c>
      <c r="CK82" s="9">
        <v>-25000</v>
      </c>
      <c r="CL82" s="7">
        <v>-65356.99</v>
      </c>
      <c r="CM82" s="8">
        <v>-69999.999999976993</v>
      </c>
      <c r="CN82" s="9">
        <v>-70000</v>
      </c>
      <c r="CO82" s="7">
        <v>-240628.35</v>
      </c>
      <c r="CP82" s="8">
        <v>-254999.99999997101</v>
      </c>
      <c r="CQ82" s="9">
        <v>-270000</v>
      </c>
      <c r="CR82" s="7">
        <v>-68190.539999999994</v>
      </c>
      <c r="CS82" s="8">
        <v>-69999.999999987995</v>
      </c>
      <c r="CT82" s="9">
        <v>-70000</v>
      </c>
      <c r="CU82" s="7">
        <v>-105289.59</v>
      </c>
      <c r="CV82" s="8">
        <v>-99999.999999981999</v>
      </c>
      <c r="CW82" s="9">
        <v>-120000</v>
      </c>
      <c r="CX82" s="7">
        <v>-191175.62</v>
      </c>
      <c r="CY82" s="8">
        <v>-229999.999999983</v>
      </c>
      <c r="CZ82" s="9">
        <v>-230000</v>
      </c>
      <c r="DA82" s="7">
        <v>-715.29</v>
      </c>
      <c r="DB82" s="8">
        <v>-1999.999999999</v>
      </c>
      <c r="DC82" s="9">
        <v>0</v>
      </c>
      <c r="DD82" s="7">
        <v>-185011.33</v>
      </c>
      <c r="DE82" s="8">
        <v>-169999.999999997</v>
      </c>
      <c r="DF82" s="9">
        <v>-175000</v>
      </c>
      <c r="DG82" s="7">
        <v>-58297.07</v>
      </c>
      <c r="DH82" s="8">
        <v>-54999.999999993997</v>
      </c>
      <c r="DI82" s="9">
        <v>-70000</v>
      </c>
      <c r="DJ82" s="7">
        <v>-2796.91</v>
      </c>
      <c r="DK82" s="8">
        <v>-2999.9999999950001</v>
      </c>
      <c r="DL82" s="9">
        <v>-3000</v>
      </c>
      <c r="DM82" s="7">
        <v>-47304.57</v>
      </c>
      <c r="DN82" s="8">
        <v>-44999.999999995001</v>
      </c>
      <c r="DO82" s="9">
        <v>-30000</v>
      </c>
      <c r="DP82" s="7">
        <v>-39860.26</v>
      </c>
      <c r="DQ82" s="8">
        <v>-45854.331986587997</v>
      </c>
      <c r="DR82" s="9">
        <v>-45000</v>
      </c>
      <c r="DS82" s="7">
        <v>0</v>
      </c>
      <c r="DT82" s="8">
        <v>0</v>
      </c>
      <c r="DU82" s="9">
        <v>0</v>
      </c>
      <c r="DV82" s="7">
        <v>-20466.45</v>
      </c>
      <c r="DW82" s="8">
        <v>-19999.999999993001</v>
      </c>
      <c r="DX82" s="9">
        <v>-21000</v>
      </c>
      <c r="DY82" s="7">
        <v>-1886.86</v>
      </c>
      <c r="DZ82" s="8">
        <v>-1999.9999999920001</v>
      </c>
      <c r="EA82" s="9">
        <v>0</v>
      </c>
      <c r="EB82" s="7">
        <v>-1028.47</v>
      </c>
      <c r="EC82" s="8">
        <v>-1999.999999999</v>
      </c>
      <c r="ED82" s="9">
        <v>-3000</v>
      </c>
      <c r="EE82" s="7">
        <v>-219981.31</v>
      </c>
      <c r="EF82" s="8">
        <v>-199999.999999989</v>
      </c>
      <c r="EG82" s="9">
        <v>0</v>
      </c>
      <c r="EH82" s="7">
        <v>-284673.05</v>
      </c>
      <c r="EI82" s="8">
        <v>-464999.99999997101</v>
      </c>
      <c r="EJ82" s="9">
        <v>-395251</v>
      </c>
      <c r="EK82" s="7">
        <v>-166799.01999999999</v>
      </c>
      <c r="EL82" s="8">
        <v>-159999.999999975</v>
      </c>
      <c r="EM82" s="9">
        <v>-180000</v>
      </c>
      <c r="EN82" s="7">
        <v>0</v>
      </c>
      <c r="EO82" s="8">
        <v>0</v>
      </c>
      <c r="EP82" s="9">
        <v>0</v>
      </c>
      <c r="EQ82" s="7">
        <v>-291.25</v>
      </c>
      <c r="ER82" s="8">
        <v>-999.99999999900001</v>
      </c>
      <c r="ES82" s="9">
        <v>-3000</v>
      </c>
      <c r="ET82" s="7">
        <v>-3524.94</v>
      </c>
      <c r="EU82" s="8">
        <v>-3999.999999998</v>
      </c>
      <c r="EV82" s="9">
        <v>0</v>
      </c>
      <c r="EW82" s="7">
        <v>-140780.82</v>
      </c>
      <c r="EX82" s="8">
        <v>-109999.999999994</v>
      </c>
      <c r="EY82" s="9">
        <v>-100000</v>
      </c>
      <c r="EZ82" s="7">
        <v>0</v>
      </c>
      <c r="FA82" s="8">
        <v>0</v>
      </c>
      <c r="FB82" s="9">
        <v>0</v>
      </c>
      <c r="FC82" s="7">
        <v>-101916.41</v>
      </c>
      <c r="FD82" s="8">
        <v>-89999.999999994005</v>
      </c>
      <c r="FE82" s="9">
        <v>-100000</v>
      </c>
      <c r="FF82" s="7">
        <v>-199177.72</v>
      </c>
      <c r="FG82" s="8">
        <v>-199999.99999998399</v>
      </c>
      <c r="FH82" s="9">
        <v>-275667</v>
      </c>
      <c r="FI82" s="7">
        <v>0</v>
      </c>
      <c r="FJ82" s="8">
        <v>0</v>
      </c>
      <c r="FK82" s="9">
        <v>0</v>
      </c>
      <c r="FL82" s="7">
        <v>-5326.42</v>
      </c>
      <c r="FM82" s="8">
        <v>0</v>
      </c>
      <c r="FN82" s="9">
        <v>0</v>
      </c>
      <c r="FO82" s="7">
        <v>-18860.09</v>
      </c>
      <c r="FP82" s="8">
        <v>0</v>
      </c>
      <c r="FQ82" s="9">
        <v>0</v>
      </c>
      <c r="FR82" s="7">
        <v>-2069.1</v>
      </c>
      <c r="FS82" s="8">
        <v>0</v>
      </c>
      <c r="FT82" s="9">
        <v>0</v>
      </c>
      <c r="FU82" s="7">
        <v>0</v>
      </c>
      <c r="FV82" s="8">
        <v>0</v>
      </c>
      <c r="FW82" s="9">
        <v>0</v>
      </c>
      <c r="FX82" s="7">
        <v>0</v>
      </c>
      <c r="FY82" s="8">
        <v>-243000</v>
      </c>
      <c r="FZ82" s="9">
        <v>0</v>
      </c>
      <c r="GA82" s="7">
        <v>-54083.42</v>
      </c>
      <c r="GB82" s="8">
        <v>-34999.999999991996</v>
      </c>
      <c r="GC82" s="9">
        <v>-37500</v>
      </c>
      <c r="GD82" s="7">
        <v>-23573.200000000001</v>
      </c>
      <c r="GE82" s="8">
        <v>-21983.333333310002</v>
      </c>
      <c r="GF82" s="9">
        <v>-21983</v>
      </c>
      <c r="GG82" s="7">
        <v>-31120.28</v>
      </c>
      <c r="GH82" s="8">
        <v>-39999.999999995998</v>
      </c>
      <c r="GI82" s="9">
        <v>-40000</v>
      </c>
      <c r="GJ82" s="7">
        <v>-1017614.95</v>
      </c>
      <c r="GK82" s="8">
        <v>-1071999.9999999199</v>
      </c>
      <c r="GL82" s="9">
        <v>-1007833</v>
      </c>
      <c r="GM82" s="7">
        <v>-3424.46</v>
      </c>
      <c r="GN82" s="8">
        <v>0</v>
      </c>
      <c r="GO82" s="9">
        <v>0</v>
      </c>
      <c r="GP82" s="7">
        <v>-22227.39</v>
      </c>
      <c r="GQ82" s="8">
        <v>-30000</v>
      </c>
      <c r="GR82" s="9">
        <v>-70000</v>
      </c>
      <c r="GS82" s="7">
        <v>-9919.8700000000008</v>
      </c>
      <c r="GT82" s="8">
        <v>-10999.999999992</v>
      </c>
      <c r="GU82" s="9">
        <v>-11650</v>
      </c>
      <c r="GV82" s="7">
        <v>-43436.480000000003</v>
      </c>
      <c r="GW82" s="8">
        <v>-149999.99999998801</v>
      </c>
      <c r="GX82" s="9">
        <v>-150000</v>
      </c>
      <c r="GY82" s="7">
        <v>-95972.13</v>
      </c>
      <c r="GZ82" s="8">
        <v>0</v>
      </c>
      <c r="HA82" s="9">
        <v>0</v>
      </c>
      <c r="HB82" s="7">
        <v>-165650.12</v>
      </c>
      <c r="HC82" s="8">
        <v>-165000</v>
      </c>
      <c r="HD82" s="9">
        <v>-165000</v>
      </c>
      <c r="HE82" s="7">
        <v>0</v>
      </c>
      <c r="HF82" s="8">
        <v>0</v>
      </c>
      <c r="HG82" s="9">
        <v>0</v>
      </c>
      <c r="HH82" s="7">
        <v>-13753</v>
      </c>
      <c r="HI82" s="8">
        <v>0</v>
      </c>
      <c r="HJ82" s="9">
        <v>0</v>
      </c>
      <c r="HK82" s="7">
        <v>0</v>
      </c>
      <c r="HL82" s="8">
        <v>0</v>
      </c>
      <c r="HM82" s="9">
        <v>0</v>
      </c>
      <c r="HN82" s="7">
        <v>0</v>
      </c>
      <c r="HO82" s="8">
        <v>0</v>
      </c>
      <c r="HP82" s="9">
        <v>0</v>
      </c>
    </row>
    <row r="83" spans="1:224" x14ac:dyDescent="0.25">
      <c r="A83" s="23"/>
      <c r="B83" s="26"/>
      <c r="C83" s="7"/>
      <c r="D83" s="8"/>
      <c r="E83" s="9"/>
      <c r="F83" s="7"/>
      <c r="G83" s="8"/>
      <c r="H83" s="9"/>
      <c r="I83" s="7"/>
      <c r="J83" s="8"/>
      <c r="K83" s="9"/>
      <c r="L83" s="7"/>
      <c r="M83" s="8"/>
      <c r="N83" s="9"/>
      <c r="O83" s="7"/>
      <c r="P83" s="8"/>
      <c r="Q83" s="9"/>
      <c r="R83" s="7"/>
      <c r="S83" s="8"/>
      <c r="T83" s="9"/>
      <c r="U83" s="7"/>
      <c r="V83" s="8"/>
      <c r="W83" s="9"/>
      <c r="X83" s="7"/>
      <c r="Y83" s="8"/>
      <c r="Z83" s="9"/>
      <c r="AA83" s="7"/>
      <c r="AB83" s="8"/>
      <c r="AC83" s="9"/>
      <c r="AD83" s="7"/>
      <c r="AE83" s="8"/>
      <c r="AF83" s="9"/>
      <c r="AG83" s="7"/>
      <c r="AH83" s="8"/>
      <c r="AI83" s="9"/>
      <c r="AJ83" s="7"/>
      <c r="AK83" s="8"/>
      <c r="AL83" s="9"/>
      <c r="AM83" s="7"/>
      <c r="AN83" s="8"/>
      <c r="AO83" s="9"/>
      <c r="AP83" s="7"/>
      <c r="AQ83" s="8"/>
      <c r="AR83" s="9"/>
      <c r="AS83" s="7"/>
      <c r="AT83" s="8"/>
      <c r="AU83" s="9"/>
      <c r="AV83" s="7"/>
      <c r="AW83" s="8"/>
      <c r="AX83" s="9"/>
      <c r="AY83" s="7"/>
      <c r="AZ83" s="8"/>
      <c r="BA83" s="9"/>
      <c r="BB83" s="7"/>
      <c r="BC83" s="8"/>
      <c r="BD83" s="9"/>
      <c r="BE83" s="7"/>
      <c r="BF83" s="8"/>
      <c r="BG83" s="9"/>
      <c r="BH83" s="7"/>
      <c r="BI83" s="8"/>
      <c r="BJ83" s="9"/>
      <c r="BK83" s="7"/>
      <c r="BL83" s="8"/>
      <c r="BM83" s="9"/>
      <c r="BN83" s="7"/>
      <c r="BO83" s="8"/>
      <c r="BP83" s="9"/>
      <c r="BQ83" s="7"/>
      <c r="BR83" s="8"/>
      <c r="BS83" s="9"/>
      <c r="BT83" s="7"/>
      <c r="BU83" s="8"/>
      <c r="BV83" s="9"/>
      <c r="BW83" s="7"/>
      <c r="BX83" s="8"/>
      <c r="BY83" s="9"/>
      <c r="BZ83" s="7"/>
      <c r="CA83" s="8"/>
      <c r="CB83" s="9"/>
      <c r="CC83" s="7"/>
      <c r="CD83" s="8"/>
      <c r="CE83" s="9"/>
      <c r="CF83" s="7"/>
      <c r="CG83" s="8"/>
      <c r="CH83" s="9"/>
      <c r="CI83" s="7"/>
      <c r="CJ83" s="8"/>
      <c r="CK83" s="9"/>
      <c r="CL83" s="7"/>
      <c r="CM83" s="8"/>
      <c r="CN83" s="9"/>
      <c r="CO83" s="7"/>
      <c r="CP83" s="8"/>
      <c r="CQ83" s="9"/>
      <c r="CR83" s="7"/>
      <c r="CS83" s="8"/>
      <c r="CT83" s="9"/>
      <c r="CU83" s="7"/>
      <c r="CV83" s="8"/>
      <c r="CW83" s="9"/>
      <c r="CX83" s="7"/>
      <c r="CY83" s="8"/>
      <c r="CZ83" s="9"/>
      <c r="DA83" s="7"/>
      <c r="DB83" s="8"/>
      <c r="DC83" s="9"/>
      <c r="DD83" s="7"/>
      <c r="DE83" s="8"/>
      <c r="DF83" s="9"/>
      <c r="DG83" s="7"/>
      <c r="DH83" s="8"/>
      <c r="DI83" s="9"/>
      <c r="DJ83" s="7"/>
      <c r="DK83" s="8"/>
      <c r="DL83" s="9"/>
      <c r="DM83" s="7"/>
      <c r="DN83" s="8"/>
      <c r="DO83" s="9"/>
      <c r="DP83" s="7"/>
      <c r="DQ83" s="8"/>
      <c r="DR83" s="9"/>
      <c r="DS83" s="7"/>
      <c r="DT83" s="8"/>
      <c r="DU83" s="9"/>
      <c r="DV83" s="7"/>
      <c r="DW83" s="8"/>
      <c r="DX83" s="9"/>
      <c r="DY83" s="7"/>
      <c r="DZ83" s="8"/>
      <c r="EA83" s="9"/>
      <c r="EB83" s="7"/>
      <c r="EC83" s="8"/>
      <c r="ED83" s="9"/>
      <c r="EE83" s="7"/>
      <c r="EF83" s="8"/>
      <c r="EG83" s="9"/>
      <c r="EH83" s="7"/>
      <c r="EI83" s="8"/>
      <c r="EJ83" s="9"/>
      <c r="EK83" s="7"/>
      <c r="EL83" s="8"/>
      <c r="EM83" s="9"/>
      <c r="EN83" s="7"/>
      <c r="EO83" s="8"/>
      <c r="EP83" s="9"/>
      <c r="EQ83" s="7"/>
      <c r="ER83" s="8"/>
      <c r="ES83" s="9"/>
      <c r="ET83" s="7"/>
      <c r="EU83" s="8"/>
      <c r="EV83" s="9"/>
      <c r="EW83" s="7"/>
      <c r="EX83" s="8"/>
      <c r="EY83" s="9"/>
      <c r="EZ83" s="7"/>
      <c r="FA83" s="8"/>
      <c r="FB83" s="9"/>
      <c r="FC83" s="7"/>
      <c r="FD83" s="8"/>
      <c r="FE83" s="9"/>
      <c r="FF83" s="7"/>
      <c r="FG83" s="8"/>
      <c r="FH83" s="9"/>
      <c r="FI83" s="7"/>
      <c r="FJ83" s="8"/>
      <c r="FK83" s="9"/>
      <c r="FL83" s="7"/>
      <c r="FM83" s="8"/>
      <c r="FN83" s="9"/>
      <c r="FO83" s="7"/>
      <c r="FP83" s="8"/>
      <c r="FQ83" s="9"/>
      <c r="FR83" s="7"/>
      <c r="FS83" s="8"/>
      <c r="FT83" s="9"/>
      <c r="FU83" s="7"/>
      <c r="FV83" s="8"/>
      <c r="FW83" s="9"/>
      <c r="FX83" s="7"/>
      <c r="FY83" s="8"/>
      <c r="FZ83" s="9"/>
      <c r="GA83" s="7"/>
      <c r="GB83" s="8"/>
      <c r="GC83" s="9"/>
      <c r="GD83" s="7"/>
      <c r="GE83" s="8"/>
      <c r="GF83" s="9"/>
      <c r="GG83" s="7"/>
      <c r="GH83" s="8"/>
      <c r="GI83" s="9"/>
      <c r="GJ83" s="7"/>
      <c r="GK83" s="8"/>
      <c r="GL83" s="9"/>
      <c r="GM83" s="7"/>
      <c r="GN83" s="8"/>
      <c r="GO83" s="9"/>
      <c r="GP83" s="7"/>
      <c r="GQ83" s="8"/>
      <c r="GR83" s="9"/>
      <c r="GS83" s="7"/>
      <c r="GT83" s="8"/>
      <c r="GU83" s="9"/>
      <c r="GV83" s="7"/>
      <c r="GW83" s="8"/>
      <c r="GX83" s="9"/>
      <c r="GY83" s="7"/>
      <c r="GZ83" s="8"/>
      <c r="HA83" s="9"/>
      <c r="HB83" s="7"/>
      <c r="HC83" s="8"/>
      <c r="HD83" s="9"/>
      <c r="HE83" s="7"/>
      <c r="HF83" s="8"/>
      <c r="HG83" s="9"/>
      <c r="HH83" s="7"/>
      <c r="HI83" s="8"/>
      <c r="HJ83" s="9"/>
      <c r="HK83" s="7"/>
      <c r="HL83" s="8"/>
      <c r="HM83" s="9"/>
      <c r="HN83" s="7"/>
      <c r="HO83" s="8"/>
      <c r="HP83" s="9"/>
    </row>
    <row r="84" spans="1:224" x14ac:dyDescent="0.25">
      <c r="A84" s="23" t="s">
        <v>3</v>
      </c>
      <c r="B84" s="26" t="s">
        <v>301</v>
      </c>
      <c r="C84" s="7">
        <v>-6751539.4699999904</v>
      </c>
      <c r="D84" s="8">
        <v>-6649145.2521631904</v>
      </c>
      <c r="E84" s="9">
        <v>-7072247</v>
      </c>
      <c r="F84" s="7">
        <v>-618421.78</v>
      </c>
      <c r="G84" s="8">
        <v>-519999.99999997701</v>
      </c>
      <c r="H84" s="9">
        <v>-552000</v>
      </c>
      <c r="I84" s="7">
        <v>-85765.950000000099</v>
      </c>
      <c r="J84" s="8">
        <v>-125973.8965394</v>
      </c>
      <c r="K84" s="9">
        <v>-120000</v>
      </c>
      <c r="L84" s="7">
        <v>-14147.96</v>
      </c>
      <c r="M84" s="8">
        <v>-14999.999999981001</v>
      </c>
      <c r="N84" s="9">
        <v>-15000</v>
      </c>
      <c r="O84" s="7">
        <v>-19335.599999999999</v>
      </c>
      <c r="P84" s="8">
        <v>-19999.999999973999</v>
      </c>
      <c r="Q84" s="9">
        <v>-26000</v>
      </c>
      <c r="R84" s="7">
        <v>-4390.8599999999997</v>
      </c>
      <c r="S84" s="8">
        <v>-3999.9999999850002</v>
      </c>
      <c r="T84" s="9">
        <v>-5000</v>
      </c>
      <c r="U84" s="7">
        <v>-537917.24</v>
      </c>
      <c r="V84" s="8">
        <v>-539999.99999998405</v>
      </c>
      <c r="W84" s="9">
        <v>-590000</v>
      </c>
      <c r="X84" s="7">
        <v>-19218.38</v>
      </c>
      <c r="Y84" s="8">
        <v>-51999.999999988999</v>
      </c>
      <c r="Z84" s="9">
        <v>-50000</v>
      </c>
      <c r="AA84" s="7">
        <v>-591527.62</v>
      </c>
      <c r="AB84" s="8">
        <v>-579999.99999996403</v>
      </c>
      <c r="AC84" s="9">
        <v>-580000</v>
      </c>
      <c r="AD84" s="7">
        <v>-107070.39</v>
      </c>
      <c r="AE84" s="8">
        <v>-109999.99999998799</v>
      </c>
      <c r="AF84" s="9">
        <v>-55000</v>
      </c>
      <c r="AG84" s="7">
        <v>-22359.96</v>
      </c>
      <c r="AH84" s="8">
        <v>-24999.999999965999</v>
      </c>
      <c r="AI84" s="9">
        <v>-20000</v>
      </c>
      <c r="AJ84" s="7">
        <v>-523772.55</v>
      </c>
      <c r="AK84" s="8">
        <v>-661304.68725640001</v>
      </c>
      <c r="AL84" s="9">
        <v>-580000</v>
      </c>
      <c r="AM84" s="7">
        <v>-120849.46</v>
      </c>
      <c r="AN84" s="8">
        <v>-124999.999999989</v>
      </c>
      <c r="AO84" s="9">
        <v>-125000</v>
      </c>
      <c r="AP84" s="7">
        <v>-227321.37</v>
      </c>
      <c r="AQ84" s="8">
        <v>-240218.875501993</v>
      </c>
      <c r="AR84" s="9">
        <v>-252219</v>
      </c>
      <c r="AS84" s="7">
        <v>-139014.21</v>
      </c>
      <c r="AT84" s="8">
        <v>-139999.999999992</v>
      </c>
      <c r="AU84" s="9">
        <v>-80000</v>
      </c>
      <c r="AV84" s="7">
        <v>0</v>
      </c>
      <c r="AW84" s="8">
        <v>0</v>
      </c>
      <c r="AX84" s="9">
        <v>0</v>
      </c>
      <c r="AY84" s="7">
        <v>-75711.490000000005</v>
      </c>
      <c r="AZ84" s="8">
        <v>-72999.999999976004</v>
      </c>
      <c r="BA84" s="9">
        <v>-70000</v>
      </c>
      <c r="BB84" s="7">
        <v>-11642.19</v>
      </c>
      <c r="BC84" s="8">
        <v>-9999.9999999850006</v>
      </c>
      <c r="BD84" s="9">
        <v>-10000</v>
      </c>
      <c r="BE84" s="7">
        <v>-395.67</v>
      </c>
      <c r="BF84" s="8">
        <v>0</v>
      </c>
      <c r="BG84" s="9">
        <v>0</v>
      </c>
      <c r="BH84" s="7">
        <v>-108.9</v>
      </c>
      <c r="BI84" s="8">
        <v>0</v>
      </c>
      <c r="BJ84" s="9">
        <v>0</v>
      </c>
      <c r="BK84" s="7">
        <v>-8557.6200000000008</v>
      </c>
      <c r="BL84" s="8">
        <v>-7999.9999999900001</v>
      </c>
      <c r="BM84" s="9">
        <v>-7000</v>
      </c>
      <c r="BN84" s="7">
        <v>-16150.26</v>
      </c>
      <c r="BO84" s="8">
        <v>-19999.999999984</v>
      </c>
      <c r="BP84" s="9">
        <v>-20000</v>
      </c>
      <c r="BQ84" s="7">
        <v>-462.83</v>
      </c>
      <c r="BR84" s="8">
        <v>-999.99999999800002</v>
      </c>
      <c r="BS84" s="9">
        <v>-1000</v>
      </c>
      <c r="BT84" s="7">
        <v>-15929.59</v>
      </c>
      <c r="BU84" s="8">
        <v>-19999.999999994001</v>
      </c>
      <c r="BV84" s="9">
        <v>-22000</v>
      </c>
      <c r="BW84" s="7">
        <v>-187493.81</v>
      </c>
      <c r="BX84" s="8">
        <v>-189999.99999998001</v>
      </c>
      <c r="BY84" s="9">
        <v>-190000</v>
      </c>
      <c r="BZ84" s="7">
        <v>-4275.34</v>
      </c>
      <c r="CA84" s="8">
        <v>-4999.9999999949996</v>
      </c>
      <c r="CB84" s="9">
        <v>-5000</v>
      </c>
      <c r="CC84" s="7">
        <v>-55.44</v>
      </c>
      <c r="CD84" s="8">
        <v>0</v>
      </c>
      <c r="CE84" s="9">
        <v>0</v>
      </c>
      <c r="CF84" s="7">
        <v>0</v>
      </c>
      <c r="CG84" s="8">
        <v>0</v>
      </c>
      <c r="CH84" s="9">
        <v>0</v>
      </c>
      <c r="CI84" s="7">
        <v>-42323.77</v>
      </c>
      <c r="CJ84" s="8">
        <v>-59999.999999995998</v>
      </c>
      <c r="CK84" s="9">
        <v>-65000</v>
      </c>
      <c r="CL84" s="7">
        <v>-4588.03</v>
      </c>
      <c r="CM84" s="8">
        <v>-6999.9999999889997</v>
      </c>
      <c r="CN84" s="9">
        <v>-6000</v>
      </c>
      <c r="CO84" s="7">
        <v>-74749.89</v>
      </c>
      <c r="CP84" s="8">
        <v>-69999.999999975</v>
      </c>
      <c r="CQ84" s="9">
        <v>-75000</v>
      </c>
      <c r="CR84" s="7">
        <v>0</v>
      </c>
      <c r="CS84" s="8">
        <v>0</v>
      </c>
      <c r="CT84" s="9">
        <v>0</v>
      </c>
      <c r="CU84" s="7">
        <v>-72001.539999999994</v>
      </c>
      <c r="CV84" s="8">
        <v>-69999.999999991996</v>
      </c>
      <c r="CW84" s="9">
        <v>-90000</v>
      </c>
      <c r="CX84" s="7">
        <v>-113681.46</v>
      </c>
      <c r="CY84" s="8">
        <v>-114999.999999996</v>
      </c>
      <c r="CZ84" s="9">
        <v>-120000</v>
      </c>
      <c r="DA84" s="7">
        <v>0</v>
      </c>
      <c r="DB84" s="8">
        <v>0</v>
      </c>
      <c r="DC84" s="9">
        <v>0</v>
      </c>
      <c r="DD84" s="7">
        <v>-1134.3599999999999</v>
      </c>
      <c r="DE84" s="8">
        <v>-1999.999999996</v>
      </c>
      <c r="DF84" s="9">
        <v>-2000</v>
      </c>
      <c r="DG84" s="7">
        <v>-9748.33</v>
      </c>
      <c r="DH84" s="8">
        <v>-9999.9999999930005</v>
      </c>
      <c r="DI84" s="9">
        <v>-7000</v>
      </c>
      <c r="DJ84" s="7">
        <v>0</v>
      </c>
      <c r="DK84" s="8">
        <v>0</v>
      </c>
      <c r="DL84" s="9">
        <v>0</v>
      </c>
      <c r="DM84" s="7">
        <v>-181.51</v>
      </c>
      <c r="DN84" s="8">
        <v>0</v>
      </c>
      <c r="DO84" s="9">
        <v>-500</v>
      </c>
      <c r="DP84" s="7">
        <v>-164.34</v>
      </c>
      <c r="DQ84" s="8">
        <v>0</v>
      </c>
      <c r="DR84" s="9">
        <v>0</v>
      </c>
      <c r="DS84" s="7">
        <v>0</v>
      </c>
      <c r="DT84" s="8">
        <v>0</v>
      </c>
      <c r="DU84" s="9">
        <v>0</v>
      </c>
      <c r="DV84" s="7">
        <v>-15.13</v>
      </c>
      <c r="DW84" s="8">
        <v>0</v>
      </c>
      <c r="DX84" s="9">
        <v>0</v>
      </c>
      <c r="DY84" s="7">
        <v>-6.29</v>
      </c>
      <c r="DZ84" s="8">
        <v>0</v>
      </c>
      <c r="EA84" s="9">
        <v>0</v>
      </c>
      <c r="EB84" s="7">
        <v>0</v>
      </c>
      <c r="EC84" s="8">
        <v>0</v>
      </c>
      <c r="ED84" s="9">
        <v>0</v>
      </c>
      <c r="EE84" s="7">
        <v>-2443156.69</v>
      </c>
      <c r="EF84" s="8">
        <v>-2449999.9999999902</v>
      </c>
      <c r="EG84" s="9">
        <v>-2700000</v>
      </c>
      <c r="EH84" s="7">
        <v>-65577.009999999995</v>
      </c>
      <c r="EI84" s="8">
        <v>-69999.999999987995</v>
      </c>
      <c r="EJ84" s="9">
        <v>-60065</v>
      </c>
      <c r="EK84" s="7">
        <v>-249994.89</v>
      </c>
      <c r="EL84" s="8">
        <v>-249999.99999998699</v>
      </c>
      <c r="EM84" s="9">
        <v>-276000</v>
      </c>
      <c r="EN84" s="7">
        <v>0</v>
      </c>
      <c r="EO84" s="8">
        <v>0</v>
      </c>
      <c r="EP84" s="9">
        <v>0</v>
      </c>
      <c r="EQ84" s="7">
        <v>0</v>
      </c>
      <c r="ER84" s="8">
        <v>0</v>
      </c>
      <c r="ES84" s="9">
        <v>0</v>
      </c>
      <c r="ET84" s="7">
        <v>0</v>
      </c>
      <c r="EU84" s="8">
        <v>0</v>
      </c>
      <c r="EV84" s="9">
        <v>0</v>
      </c>
      <c r="EW84" s="7">
        <v>-158945.60000000001</v>
      </c>
      <c r="EX84" s="8">
        <v>-159999.99999999601</v>
      </c>
      <c r="EY84" s="9">
        <v>-180000</v>
      </c>
      <c r="EZ84" s="7">
        <v>-1663.16</v>
      </c>
      <c r="FA84" s="8">
        <v>-2000</v>
      </c>
      <c r="FB84" s="9">
        <v>-2000</v>
      </c>
      <c r="FC84" s="7">
        <v>-34654.03</v>
      </c>
      <c r="FD84" s="8">
        <v>-40068.010495969</v>
      </c>
      <c r="FE84" s="9">
        <v>-48000</v>
      </c>
      <c r="FF84" s="7">
        <v>-8597.48</v>
      </c>
      <c r="FG84" s="8">
        <v>-10340.091123456001</v>
      </c>
      <c r="FH84" s="9">
        <v>-65463</v>
      </c>
      <c r="FI84" s="7">
        <v>0</v>
      </c>
      <c r="FJ84" s="8">
        <v>0</v>
      </c>
      <c r="FK84" s="9">
        <v>0</v>
      </c>
      <c r="FL84" s="7">
        <v>0</v>
      </c>
      <c r="FM84" s="8">
        <v>0</v>
      </c>
      <c r="FN84" s="9">
        <v>0</v>
      </c>
      <c r="FO84" s="7">
        <v>0</v>
      </c>
      <c r="FP84" s="8">
        <v>0</v>
      </c>
      <c r="FQ84" s="9">
        <v>0</v>
      </c>
      <c r="FR84" s="7">
        <v>0</v>
      </c>
      <c r="FS84" s="8">
        <v>0</v>
      </c>
      <c r="FT84" s="9">
        <v>0</v>
      </c>
      <c r="FU84" s="7">
        <v>0</v>
      </c>
      <c r="FV84" s="8">
        <v>0</v>
      </c>
      <c r="FW84" s="9">
        <v>0</v>
      </c>
      <c r="FX84" s="7">
        <v>0</v>
      </c>
      <c r="FY84" s="8">
        <v>219000</v>
      </c>
      <c r="FZ84" s="9">
        <v>0</v>
      </c>
      <c r="GA84" s="7">
        <v>0</v>
      </c>
      <c r="GB84" s="8">
        <v>0</v>
      </c>
      <c r="GC84" s="9">
        <v>0</v>
      </c>
      <c r="GD84" s="7">
        <v>0</v>
      </c>
      <c r="GE84" s="8">
        <v>0</v>
      </c>
      <c r="GF84" s="9">
        <v>0</v>
      </c>
      <c r="GG84" s="7">
        <v>0</v>
      </c>
      <c r="GH84" s="8">
        <v>0</v>
      </c>
      <c r="GI84" s="9">
        <v>0</v>
      </c>
      <c r="GJ84" s="7">
        <v>-11546.31</v>
      </c>
      <c r="GK84" s="8">
        <v>-6239.6912463813596</v>
      </c>
      <c r="GL84" s="9">
        <v>0</v>
      </c>
      <c r="GM84" s="7">
        <v>0</v>
      </c>
      <c r="GN84" s="8">
        <v>0</v>
      </c>
      <c r="GO84" s="9">
        <v>0</v>
      </c>
      <c r="GP84" s="7">
        <v>0</v>
      </c>
      <c r="GQ84" s="8">
        <v>0</v>
      </c>
      <c r="GR84" s="9">
        <v>0</v>
      </c>
      <c r="GS84" s="7">
        <v>0</v>
      </c>
      <c r="GT84" s="8">
        <v>0</v>
      </c>
      <c r="GU84" s="9">
        <v>0</v>
      </c>
      <c r="GV84" s="7">
        <v>0</v>
      </c>
      <c r="GW84" s="8">
        <v>0</v>
      </c>
      <c r="GX84" s="9">
        <v>0</v>
      </c>
      <c r="GY84" s="7">
        <v>0</v>
      </c>
      <c r="GZ84" s="8">
        <v>0</v>
      </c>
      <c r="HA84" s="9">
        <v>0</v>
      </c>
      <c r="HB84" s="7">
        <v>0</v>
      </c>
      <c r="HC84" s="8">
        <v>0</v>
      </c>
      <c r="HD84" s="9">
        <v>0</v>
      </c>
      <c r="HE84" s="7">
        <v>0</v>
      </c>
      <c r="HF84" s="8">
        <v>0</v>
      </c>
      <c r="HG84" s="9">
        <v>0</v>
      </c>
      <c r="HH84" s="7">
        <v>-106913.18</v>
      </c>
      <c r="HI84" s="8">
        <v>-59999.999999999003</v>
      </c>
      <c r="HJ84" s="9">
        <v>0</v>
      </c>
      <c r="HK84" s="7">
        <v>0</v>
      </c>
      <c r="HL84" s="8">
        <v>0</v>
      </c>
      <c r="HM84" s="9">
        <v>0</v>
      </c>
      <c r="HN84" s="7">
        <v>0</v>
      </c>
      <c r="HO84" s="8">
        <v>0</v>
      </c>
      <c r="HP84" s="9">
        <v>0</v>
      </c>
    </row>
    <row r="85" spans="1:224" x14ac:dyDescent="0.25">
      <c r="A85" s="23" t="s">
        <v>4</v>
      </c>
      <c r="B85" s="26" t="s">
        <v>302</v>
      </c>
      <c r="C85" s="7">
        <v>-13075164.6</v>
      </c>
      <c r="D85" s="8">
        <v>-13151958.6907572</v>
      </c>
      <c r="E85" s="9">
        <v>-14361805</v>
      </c>
      <c r="F85" s="7">
        <v>-108687.67</v>
      </c>
      <c r="G85" s="8">
        <v>-109999.99999998799</v>
      </c>
      <c r="H85" s="9">
        <v>-105000</v>
      </c>
      <c r="I85" s="7">
        <v>-34792.35</v>
      </c>
      <c r="J85" s="8">
        <v>-39799.999999986001</v>
      </c>
      <c r="K85" s="9">
        <v>-40000</v>
      </c>
      <c r="L85" s="7">
        <v>-21730.44</v>
      </c>
      <c r="M85" s="8">
        <v>-19999.999999992</v>
      </c>
      <c r="N85" s="9">
        <v>-32000</v>
      </c>
      <c r="O85" s="7">
        <v>-6129.16</v>
      </c>
      <c r="P85" s="8">
        <v>-9999.9999999880001</v>
      </c>
      <c r="Q85" s="9">
        <v>-10000</v>
      </c>
      <c r="R85" s="7">
        <v>-2489.6999999999998</v>
      </c>
      <c r="S85" s="8">
        <v>-1999.999999998</v>
      </c>
      <c r="T85" s="9">
        <v>-2000</v>
      </c>
      <c r="U85" s="7">
        <v>-1315923.6399999999</v>
      </c>
      <c r="V85" s="8">
        <v>-1599935.52999563</v>
      </c>
      <c r="W85" s="9">
        <v>-1700000</v>
      </c>
      <c r="X85" s="7">
        <v>-70981.69</v>
      </c>
      <c r="Y85" s="8">
        <v>-130199.999999981</v>
      </c>
      <c r="Z85" s="9">
        <v>-100000</v>
      </c>
      <c r="AA85" s="7">
        <v>-1292144.43</v>
      </c>
      <c r="AB85" s="8">
        <v>-1289999.99999998</v>
      </c>
      <c r="AC85" s="9">
        <v>-1500000</v>
      </c>
      <c r="AD85" s="7">
        <v>-208435.42</v>
      </c>
      <c r="AE85" s="8">
        <v>-209999.99999998999</v>
      </c>
      <c r="AF85" s="9">
        <v>-210000</v>
      </c>
      <c r="AG85" s="7">
        <v>-35743.449999999997</v>
      </c>
      <c r="AH85" s="8">
        <v>-49999.999999988999</v>
      </c>
      <c r="AI85" s="9">
        <v>-40000</v>
      </c>
      <c r="AJ85" s="7">
        <v>-3473415.59</v>
      </c>
      <c r="AK85" s="8">
        <v>-3500000</v>
      </c>
      <c r="AL85" s="9">
        <v>-3500000</v>
      </c>
      <c r="AM85" s="7">
        <v>-293583.51</v>
      </c>
      <c r="AN85" s="8">
        <v>-294999.999999994</v>
      </c>
      <c r="AO85" s="9">
        <v>-350000</v>
      </c>
      <c r="AP85" s="7">
        <v>-358678.18</v>
      </c>
      <c r="AQ85" s="8">
        <v>-384940.81591090001</v>
      </c>
      <c r="AR85" s="9">
        <v>-406941</v>
      </c>
      <c r="AS85" s="7">
        <v>-878190.58</v>
      </c>
      <c r="AT85" s="8">
        <v>-902999.99999999104</v>
      </c>
      <c r="AU85" s="9">
        <v>-950000</v>
      </c>
      <c r="AV85" s="7">
        <v>0</v>
      </c>
      <c r="AW85" s="8">
        <v>0</v>
      </c>
      <c r="AX85" s="9">
        <v>0</v>
      </c>
      <c r="AY85" s="7">
        <v>-31756</v>
      </c>
      <c r="AZ85" s="8">
        <v>-35999.999999984997</v>
      </c>
      <c r="BA85" s="9">
        <v>-32000</v>
      </c>
      <c r="BB85" s="7">
        <v>-1046.8900000000001</v>
      </c>
      <c r="BC85" s="8">
        <v>0</v>
      </c>
      <c r="BD85" s="9">
        <v>0</v>
      </c>
      <c r="BE85" s="7">
        <v>0</v>
      </c>
      <c r="BF85" s="8">
        <v>0</v>
      </c>
      <c r="BG85" s="9">
        <v>0</v>
      </c>
      <c r="BH85" s="7">
        <v>0</v>
      </c>
      <c r="BI85" s="8">
        <v>0</v>
      </c>
      <c r="BJ85" s="9">
        <v>0</v>
      </c>
      <c r="BK85" s="7">
        <v>-27546.98</v>
      </c>
      <c r="BL85" s="8">
        <v>-29999.999999995001</v>
      </c>
      <c r="BM85" s="9">
        <v>-28000</v>
      </c>
      <c r="BN85" s="7">
        <v>-16171.37</v>
      </c>
      <c r="BO85" s="8">
        <v>-19999.999999996999</v>
      </c>
      <c r="BP85" s="9">
        <v>-20000</v>
      </c>
      <c r="BQ85" s="7">
        <v>0</v>
      </c>
      <c r="BR85" s="8">
        <v>0</v>
      </c>
      <c r="BS85" s="9">
        <v>0</v>
      </c>
      <c r="BT85" s="7">
        <v>-21584.44</v>
      </c>
      <c r="BU85" s="8">
        <v>-19999.999999995998</v>
      </c>
      <c r="BV85" s="9">
        <v>-23000</v>
      </c>
      <c r="BW85" s="7">
        <v>-757757.18</v>
      </c>
      <c r="BX85" s="8">
        <v>-779999.99999998603</v>
      </c>
      <c r="BY85" s="9">
        <v>-780000</v>
      </c>
      <c r="BZ85" s="7">
        <v>-543.19000000000005</v>
      </c>
      <c r="CA85" s="8">
        <v>-1999.9999999920001</v>
      </c>
      <c r="CB85" s="9">
        <v>-3000</v>
      </c>
      <c r="CC85" s="7">
        <v>0</v>
      </c>
      <c r="CD85" s="8">
        <v>0</v>
      </c>
      <c r="CE85" s="9">
        <v>0</v>
      </c>
      <c r="CF85" s="7">
        <v>-768.4</v>
      </c>
      <c r="CG85" s="8">
        <v>-999.99999999600004</v>
      </c>
      <c r="CH85" s="9">
        <v>-1000</v>
      </c>
      <c r="CI85" s="7">
        <v>-64329.98</v>
      </c>
      <c r="CJ85" s="8">
        <v>-79739.418607141997</v>
      </c>
      <c r="CK85" s="9">
        <v>-83000</v>
      </c>
      <c r="CL85" s="7">
        <v>-1377.28</v>
      </c>
      <c r="CM85" s="8">
        <v>-2999.999999998</v>
      </c>
      <c r="CN85" s="9">
        <v>-3000</v>
      </c>
      <c r="CO85" s="7">
        <v>-59720.03</v>
      </c>
      <c r="CP85" s="8">
        <v>-59999.999999981002</v>
      </c>
      <c r="CQ85" s="9">
        <v>-85000</v>
      </c>
      <c r="CR85" s="7">
        <v>0</v>
      </c>
      <c r="CS85" s="8">
        <v>0</v>
      </c>
      <c r="CT85" s="9">
        <v>0</v>
      </c>
      <c r="CU85" s="7">
        <v>-82324.38</v>
      </c>
      <c r="CV85" s="8">
        <v>-64999.999999988002</v>
      </c>
      <c r="CW85" s="9">
        <v>-80000</v>
      </c>
      <c r="CX85" s="7">
        <v>0</v>
      </c>
      <c r="CY85" s="8">
        <v>0</v>
      </c>
      <c r="CZ85" s="9">
        <v>0</v>
      </c>
      <c r="DA85" s="7">
        <v>0</v>
      </c>
      <c r="DB85" s="8">
        <v>0</v>
      </c>
      <c r="DC85" s="9">
        <v>0</v>
      </c>
      <c r="DD85" s="7">
        <v>0</v>
      </c>
      <c r="DE85" s="8">
        <v>0</v>
      </c>
      <c r="DF85" s="9">
        <v>0</v>
      </c>
      <c r="DG85" s="7">
        <v>0</v>
      </c>
      <c r="DH85" s="8">
        <v>0</v>
      </c>
      <c r="DI85" s="9">
        <v>0</v>
      </c>
      <c r="DJ85" s="7">
        <v>0</v>
      </c>
      <c r="DK85" s="8">
        <v>0</v>
      </c>
      <c r="DL85" s="9">
        <v>0</v>
      </c>
      <c r="DM85" s="7">
        <v>-3722.9</v>
      </c>
      <c r="DN85" s="8">
        <v>-4999.999999998</v>
      </c>
      <c r="DO85" s="9">
        <v>-3300</v>
      </c>
      <c r="DP85" s="7">
        <v>-364.4</v>
      </c>
      <c r="DQ85" s="8">
        <v>0</v>
      </c>
      <c r="DR85" s="9">
        <v>0</v>
      </c>
      <c r="DS85" s="7">
        <v>0</v>
      </c>
      <c r="DT85" s="8">
        <v>0</v>
      </c>
      <c r="DU85" s="9">
        <v>0</v>
      </c>
      <c r="DV85" s="7">
        <v>0</v>
      </c>
      <c r="DW85" s="8">
        <v>0</v>
      </c>
      <c r="DX85" s="9">
        <v>0</v>
      </c>
      <c r="DY85" s="7">
        <v>0</v>
      </c>
      <c r="DZ85" s="8">
        <v>0</v>
      </c>
      <c r="EA85" s="9">
        <v>0</v>
      </c>
      <c r="EB85" s="7">
        <v>0</v>
      </c>
      <c r="EC85" s="8">
        <v>0</v>
      </c>
      <c r="ED85" s="9">
        <v>0</v>
      </c>
      <c r="EE85" s="7">
        <v>-3635467.7</v>
      </c>
      <c r="EF85" s="8">
        <v>-3515000</v>
      </c>
      <c r="EG85" s="9">
        <v>-4000000</v>
      </c>
      <c r="EH85" s="7">
        <v>-16600.439999999999</v>
      </c>
      <c r="EI85" s="8">
        <v>-14999.999999988</v>
      </c>
      <c r="EJ85" s="9">
        <v>-20075</v>
      </c>
      <c r="EK85" s="7">
        <v>-196133.69</v>
      </c>
      <c r="EL85" s="8">
        <v>-204999.999999983</v>
      </c>
      <c r="EM85" s="9">
        <v>-195000</v>
      </c>
      <c r="EN85" s="7">
        <v>0</v>
      </c>
      <c r="EO85" s="8">
        <v>0</v>
      </c>
      <c r="EP85" s="9">
        <v>0</v>
      </c>
      <c r="EQ85" s="7">
        <v>0</v>
      </c>
      <c r="ER85" s="8">
        <v>0</v>
      </c>
      <c r="ES85" s="9">
        <v>0</v>
      </c>
      <c r="ET85" s="7">
        <v>0</v>
      </c>
      <c r="EU85" s="8">
        <v>0</v>
      </c>
      <c r="EV85" s="9">
        <v>0</v>
      </c>
      <c r="EW85" s="7">
        <v>-10128.83</v>
      </c>
      <c r="EX85" s="8">
        <v>-9999.999999996</v>
      </c>
      <c r="EY85" s="9">
        <v>0</v>
      </c>
      <c r="EZ85" s="7">
        <v>-11170.49</v>
      </c>
      <c r="FA85" s="8">
        <v>-18286.977570300998</v>
      </c>
      <c r="FB85" s="9">
        <v>-30000</v>
      </c>
      <c r="FC85" s="7">
        <v>-14074.12</v>
      </c>
      <c r="FD85" s="8">
        <v>-14999.999999995</v>
      </c>
      <c r="FE85" s="9">
        <v>-8000</v>
      </c>
      <c r="FF85" s="7">
        <v>-19552.43</v>
      </c>
      <c r="FG85" s="8">
        <v>-20055.948673457999</v>
      </c>
      <c r="FH85" s="9">
        <v>-21489</v>
      </c>
      <c r="FI85" s="7">
        <v>0</v>
      </c>
      <c r="FJ85" s="8">
        <v>0</v>
      </c>
      <c r="FK85" s="9">
        <v>0</v>
      </c>
      <c r="FL85" s="7">
        <v>0</v>
      </c>
      <c r="FM85" s="8">
        <v>0</v>
      </c>
      <c r="FN85" s="9">
        <v>0</v>
      </c>
      <c r="FO85" s="7">
        <v>0</v>
      </c>
      <c r="FP85" s="8">
        <v>0</v>
      </c>
      <c r="FQ85" s="9">
        <v>0</v>
      </c>
      <c r="FR85" s="7">
        <v>0</v>
      </c>
      <c r="FS85" s="8">
        <v>0</v>
      </c>
      <c r="FT85" s="9">
        <v>0</v>
      </c>
      <c r="FU85" s="7">
        <v>0</v>
      </c>
      <c r="FV85" s="8">
        <v>0</v>
      </c>
      <c r="FW85" s="9">
        <v>0</v>
      </c>
      <c r="FX85" s="7">
        <v>0</v>
      </c>
      <c r="FY85" s="8">
        <v>293000</v>
      </c>
      <c r="FZ85" s="9">
        <v>0</v>
      </c>
      <c r="GA85" s="7">
        <v>0</v>
      </c>
      <c r="GB85" s="8">
        <v>0</v>
      </c>
      <c r="GC85" s="9">
        <v>0</v>
      </c>
      <c r="GD85" s="7">
        <v>0</v>
      </c>
      <c r="GE85" s="8">
        <v>0</v>
      </c>
      <c r="GF85" s="9">
        <v>0</v>
      </c>
      <c r="GG85" s="7">
        <v>0</v>
      </c>
      <c r="GH85" s="8">
        <v>0</v>
      </c>
      <c r="GI85" s="9">
        <v>0</v>
      </c>
      <c r="GJ85" s="7">
        <v>-2097.67</v>
      </c>
      <c r="GK85" s="8">
        <v>0</v>
      </c>
      <c r="GL85" s="9">
        <v>0</v>
      </c>
      <c r="GM85" s="7">
        <v>0</v>
      </c>
      <c r="GN85" s="8">
        <v>0</v>
      </c>
      <c r="GO85" s="9">
        <v>0</v>
      </c>
      <c r="GP85" s="7">
        <v>0</v>
      </c>
      <c r="GQ85" s="8">
        <v>0</v>
      </c>
      <c r="GR85" s="9">
        <v>0</v>
      </c>
      <c r="GS85" s="7">
        <v>0</v>
      </c>
      <c r="GT85" s="8">
        <v>0</v>
      </c>
      <c r="GU85" s="9">
        <v>0</v>
      </c>
      <c r="GV85" s="7">
        <v>0</v>
      </c>
      <c r="GW85" s="8">
        <v>0</v>
      </c>
      <c r="GX85" s="9">
        <v>0</v>
      </c>
      <c r="GY85" s="7">
        <v>0</v>
      </c>
      <c r="GZ85" s="8">
        <v>0</v>
      </c>
      <c r="HA85" s="9">
        <v>0</v>
      </c>
      <c r="HB85" s="7">
        <v>0</v>
      </c>
      <c r="HC85" s="8">
        <v>0</v>
      </c>
      <c r="HD85" s="9">
        <v>0</v>
      </c>
      <c r="HE85" s="7">
        <v>0</v>
      </c>
      <c r="HF85" s="8">
        <v>0</v>
      </c>
      <c r="HG85" s="9">
        <v>0</v>
      </c>
      <c r="HH85" s="7">
        <v>0</v>
      </c>
      <c r="HI85" s="8">
        <v>0</v>
      </c>
      <c r="HJ85" s="9">
        <v>0</v>
      </c>
      <c r="HK85" s="7">
        <v>0</v>
      </c>
      <c r="HL85" s="8">
        <v>0</v>
      </c>
      <c r="HM85" s="9">
        <v>0</v>
      </c>
      <c r="HN85" s="7">
        <v>0</v>
      </c>
      <c r="HO85" s="8">
        <v>0</v>
      </c>
      <c r="HP85" s="9">
        <v>0</v>
      </c>
    </row>
    <row r="86" spans="1:224" x14ac:dyDescent="0.25">
      <c r="A86" s="24" t="s">
        <v>5</v>
      </c>
      <c r="B86" s="27" t="s">
        <v>303</v>
      </c>
      <c r="C86" s="10">
        <v>-5772155.4400000004</v>
      </c>
      <c r="D86" s="11">
        <v>-5824090.7390892403</v>
      </c>
      <c r="E86" s="12">
        <v>-5451653.9999999804</v>
      </c>
      <c r="F86" s="10">
        <v>-224937.06</v>
      </c>
      <c r="G86" s="11">
        <v>-219999.999999967</v>
      </c>
      <c r="H86" s="12">
        <v>-260000</v>
      </c>
      <c r="I86" s="10">
        <v>-764462.68</v>
      </c>
      <c r="J86" s="11">
        <v>-874811.546172156</v>
      </c>
      <c r="K86" s="12">
        <v>-300000</v>
      </c>
      <c r="L86" s="10">
        <v>-234384.55</v>
      </c>
      <c r="M86" s="11">
        <v>-235494.36900258699</v>
      </c>
      <c r="N86" s="12">
        <v>-223494</v>
      </c>
      <c r="O86" s="10">
        <v>-230741.9</v>
      </c>
      <c r="P86" s="11">
        <v>-229999.99999996001</v>
      </c>
      <c r="Q86" s="12">
        <v>-212000</v>
      </c>
      <c r="R86" s="10">
        <v>-59894.09</v>
      </c>
      <c r="S86" s="11">
        <v>-26064.863576152002</v>
      </c>
      <c r="T86" s="12">
        <v>-26000</v>
      </c>
      <c r="U86" s="10">
        <v>-171321.93</v>
      </c>
      <c r="V86" s="11">
        <v>-211669.533460987</v>
      </c>
      <c r="W86" s="12">
        <v>-250000</v>
      </c>
      <c r="X86" s="10">
        <v>-161497.20000000001</v>
      </c>
      <c r="Y86" s="11">
        <v>-584947.20703197306</v>
      </c>
      <c r="Z86" s="12">
        <v>-500000</v>
      </c>
      <c r="AA86" s="10">
        <v>-306745.36</v>
      </c>
      <c r="AB86" s="11">
        <v>-299999.99999994697</v>
      </c>
      <c r="AC86" s="12">
        <v>-320000</v>
      </c>
      <c r="AD86" s="10">
        <v>-130690.51</v>
      </c>
      <c r="AE86" s="11">
        <v>-134999.99999998999</v>
      </c>
      <c r="AF86" s="12">
        <v>-135000</v>
      </c>
      <c r="AG86" s="10">
        <v>-224123.29</v>
      </c>
      <c r="AH86" s="11">
        <v>-239999.999999956</v>
      </c>
      <c r="AI86" s="12">
        <v>-240000</v>
      </c>
      <c r="AJ86" s="10">
        <v>-388570.58</v>
      </c>
      <c r="AK86" s="11">
        <v>-399999.99999996799</v>
      </c>
      <c r="AL86" s="12">
        <v>-400000</v>
      </c>
      <c r="AM86" s="10">
        <v>-142032.26999999999</v>
      </c>
      <c r="AN86" s="11">
        <v>-134999.99999998699</v>
      </c>
      <c r="AO86" s="12">
        <v>-130000</v>
      </c>
      <c r="AP86" s="10">
        <v>-159132.22</v>
      </c>
      <c r="AQ86" s="11">
        <v>-163058.96157387699</v>
      </c>
      <c r="AR86" s="12">
        <v>-179059</v>
      </c>
      <c r="AS86" s="10">
        <v>-22968.35</v>
      </c>
      <c r="AT86" s="11">
        <v>-22999.999999984</v>
      </c>
      <c r="AU86" s="12">
        <v>-25000</v>
      </c>
      <c r="AV86" s="10">
        <v>-2962</v>
      </c>
      <c r="AW86" s="11">
        <v>-2999.999999999</v>
      </c>
      <c r="AX86" s="12">
        <v>-3000</v>
      </c>
      <c r="AY86" s="10">
        <v>-84395.79</v>
      </c>
      <c r="AZ86" s="11">
        <v>-97161.917829774</v>
      </c>
      <c r="BA86" s="12">
        <v>-101000</v>
      </c>
      <c r="BB86" s="10">
        <v>-72382.960000000006</v>
      </c>
      <c r="BC86" s="11">
        <v>-74999.999999977998</v>
      </c>
      <c r="BD86" s="12">
        <v>-75000</v>
      </c>
      <c r="BE86" s="10">
        <v>-7277.82</v>
      </c>
      <c r="BF86" s="11">
        <v>-9999.9999999930005</v>
      </c>
      <c r="BG86" s="12">
        <v>-10000</v>
      </c>
      <c r="BH86" s="10">
        <v>-3396.79</v>
      </c>
      <c r="BI86" s="11">
        <v>-3999.9999999940001</v>
      </c>
      <c r="BJ86" s="12">
        <v>-4000</v>
      </c>
      <c r="BK86" s="10">
        <v>-22185.200000000001</v>
      </c>
      <c r="BL86" s="11">
        <v>-19999.999999992</v>
      </c>
      <c r="BM86" s="12">
        <v>-21000</v>
      </c>
      <c r="BN86" s="10">
        <v>-141744.70000000001</v>
      </c>
      <c r="BO86" s="11">
        <v>-140210.32053000599</v>
      </c>
      <c r="BP86" s="12">
        <v>-140210</v>
      </c>
      <c r="BQ86" s="10">
        <v>-36965.68</v>
      </c>
      <c r="BR86" s="11">
        <v>-36999.999999975997</v>
      </c>
      <c r="BS86" s="12">
        <v>-37000</v>
      </c>
      <c r="BT86" s="10">
        <v>-27127.86</v>
      </c>
      <c r="BU86" s="11">
        <v>-29999.999999995001</v>
      </c>
      <c r="BV86" s="12">
        <v>-30000</v>
      </c>
      <c r="BW86" s="10">
        <v>-100300.12</v>
      </c>
      <c r="BX86" s="11">
        <v>-89999.999999973006</v>
      </c>
      <c r="BY86" s="12">
        <v>-80000</v>
      </c>
      <c r="BZ86" s="10">
        <v>-88580.59</v>
      </c>
      <c r="CA86" s="11">
        <v>-79999.999999990003</v>
      </c>
      <c r="CB86" s="12">
        <v>-88000</v>
      </c>
      <c r="CC86" s="10">
        <v>-6420</v>
      </c>
      <c r="CD86" s="11">
        <v>-7492.8468027839999</v>
      </c>
      <c r="CE86" s="12">
        <v>-10000</v>
      </c>
      <c r="CF86" s="10">
        <v>-2996.64</v>
      </c>
      <c r="CG86" s="11">
        <v>-2999.9999999950001</v>
      </c>
      <c r="CH86" s="12">
        <v>-3000</v>
      </c>
      <c r="CI86" s="10">
        <v>-25026.799999999999</v>
      </c>
      <c r="CJ86" s="11">
        <v>-29999.999999994001</v>
      </c>
      <c r="CK86" s="12">
        <v>-30000</v>
      </c>
      <c r="CL86" s="10">
        <v>-80223.460000000006</v>
      </c>
      <c r="CM86" s="11">
        <v>-79999.999999984997</v>
      </c>
      <c r="CN86" s="12">
        <v>-80000</v>
      </c>
      <c r="CO86" s="10">
        <v>-182484.76</v>
      </c>
      <c r="CP86" s="11">
        <v>-184999.99999996999</v>
      </c>
      <c r="CQ86" s="12">
        <v>-185000</v>
      </c>
      <c r="CR86" s="10">
        <v>-5435.97</v>
      </c>
      <c r="CS86" s="11">
        <v>-4999.9999999940001</v>
      </c>
      <c r="CT86" s="12">
        <v>-5000</v>
      </c>
      <c r="CU86" s="10">
        <v>-93541.78</v>
      </c>
      <c r="CV86" s="11">
        <v>-89999.999999981999</v>
      </c>
      <c r="CW86" s="12">
        <v>-95000</v>
      </c>
      <c r="CX86" s="10">
        <v>-12194.62</v>
      </c>
      <c r="CY86" s="11">
        <v>-9999.9999999939992</v>
      </c>
      <c r="CZ86" s="12">
        <v>-10000</v>
      </c>
      <c r="DA86" s="10">
        <v>0</v>
      </c>
      <c r="DB86" s="11">
        <v>0</v>
      </c>
      <c r="DC86" s="12">
        <v>0</v>
      </c>
      <c r="DD86" s="10">
        <v>0</v>
      </c>
      <c r="DE86" s="11">
        <v>0</v>
      </c>
      <c r="DF86" s="12">
        <v>0</v>
      </c>
      <c r="DG86" s="10">
        <v>-2758.8</v>
      </c>
      <c r="DH86" s="11">
        <v>-11000</v>
      </c>
      <c r="DI86" s="12">
        <v>-13000</v>
      </c>
      <c r="DJ86" s="10">
        <v>0</v>
      </c>
      <c r="DK86" s="11">
        <v>0</v>
      </c>
      <c r="DL86" s="12">
        <v>0</v>
      </c>
      <c r="DM86" s="10">
        <v>-1081.76</v>
      </c>
      <c r="DN86" s="11">
        <v>-999.99999999800002</v>
      </c>
      <c r="DO86" s="12">
        <v>-2200</v>
      </c>
      <c r="DP86" s="10">
        <v>-1264.3900000000001</v>
      </c>
      <c r="DQ86" s="11">
        <v>-1999.999999999</v>
      </c>
      <c r="DR86" s="12">
        <v>0</v>
      </c>
      <c r="DS86" s="10">
        <v>0</v>
      </c>
      <c r="DT86" s="11">
        <v>0</v>
      </c>
      <c r="DU86" s="12">
        <v>0</v>
      </c>
      <c r="DV86" s="10">
        <v>0</v>
      </c>
      <c r="DW86" s="11">
        <v>0</v>
      </c>
      <c r="DX86" s="12">
        <v>0</v>
      </c>
      <c r="DY86" s="10">
        <v>0</v>
      </c>
      <c r="DZ86" s="11">
        <v>0</v>
      </c>
      <c r="EA86" s="12">
        <v>0</v>
      </c>
      <c r="EB86" s="10">
        <v>0</v>
      </c>
      <c r="EC86" s="11">
        <v>0</v>
      </c>
      <c r="ED86" s="12">
        <v>0</v>
      </c>
      <c r="EE86" s="10">
        <v>-964660.83</v>
      </c>
      <c r="EF86" s="11">
        <v>-719632.93539128103</v>
      </c>
      <c r="EG86" s="12">
        <v>-740000</v>
      </c>
      <c r="EH86" s="10">
        <v>-18161.95</v>
      </c>
      <c r="EI86" s="11">
        <v>-19999.999999995001</v>
      </c>
      <c r="EJ86" s="12">
        <v>-27123</v>
      </c>
      <c r="EK86" s="10">
        <v>-145180.16</v>
      </c>
      <c r="EL86" s="11">
        <v>-144999.999999978</v>
      </c>
      <c r="EM86" s="12">
        <v>-145000</v>
      </c>
      <c r="EN86" s="10">
        <v>0</v>
      </c>
      <c r="EO86" s="11">
        <v>0</v>
      </c>
      <c r="EP86" s="12">
        <v>0</v>
      </c>
      <c r="EQ86" s="10">
        <v>0</v>
      </c>
      <c r="ER86" s="11">
        <v>0</v>
      </c>
      <c r="ES86" s="12">
        <v>0</v>
      </c>
      <c r="ET86" s="10">
        <v>0</v>
      </c>
      <c r="EU86" s="11">
        <v>0</v>
      </c>
      <c r="EV86" s="12">
        <v>0</v>
      </c>
      <c r="EW86" s="10">
        <v>0</v>
      </c>
      <c r="EX86" s="11">
        <v>0</v>
      </c>
      <c r="EY86" s="12">
        <v>0</v>
      </c>
      <c r="EZ86" s="10">
        <v>0</v>
      </c>
      <c r="FA86" s="11">
        <v>0</v>
      </c>
      <c r="FB86" s="12">
        <v>0</v>
      </c>
      <c r="FC86" s="10">
        <v>-111237.89</v>
      </c>
      <c r="FD86" s="11">
        <v>-109999.999999994</v>
      </c>
      <c r="FE86" s="12">
        <v>-109000</v>
      </c>
      <c r="FF86" s="10">
        <v>-140746.4</v>
      </c>
      <c r="FG86" s="11">
        <v>-120146.237718146</v>
      </c>
      <c r="FH86" s="12">
        <v>-207568</v>
      </c>
      <c r="FI86" s="10">
        <v>0</v>
      </c>
      <c r="FJ86" s="11">
        <v>0</v>
      </c>
      <c r="FK86" s="12">
        <v>0</v>
      </c>
      <c r="FL86" s="10">
        <v>0</v>
      </c>
      <c r="FM86" s="11">
        <v>0</v>
      </c>
      <c r="FN86" s="12">
        <v>0</v>
      </c>
      <c r="FO86" s="10">
        <v>-1866.3</v>
      </c>
      <c r="FP86" s="11">
        <v>0</v>
      </c>
      <c r="FQ86" s="12">
        <v>0</v>
      </c>
      <c r="FR86" s="10">
        <v>0</v>
      </c>
      <c r="FS86" s="11">
        <v>0</v>
      </c>
      <c r="FT86" s="12">
        <v>0</v>
      </c>
      <c r="FU86" s="10">
        <v>0</v>
      </c>
      <c r="FV86" s="11">
        <v>0</v>
      </c>
      <c r="FW86" s="12">
        <v>0</v>
      </c>
      <c r="FX86" s="10">
        <v>0</v>
      </c>
      <c r="FY86" s="11">
        <v>251600</v>
      </c>
      <c r="FZ86" s="12">
        <v>0</v>
      </c>
      <c r="GA86" s="10">
        <v>0</v>
      </c>
      <c r="GB86" s="11">
        <v>0</v>
      </c>
      <c r="GC86" s="12">
        <v>0</v>
      </c>
      <c r="GD86" s="10">
        <v>0</v>
      </c>
      <c r="GE86" s="11">
        <v>0</v>
      </c>
      <c r="GF86" s="12">
        <v>0</v>
      </c>
      <c r="GG86" s="10">
        <v>0</v>
      </c>
      <c r="GH86" s="11">
        <v>0</v>
      </c>
      <c r="GI86" s="12">
        <v>0</v>
      </c>
      <c r="GJ86" s="10">
        <v>-168051.43</v>
      </c>
      <c r="GK86" s="11">
        <v>-170999.99999998801</v>
      </c>
      <c r="GL86" s="12">
        <v>0</v>
      </c>
      <c r="GM86" s="10">
        <v>0</v>
      </c>
      <c r="GN86" s="11">
        <v>0</v>
      </c>
      <c r="GO86" s="12">
        <v>0</v>
      </c>
      <c r="GP86" s="10">
        <v>0</v>
      </c>
      <c r="GQ86" s="11">
        <v>0</v>
      </c>
      <c r="GR86" s="12">
        <v>0</v>
      </c>
      <c r="GS86" s="10">
        <v>0</v>
      </c>
      <c r="GT86" s="11">
        <v>0</v>
      </c>
      <c r="GU86" s="12">
        <v>0</v>
      </c>
      <c r="GV86" s="10">
        <v>0</v>
      </c>
      <c r="GW86" s="11">
        <v>0</v>
      </c>
      <c r="GX86" s="12">
        <v>0</v>
      </c>
      <c r="GY86" s="10">
        <v>0</v>
      </c>
      <c r="GZ86" s="11">
        <v>0</v>
      </c>
      <c r="HA86" s="12">
        <v>0</v>
      </c>
      <c r="HB86" s="10">
        <v>0</v>
      </c>
      <c r="HC86" s="11">
        <v>0</v>
      </c>
      <c r="HD86" s="12">
        <v>0</v>
      </c>
      <c r="HE86" s="10">
        <v>0</v>
      </c>
      <c r="HF86" s="11">
        <v>0</v>
      </c>
      <c r="HG86" s="12">
        <v>0</v>
      </c>
      <c r="HH86" s="10">
        <v>0</v>
      </c>
      <c r="HI86" s="11">
        <v>0</v>
      </c>
      <c r="HJ86" s="12">
        <v>0</v>
      </c>
      <c r="HK86" s="10">
        <v>0</v>
      </c>
      <c r="HL86" s="11">
        <v>0</v>
      </c>
      <c r="HM86" s="12">
        <v>0</v>
      </c>
      <c r="HN86" s="10">
        <v>0</v>
      </c>
      <c r="HO86" s="11">
        <v>0</v>
      </c>
      <c r="HP86" s="12">
        <v>0</v>
      </c>
    </row>
    <row r="87" spans="1:224" x14ac:dyDescent="0.25">
      <c r="F87" s="53">
        <f>-F28</f>
        <v>299661396.18000001</v>
      </c>
      <c r="I87">
        <f t="shared" ref="I87" si="510">-I28</f>
        <v>16569628.92</v>
      </c>
      <c r="L87">
        <f t="shared" ref="L87" si="511">-L28</f>
        <v>15948432.619999999</v>
      </c>
      <c r="O87">
        <f t="shared" ref="O87" si="512">-O28</f>
        <v>20869902.329999998</v>
      </c>
      <c r="R87">
        <f t="shared" ref="R87" si="513">-R28</f>
        <v>8000989.1900000004</v>
      </c>
      <c r="U87">
        <f t="shared" ref="U87" si="514">-U28</f>
        <v>59913187.649999999</v>
      </c>
      <c r="X87">
        <f t="shared" ref="X87" si="515">-X28</f>
        <v>12788934.98</v>
      </c>
      <c r="AA87">
        <f t="shared" ref="AA87" si="516">-AA28</f>
        <v>12143355.439999999</v>
      </c>
      <c r="AD87">
        <f t="shared" ref="AD87" si="517">-AD28</f>
        <v>4256194.7</v>
      </c>
      <c r="AG87">
        <f t="shared" ref="AG87" si="518">-AG28</f>
        <v>6513154.6699999999</v>
      </c>
      <c r="AJ87">
        <f t="shared" ref="AJ87" si="519">-AJ28</f>
        <v>49646093.759999998</v>
      </c>
      <c r="AM87">
        <f t="shared" ref="AM87" si="520">-AM28</f>
        <v>22535132.98</v>
      </c>
      <c r="AP87">
        <f t="shared" ref="AP87" si="521">-AP28</f>
        <v>3361180.1</v>
      </c>
      <c r="AS87">
        <f t="shared" ref="AS87" si="522">-AS28</f>
        <v>10599073.710000001</v>
      </c>
      <c r="AV87">
        <f t="shared" ref="AV87" si="523">-AV28</f>
        <v>433755.29</v>
      </c>
      <c r="AY87">
        <f t="shared" ref="AY87" si="524">-AY28</f>
        <v>5990975.1000000099</v>
      </c>
      <c r="BB87">
        <f t="shared" ref="BB87" si="525">-BB28</f>
        <v>2304770.54</v>
      </c>
      <c r="BE87">
        <f t="shared" ref="BE87" si="526">-BE28</f>
        <v>95021.440000000002</v>
      </c>
      <c r="BH87">
        <f t="shared" ref="BH87" si="527">-BH28</f>
        <v>90680.07</v>
      </c>
      <c r="BK87">
        <f t="shared" ref="BK87" si="528">-BK28</f>
        <v>840127.35000000102</v>
      </c>
      <c r="BN87">
        <f t="shared" ref="BN87" si="529">-BN28</f>
        <v>4525177.3</v>
      </c>
      <c r="BQ87">
        <f t="shared" ref="BQ87" si="530">-BQ28</f>
        <v>2996710.59</v>
      </c>
      <c r="BT87">
        <f t="shared" ref="BT87" si="531">-BT28</f>
        <v>3616957.77</v>
      </c>
      <c r="BW87">
        <f t="shared" ref="BW87" si="532">-BW28</f>
        <v>3623727.68</v>
      </c>
      <c r="BZ87">
        <f t="shared" ref="BZ87" si="533">-BZ28</f>
        <v>281323.93</v>
      </c>
      <c r="CC87">
        <f t="shared" ref="CC87" si="534">-CC28</f>
        <v>88538.18</v>
      </c>
      <c r="CF87">
        <f t="shared" ref="CF87" si="535">-CF28</f>
        <v>4818810.4000000004</v>
      </c>
      <c r="CI87">
        <f t="shared" ref="CI87" si="536">-CI28</f>
        <v>2792720.83</v>
      </c>
      <c r="CL87">
        <f t="shared" ref="CL87" si="537">-CL28</f>
        <v>15697876.869999999</v>
      </c>
      <c r="CO87">
        <f t="shared" ref="CO87" si="538">-CO28</f>
        <v>36813631.859999999</v>
      </c>
      <c r="CR87">
        <f t="shared" ref="CR87" si="539">-CR28</f>
        <v>67008474.32</v>
      </c>
      <c r="CU87">
        <f t="shared" ref="CU87" si="540">-CU28</f>
        <v>52193499.25</v>
      </c>
      <c r="CX87">
        <f t="shared" ref="CX87" si="541">-CX28</f>
        <v>41296856.369999997</v>
      </c>
      <c r="DA87">
        <f t="shared" ref="DA87" si="542">-DA28</f>
        <v>0</v>
      </c>
      <c r="DD87">
        <f t="shared" ref="DD87" si="543">-DD28</f>
        <v>5337711.82</v>
      </c>
      <c r="DG87">
        <f t="shared" ref="DG87" si="544">-DG28</f>
        <v>1045869.46</v>
      </c>
      <c r="DJ87">
        <f t="shared" ref="DJ87" si="545">-DJ28</f>
        <v>47.94</v>
      </c>
      <c r="DM87">
        <f t="shared" ref="DM87" si="546">-DM28</f>
        <v>28949655.390000001</v>
      </c>
      <c r="DP87">
        <f t="shared" ref="DP87" si="547">-DP28</f>
        <v>27672354.140000001</v>
      </c>
      <c r="DS87">
        <f t="shared" ref="DS87" si="548">-DS28</f>
        <v>0</v>
      </c>
      <c r="DV87">
        <f t="shared" ref="DV87" si="549">-DV28</f>
        <v>7221688.7300000004</v>
      </c>
      <c r="DY87">
        <f t="shared" ref="DY87" si="550">-DY28</f>
        <v>9.9499999999999993</v>
      </c>
      <c r="EB87">
        <f t="shared" ref="EB87" si="551">-EB28</f>
        <v>92905.05</v>
      </c>
      <c r="EE87">
        <f t="shared" ref="EE87" si="552">-EE28</f>
        <v>13524953.91</v>
      </c>
      <c r="EH87">
        <f t="shared" ref="EH87" si="553">-EH28</f>
        <v>1929192.42</v>
      </c>
      <c r="EK87">
        <f t="shared" ref="EK87" si="554">-EK28</f>
        <v>36356426.390000001</v>
      </c>
      <c r="EN87">
        <f t="shared" ref="EN87" si="555">-EN28</f>
        <v>0</v>
      </c>
      <c r="EQ87">
        <f t="shared" ref="EQ87" si="556">-EQ28</f>
        <v>0</v>
      </c>
      <c r="ET87">
        <f t="shared" ref="ET87" si="557">-ET28</f>
        <v>55231.57</v>
      </c>
      <c r="EW87">
        <f t="shared" ref="EW87" si="558">-EW28</f>
        <v>24941.13</v>
      </c>
      <c r="EZ87">
        <f t="shared" ref="EZ87" si="559">-EZ28</f>
        <v>1223106.1200000001</v>
      </c>
      <c r="FC87">
        <f t="shared" ref="FC87" si="560">-FC28</f>
        <v>4667755.97</v>
      </c>
      <c r="FF87">
        <f t="shared" ref="FF87" si="561">-FF28</f>
        <v>4165642.61</v>
      </c>
      <c r="FI87">
        <f t="shared" ref="FI87" si="562">-FI28</f>
        <v>0</v>
      </c>
      <c r="FL87">
        <f t="shared" ref="FL87" si="563">-FL28</f>
        <v>780537.76</v>
      </c>
      <c r="FO87">
        <f t="shared" ref="FO87" si="564">-FO28</f>
        <v>4743512.9800000004</v>
      </c>
      <c r="FR87">
        <f t="shared" ref="FR87" si="565">-FR28</f>
        <v>367265.46</v>
      </c>
      <c r="FU87">
        <f t="shared" ref="FU87" si="566">-FU28</f>
        <v>0</v>
      </c>
      <c r="FX87">
        <f t="shared" ref="FX87" si="567">-FX28</f>
        <v>0</v>
      </c>
      <c r="GA87">
        <f t="shared" ref="GA87" si="568">-GA28</f>
        <v>0</v>
      </c>
      <c r="GD87">
        <f t="shared" ref="GD87" si="569">-GD28</f>
        <v>0</v>
      </c>
      <c r="GG87">
        <f t="shared" ref="GG87" si="570">-GG28</f>
        <v>0</v>
      </c>
      <c r="GJ87">
        <f t="shared" ref="GJ87" si="571">-GJ28</f>
        <v>0</v>
      </c>
      <c r="GM87">
        <f t="shared" ref="GM87" si="572">-GM28</f>
        <v>0</v>
      </c>
      <c r="GP87">
        <f t="shared" ref="GP87" si="573">-GP28</f>
        <v>0</v>
      </c>
      <c r="GS87">
        <f t="shared" ref="GS87" si="574">-GS28</f>
        <v>0</v>
      </c>
      <c r="GV87">
        <f t="shared" ref="GV87" si="575">-GV28</f>
        <v>0</v>
      </c>
      <c r="GY87">
        <f t="shared" ref="GY87" si="576">-GY28</f>
        <v>0</v>
      </c>
      <c r="HB87">
        <f t="shared" ref="HB87" si="577">-HB28</f>
        <v>0</v>
      </c>
      <c r="HE87">
        <f t="shared" ref="HE87" si="578">-HE28</f>
        <v>0</v>
      </c>
      <c r="HH87">
        <f t="shared" ref="HH87" si="579">-HH28</f>
        <v>0</v>
      </c>
      <c r="HK87">
        <f t="shared" ref="HK87" si="580">-HK28</f>
        <v>0</v>
      </c>
      <c r="HN87">
        <f t="shared" ref="HN87" si="581">-HN28</f>
        <v>0</v>
      </c>
    </row>
    <row r="88" spans="1:224" x14ac:dyDescent="0.25">
      <c r="F88" s="54" t="str">
        <f>F5</f>
        <v>I. interní klinika - kardiologická</v>
      </c>
      <c r="I88" t="str">
        <f t="shared" ref="I88" si="582">I5</f>
        <v>II. interní klinika gastroenterologie a geriatrie</v>
      </c>
      <c r="L88" t="str">
        <f t="shared" ref="L88" si="583">L5</f>
        <v>III. interní klinika - nefrologická, revmatologická a endokrinologická</v>
      </c>
      <c r="O88" t="str">
        <f t="shared" ref="O88" si="584">O5</f>
        <v>I. chirurgická klinika</v>
      </c>
      <c r="R88" t="str">
        <f t="shared" ref="R88" si="585">R5</f>
        <v>II. chirurgická klinika - cévně-transplantační</v>
      </c>
      <c r="U88" t="str">
        <f t="shared" ref="U88" si="586">U5</f>
        <v>Neurochirurgická klinika</v>
      </c>
      <c r="X88" t="str">
        <f t="shared" ref="X88" si="587">X5</f>
        <v>Klinika anesteziologie, resuscitace a intenzivní medicíny</v>
      </c>
      <c r="AA88" t="str">
        <f t="shared" ref="AA88" si="588">AA5</f>
        <v>Porodnicko-gynekologická klinika</v>
      </c>
      <c r="AD88" t="str">
        <f t="shared" ref="AD88" si="589">AD5</f>
        <v>Novorozenecké oddělení</v>
      </c>
      <c r="AG88" t="str">
        <f t="shared" ref="AG88" si="590">AG5</f>
        <v>Dětská klinika</v>
      </c>
      <c r="AJ88" t="str">
        <f t="shared" ref="AJ88" si="591">AJ5</f>
        <v>Ortopedická klinika</v>
      </c>
      <c r="AM88" t="str">
        <f t="shared" ref="AM88" si="592">AM5</f>
        <v>Urologická klinika</v>
      </c>
      <c r="AP88" t="str">
        <f t="shared" ref="AP88" si="593">AP5</f>
        <v>Otolaryngologická klinika</v>
      </c>
      <c r="AS88" t="str">
        <f t="shared" ref="AS88" si="594">AS5</f>
        <v>Oční klinika</v>
      </c>
      <c r="AV88" t="str">
        <f t="shared" ref="AV88" si="595">AV5</f>
        <v>Oddělení alergologie a kl. imun.</v>
      </c>
      <c r="AY88" t="str">
        <f t="shared" ref="AY88" si="596">AY5</f>
        <v>Klinika plicních nemocí a tuberkulózy</v>
      </c>
      <c r="BB88" t="str">
        <f t="shared" ref="BB88" si="597">BB5</f>
        <v>Neurologická klinika</v>
      </c>
      <c r="BE88" t="str">
        <f t="shared" ref="BE88" si="598">BE5</f>
        <v>Klinika psychiatrie</v>
      </c>
      <c r="BH88" t="str">
        <f t="shared" ref="BH88" si="599">BH5</f>
        <v>Klinika pracovního lékařství</v>
      </c>
      <c r="BK88" t="str">
        <f t="shared" ref="BK88" si="600">BK5</f>
        <v>Klinika chorob kožních a pohlavních</v>
      </c>
      <c r="BN88" t="str">
        <f t="shared" ref="BN88" si="601">BN5</f>
        <v>Onkologická klinika</v>
      </c>
      <c r="BQ88" t="str">
        <f t="shared" ref="BQ88" si="602">BQ5</f>
        <v>Klinika nukleární medicíny</v>
      </c>
      <c r="BT88" t="str">
        <f t="shared" ref="BT88" si="603">BT5</f>
        <v>Klinika zubního lékařství</v>
      </c>
      <c r="BW88" t="str">
        <f t="shared" ref="BW88" si="604">BW5</f>
        <v>Klinika ústní,čelistní a obličejové chirurgie</v>
      </c>
      <c r="BZ88" t="str">
        <f t="shared" ref="BZ88" si="605">BZ5</f>
        <v>Oddělení rehabilitace</v>
      </c>
      <c r="CC88" t="str">
        <f t="shared" ref="CC88" si="606">CC5</f>
        <v>Klinika tělovýchovného lékařství a kardiovaskulární rehabilitace</v>
      </c>
      <c r="CF88" t="str">
        <f t="shared" ref="CF88" si="607">CF5</f>
        <v>Ústav lékařské genetiky</v>
      </c>
      <c r="CI88" t="str">
        <f t="shared" ref="CI88" si="608">CI5</f>
        <v>Oddělení plastické a estetické chirurgie</v>
      </c>
      <c r="CL88" t="str">
        <f t="shared" ref="CL88" si="609">CL5</f>
        <v>Traumatologická klinika</v>
      </c>
      <c r="CO88" t="str">
        <f t="shared" ref="CO88" si="610">CO5</f>
        <v>Hemato-onkologická klinika</v>
      </c>
      <c r="CR88" t="str">
        <f t="shared" ref="CR88" si="611">CR5</f>
        <v>Oddělení klinické biochemie</v>
      </c>
      <c r="CU88" t="str">
        <f t="shared" ref="CU88" si="612">CU5</f>
        <v>Radiologická klinika</v>
      </c>
      <c r="CX88" t="str">
        <f t="shared" ref="CX88" si="613">CX5</f>
        <v>Transfuzní oddělení</v>
      </c>
      <c r="DA88" t="str">
        <f t="shared" ref="DA88" si="614">DA5</f>
        <v>Oddělení klinické logopedie</v>
      </c>
      <c r="DD88" t="str">
        <f t="shared" ref="DD88" si="615">DD5</f>
        <v>Ústav klinické a molekulární patologie</v>
      </c>
      <c r="DG88" t="str">
        <f t="shared" ref="DG88" si="616">DG5</f>
        <v>Ústav soudního lékařství a medicínského práva</v>
      </c>
      <c r="DJ88" t="str">
        <f t="shared" ref="DJ88" si="617">DJ5</f>
        <v>Oddělení klinické psychologie</v>
      </c>
      <c r="DM88" t="str">
        <f t="shared" ref="DM88" si="618">DM5</f>
        <v>Ústav mikrobiologie</v>
      </c>
      <c r="DP88" t="str">
        <f t="shared" ref="DP88" si="619">DP5</f>
        <v>Ústav imunologie</v>
      </c>
      <c r="DS88" t="str">
        <f t="shared" ref="DS88" si="620">DS5</f>
        <v>Ústav farmakologie</v>
      </c>
      <c r="DV88" t="str">
        <f t="shared" ref="DV88" si="621">DV5</f>
        <v>Laboratoř experimentální medicíny</v>
      </c>
      <c r="DY88" t="str">
        <f t="shared" ref="DY88" si="622">DY5</f>
        <v>Sociální oddělení</v>
      </c>
      <c r="EB88" t="str">
        <f t="shared" ref="EB88" si="623">EB5</f>
        <v>Transplantační centrum</v>
      </c>
      <c r="EE88" t="str">
        <f t="shared" ref="EE88" si="624">EE5</f>
        <v xml:space="preserve">Centrální operační sály </v>
      </c>
      <c r="EH88" t="str">
        <f t="shared" ref="EH88" si="625">EH5</f>
        <v>Lékárna</v>
      </c>
      <c r="EK88" t="str">
        <f t="shared" ref="EK88" si="626">EK5</f>
        <v>Kardiochirurgická klinika</v>
      </c>
      <c r="EN88" t="str">
        <f t="shared" ref="EN88" si="627">EN5</f>
        <v>NTMC - Národní telemedicínské centrum</v>
      </c>
      <c r="EQ88" t="str">
        <f t="shared" ref="EQ88" si="628">EQ5</f>
        <v>Oddělení lékařské fyziky a radiační ochrany</v>
      </c>
      <c r="ET88" t="str">
        <f t="shared" ref="ET88" si="629">ET5</f>
        <v>Oddělení nemocniční hygieny</v>
      </c>
      <c r="EW88" t="str">
        <f t="shared" ref="EW88" si="630">EW5</f>
        <v>Oddělení centrální sterilizace</v>
      </c>
      <c r="EZ88" t="str">
        <f t="shared" ref="EZ88" si="631">EZ5</f>
        <v>Nutriční ambulance</v>
      </c>
      <c r="FC88" t="str">
        <f t="shared" ref="FC88" si="632">FC5</f>
        <v>Oddělení intenzivní péče chirurgických oborů</v>
      </c>
      <c r="FF88" t="str">
        <f t="shared" ref="FF88" si="633">FF5</f>
        <v>Oddělení urgentního příjmu</v>
      </c>
      <c r="FI88" t="str">
        <f t="shared" ref="FI88" si="634">FI5</f>
        <v>Centrum CLINREC</v>
      </c>
      <c r="FL88" t="str">
        <f t="shared" ref="FL88" si="635">FL5</f>
        <v>Klinická hodnocení</v>
      </c>
      <c r="FO88" t="str">
        <f t="shared" ref="FO88" si="636">FO5</f>
        <v>Granty</v>
      </c>
      <c r="FR88" t="str">
        <f t="shared" ref="FR88" si="637">FR5</f>
        <v>Granty</v>
      </c>
      <c r="FU88" t="str">
        <f t="shared" ref="FU88" si="638">FU5</f>
        <v>Institucionální podpora</v>
      </c>
      <c r="FX88" t="str">
        <f t="shared" ref="FX88" si="639">FX5</f>
        <v>pomocná střediska</v>
      </c>
      <c r="GA88" t="str">
        <f t="shared" ref="GA88" si="640">GA5</f>
        <v>Úsek ředitele</v>
      </c>
      <c r="GD88" t="str">
        <f t="shared" ref="GD88" si="641">GD5</f>
        <v>Úsek léčebné péče</v>
      </c>
      <c r="GG88" t="str">
        <f t="shared" ref="GG88" si="642">GG5</f>
        <v>Útvar ekonomiky a zdravotních pojišťoven</v>
      </c>
      <c r="GJ88" t="str">
        <f t="shared" ref="GJ88" si="643">GJ5</f>
        <v>Útvar hospodářsko technické správy</v>
      </c>
      <c r="GM88" t="str">
        <f t="shared" ref="GM88" si="644">GM5</f>
        <v>Odbor investic</v>
      </c>
      <c r="GP88" t="str">
        <f t="shared" ref="GP88" si="645">GP5</f>
        <v>Personální úsek</v>
      </c>
      <c r="GS88" t="str">
        <f t="shared" ref="GS88" si="646">GS5</f>
        <v>Úsek informačních technologií</v>
      </c>
      <c r="GV88" t="str">
        <f t="shared" ref="GV88" si="647">GV5</f>
        <v>Obchodní úsek</v>
      </c>
      <c r="GY88" t="str">
        <f t="shared" ref="GY88" si="648">GY5</f>
        <v>Marketingové akce FNOL</v>
      </c>
      <c r="HB88" t="str">
        <f t="shared" ref="HB88" si="649">HB5</f>
        <v>Údržby, provozy</v>
      </c>
      <c r="HE88" t="str">
        <f t="shared" ref="HE88" si="650">HE5</f>
        <v>Stavby</v>
      </c>
      <c r="HH88" t="str">
        <f t="shared" ref="HH88" si="651">HH5</f>
        <v>Transfery MZ ČR + refundace</v>
      </c>
      <c r="HK88" t="str">
        <f t="shared" ref="HK88" si="652">HK5</f>
        <v>Pronájmy</v>
      </c>
      <c r="HN88" t="str">
        <f t="shared" ref="HN88" si="653">HN5</f>
        <v>Nezařazeno</v>
      </c>
    </row>
  </sheetData>
  <mergeCells count="74">
    <mergeCell ref="HK6:HM6"/>
    <mergeCell ref="HN6:HP6"/>
    <mergeCell ref="GS6:GU6"/>
    <mergeCell ref="GV6:GX6"/>
    <mergeCell ref="GY6:HA6"/>
    <mergeCell ref="HB6:HD6"/>
    <mergeCell ref="HE6:HG6"/>
    <mergeCell ref="HH6:HJ6"/>
    <mergeCell ref="GP6:GR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FF6:FH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DV6:DX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CL6:CN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BB6:BD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R6:T6"/>
    <mergeCell ref="C6:E6"/>
    <mergeCell ref="F6:H6"/>
    <mergeCell ref="I6:K6"/>
    <mergeCell ref="L6:N6"/>
    <mergeCell ref="O6:Q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AL84"/>
  <sheetViews>
    <sheetView tabSelected="1" topLeftCell="D1" zoomScaleNormal="100" workbookViewId="0">
      <pane xSplit="1" ySplit="6" topLeftCell="AC7" activePane="bottomRight" state="frozen"/>
      <selection activeCell="D1" sqref="D1"/>
      <selection pane="topRight" activeCell="E1" sqref="E1"/>
      <selection pane="bottomLeft" activeCell="D7" sqref="D7"/>
      <selection pane="bottomRight" activeCell="AM6" sqref="AM6"/>
    </sheetView>
  </sheetViews>
  <sheetFormatPr defaultRowHeight="15" x14ac:dyDescent="0.25"/>
  <cols>
    <col min="1" max="1" width="0" hidden="1" customWidth="1"/>
    <col min="2" max="2" width="15.28515625" hidden="1" customWidth="1"/>
    <col min="3" max="3" width="5.5703125" hidden="1" customWidth="1"/>
    <col min="4" max="4" width="41.140625" style="44" customWidth="1"/>
    <col min="5" max="8" width="14.140625" hidden="1" customWidth="1"/>
    <col min="9" max="9" width="14.28515625" hidden="1" customWidth="1"/>
    <col min="10" max="10" width="11.7109375" hidden="1" customWidth="1"/>
    <col min="11" max="15" width="14.140625" style="66" hidden="1" customWidth="1"/>
    <col min="16" max="16" width="11.7109375" style="66" hidden="1" customWidth="1"/>
    <col min="17" max="18" width="14.28515625" style="66" hidden="1" customWidth="1"/>
    <col min="19" max="21" width="11.7109375" style="66" hidden="1" customWidth="1"/>
    <col min="22" max="22" width="13.5703125" style="66" hidden="1" customWidth="1"/>
    <col min="23" max="25" width="11.7109375" style="72" hidden="1" customWidth="1"/>
    <col min="26" max="26" width="13" style="72" hidden="1" customWidth="1"/>
    <col min="27" max="28" width="11.7109375" style="72" hidden="1" customWidth="1"/>
    <col min="29" max="30" width="12.28515625" style="78" customWidth="1"/>
    <col min="31" max="31" width="14.28515625" style="78" bestFit="1" customWidth="1"/>
    <col min="32" max="34" width="14.5703125" style="78" customWidth="1"/>
    <col min="35" max="35" width="14.5703125" style="39" customWidth="1"/>
    <col min="36" max="36" width="61.85546875" bestFit="1" customWidth="1"/>
    <col min="37" max="37" width="13.85546875" customWidth="1"/>
    <col min="38" max="38" width="10.85546875" bestFit="1" customWidth="1"/>
  </cols>
  <sheetData>
    <row r="4" spans="1:36" ht="15.75" thickBot="1" x14ac:dyDescent="0.3">
      <c r="D4" s="43"/>
      <c r="E4" s="2"/>
      <c r="F4" s="2"/>
      <c r="G4" s="337" t="s">
        <v>569</v>
      </c>
      <c r="H4" s="2"/>
      <c r="I4" s="2"/>
      <c r="J4" s="2"/>
      <c r="K4" s="60"/>
      <c r="L4" s="60"/>
      <c r="M4" s="336" t="s">
        <v>568</v>
      </c>
      <c r="N4" s="60"/>
      <c r="O4" s="60"/>
      <c r="P4" s="60"/>
      <c r="Q4" s="60"/>
      <c r="R4" s="60"/>
      <c r="S4" s="60"/>
      <c r="T4" s="60"/>
      <c r="U4" s="60"/>
      <c r="V4" s="60"/>
      <c r="W4" s="67"/>
      <c r="X4" s="67"/>
      <c r="Y4" s="335" t="s">
        <v>567</v>
      </c>
      <c r="Z4" s="67"/>
      <c r="AA4" s="67"/>
      <c r="AB4" s="67"/>
      <c r="AC4" s="73"/>
      <c r="AD4" s="73"/>
      <c r="AE4" s="366"/>
      <c r="AF4" s="73"/>
      <c r="AG4" s="73"/>
      <c r="AH4" s="73"/>
    </row>
    <row r="5" spans="1:36" s="79" customFormat="1" ht="19.5" thickBot="1" x14ac:dyDescent="0.35">
      <c r="D5" s="81"/>
      <c r="E5" s="379" t="s">
        <v>308</v>
      </c>
      <c r="F5" s="379"/>
      <c r="G5" s="379"/>
      <c r="H5" s="379"/>
      <c r="I5" s="379"/>
      <c r="J5" s="380"/>
      <c r="K5" s="381" t="s">
        <v>313</v>
      </c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3"/>
      <c r="W5" s="384" t="s">
        <v>314</v>
      </c>
      <c r="X5" s="385"/>
      <c r="Y5" s="386"/>
      <c r="Z5" s="386"/>
      <c r="AA5" s="386"/>
      <c r="AB5" s="387"/>
      <c r="AC5" s="388" t="s">
        <v>315</v>
      </c>
      <c r="AD5" s="389"/>
      <c r="AE5" s="389"/>
      <c r="AF5" s="389"/>
      <c r="AG5" s="389"/>
      <c r="AH5" s="389"/>
      <c r="AI5" s="390"/>
    </row>
    <row r="6" spans="1:36" s="38" customFormat="1" ht="60.75" thickBot="1" x14ac:dyDescent="0.3">
      <c r="D6" s="82" t="s">
        <v>307</v>
      </c>
      <c r="E6" s="58" t="s">
        <v>304</v>
      </c>
      <c r="F6" s="58" t="s">
        <v>570</v>
      </c>
      <c r="G6" s="347" t="s">
        <v>305</v>
      </c>
      <c r="H6" s="58" t="s">
        <v>306</v>
      </c>
      <c r="I6" s="59" t="s">
        <v>311</v>
      </c>
      <c r="J6" s="302" t="s">
        <v>312</v>
      </c>
      <c r="K6" s="320" t="s">
        <v>309</v>
      </c>
      <c r="L6" s="349" t="s">
        <v>571</v>
      </c>
      <c r="M6" s="61" t="s">
        <v>310</v>
      </c>
      <c r="N6" s="61" t="s">
        <v>306</v>
      </c>
      <c r="O6" s="62" t="s">
        <v>311</v>
      </c>
      <c r="P6" s="63" t="s">
        <v>312</v>
      </c>
      <c r="Q6" s="293" t="s">
        <v>561</v>
      </c>
      <c r="R6" s="294" t="s">
        <v>562</v>
      </c>
      <c r="S6" s="299" t="s">
        <v>312</v>
      </c>
      <c r="T6" s="325" t="s">
        <v>563</v>
      </c>
      <c r="U6" s="328" t="s">
        <v>564</v>
      </c>
      <c r="V6" s="333" t="s">
        <v>565</v>
      </c>
      <c r="W6" s="311" t="s">
        <v>309</v>
      </c>
      <c r="X6" s="356" t="s">
        <v>572</v>
      </c>
      <c r="Y6" s="363" t="s">
        <v>310</v>
      </c>
      <c r="Z6" s="68" t="s">
        <v>306</v>
      </c>
      <c r="AA6" s="69" t="s">
        <v>311</v>
      </c>
      <c r="AB6" s="312" t="s">
        <v>312</v>
      </c>
      <c r="AC6" s="306" t="s">
        <v>309</v>
      </c>
      <c r="AD6" s="306" t="s">
        <v>572</v>
      </c>
      <c r="AE6" s="74" t="s">
        <v>310</v>
      </c>
      <c r="AF6" s="74" t="s">
        <v>306</v>
      </c>
      <c r="AG6" s="75" t="s">
        <v>311</v>
      </c>
      <c r="AH6" s="367" t="s">
        <v>312</v>
      </c>
      <c r="AI6" s="370" t="s">
        <v>573</v>
      </c>
      <c r="AJ6" s="375" t="s">
        <v>575</v>
      </c>
    </row>
    <row r="7" spans="1:36" s="100" customFormat="1" ht="30.75" customHeight="1" thickTop="1" x14ac:dyDescent="0.25">
      <c r="A7" s="100" t="s">
        <v>408</v>
      </c>
      <c r="B7" s="100" t="s">
        <v>9</v>
      </c>
      <c r="C7" s="100" t="s">
        <v>316</v>
      </c>
      <c r="D7" s="101" t="s">
        <v>9</v>
      </c>
      <c r="E7" s="102">
        <f>-SUMIFS('BP 2020 v.I dle HAZ - MAT.'!F:F,'BP 2020 v.I dle HAZ - MAT.'!$B:$B,"Léky a léčiva")-K7-W7</f>
        <v>7438243.3400000017</v>
      </c>
      <c r="F7" s="343">
        <v>7650000</v>
      </c>
      <c r="G7" s="348">
        <f>7428000+220000</f>
        <v>7648000</v>
      </c>
      <c r="H7" s="102">
        <f>-SUMIFS('BP 2020 v.I dle HAZ - MAT.'!H:H,'BP 2020 v.I dle HAZ - MAT.'!$B:$B,"Léky a léčiva")-N7-Z7</f>
        <v>7600000</v>
      </c>
      <c r="I7" s="103">
        <f>H7-G7</f>
        <v>-48000</v>
      </c>
      <c r="J7" s="303">
        <f>IF(G7=0,"",H7/G7)</f>
        <v>0.99372384937238489</v>
      </c>
      <c r="K7" s="321">
        <f>-SUMIFS('BP 2020 v.I dle HAZ - MAT.'!F:F,'BP 2020 v.I dle HAZ - MAT.'!$B:$B,"Léky - centra (LEK)")</f>
        <v>84927055.390000001</v>
      </c>
      <c r="L7" s="350">
        <v>85000000</v>
      </c>
      <c r="M7" s="104">
        <v>91000000</v>
      </c>
      <c r="N7" s="104">
        <f>-SUMIFS('BP 2020 v.I dle HAZ - MAT.'!H:H,'BP 2020 v.I dle HAZ - MAT.'!$B:$B,"Léky - centra (LEK)")</f>
        <v>105000000</v>
      </c>
      <c r="O7" s="105">
        <f t="shared" ref="O7:O70" si="0">N7-M7</f>
        <v>14000000</v>
      </c>
      <c r="P7" s="106">
        <f t="shared" ref="P7:P70" si="1">IF(M7=0,"",N7/M7)</f>
        <v>1.1538461538461537</v>
      </c>
      <c r="Q7" s="295">
        <f>SUMIF('CL 2020 PLÁN - SOUHRN '!A:A,A7,'CL 2020 PLÁN - SOUHRN '!I:I)</f>
        <v>93670323.960000008</v>
      </c>
      <c r="R7" s="296">
        <f>IF(M7=0,0,Q7-M7)</f>
        <v>2670323.9600000083</v>
      </c>
      <c r="S7" s="300">
        <f>IF(M7=0,"",Q7/M7)</f>
        <v>1.0293442193406594</v>
      </c>
      <c r="T7" s="326">
        <f>IF(M7=0,"",Q7-N7)</f>
        <v>-11329676.039999992</v>
      </c>
      <c r="U7" s="329">
        <f>IF(N7=0,"",Q7/N7)</f>
        <v>0.89209832342857154</v>
      </c>
      <c r="V7" s="331"/>
      <c r="W7" s="313">
        <f>-SUMIFS('BP 2020 v.I dle HAZ - MAT.'!F:F,'BP 2020 v.I dle HAZ - MAT.'!$B:$B,"Léky - dle §16 (LEK)")</f>
        <v>5203279.08</v>
      </c>
      <c r="X7" s="357">
        <v>5200000</v>
      </c>
      <c r="Y7" s="364">
        <v>5199996</v>
      </c>
      <c r="Z7" s="107">
        <f>-SUMIFS('BP 2020 v.I dle HAZ - MAT.'!H:H,'BP 2020 v.I dle HAZ - MAT.'!$B:$B,"Léky - dle §16 (LEK)")</f>
        <v>9500000</v>
      </c>
      <c r="AA7" s="108">
        <f t="shared" ref="AA7:AA70" si="2">Z7-Y7</f>
        <v>4300004</v>
      </c>
      <c r="AB7" s="314">
        <f t="shared" ref="AB7:AB70" si="3">IF(Y7=0,"",Z7/Y7)</f>
        <v>1.8269244822496018</v>
      </c>
      <c r="AC7" s="307">
        <f>-SUMIFS('BP 2020 v.I dle HAZ - MAT.'!F:F,'BP 2020 v.I dle HAZ - MAT.'!$B:$B,"Zdravotnické prostředky")</f>
        <v>299661396.18000001</v>
      </c>
      <c r="AD7" s="361">
        <v>313615000</v>
      </c>
      <c r="AE7" s="362">
        <v>336738485</v>
      </c>
      <c r="AF7" s="109">
        <f>-SUMIFS('BP 2020 v.I dle HAZ - MAT.'!H:H,'BP 2020 v.I dle HAZ - MAT.'!$B:$B,"Zdravotnické prostředky")</f>
        <v>356117420.00000101</v>
      </c>
      <c r="AG7" s="110">
        <f t="shared" ref="AG7:AG70" si="4">AF7-AE7</f>
        <v>19378935.000001013</v>
      </c>
      <c r="AH7" s="368">
        <f t="shared" ref="AH7:AH70" si="5">IF(AE7=0,"",AF7/AE7)</f>
        <v>1.0575489166318517</v>
      </c>
      <c r="AI7" s="371">
        <v>341957464</v>
      </c>
      <c r="AJ7" s="374" t="s">
        <v>574</v>
      </c>
    </row>
    <row r="8" spans="1:36" s="46" customFormat="1" ht="30.75" customHeight="1" x14ac:dyDescent="0.25">
      <c r="A8" s="46" t="s">
        <v>409</v>
      </c>
      <c r="B8" s="46" t="s">
        <v>410</v>
      </c>
      <c r="C8" s="46" t="s">
        <v>317</v>
      </c>
      <c r="D8" s="84" t="s">
        <v>10</v>
      </c>
      <c r="E8" s="57">
        <f>-SUMIFS('BP 2020 v.I dle HAZ - MAT.'!I:I,'BP 2020 v.I dle HAZ - MAT.'!$B:$B,"Léky a léčiva")-K8-W8</f>
        <v>11881014</v>
      </c>
      <c r="F8" s="57">
        <f>9370000+2646000</f>
        <v>12016000</v>
      </c>
      <c r="G8" s="57">
        <f>8096988+2160000+2834984+53000</f>
        <v>13144972</v>
      </c>
      <c r="H8" s="57">
        <f>-SUMIFS('BP 2020 v.I dle HAZ - MAT.'!K:K,'BP 2020 v.I dle HAZ - MAT.'!$B:$B,"Léky a léčiva")-N8-Z8</f>
        <v>12125000.000000097</v>
      </c>
      <c r="I8" s="94">
        <f t="shared" ref="I8:I71" si="6">H8-G8</f>
        <v>-1019971.9999999031</v>
      </c>
      <c r="J8" s="304">
        <f t="shared" ref="J8:J71" si="7">IF(G8=0,"",H8/G8)</f>
        <v>0.92240592068207505</v>
      </c>
      <c r="K8" s="322">
        <f>-SUMIFS('BP 2020 v.I dle HAZ - MAT.'!I:I,'BP 2020 v.I dle HAZ - MAT.'!$B:$B,"Léky - centra (LEK)")</f>
        <v>45812879.399999999</v>
      </c>
      <c r="L8" s="351">
        <v>35500000</v>
      </c>
      <c r="M8" s="64">
        <v>37499996</v>
      </c>
      <c r="N8" s="64">
        <f>-SUMIFS('BP 2020 v.I dle HAZ - MAT.'!K:K,'BP 2020 v.I dle HAZ - MAT.'!$B:$B,"Léky - centra (LEK)")</f>
        <v>46000000</v>
      </c>
      <c r="O8" s="95">
        <f t="shared" si="0"/>
        <v>8500004</v>
      </c>
      <c r="P8" s="96">
        <f t="shared" si="1"/>
        <v>1.2266667975111252</v>
      </c>
      <c r="Q8" s="295">
        <f>SUMIF('CL 2020 PLÁN - SOUHRN '!A:A,A8,'CL 2020 PLÁN - SOUHRN '!I:I)</f>
        <v>49961911.920000002</v>
      </c>
      <c r="R8" s="296">
        <f t="shared" ref="R8:R71" si="8">IF(M8=0,0,Q8-M8)</f>
        <v>12461915.920000002</v>
      </c>
      <c r="S8" s="300">
        <f t="shared" ref="S8:S71" si="9">IF(M8=0,"",Q8/M8)</f>
        <v>1.3323177933138981</v>
      </c>
      <c r="T8" s="326">
        <f t="shared" ref="T8:T71" si="10">IF(M8=0,"",Q8-N8)</f>
        <v>3961911.9200000018</v>
      </c>
      <c r="U8" s="329">
        <f t="shared" ref="U8:U71" si="11">IF(N8=0,"",Q8/N8)</f>
        <v>1.0861285199999999</v>
      </c>
      <c r="V8" s="331"/>
      <c r="W8" s="315">
        <f>-SUMIFS('BP 2020 v.I dle HAZ - MAT.'!I:I,'BP 2020 v.I dle HAZ - MAT.'!$B:$B,"Léky - dle §16 (LEK)")</f>
        <v>0</v>
      </c>
      <c r="X8" s="358">
        <v>0</v>
      </c>
      <c r="Y8" s="70">
        <f>-SUMIFS('BP 2020 v.I dle HAZ - MAT.'!J:J,'BP 2020 v.I dle HAZ - MAT.'!$B:$B,"Léky - dle §16 (LEK)")</f>
        <v>0</v>
      </c>
      <c r="Z8" s="70">
        <f>-SUMIFS('BP 2020 v.I dle HAZ - MAT.'!K:K,'BP 2020 v.I dle HAZ - MAT.'!$B:$B,"Léky - dle §16 (LEK)")</f>
        <v>0</v>
      </c>
      <c r="AA8" s="97">
        <f t="shared" si="2"/>
        <v>0</v>
      </c>
      <c r="AB8" s="316" t="str">
        <f t="shared" si="3"/>
        <v/>
      </c>
      <c r="AC8" s="308">
        <f>-SUMIFS('BP 2020 v.I dle HAZ - MAT.'!I:I,'BP 2020 v.I dle HAZ - MAT.'!$B:$B,"Zdravotnické prostředky")</f>
        <v>16569628.92</v>
      </c>
      <c r="AD8" s="308">
        <f>17500000+946000</f>
        <v>18446000</v>
      </c>
      <c r="AE8" s="76">
        <f>22039534+1380382</f>
        <v>23419916</v>
      </c>
      <c r="AF8" s="76">
        <f>-SUMIFS('BP 2020 v.I dle HAZ - MAT.'!K:K,'BP 2020 v.I dle HAZ - MAT.'!$B:$B,"Zdravotnické prostředky")</f>
        <v>29493000</v>
      </c>
      <c r="AG8" s="98">
        <f t="shared" si="4"/>
        <v>6073084</v>
      </c>
      <c r="AH8" s="369">
        <f t="shared" si="5"/>
        <v>1.2593128002679428</v>
      </c>
      <c r="AI8" s="372">
        <f>20746974+944976</f>
        <v>21691950</v>
      </c>
      <c r="AJ8" s="374" t="s">
        <v>576</v>
      </c>
    </row>
    <row r="9" spans="1:36" s="100" customFormat="1" ht="30.75" customHeight="1" x14ac:dyDescent="0.25">
      <c r="A9" s="100" t="s">
        <v>411</v>
      </c>
      <c r="B9" s="100" t="s">
        <v>412</v>
      </c>
      <c r="C9" s="100" t="s">
        <v>318</v>
      </c>
      <c r="D9" s="113" t="s">
        <v>11</v>
      </c>
      <c r="E9" s="114">
        <f>-SUMIFS('BP 2020 v.I dle HAZ - MAT.'!L:L,'BP 2020 v.I dle HAZ - MAT.'!$B:$B,"Léky a léčiva")-K9-W9</f>
        <v>23110230.340000007</v>
      </c>
      <c r="F9" s="114">
        <v>22926000</v>
      </c>
      <c r="G9" s="341">
        <f>19165004+2076000</f>
        <v>21241004</v>
      </c>
      <c r="H9" s="114">
        <f>-SUMIFS('BP 2020 v.I dle HAZ - MAT.'!N:N,'BP 2020 v.I dle HAZ - MAT.'!$B:$B,"Léky a léčiva")-N9-Z9</f>
        <v>20155000</v>
      </c>
      <c r="I9" s="103">
        <f t="shared" si="6"/>
        <v>-1086004</v>
      </c>
      <c r="J9" s="303">
        <f t="shared" si="7"/>
        <v>0.94887228494472298</v>
      </c>
      <c r="K9" s="323">
        <f>-SUMIFS('BP 2020 v.I dle HAZ - MAT.'!L:L,'BP 2020 v.I dle HAZ - MAT.'!$B:$B,"Léky - centra (LEK)")</f>
        <v>64530637</v>
      </c>
      <c r="L9" s="352">
        <v>64600000</v>
      </c>
      <c r="M9" s="355">
        <v>58999996</v>
      </c>
      <c r="N9" s="115">
        <f>-SUMIFS('BP 2020 v.I dle HAZ - MAT.'!N:N,'BP 2020 v.I dle HAZ - MAT.'!$B:$B,"Léky - centra (LEK)")</f>
        <v>64000000</v>
      </c>
      <c r="O9" s="105">
        <f t="shared" si="0"/>
        <v>5000004</v>
      </c>
      <c r="P9" s="106">
        <f t="shared" si="1"/>
        <v>1.084745836253955</v>
      </c>
      <c r="Q9" s="295">
        <f>SUMIF('CL 2020 PLÁN - SOUHRN '!A:A,A9,'CL 2020 PLÁN - SOUHRN '!I:I)</f>
        <v>75846445.298999995</v>
      </c>
      <c r="R9" s="296">
        <f t="shared" si="8"/>
        <v>16846449.298999995</v>
      </c>
      <c r="S9" s="300">
        <f t="shared" si="9"/>
        <v>1.285533058324275</v>
      </c>
      <c r="T9" s="326">
        <f t="shared" si="10"/>
        <v>11846445.298999995</v>
      </c>
      <c r="U9" s="329">
        <f t="shared" si="11"/>
        <v>1.1851007077968749</v>
      </c>
      <c r="V9" s="331"/>
      <c r="W9" s="317">
        <f>-SUMIFS('BP 2020 v.I dle HAZ - MAT.'!L:L,'BP 2020 v.I dle HAZ - MAT.'!$B:$B,"Léky - dle §16 (LEK)")</f>
        <v>75467.09</v>
      </c>
      <c r="X9" s="359">
        <f>75000</f>
        <v>75000</v>
      </c>
      <c r="Y9" s="116">
        <v>425000</v>
      </c>
      <c r="Z9" s="116">
        <f>-SUMIFS('BP 2020 v.I dle HAZ - MAT.'!N:N,'BP 2020 v.I dle HAZ - MAT.'!$B:$B,"Léky - dle §16 (LEK)")</f>
        <v>1000000</v>
      </c>
      <c r="AA9" s="108">
        <f t="shared" si="2"/>
        <v>575000</v>
      </c>
      <c r="AB9" s="314">
        <f t="shared" si="3"/>
        <v>2.3529411764705883</v>
      </c>
      <c r="AC9" s="309">
        <f>-SUMIFS('BP 2020 v.I dle HAZ - MAT.'!L:L,'BP 2020 v.I dle HAZ - MAT.'!$B:$B,"Zdravotnické prostředky")</f>
        <v>15948432.619999999</v>
      </c>
      <c r="AD9" s="309">
        <v>16085000</v>
      </c>
      <c r="AE9" s="338">
        <v>16695986</v>
      </c>
      <c r="AF9" s="117">
        <f>-SUMIFS('BP 2020 v.I dle HAZ - MAT.'!N:N,'BP 2020 v.I dle HAZ - MAT.'!$B:$B,"Zdravotnické prostředky")</f>
        <v>16948213</v>
      </c>
      <c r="AG9" s="110">
        <f t="shared" si="4"/>
        <v>252227</v>
      </c>
      <c r="AH9" s="368">
        <f t="shared" si="5"/>
        <v>1.0151070442919634</v>
      </c>
      <c r="AI9" s="373">
        <v>16084992</v>
      </c>
    </row>
    <row r="10" spans="1:36" s="46" customFormat="1" ht="30.75" customHeight="1" x14ac:dyDescent="0.25">
      <c r="A10" s="46" t="s">
        <v>413</v>
      </c>
      <c r="B10" s="46" t="s">
        <v>414</v>
      </c>
      <c r="C10" s="46" t="s">
        <v>319</v>
      </c>
      <c r="D10" s="84" t="s">
        <v>12</v>
      </c>
      <c r="E10" s="57">
        <f>-SUMIFS('BP 2020 v.I dle HAZ - MAT.'!O:O,'BP 2020 v.I dle HAZ - MAT.'!$B:$B,"Léky a léčiva")-K10-W10</f>
        <v>8828051.25</v>
      </c>
      <c r="F10" s="57">
        <v>8640000</v>
      </c>
      <c r="G10" s="342">
        <f>7994330+820000</f>
        <v>8814330</v>
      </c>
      <c r="H10" s="57">
        <f>-SUMIFS('BP 2020 v.I dle HAZ - MAT.'!Q:Q,'BP 2020 v.I dle HAZ - MAT.'!$B:$B,"Léky a léčiva")-N10-Z10</f>
        <v>10214245</v>
      </c>
      <c r="I10" s="94">
        <f t="shared" si="6"/>
        <v>1399915</v>
      </c>
      <c r="J10" s="304">
        <f t="shared" si="7"/>
        <v>1.1588226217988207</v>
      </c>
      <c r="K10" s="322">
        <f>-SUMIFS('BP 2020 v.I dle HAZ - MAT.'!O:O,'BP 2020 v.I dle HAZ - MAT.'!$B:$B,"Léky - centra (LEK)")</f>
        <v>0</v>
      </c>
      <c r="L10" s="351">
        <v>0</v>
      </c>
      <c r="M10" s="64">
        <f>-SUMIFS('BP 2020 v.I dle HAZ - MAT.'!P:P,'BP 2020 v.I dle HAZ - MAT.'!$B:$B,"Léky - centra (LEK)")</f>
        <v>0</v>
      </c>
      <c r="N10" s="64">
        <f>-SUMIFS('BP 2020 v.I dle HAZ - MAT.'!Q:Q,'BP 2020 v.I dle HAZ - MAT.'!$B:$B,"Léky - centra (LEK)")</f>
        <v>0</v>
      </c>
      <c r="O10" s="95">
        <f t="shared" si="0"/>
        <v>0</v>
      </c>
      <c r="P10" s="96" t="str">
        <f t="shared" si="1"/>
        <v/>
      </c>
      <c r="Q10" s="295">
        <f>SUMIF('CL 2020 PLÁN - SOUHRN '!A:A,A10,'CL 2020 PLÁN - SOUHRN '!I:I)</f>
        <v>142049.10999999999</v>
      </c>
      <c r="R10" s="296">
        <f t="shared" si="8"/>
        <v>0</v>
      </c>
      <c r="S10" s="300" t="str">
        <f t="shared" si="9"/>
        <v/>
      </c>
      <c r="T10" s="326" t="str">
        <f t="shared" si="10"/>
        <v/>
      </c>
      <c r="U10" s="329" t="str">
        <f t="shared" si="11"/>
        <v/>
      </c>
      <c r="V10" s="331"/>
      <c r="W10" s="315">
        <f>-SUMIFS('BP 2020 v.I dle HAZ - MAT.'!O:O,'BP 2020 v.I dle HAZ - MAT.'!$B:$B,"Léky - dle §16 (LEK)")</f>
        <v>0</v>
      </c>
      <c r="X10" s="358">
        <v>0</v>
      </c>
      <c r="Y10" s="70">
        <f>-SUMIFS('BP 2020 v.I dle HAZ - MAT.'!P:P,'BP 2020 v.I dle HAZ - MAT.'!$B:$B,"Léky - dle §16 (LEK)")</f>
        <v>0</v>
      </c>
      <c r="Z10" s="70">
        <f>-SUMIFS('BP 2020 v.I dle HAZ - MAT.'!Q:Q,'BP 2020 v.I dle HAZ - MAT.'!$B:$B,"Léky - dle §16 (LEK)")</f>
        <v>0</v>
      </c>
      <c r="AA10" s="97">
        <f t="shared" si="2"/>
        <v>0</v>
      </c>
      <c r="AB10" s="316" t="str">
        <f t="shared" si="3"/>
        <v/>
      </c>
      <c r="AC10" s="308">
        <f>-SUMIFS('BP 2020 v.I dle HAZ - MAT.'!O:O,'BP 2020 v.I dle HAZ - MAT.'!$B:$B,"Zdravotnické prostředky")</f>
        <v>20869902.329999998</v>
      </c>
      <c r="AD10" s="308">
        <v>19584000</v>
      </c>
      <c r="AE10" s="339">
        <v>22081104</v>
      </c>
      <c r="AF10" s="76">
        <f>-SUMIFS('BP 2020 v.I dle HAZ - MAT.'!Q:Q,'BP 2020 v.I dle HAZ - MAT.'!$B:$B,"Zdravotnické prostředky")</f>
        <v>23356136</v>
      </c>
      <c r="AG10" s="98">
        <f t="shared" si="4"/>
        <v>1275032</v>
      </c>
      <c r="AH10" s="369">
        <f t="shared" si="5"/>
        <v>1.0577431273363869</v>
      </c>
      <c r="AI10" s="372">
        <v>20815004</v>
      </c>
      <c r="AJ10" s="374" t="s">
        <v>577</v>
      </c>
    </row>
    <row r="11" spans="1:36" s="100" customFormat="1" ht="30.75" customHeight="1" x14ac:dyDescent="0.25">
      <c r="A11" s="100" t="s">
        <v>415</v>
      </c>
      <c r="B11" s="100" t="s">
        <v>13</v>
      </c>
      <c r="C11" s="100" t="s">
        <v>320</v>
      </c>
      <c r="D11" s="113" t="s">
        <v>13</v>
      </c>
      <c r="E11" s="114">
        <f>-SUMIFS('BP 2020 v.I dle HAZ - MAT.'!R:R,'BP 2020 v.I dle HAZ - MAT.'!$B:$B,"Léky a léčiva")-K11-W11</f>
        <v>3795919.92</v>
      </c>
      <c r="F11" s="114">
        <f>3240000</f>
        <v>3240000</v>
      </c>
      <c r="G11" s="341">
        <f>3808675+430000</f>
        <v>4238675</v>
      </c>
      <c r="H11" s="114">
        <f>-SUMIFS('BP 2020 v.I dle HAZ - MAT.'!T:T,'BP 2020 v.I dle HAZ - MAT.'!$B:$B,"Léky a léčiva")-N11-Z11</f>
        <v>4090000</v>
      </c>
      <c r="I11" s="103">
        <f t="shared" si="6"/>
        <v>-148675</v>
      </c>
      <c r="J11" s="303">
        <f t="shared" si="7"/>
        <v>0.96492418031578264</v>
      </c>
      <c r="K11" s="323">
        <f>-SUMIFS('BP 2020 v.I dle HAZ - MAT.'!R:R,'BP 2020 v.I dle HAZ - MAT.'!$B:$B,"Léky - centra (LEK)")</f>
        <v>0</v>
      </c>
      <c r="L11" s="353">
        <v>0</v>
      </c>
      <c r="M11" s="115">
        <f>-SUMIFS('BP 2020 v.I dle HAZ - MAT.'!S:S,'BP 2020 v.I dle HAZ - MAT.'!$B:$B,"Léky - centra (LEK)")</f>
        <v>0</v>
      </c>
      <c r="N11" s="115">
        <f>-SUMIFS('BP 2020 v.I dle HAZ - MAT.'!T:T,'BP 2020 v.I dle HAZ - MAT.'!$B:$B,"Léky - centra (LEK)")</f>
        <v>0</v>
      </c>
      <c r="O11" s="105">
        <f t="shared" si="0"/>
        <v>0</v>
      </c>
      <c r="P11" s="106" t="str">
        <f t="shared" si="1"/>
        <v/>
      </c>
      <c r="Q11" s="295">
        <f>SUMIF('CL 2020 PLÁN - SOUHRN '!A:A,A11,'CL 2020 PLÁN - SOUHRN '!I:I)</f>
        <v>0</v>
      </c>
      <c r="R11" s="296">
        <f t="shared" si="8"/>
        <v>0</v>
      </c>
      <c r="S11" s="300" t="str">
        <f t="shared" si="9"/>
        <v/>
      </c>
      <c r="T11" s="326" t="str">
        <f t="shared" si="10"/>
        <v/>
      </c>
      <c r="U11" s="329" t="str">
        <f t="shared" si="11"/>
        <v/>
      </c>
      <c r="V11" s="331"/>
      <c r="W11" s="317">
        <f>-SUMIFS('BP 2020 v.I dle HAZ - MAT.'!R:R,'BP 2020 v.I dle HAZ - MAT.'!$B:$B,"Léky - dle §16 (LEK)")</f>
        <v>0</v>
      </c>
      <c r="X11" s="359">
        <v>0</v>
      </c>
      <c r="Y11" s="116">
        <f>-SUMIFS('BP 2020 v.I dle HAZ - MAT.'!S:S,'BP 2020 v.I dle HAZ - MAT.'!$B:$B,"Léky - dle §16 (LEK)")</f>
        <v>0</v>
      </c>
      <c r="Z11" s="116">
        <f>-SUMIFS('BP 2020 v.I dle HAZ - MAT.'!T:T,'BP 2020 v.I dle HAZ - MAT.'!$B:$B,"Léky - dle §16 (LEK)")</f>
        <v>0</v>
      </c>
      <c r="AA11" s="108">
        <f t="shared" si="2"/>
        <v>0</v>
      </c>
      <c r="AB11" s="314" t="str">
        <f t="shared" si="3"/>
        <v/>
      </c>
      <c r="AC11" s="309">
        <f>-SUMIFS('BP 2020 v.I dle HAZ - MAT.'!R:R,'BP 2020 v.I dle HAZ - MAT.'!$B:$B,"Zdravotnické prostředky")</f>
        <v>8000989.1900000004</v>
      </c>
      <c r="AD11" s="309">
        <v>7940000</v>
      </c>
      <c r="AE11" s="338">
        <v>7807358</v>
      </c>
      <c r="AF11" s="117">
        <f>-SUMIFS('BP 2020 v.I dle HAZ - MAT.'!T:T,'BP 2020 v.I dle HAZ - MAT.'!$B:$B,"Zdravotnické prostředky")</f>
        <v>7886000</v>
      </c>
      <c r="AG11" s="110">
        <f t="shared" si="4"/>
        <v>78642</v>
      </c>
      <c r="AH11" s="368">
        <f t="shared" si="5"/>
        <v>1.0100728056789505</v>
      </c>
      <c r="AI11" s="373">
        <v>7940016</v>
      </c>
    </row>
    <row r="12" spans="1:36" s="46" customFormat="1" ht="30.75" customHeight="1" x14ac:dyDescent="0.25">
      <c r="A12" s="46" t="s">
        <v>416</v>
      </c>
      <c r="B12" s="46" t="s">
        <v>14</v>
      </c>
      <c r="C12" s="46" t="s">
        <v>321</v>
      </c>
      <c r="D12" s="84" t="s">
        <v>14</v>
      </c>
      <c r="E12" s="57">
        <f>-SUMIFS('BP 2020 v.I dle HAZ - MAT.'!U:U,'BP 2020 v.I dle HAZ - MAT.'!$B:$B,"Léky a léčiva")-K12-W12</f>
        <v>6855213.9199999999</v>
      </c>
      <c r="F12" s="57">
        <v>6710000</v>
      </c>
      <c r="G12" s="342">
        <f>5861408+1050000</f>
        <v>6911408</v>
      </c>
      <c r="H12" s="57">
        <f>-SUMIFS('BP 2020 v.I dle HAZ - MAT.'!W:W,'BP 2020 v.I dle HAZ - MAT.'!$B:$B,"Léky a léčiva")-N12-Z12</f>
        <v>7740000.0000000102</v>
      </c>
      <c r="I12" s="94">
        <f t="shared" si="6"/>
        <v>828592.00000001024</v>
      </c>
      <c r="J12" s="304">
        <f t="shared" si="7"/>
        <v>1.1198875829642831</v>
      </c>
      <c r="K12" s="322">
        <f>-SUMIFS('BP 2020 v.I dle HAZ - MAT.'!U:U,'BP 2020 v.I dle HAZ - MAT.'!$B:$B,"Léky - centra (LEK)")</f>
        <v>0</v>
      </c>
      <c r="L12" s="351">
        <v>0</v>
      </c>
      <c r="M12" s="64">
        <f>-SUMIFS('BP 2020 v.I dle HAZ - MAT.'!V:V,'BP 2020 v.I dle HAZ - MAT.'!$B:$B,"Léky - centra (LEK)")</f>
        <v>0</v>
      </c>
      <c r="N12" s="64">
        <f>-SUMIFS('BP 2020 v.I dle HAZ - MAT.'!W:W,'BP 2020 v.I dle HAZ - MAT.'!$B:$B,"Léky - centra (LEK)")</f>
        <v>0</v>
      </c>
      <c r="O12" s="95">
        <f t="shared" si="0"/>
        <v>0</v>
      </c>
      <c r="P12" s="96" t="str">
        <f t="shared" si="1"/>
        <v/>
      </c>
      <c r="Q12" s="295">
        <f>SUMIF('CL 2020 PLÁN - SOUHRN '!A:A,A12,'CL 2020 PLÁN - SOUHRN '!I:I)</f>
        <v>0</v>
      </c>
      <c r="R12" s="296">
        <f t="shared" si="8"/>
        <v>0</v>
      </c>
      <c r="S12" s="300" t="str">
        <f t="shared" si="9"/>
        <v/>
      </c>
      <c r="T12" s="326" t="str">
        <f t="shared" si="10"/>
        <v/>
      </c>
      <c r="U12" s="329" t="str">
        <f t="shared" si="11"/>
        <v/>
      </c>
      <c r="V12" s="331"/>
      <c r="W12" s="315">
        <f>-SUMIFS('BP 2020 v.I dle HAZ - MAT.'!U:U,'BP 2020 v.I dle HAZ - MAT.'!$B:$B,"Léky - dle §16 (LEK)")</f>
        <v>88986.48</v>
      </c>
      <c r="X12" s="358">
        <v>90000</v>
      </c>
      <c r="Y12" s="70">
        <f>-SUMIFS('BP 2020 v.I dle HAZ - MAT.'!V:V,'BP 2020 v.I dle HAZ - MAT.'!$B:$B,"Léky - dle §16 (LEK)")</f>
        <v>0</v>
      </c>
      <c r="Z12" s="70">
        <f>-SUMIFS('BP 2020 v.I dle HAZ - MAT.'!W:W,'BP 2020 v.I dle HAZ - MAT.'!$B:$B,"Léky - dle §16 (LEK)")</f>
        <v>0</v>
      </c>
      <c r="AA12" s="97">
        <f t="shared" si="2"/>
        <v>0</v>
      </c>
      <c r="AB12" s="316" t="str">
        <f t="shared" si="3"/>
        <v/>
      </c>
      <c r="AC12" s="308">
        <f>-SUMIFS('BP 2020 v.I dle HAZ - MAT.'!U:U,'BP 2020 v.I dle HAZ - MAT.'!$B:$B,"Zdravotnické prostředky")</f>
        <v>59913187.649999999</v>
      </c>
      <c r="AD12" s="308">
        <v>64270000</v>
      </c>
      <c r="AE12" s="339">
        <v>64197481</v>
      </c>
      <c r="AF12" s="76">
        <f>-SUMIFS('BP 2020 v.I dle HAZ - MAT.'!W:W,'BP 2020 v.I dle HAZ - MAT.'!$B:$B,"Zdravotnické prostředky")</f>
        <v>67555999.999999896</v>
      </c>
      <c r="AG12" s="98">
        <f t="shared" si="4"/>
        <v>3358518.9999998957</v>
      </c>
      <c r="AH12" s="369">
        <f t="shared" si="5"/>
        <v>1.0523154327503894</v>
      </c>
      <c r="AI12" s="372">
        <v>63797481</v>
      </c>
      <c r="AJ12" s="46" t="s">
        <v>578</v>
      </c>
    </row>
    <row r="13" spans="1:36" s="46" customFormat="1" ht="30.75" customHeight="1" x14ac:dyDescent="0.25">
      <c r="A13" s="46" t="s">
        <v>417</v>
      </c>
      <c r="B13" s="46" t="s">
        <v>15</v>
      </c>
      <c r="C13" s="46" t="s">
        <v>322</v>
      </c>
      <c r="D13" s="113" t="s">
        <v>15</v>
      </c>
      <c r="E13" s="114">
        <f>-SUMIFS('BP 2020 v.I dle HAZ - MAT.'!X:X,'BP 2020 v.I dle HAZ - MAT.'!$B:$B,"Léky a léčiva")-K13-W13</f>
        <v>22539578.359999999</v>
      </c>
      <c r="F13" s="114">
        <v>24756000</v>
      </c>
      <c r="G13" s="341">
        <f>19876974+4280000</f>
        <v>24156974</v>
      </c>
      <c r="H13" s="114">
        <f>-SUMIFS('BP 2020 v.I dle HAZ - MAT.'!Z:Z,'BP 2020 v.I dle HAZ - MAT.'!$B:$B,"Léky a léčiva")-N13-Z13</f>
        <v>24630000</v>
      </c>
      <c r="I13" s="103">
        <f t="shared" si="6"/>
        <v>473026</v>
      </c>
      <c r="J13" s="303">
        <f t="shared" si="7"/>
        <v>1.0195813432593006</v>
      </c>
      <c r="K13" s="323">
        <f>-SUMIFS('BP 2020 v.I dle HAZ - MAT.'!X:X,'BP 2020 v.I dle HAZ - MAT.'!$B:$B,"Léky - centra (LEK)")</f>
        <v>0</v>
      </c>
      <c r="L13" s="353">
        <v>0</v>
      </c>
      <c r="M13" s="115">
        <f>-SUMIFS('BP 2020 v.I dle HAZ - MAT.'!Y:Y,'BP 2020 v.I dle HAZ - MAT.'!$B:$B,"Léky - centra (LEK)")</f>
        <v>0</v>
      </c>
      <c r="N13" s="115">
        <f>-SUMIFS('BP 2020 v.I dle HAZ - MAT.'!Z:Z,'BP 2020 v.I dle HAZ - MAT.'!$B:$B,"Léky - centra (LEK)")</f>
        <v>0</v>
      </c>
      <c r="O13" s="105">
        <f t="shared" si="0"/>
        <v>0</v>
      </c>
      <c r="P13" s="106" t="str">
        <f t="shared" si="1"/>
        <v/>
      </c>
      <c r="Q13" s="295">
        <f>SUMIF('CL 2020 PLÁN - SOUHRN '!A:A,A13,'CL 2020 PLÁN - SOUHRN '!I:I)</f>
        <v>266433.984</v>
      </c>
      <c r="R13" s="296">
        <f t="shared" si="8"/>
        <v>0</v>
      </c>
      <c r="S13" s="300" t="str">
        <f t="shared" si="9"/>
        <v/>
      </c>
      <c r="T13" s="326" t="str">
        <f t="shared" si="10"/>
        <v/>
      </c>
      <c r="U13" s="329" t="str">
        <f t="shared" si="11"/>
        <v/>
      </c>
      <c r="V13" s="331"/>
      <c r="W13" s="317">
        <f>-SUMIFS('BP 2020 v.I dle HAZ - MAT.'!X:X,'BP 2020 v.I dle HAZ - MAT.'!$B:$B,"Léky - dle §16 (LEK)")</f>
        <v>0</v>
      </c>
      <c r="X13" s="359">
        <v>0</v>
      </c>
      <c r="Y13" s="116">
        <f>-SUMIFS('BP 2020 v.I dle HAZ - MAT.'!Y:Y,'BP 2020 v.I dle HAZ - MAT.'!$B:$B,"Léky - dle §16 (LEK)")</f>
        <v>0</v>
      </c>
      <c r="Z13" s="116">
        <f>-SUMIFS('BP 2020 v.I dle HAZ - MAT.'!Z:Z,'BP 2020 v.I dle HAZ - MAT.'!$B:$B,"Léky - dle §16 (LEK)")</f>
        <v>0</v>
      </c>
      <c r="AA13" s="108">
        <f t="shared" si="2"/>
        <v>0</v>
      </c>
      <c r="AB13" s="314" t="str">
        <f t="shared" si="3"/>
        <v/>
      </c>
      <c r="AC13" s="309">
        <f>-SUMIFS('BP 2020 v.I dle HAZ - MAT.'!X:X,'BP 2020 v.I dle HAZ - MAT.'!$B:$B,"Zdravotnické prostředky")</f>
        <v>12788934.98</v>
      </c>
      <c r="AD13" s="361">
        <v>15360000</v>
      </c>
      <c r="AE13" s="338">
        <v>15324984</v>
      </c>
      <c r="AF13" s="117">
        <f>-SUMIFS('BP 2020 v.I dle HAZ - MAT.'!Z:Z,'BP 2020 v.I dle HAZ - MAT.'!$B:$B,"Zdravotnické prostředky")</f>
        <v>15713645</v>
      </c>
      <c r="AG13" s="110">
        <f t="shared" si="4"/>
        <v>388661</v>
      </c>
      <c r="AH13" s="368">
        <f t="shared" si="5"/>
        <v>1.025361266282562</v>
      </c>
      <c r="AI13" s="373">
        <v>15324984</v>
      </c>
    </row>
    <row r="14" spans="1:36" s="46" customFormat="1" ht="30.75" customHeight="1" x14ac:dyDescent="0.25">
      <c r="A14" s="46" t="s">
        <v>418</v>
      </c>
      <c r="B14" s="46" t="s">
        <v>16</v>
      </c>
      <c r="C14" s="46" t="s">
        <v>323</v>
      </c>
      <c r="D14" s="84" t="s">
        <v>16</v>
      </c>
      <c r="E14" s="57">
        <f>-SUMIFS('BP 2020 v.I dle HAZ - MAT.'!AA:AA,'BP 2020 v.I dle HAZ - MAT.'!$B:$B,"Léky a léčiva")-K14-W14</f>
        <v>9233977.2599999998</v>
      </c>
      <c r="F14" s="57">
        <v>9890000</v>
      </c>
      <c r="G14" s="342">
        <f>7825020+2065000</f>
        <v>9890020</v>
      </c>
      <c r="H14" s="57">
        <f>-SUMIFS('BP 2020 v.I dle HAZ - MAT.'!AC:AC,'BP 2020 v.I dle HAZ - MAT.'!$B:$B,"Léky a léčiva")-N14-Z14</f>
        <v>10138700</v>
      </c>
      <c r="I14" s="94">
        <f t="shared" si="6"/>
        <v>248680</v>
      </c>
      <c r="J14" s="304">
        <f t="shared" si="7"/>
        <v>1.0251445396470382</v>
      </c>
      <c r="K14" s="322">
        <f>-SUMIFS('BP 2020 v.I dle HAZ - MAT.'!AA:AA,'BP 2020 v.I dle HAZ - MAT.'!$B:$B,"Léky - centra (LEK)")</f>
        <v>0</v>
      </c>
      <c r="L14" s="351">
        <v>0</v>
      </c>
      <c r="M14" s="64">
        <f>-SUMIFS('BP 2020 v.I dle HAZ - MAT.'!AB:AB,'BP 2020 v.I dle HAZ - MAT.'!$B:$B,"Léky - centra (LEK)")</f>
        <v>0</v>
      </c>
      <c r="N14" s="64">
        <f>-SUMIFS('BP 2020 v.I dle HAZ - MAT.'!AC:AC,'BP 2020 v.I dle HAZ - MAT.'!$B:$B,"Léky - centra (LEK)")</f>
        <v>0</v>
      </c>
      <c r="O14" s="95">
        <f t="shared" si="0"/>
        <v>0</v>
      </c>
      <c r="P14" s="96" t="str">
        <f t="shared" si="1"/>
        <v/>
      </c>
      <c r="Q14" s="295">
        <f>SUMIF('CL 2020 PLÁN - SOUHRN '!A:A,A14,'CL 2020 PLÁN - SOUHRN '!I:I)</f>
        <v>0</v>
      </c>
      <c r="R14" s="296">
        <f t="shared" si="8"/>
        <v>0</v>
      </c>
      <c r="S14" s="300" t="str">
        <f t="shared" si="9"/>
        <v/>
      </c>
      <c r="T14" s="326" t="str">
        <f t="shared" si="10"/>
        <v/>
      </c>
      <c r="U14" s="329" t="str">
        <f t="shared" si="11"/>
        <v/>
      </c>
      <c r="V14" s="331"/>
      <c r="W14" s="315">
        <f>-SUMIFS('BP 2020 v.I dle HAZ - MAT.'!AA:AA,'BP 2020 v.I dle HAZ - MAT.'!$B:$B,"Léky - dle §16 (LEK)")</f>
        <v>0</v>
      </c>
      <c r="X14" s="358">
        <v>0</v>
      </c>
      <c r="Y14" s="70">
        <f>-SUMIFS('BP 2020 v.I dle HAZ - MAT.'!AB:AB,'BP 2020 v.I dle HAZ - MAT.'!$B:$B,"Léky - dle §16 (LEK)")</f>
        <v>0</v>
      </c>
      <c r="Z14" s="70">
        <f>-SUMIFS('BP 2020 v.I dle HAZ - MAT.'!AC:AC,'BP 2020 v.I dle HAZ - MAT.'!$B:$B,"Léky - dle §16 (LEK)")</f>
        <v>0</v>
      </c>
      <c r="AA14" s="97">
        <f t="shared" si="2"/>
        <v>0</v>
      </c>
      <c r="AB14" s="316" t="str">
        <f t="shared" si="3"/>
        <v/>
      </c>
      <c r="AC14" s="308">
        <f>-SUMIFS('BP 2020 v.I dle HAZ - MAT.'!AA:AA,'BP 2020 v.I dle HAZ - MAT.'!$B:$B,"Zdravotnické prostředky")</f>
        <v>12143355.439999999</v>
      </c>
      <c r="AD14" s="308">
        <v>12536000</v>
      </c>
      <c r="AE14" s="339">
        <f>9801176+2897000</f>
        <v>12698176</v>
      </c>
      <c r="AF14" s="76">
        <f>-SUMIFS('BP 2020 v.I dle HAZ - MAT.'!AC:AC,'BP 2020 v.I dle HAZ - MAT.'!$B:$B,"Zdravotnické prostředky")</f>
        <v>13894000</v>
      </c>
      <c r="AG14" s="98">
        <f t="shared" si="4"/>
        <v>1195824</v>
      </c>
      <c r="AH14" s="369">
        <f t="shared" si="5"/>
        <v>1.0941728953827699</v>
      </c>
      <c r="AI14" s="372">
        <v>10034976</v>
      </c>
      <c r="AJ14" s="46" t="s">
        <v>579</v>
      </c>
    </row>
    <row r="15" spans="1:36" s="46" customFormat="1" ht="30.75" customHeight="1" x14ac:dyDescent="0.25">
      <c r="A15" s="46" t="s">
        <v>419</v>
      </c>
      <c r="B15" s="46" t="s">
        <v>17</v>
      </c>
      <c r="C15" s="46" t="s">
        <v>324</v>
      </c>
      <c r="D15" s="113" t="s">
        <v>17</v>
      </c>
      <c r="E15" s="114">
        <f>-SUMIFS('BP 2020 v.I dle HAZ - MAT.'!AD:AD,'BP 2020 v.I dle HAZ - MAT.'!$B:$B,"Léky a léčiva")-K15-W15</f>
        <v>2814557.1900000004</v>
      </c>
      <c r="F15" s="114">
        <v>3030000</v>
      </c>
      <c r="G15" s="341">
        <f>2589984+440000</f>
        <v>3029984</v>
      </c>
      <c r="H15" s="114">
        <f>-SUMIFS('BP 2020 v.I dle HAZ - MAT.'!AF:AF,'BP 2020 v.I dle HAZ - MAT.'!$B:$B,"Léky a léčiva")-N15-Z15</f>
        <v>3533000</v>
      </c>
      <c r="I15" s="103">
        <f t="shared" si="6"/>
        <v>503016</v>
      </c>
      <c r="J15" s="303">
        <f t="shared" si="7"/>
        <v>1.1660127578231436</v>
      </c>
      <c r="K15" s="323">
        <f>-SUMIFS('BP 2020 v.I dle HAZ - MAT.'!AD:AD,'BP 2020 v.I dle HAZ - MAT.'!$B:$B,"Léky - centra (LEK)")</f>
        <v>3933802</v>
      </c>
      <c r="L15" s="353">
        <v>4000000</v>
      </c>
      <c r="M15" s="115">
        <v>4000000</v>
      </c>
      <c r="N15" s="115">
        <f>-SUMIFS('BP 2020 v.I dle HAZ - MAT.'!AF:AF,'BP 2020 v.I dle HAZ - MAT.'!$B:$B,"Léky - centra (LEK)")</f>
        <v>2500000</v>
      </c>
      <c r="O15" s="105">
        <f t="shared" si="0"/>
        <v>-1500000</v>
      </c>
      <c r="P15" s="106">
        <f t="shared" si="1"/>
        <v>0.625</v>
      </c>
      <c r="Q15" s="295">
        <f>SUMIF('CL 2020 PLÁN - SOUHRN '!A:A,A15,'CL 2020 PLÁN - SOUHRN '!I:I)</f>
        <v>3815581</v>
      </c>
      <c r="R15" s="296">
        <f t="shared" si="8"/>
        <v>-184419</v>
      </c>
      <c r="S15" s="300">
        <f t="shared" si="9"/>
        <v>0.95389524999999997</v>
      </c>
      <c r="T15" s="326">
        <f t="shared" si="10"/>
        <v>1315581</v>
      </c>
      <c r="U15" s="329">
        <f t="shared" si="11"/>
        <v>1.5262324</v>
      </c>
      <c r="V15" s="331"/>
      <c r="W15" s="317">
        <f>-SUMIFS('BP 2020 v.I dle HAZ - MAT.'!AD:AD,'BP 2020 v.I dle HAZ - MAT.'!$B:$B,"Léky - dle §16 (LEK)")</f>
        <v>0</v>
      </c>
      <c r="X15" s="359">
        <v>0</v>
      </c>
      <c r="Y15" s="116">
        <f>-SUMIFS('BP 2020 v.I dle HAZ - MAT.'!AE:AE,'BP 2020 v.I dle HAZ - MAT.'!$B:$B,"Léky - dle §16 (LEK)")</f>
        <v>0</v>
      </c>
      <c r="Z15" s="116">
        <f>-SUMIFS('BP 2020 v.I dle HAZ - MAT.'!AF:AF,'BP 2020 v.I dle HAZ - MAT.'!$B:$B,"Léky - dle §16 (LEK)")</f>
        <v>0</v>
      </c>
      <c r="AA15" s="108">
        <f t="shared" si="2"/>
        <v>0</v>
      </c>
      <c r="AB15" s="314" t="str">
        <f t="shared" si="3"/>
        <v/>
      </c>
      <c r="AC15" s="309">
        <f>-SUMIFS('BP 2020 v.I dle HAZ - MAT.'!AD:AD,'BP 2020 v.I dle HAZ - MAT.'!$B:$B,"Zdravotnické prostředky")</f>
        <v>4256194.7</v>
      </c>
      <c r="AD15" s="309">
        <v>4415000</v>
      </c>
      <c r="AE15" s="338">
        <v>4449996</v>
      </c>
      <c r="AF15" s="117">
        <f>-SUMIFS('BP 2020 v.I dle HAZ - MAT.'!AF:AF,'BP 2020 v.I dle HAZ - MAT.'!$B:$B,"Zdravotnické prostředky")</f>
        <v>4471000</v>
      </c>
      <c r="AG15" s="110">
        <f t="shared" si="4"/>
        <v>21004</v>
      </c>
      <c r="AH15" s="368">
        <f t="shared" si="5"/>
        <v>1.0047200042427005</v>
      </c>
      <c r="AI15" s="373">
        <v>4413996</v>
      </c>
    </row>
    <row r="16" spans="1:36" s="46" customFormat="1" ht="30.75" customHeight="1" x14ac:dyDescent="0.25">
      <c r="A16" s="46" t="s">
        <v>420</v>
      </c>
      <c r="B16" s="46" t="s">
        <v>18</v>
      </c>
      <c r="C16" s="46" t="s">
        <v>325</v>
      </c>
      <c r="D16" s="84" t="s">
        <v>18</v>
      </c>
      <c r="E16" s="57">
        <f>-SUMIFS('BP 2020 v.I dle HAZ - MAT.'!AG:AG,'BP 2020 v.I dle HAZ - MAT.'!$B:$B,"Léky a léčiva")-K16-W16</f>
        <v>18297628.520000003</v>
      </c>
      <c r="F16" s="57">
        <v>17835000</v>
      </c>
      <c r="G16" s="342">
        <f>8882540+9810000</f>
        <v>18692540</v>
      </c>
      <c r="H16" s="57">
        <f>-SUMIFS('BP 2020 v.I dle HAZ - MAT.'!AI:AI,'BP 2020 v.I dle HAZ - MAT.'!$B:$B,"Léky a léčiva")-N16-Z16</f>
        <v>19229878</v>
      </c>
      <c r="I16" s="94">
        <f t="shared" si="6"/>
        <v>537338</v>
      </c>
      <c r="J16" s="304">
        <f t="shared" si="7"/>
        <v>1.0287461201099477</v>
      </c>
      <c r="K16" s="322">
        <f>-SUMIFS('BP 2020 v.I dle HAZ - MAT.'!AG:AG,'BP 2020 v.I dle HAZ - MAT.'!$B:$B,"Léky - centra (LEK)")</f>
        <v>17506734.77</v>
      </c>
      <c r="L16" s="351">
        <v>19500000</v>
      </c>
      <c r="M16" s="64">
        <v>16800000</v>
      </c>
      <c r="N16" s="64">
        <f>-SUMIFS('BP 2020 v.I dle HAZ - MAT.'!AI:AI,'BP 2020 v.I dle HAZ - MAT.'!$B:$B,"Léky - centra (LEK)")</f>
        <v>19000000</v>
      </c>
      <c r="O16" s="95">
        <f t="shared" si="0"/>
        <v>2200000</v>
      </c>
      <c r="P16" s="96">
        <f t="shared" si="1"/>
        <v>1.1309523809523809</v>
      </c>
      <c r="Q16" s="295">
        <f>SUMIF('CL 2020 PLÁN - SOUHRN '!A:A,A16,'CL 2020 PLÁN - SOUHRN '!I:I)</f>
        <v>20538710.903000001</v>
      </c>
      <c r="R16" s="296">
        <f t="shared" si="8"/>
        <v>3738710.9030000009</v>
      </c>
      <c r="S16" s="300">
        <f t="shared" si="9"/>
        <v>1.2225423156547619</v>
      </c>
      <c r="T16" s="326">
        <f t="shared" si="10"/>
        <v>1538710.9030000009</v>
      </c>
      <c r="U16" s="329">
        <f t="shared" si="11"/>
        <v>1.080984784368421</v>
      </c>
      <c r="V16" s="331"/>
      <c r="W16" s="315">
        <f>-SUMIFS('BP 2020 v.I dle HAZ - MAT.'!AG:AG,'BP 2020 v.I dle HAZ - MAT.'!$B:$B,"Léky - dle §16 (LEK)")</f>
        <v>1851572.8</v>
      </c>
      <c r="X16" s="358">
        <v>0</v>
      </c>
      <c r="Y16" s="70">
        <v>8360400</v>
      </c>
      <c r="Z16" s="70">
        <f>-SUMIFS('BP 2020 v.I dle HAZ - MAT.'!AI:AI,'BP 2020 v.I dle HAZ - MAT.'!$B:$B,"Léky - dle §16 (LEK)")</f>
        <v>25124800</v>
      </c>
      <c r="AA16" s="97">
        <f t="shared" si="2"/>
        <v>16764400</v>
      </c>
      <c r="AB16" s="316">
        <f t="shared" si="3"/>
        <v>3.0052150614803121</v>
      </c>
      <c r="AC16" s="308">
        <f>-SUMIFS('BP 2020 v.I dle HAZ - MAT.'!AG:AG,'BP 2020 v.I dle HAZ - MAT.'!$B:$B,"Zdravotnické prostředky")</f>
        <v>6513154.6699999999</v>
      </c>
      <c r="AD16" s="308">
        <v>6560000</v>
      </c>
      <c r="AE16" s="339">
        <v>6833092</v>
      </c>
      <c r="AF16" s="76">
        <f>-SUMIFS('BP 2020 v.I dle HAZ - MAT.'!AI:AI,'BP 2020 v.I dle HAZ - MAT.'!$B:$B,"Zdravotnické prostředky")</f>
        <v>6817000</v>
      </c>
      <c r="AG16" s="98">
        <f t="shared" si="4"/>
        <v>-16092</v>
      </c>
      <c r="AH16" s="369">
        <f t="shared" si="5"/>
        <v>0.99764498999867113</v>
      </c>
      <c r="AI16" s="372">
        <v>6559020</v>
      </c>
    </row>
    <row r="17" spans="1:36" s="46" customFormat="1" ht="30.75" customHeight="1" x14ac:dyDescent="0.25">
      <c r="A17" s="46" t="s">
        <v>421</v>
      </c>
      <c r="B17" s="46" t="s">
        <v>19</v>
      </c>
      <c r="C17" s="46" t="s">
        <v>326</v>
      </c>
      <c r="D17" s="113" t="s">
        <v>19</v>
      </c>
      <c r="E17" s="114">
        <f>-SUMIFS('BP 2020 v.I dle HAZ - MAT.'!AJ:AJ,'BP 2020 v.I dle HAZ - MAT.'!$B:$B,"Léky a léčiva")-K17-W17</f>
        <v>3576409.23</v>
      </c>
      <c r="F17" s="114">
        <v>3615000</v>
      </c>
      <c r="G17" s="341">
        <f>3496988+305000</f>
        <v>3801988</v>
      </c>
      <c r="H17" s="114">
        <f>-SUMIFS('BP 2020 v.I dle HAZ - MAT.'!AL:AL,'BP 2020 v.I dle HAZ - MAT.'!$B:$B,"Léky a léčiva")-N17-Z17</f>
        <v>3800000</v>
      </c>
      <c r="I17" s="103">
        <f t="shared" si="6"/>
        <v>-1988</v>
      </c>
      <c r="J17" s="303">
        <f t="shared" si="7"/>
        <v>0.99947711565633557</v>
      </c>
      <c r="K17" s="323">
        <f>-SUMIFS('BP 2020 v.I dle HAZ - MAT.'!AJ:AJ,'BP 2020 v.I dle HAZ - MAT.'!$B:$B,"Léky - centra (LEK)")</f>
        <v>0</v>
      </c>
      <c r="L17" s="353">
        <v>0</v>
      </c>
      <c r="M17" s="115">
        <f>-SUMIFS('BP 2020 v.I dle HAZ - MAT.'!AK:AK,'BP 2020 v.I dle HAZ - MAT.'!$B:$B,"Léky - centra (LEK)")</f>
        <v>0</v>
      </c>
      <c r="N17" s="115">
        <f>-SUMIFS('BP 2020 v.I dle HAZ - MAT.'!AL:AL,'BP 2020 v.I dle HAZ - MAT.'!$B:$B,"Léky - centra (LEK)")</f>
        <v>0</v>
      </c>
      <c r="O17" s="105">
        <f t="shared" si="0"/>
        <v>0</v>
      </c>
      <c r="P17" s="106" t="str">
        <f t="shared" si="1"/>
        <v/>
      </c>
      <c r="Q17" s="295">
        <f>SUMIF('CL 2020 PLÁN - SOUHRN '!A:A,A17,'CL 2020 PLÁN - SOUHRN '!I:I)</f>
        <v>8054.1060000000007</v>
      </c>
      <c r="R17" s="296">
        <f t="shared" si="8"/>
        <v>0</v>
      </c>
      <c r="S17" s="300" t="str">
        <f t="shared" si="9"/>
        <v/>
      </c>
      <c r="T17" s="326" t="str">
        <f t="shared" si="10"/>
        <v/>
      </c>
      <c r="U17" s="329" t="str">
        <f t="shared" si="11"/>
        <v/>
      </c>
      <c r="V17" s="331"/>
      <c r="W17" s="317">
        <f>-SUMIFS('BP 2020 v.I dle HAZ - MAT.'!AJ:AJ,'BP 2020 v.I dle HAZ - MAT.'!$B:$B,"Léky - dle §16 (LEK)")</f>
        <v>0</v>
      </c>
      <c r="X17" s="359">
        <v>0</v>
      </c>
      <c r="Y17" s="116">
        <f>-SUMIFS('BP 2020 v.I dle HAZ - MAT.'!AK:AK,'BP 2020 v.I dle HAZ - MAT.'!$B:$B,"Léky - dle §16 (LEK)")</f>
        <v>0</v>
      </c>
      <c r="Z17" s="116">
        <f>-SUMIFS('BP 2020 v.I dle HAZ - MAT.'!AL:AL,'BP 2020 v.I dle HAZ - MAT.'!$B:$B,"Léky - dle §16 (LEK)")</f>
        <v>0</v>
      </c>
      <c r="AA17" s="108">
        <f t="shared" si="2"/>
        <v>0</v>
      </c>
      <c r="AB17" s="314" t="str">
        <f t="shared" si="3"/>
        <v/>
      </c>
      <c r="AC17" s="309">
        <f>-SUMIFS('BP 2020 v.I dle HAZ - MAT.'!AJ:AJ,'BP 2020 v.I dle HAZ - MAT.'!$B:$B,"Zdravotnické prostředky")</f>
        <v>49646093.759999998</v>
      </c>
      <c r="AD17" s="309">
        <v>43488000</v>
      </c>
      <c r="AE17" s="338">
        <f>47009603</f>
        <v>47009603</v>
      </c>
      <c r="AF17" s="117">
        <f>-SUMIFS('BP 2020 v.I dle HAZ - MAT.'!AL:AL,'BP 2020 v.I dle HAZ - MAT.'!$B:$B,"Zdravotnické prostředky")</f>
        <v>50375552.999999903</v>
      </c>
      <c r="AG17" s="110">
        <f t="shared" si="4"/>
        <v>3365949.9999999031</v>
      </c>
      <c r="AH17" s="368">
        <f t="shared" si="5"/>
        <v>1.0716013279244223</v>
      </c>
      <c r="AI17" s="373">
        <v>45936008</v>
      </c>
      <c r="AJ17" s="374" t="s">
        <v>580</v>
      </c>
    </row>
    <row r="18" spans="1:36" s="46" customFormat="1" ht="30.75" customHeight="1" x14ac:dyDescent="0.25">
      <c r="A18" s="46" t="s">
        <v>422</v>
      </c>
      <c r="B18" s="46" t="s">
        <v>20</v>
      </c>
      <c r="C18" s="46" t="s">
        <v>327</v>
      </c>
      <c r="D18" s="84" t="s">
        <v>20</v>
      </c>
      <c r="E18" s="57">
        <f>-SUMIFS('BP 2020 v.I dle HAZ - MAT.'!AM:AM,'BP 2020 v.I dle HAZ - MAT.'!$B:$B,"Léky a léčiva")-K18-W18</f>
        <v>3917458.51</v>
      </c>
      <c r="F18" s="57">
        <v>4005000</v>
      </c>
      <c r="G18" s="342">
        <f>4064984+140000</f>
        <v>4204984</v>
      </c>
      <c r="H18" s="57">
        <f>-SUMIFS('BP 2020 v.I dle HAZ - MAT.'!AO:AO,'BP 2020 v.I dle HAZ - MAT.'!$B:$B,"Léky a léčiva")-N18-Z18</f>
        <v>4755000</v>
      </c>
      <c r="I18" s="94">
        <f t="shared" si="6"/>
        <v>550016</v>
      </c>
      <c r="J18" s="304">
        <f t="shared" si="7"/>
        <v>1.1308009733211826</v>
      </c>
      <c r="K18" s="322">
        <f>-SUMIFS('BP 2020 v.I dle HAZ - MAT.'!AM:AM,'BP 2020 v.I dle HAZ - MAT.'!$B:$B,"Léky - centra (LEK)")</f>
        <v>0</v>
      </c>
      <c r="L18" s="351">
        <v>0</v>
      </c>
      <c r="M18" s="64">
        <f>-SUMIFS('BP 2020 v.I dle HAZ - MAT.'!AN:AN,'BP 2020 v.I dle HAZ - MAT.'!$B:$B,"Léky - centra (LEK)")</f>
        <v>0</v>
      </c>
      <c r="N18" s="64">
        <f>-SUMIFS('BP 2020 v.I dle HAZ - MAT.'!AO:AO,'BP 2020 v.I dle HAZ - MAT.'!$B:$B,"Léky - centra (LEK)")</f>
        <v>0</v>
      </c>
      <c r="O18" s="95">
        <f t="shared" si="0"/>
        <v>0</v>
      </c>
      <c r="P18" s="96" t="str">
        <f t="shared" si="1"/>
        <v/>
      </c>
      <c r="Q18" s="295">
        <f>SUMIF('CL 2020 PLÁN - SOUHRN '!A:A,A18,'CL 2020 PLÁN - SOUHRN '!I:I)</f>
        <v>35401.31</v>
      </c>
      <c r="R18" s="296">
        <f t="shared" si="8"/>
        <v>0</v>
      </c>
      <c r="S18" s="300" t="str">
        <f t="shared" si="9"/>
        <v/>
      </c>
      <c r="T18" s="326" t="str">
        <f t="shared" si="10"/>
        <v/>
      </c>
      <c r="U18" s="329" t="str">
        <f t="shared" si="11"/>
        <v/>
      </c>
      <c r="V18" s="331"/>
      <c r="W18" s="315">
        <f>-SUMIFS('BP 2020 v.I dle HAZ - MAT.'!AM:AM,'BP 2020 v.I dle HAZ - MAT.'!$B:$B,"Léky - dle §16 (LEK)")</f>
        <v>0</v>
      </c>
      <c r="X18" s="358">
        <v>0</v>
      </c>
      <c r="Y18" s="70">
        <f>-SUMIFS('BP 2020 v.I dle HAZ - MAT.'!AN:AN,'BP 2020 v.I dle HAZ - MAT.'!$B:$B,"Léky - dle §16 (LEK)")</f>
        <v>0</v>
      </c>
      <c r="Z18" s="70">
        <f>-SUMIFS('BP 2020 v.I dle HAZ - MAT.'!AO:AO,'BP 2020 v.I dle HAZ - MAT.'!$B:$B,"Léky - dle §16 (LEK)")</f>
        <v>0</v>
      </c>
      <c r="AA18" s="97">
        <f t="shared" si="2"/>
        <v>0</v>
      </c>
      <c r="AB18" s="316" t="str">
        <f t="shared" si="3"/>
        <v/>
      </c>
      <c r="AC18" s="308">
        <f>-SUMIFS('BP 2020 v.I dle HAZ - MAT.'!AM:AM,'BP 2020 v.I dle HAZ - MAT.'!$B:$B,"Zdravotnické prostředky")</f>
        <v>22535132.98</v>
      </c>
      <c r="AD18" s="308">
        <v>21654000</v>
      </c>
      <c r="AE18" s="339">
        <f>6950465+17560000</f>
        <v>24510465</v>
      </c>
      <c r="AF18" s="76">
        <f>-SUMIFS('BP 2020 v.I dle HAZ - MAT.'!AO:AO,'BP 2020 v.I dle HAZ - MAT.'!$B:$B,"Zdravotnické prostředky")</f>
        <v>25105000</v>
      </c>
      <c r="AG18" s="98">
        <f t="shared" si="4"/>
        <v>594535</v>
      </c>
      <c r="AH18" s="369">
        <f t="shared" si="5"/>
        <v>1.0242563737570871</v>
      </c>
      <c r="AI18" s="372">
        <v>5652984</v>
      </c>
      <c r="AJ18" s="46" t="s">
        <v>579</v>
      </c>
    </row>
    <row r="19" spans="1:36" s="46" customFormat="1" ht="30.75" customHeight="1" x14ac:dyDescent="0.25">
      <c r="A19" s="46" t="s">
        <v>423</v>
      </c>
      <c r="B19" s="46" t="s">
        <v>21</v>
      </c>
      <c r="C19" s="46" t="s">
        <v>328</v>
      </c>
      <c r="D19" s="113" t="s">
        <v>21</v>
      </c>
      <c r="E19" s="114">
        <f>-SUMIFS('BP 2020 v.I dle HAZ - MAT.'!AP:AP,'BP 2020 v.I dle HAZ - MAT.'!$B:$B,"Léky a léčiva")-K19-W19</f>
        <v>1254016.33</v>
      </c>
      <c r="F19" s="114">
        <v>1410000</v>
      </c>
      <c r="G19" s="341">
        <f>1218008+175000</f>
        <v>1393008</v>
      </c>
      <c r="H19" s="114">
        <f>-SUMIFS('BP 2020 v.I dle HAZ - MAT.'!AR:AR,'BP 2020 v.I dle HAZ - MAT.'!$B:$B,"Léky a léčiva")-N19-Z19</f>
        <v>1430000</v>
      </c>
      <c r="I19" s="103">
        <f t="shared" si="6"/>
        <v>36992</v>
      </c>
      <c r="J19" s="303">
        <f t="shared" si="7"/>
        <v>1.0265554828112975</v>
      </c>
      <c r="K19" s="323">
        <f>-SUMIFS('BP 2020 v.I dle HAZ - MAT.'!AP:AP,'BP 2020 v.I dle HAZ - MAT.'!$B:$B,"Léky - centra (LEK)")</f>
        <v>0</v>
      </c>
      <c r="L19" s="353">
        <v>0</v>
      </c>
      <c r="M19" s="115">
        <f>-SUMIFS('BP 2020 v.I dle HAZ - MAT.'!AQ:AQ,'BP 2020 v.I dle HAZ - MAT.'!$B:$B,"Léky - centra (LEK)")</f>
        <v>0</v>
      </c>
      <c r="N19" s="115">
        <f>-SUMIFS('BP 2020 v.I dle HAZ - MAT.'!AR:AR,'BP 2020 v.I dle HAZ - MAT.'!$B:$B,"Léky - centra (LEK)")</f>
        <v>0</v>
      </c>
      <c r="O19" s="105">
        <f t="shared" si="0"/>
        <v>0</v>
      </c>
      <c r="P19" s="106" t="str">
        <f t="shared" si="1"/>
        <v/>
      </c>
      <c r="Q19" s="295">
        <f>SUMIF('CL 2020 PLÁN - SOUHRN '!A:A,A19,'CL 2020 PLÁN - SOUHRN '!I:I)</f>
        <v>0</v>
      </c>
      <c r="R19" s="296">
        <f t="shared" si="8"/>
        <v>0</v>
      </c>
      <c r="S19" s="300" t="str">
        <f t="shared" si="9"/>
        <v/>
      </c>
      <c r="T19" s="326" t="str">
        <f t="shared" si="10"/>
        <v/>
      </c>
      <c r="U19" s="329" t="str">
        <f t="shared" si="11"/>
        <v/>
      </c>
      <c r="V19" s="331"/>
      <c r="W19" s="317">
        <f>-SUMIFS('BP 2020 v.I dle HAZ - MAT.'!AP:AP,'BP 2020 v.I dle HAZ - MAT.'!$B:$B,"Léky - dle §16 (LEK)")</f>
        <v>0</v>
      </c>
      <c r="X19" s="359">
        <v>0</v>
      </c>
      <c r="Y19" s="116">
        <f>-SUMIFS('BP 2020 v.I dle HAZ - MAT.'!AQ:AQ,'BP 2020 v.I dle HAZ - MAT.'!$B:$B,"Léky - dle §16 (LEK)")</f>
        <v>0</v>
      </c>
      <c r="Z19" s="116">
        <f>-SUMIFS('BP 2020 v.I dle HAZ - MAT.'!AR:AR,'BP 2020 v.I dle HAZ - MAT.'!$B:$B,"Léky - dle §16 (LEK)")</f>
        <v>0</v>
      </c>
      <c r="AA19" s="108">
        <f t="shared" si="2"/>
        <v>0</v>
      </c>
      <c r="AB19" s="314" t="str">
        <f t="shared" si="3"/>
        <v/>
      </c>
      <c r="AC19" s="309">
        <f>-SUMIFS('BP 2020 v.I dle HAZ - MAT.'!AP:AP,'BP 2020 v.I dle HAZ - MAT.'!$B:$B,"Zdravotnické prostředky")</f>
        <v>3361180.1</v>
      </c>
      <c r="AD19" s="309">
        <v>2748000</v>
      </c>
      <c r="AE19" s="338">
        <f>3246820+235000</f>
        <v>3481820</v>
      </c>
      <c r="AF19" s="117">
        <f>-SUMIFS('BP 2020 v.I dle HAZ - MAT.'!AR:AR,'BP 2020 v.I dle HAZ - MAT.'!$B:$B,"Zdravotnické prostředky")</f>
        <v>3600000</v>
      </c>
      <c r="AG19" s="110">
        <f t="shared" si="4"/>
        <v>118180</v>
      </c>
      <c r="AH19" s="368">
        <f t="shared" si="5"/>
        <v>1.033942018829233</v>
      </c>
      <c r="AI19" s="373">
        <v>2748000</v>
      </c>
      <c r="AJ19" s="46" t="s">
        <v>579</v>
      </c>
    </row>
    <row r="20" spans="1:36" s="46" customFormat="1" ht="30.75" customHeight="1" x14ac:dyDescent="0.25">
      <c r="A20" s="46" t="s">
        <v>424</v>
      </c>
      <c r="B20" s="46" t="s">
        <v>22</v>
      </c>
      <c r="C20" s="46" t="s">
        <v>329</v>
      </c>
      <c r="D20" s="84" t="s">
        <v>22</v>
      </c>
      <c r="E20" s="57">
        <f>-SUMIFS('BP 2020 v.I dle HAZ - MAT.'!AS:AS,'BP 2020 v.I dle HAZ - MAT.'!$B:$B,"Léky a léčiva")-K20-W20</f>
        <v>1116865.0299999937</v>
      </c>
      <c r="F20" s="57">
        <v>1195000</v>
      </c>
      <c r="G20" s="342">
        <f>1084008+110000</f>
        <v>1194008</v>
      </c>
      <c r="H20" s="57">
        <f>-SUMIFS('BP 2020 v.I dle HAZ - MAT.'!AU:AU,'BP 2020 v.I dle HAZ - MAT.'!$B:$B,"Léky a léčiva")-N20-Z20</f>
        <v>1240000</v>
      </c>
      <c r="I20" s="94">
        <f t="shared" si="6"/>
        <v>45992</v>
      </c>
      <c r="J20" s="304">
        <f t="shared" si="7"/>
        <v>1.0385190048977897</v>
      </c>
      <c r="K20" s="322">
        <f>-SUMIFS('BP 2020 v.I dle HAZ - MAT.'!AS:AS,'BP 2020 v.I dle HAZ - MAT.'!$B:$B,"Léky - centra (LEK)")</f>
        <v>42013431.380000003</v>
      </c>
      <c r="L20" s="351">
        <v>42100000</v>
      </c>
      <c r="M20" s="64">
        <v>46500000</v>
      </c>
      <c r="N20" s="64">
        <f>-SUMIFS('BP 2020 v.I dle HAZ - MAT.'!AU:AU,'BP 2020 v.I dle HAZ - MAT.'!$B:$B,"Léky - centra (LEK)")</f>
        <v>49000000</v>
      </c>
      <c r="O20" s="95">
        <f t="shared" si="0"/>
        <v>2500000</v>
      </c>
      <c r="P20" s="96">
        <f t="shared" si="1"/>
        <v>1.053763440860215</v>
      </c>
      <c r="Q20" s="295">
        <f>SUMIF('CL 2020 PLÁN - SOUHRN '!A:A,A20,'CL 2020 PLÁN - SOUHRN '!I:I)</f>
        <v>54677530.566999994</v>
      </c>
      <c r="R20" s="296">
        <f t="shared" si="8"/>
        <v>8177530.5669999942</v>
      </c>
      <c r="S20" s="300">
        <f t="shared" si="9"/>
        <v>1.1758608724086019</v>
      </c>
      <c r="T20" s="326">
        <f t="shared" si="10"/>
        <v>5677530.5669999942</v>
      </c>
      <c r="U20" s="329">
        <f t="shared" si="11"/>
        <v>1.115867970755102</v>
      </c>
      <c r="V20" s="331"/>
      <c r="W20" s="315">
        <f>-SUMIFS('BP 2020 v.I dle HAZ - MAT.'!AS:AS,'BP 2020 v.I dle HAZ - MAT.'!$B:$B,"Léky - dle §16 (LEK)")</f>
        <v>0</v>
      </c>
      <c r="X20" s="358">
        <v>312000</v>
      </c>
      <c r="Y20" s="70">
        <f>-SUMIFS('BP 2020 v.I dle HAZ - MAT.'!AT:AT,'BP 2020 v.I dle HAZ - MAT.'!$B:$B,"Léky - dle §16 (LEK)")</f>
        <v>312000</v>
      </c>
      <c r="Z20" s="70">
        <f>-SUMIFS('BP 2020 v.I dle HAZ - MAT.'!AU:AU,'BP 2020 v.I dle HAZ - MAT.'!$B:$B,"Léky - dle §16 (LEK)")</f>
        <v>290000</v>
      </c>
      <c r="AA20" s="97">
        <f t="shared" si="2"/>
        <v>-22000</v>
      </c>
      <c r="AB20" s="316">
        <f t="shared" si="3"/>
        <v>0.92948717948717952</v>
      </c>
      <c r="AC20" s="308">
        <f>-SUMIFS('BP 2020 v.I dle HAZ - MAT.'!AS:AS,'BP 2020 v.I dle HAZ - MAT.'!$B:$B,"Zdravotnické prostředky")</f>
        <v>10599073.710000001</v>
      </c>
      <c r="AD20" s="308">
        <f>10670000</f>
        <v>10670000</v>
      </c>
      <c r="AE20" s="339">
        <v>11276215</v>
      </c>
      <c r="AF20" s="76">
        <f>-SUMIFS('BP 2020 v.I dle HAZ - MAT.'!AU:AU,'BP 2020 v.I dle HAZ - MAT.'!$B:$B,"Zdravotnické prostředky")</f>
        <v>11159500</v>
      </c>
      <c r="AG20" s="98">
        <f t="shared" si="4"/>
        <v>-116715</v>
      </c>
      <c r="AH20" s="369">
        <f t="shared" si="5"/>
        <v>0.98964945240934121</v>
      </c>
      <c r="AI20" s="372">
        <v>12205138</v>
      </c>
      <c r="AJ20" s="374" t="s">
        <v>581</v>
      </c>
    </row>
    <row r="21" spans="1:36" s="46" customFormat="1" ht="30.75" customHeight="1" x14ac:dyDescent="0.25">
      <c r="A21" s="46" t="s">
        <v>425</v>
      </c>
      <c r="B21" s="46" t="s">
        <v>23</v>
      </c>
      <c r="C21" s="46" t="s">
        <v>330</v>
      </c>
      <c r="D21" s="113" t="s">
        <v>23</v>
      </c>
      <c r="E21" s="114">
        <f>-SUMIFS('BP 2020 v.I dle HAZ - MAT.'!AV:AV,'BP 2020 v.I dle HAZ - MAT.'!$B:$B,"Léky a léčiva")-K21-W21</f>
        <v>3324600.3</v>
      </c>
      <c r="F21" s="114">
        <f>3330000</f>
        <v>3330000</v>
      </c>
      <c r="G21" s="341">
        <f>99996+3260000</f>
        <v>3359996</v>
      </c>
      <c r="H21" s="114">
        <f>-SUMIFS('BP 2020 v.I dle HAZ - MAT.'!AX:AX,'BP 2020 v.I dle HAZ - MAT.'!$B:$B,"Léky a léčiva")-N21-Z21</f>
        <v>5120000</v>
      </c>
      <c r="I21" s="103">
        <f t="shared" si="6"/>
        <v>1760004</v>
      </c>
      <c r="J21" s="303">
        <f t="shared" si="7"/>
        <v>1.5238113378706404</v>
      </c>
      <c r="K21" s="323">
        <f>-SUMIFS('BP 2020 v.I dle HAZ - MAT.'!AV:AV,'BP 2020 v.I dle HAZ - MAT.'!$B:$B,"Léky - centra (LEK)")</f>
        <v>3937751.07</v>
      </c>
      <c r="L21" s="353">
        <v>4000000</v>
      </c>
      <c r="M21" s="115">
        <v>7200000</v>
      </c>
      <c r="N21" s="115">
        <f>-SUMIFS('BP 2020 v.I dle HAZ - MAT.'!AX:AX,'BP 2020 v.I dle HAZ - MAT.'!$B:$B,"Léky - centra (LEK)")</f>
        <v>12000000</v>
      </c>
      <c r="O21" s="105">
        <f t="shared" si="0"/>
        <v>4800000</v>
      </c>
      <c r="P21" s="106">
        <f t="shared" si="1"/>
        <v>1.6666666666666667</v>
      </c>
      <c r="Q21" s="295">
        <f>SUMIF('CL 2020 PLÁN - SOUHRN '!A:A,A21,'CL 2020 PLÁN - SOUHRN '!I:I)</f>
        <v>5625010.71</v>
      </c>
      <c r="R21" s="296">
        <f t="shared" si="8"/>
        <v>-1574989.29</v>
      </c>
      <c r="S21" s="300">
        <f t="shared" si="9"/>
        <v>0.78125148749999995</v>
      </c>
      <c r="T21" s="326">
        <f t="shared" si="10"/>
        <v>-6374989.29</v>
      </c>
      <c r="U21" s="329">
        <f t="shared" si="11"/>
        <v>0.46875089250000002</v>
      </c>
      <c r="V21" s="331"/>
      <c r="W21" s="317">
        <f>-SUMIFS('BP 2020 v.I dle HAZ - MAT.'!AV:AV,'BP 2020 v.I dle HAZ - MAT.'!$B:$B,"Léky - dle §16 (LEK)")</f>
        <v>638703.01</v>
      </c>
      <c r="X21" s="359">
        <v>640000</v>
      </c>
      <c r="Y21" s="116">
        <v>340000</v>
      </c>
      <c r="Z21" s="116">
        <f>-SUMIFS('BP 2020 v.I dle HAZ - MAT.'!AX:AX,'BP 2020 v.I dle HAZ - MAT.'!$B:$B,"Léky - dle §16 (LEK)")</f>
        <v>0</v>
      </c>
      <c r="AA21" s="108">
        <f t="shared" si="2"/>
        <v>-340000</v>
      </c>
      <c r="AB21" s="314">
        <f t="shared" si="3"/>
        <v>0</v>
      </c>
      <c r="AC21" s="309">
        <f>-SUMIFS('BP 2020 v.I dle HAZ - MAT.'!AV:AV,'BP 2020 v.I dle HAZ - MAT.'!$B:$B,"Zdravotnické prostředky")</f>
        <v>433755.29</v>
      </c>
      <c r="AD21" s="309">
        <v>440000</v>
      </c>
      <c r="AE21" s="338">
        <v>465004</v>
      </c>
      <c r="AF21" s="117">
        <f>-SUMIFS('BP 2020 v.I dle HAZ - MAT.'!AX:AX,'BP 2020 v.I dle HAZ - MAT.'!$B:$B,"Zdravotnické prostředky")</f>
        <v>506000</v>
      </c>
      <c r="AG21" s="110">
        <f t="shared" si="4"/>
        <v>40996</v>
      </c>
      <c r="AH21" s="368">
        <f t="shared" si="5"/>
        <v>1.0881626824715487</v>
      </c>
      <c r="AI21" s="373">
        <v>440004</v>
      </c>
    </row>
    <row r="22" spans="1:36" s="46" customFormat="1" ht="30.75" customHeight="1" x14ac:dyDescent="0.25">
      <c r="A22" s="46" t="s">
        <v>426</v>
      </c>
      <c r="B22" s="46" t="s">
        <v>24</v>
      </c>
      <c r="C22" s="46" t="s">
        <v>331</v>
      </c>
      <c r="D22" s="84" t="s">
        <v>24</v>
      </c>
      <c r="E22" s="57">
        <f>-SUMIFS('BP 2020 v.I dle HAZ - MAT.'!AY:AY,'BP 2020 v.I dle HAZ - MAT.'!$B:$B,"Léky a léčiva")-K22-W22</f>
        <v>9699417.6200000104</v>
      </c>
      <c r="F22" s="57">
        <v>9405000</v>
      </c>
      <c r="G22" s="342">
        <f>9119300+280000</f>
        <v>9399300</v>
      </c>
      <c r="H22" s="57">
        <f>-SUMIFS('BP 2020 v.I dle HAZ - MAT.'!BA:BA,'BP 2020 v.I dle HAZ - MAT.'!$B:$B,"Léky a léčiva")-N22-Z22</f>
        <v>9392521</v>
      </c>
      <c r="I22" s="94">
        <f t="shared" si="6"/>
        <v>-6779</v>
      </c>
      <c r="J22" s="304">
        <f t="shared" si="7"/>
        <v>0.99927877607906967</v>
      </c>
      <c r="K22" s="322">
        <f>-SUMIFS('BP 2020 v.I dle HAZ - MAT.'!AY:AY,'BP 2020 v.I dle HAZ - MAT.'!$B:$B,"Léky - centra (LEK)")</f>
        <v>56588644.729999997</v>
      </c>
      <c r="L22" s="351">
        <v>56600000</v>
      </c>
      <c r="M22" s="64">
        <v>95000000</v>
      </c>
      <c r="N22" s="64">
        <f>-SUMIFS('BP 2020 v.I dle HAZ - MAT.'!BA:BA,'BP 2020 v.I dle HAZ - MAT.'!$B:$B,"Léky - centra (LEK)")</f>
        <v>140000000</v>
      </c>
      <c r="O22" s="95">
        <f t="shared" si="0"/>
        <v>45000000</v>
      </c>
      <c r="P22" s="96">
        <f t="shared" si="1"/>
        <v>1.4736842105263157</v>
      </c>
      <c r="Q22" s="295">
        <f>SUMIF('CL 2020 PLÁN - SOUHRN '!A:A,A22,'CL 2020 PLÁN - SOUHRN '!I:I)</f>
        <v>81285475.281000003</v>
      </c>
      <c r="R22" s="296">
        <f t="shared" si="8"/>
        <v>-13714524.718999997</v>
      </c>
      <c r="S22" s="300">
        <f t="shared" si="9"/>
        <v>0.85563658190526315</v>
      </c>
      <c r="T22" s="326">
        <f t="shared" si="10"/>
        <v>-58714524.718999997</v>
      </c>
      <c r="U22" s="329">
        <f t="shared" si="11"/>
        <v>0.58061053772142857</v>
      </c>
      <c r="V22" s="331"/>
      <c r="W22" s="315">
        <f>-SUMIFS('BP 2020 v.I dle HAZ - MAT.'!AY:AY,'BP 2020 v.I dle HAZ - MAT.'!$B:$B,"Léky - dle §16 (LEK)")</f>
        <v>6346059.3300000001</v>
      </c>
      <c r="X22" s="358">
        <v>6350000</v>
      </c>
      <c r="Y22" s="70">
        <f>-SUMIFS('BP 2020 v.I dle HAZ - MAT.'!AZ:AZ,'BP 2020 v.I dle HAZ - MAT.'!$B:$B,"Léky - dle §16 (LEK)")</f>
        <v>6350000</v>
      </c>
      <c r="Z22" s="70">
        <f>-SUMIFS('BP 2020 v.I dle HAZ - MAT.'!BA:BA,'BP 2020 v.I dle HAZ - MAT.'!$B:$B,"Léky - dle §16 (LEK)")</f>
        <v>70000000</v>
      </c>
      <c r="AA22" s="97">
        <f t="shared" si="2"/>
        <v>63650000</v>
      </c>
      <c r="AB22" s="316">
        <f t="shared" si="3"/>
        <v>11.023622047244094</v>
      </c>
      <c r="AC22" s="308">
        <f>-SUMIFS('BP 2020 v.I dle HAZ - MAT.'!AY:AY,'BP 2020 v.I dle HAZ - MAT.'!$B:$B,"Zdravotnické prostředky")</f>
        <v>5990975.1000000099</v>
      </c>
      <c r="AD22" s="76">
        <v>5342000</v>
      </c>
      <c r="AE22" s="339">
        <f>5730855+19739+56551</f>
        <v>5807145</v>
      </c>
      <c r="AF22" s="76">
        <f>-SUMIFS('BP 2020 v.I dle HAZ - MAT.'!BA:BA,'BP 2020 v.I dle HAZ - MAT.'!$B:$B,"Zdravotnické prostředky")</f>
        <v>6397950</v>
      </c>
      <c r="AG22" s="98">
        <f t="shared" si="4"/>
        <v>590805</v>
      </c>
      <c r="AH22" s="369">
        <f t="shared" si="5"/>
        <v>1.1017376008348336</v>
      </c>
      <c r="AI22" s="372">
        <v>5342988</v>
      </c>
    </row>
    <row r="23" spans="1:36" s="46" customFormat="1" ht="30.75" customHeight="1" x14ac:dyDescent="0.25">
      <c r="A23" s="46" t="s">
        <v>427</v>
      </c>
      <c r="B23" s="46" t="s">
        <v>25</v>
      </c>
      <c r="C23" s="46" t="s">
        <v>332</v>
      </c>
      <c r="D23" s="113" t="s">
        <v>25</v>
      </c>
      <c r="E23" s="114">
        <f>-SUMIFS('BP 2020 v.I dle HAZ - MAT.'!BB:BB,'BP 2020 v.I dle HAZ - MAT.'!$B:$B,"Léky a léčiva")-K23-W23</f>
        <v>27898504.360000018</v>
      </c>
      <c r="F23" s="343">
        <v>27450000</v>
      </c>
      <c r="G23" s="341">
        <f>16652988+11570000</f>
        <v>28222988</v>
      </c>
      <c r="H23" s="114">
        <f>-SUMIFS('BP 2020 v.I dle HAZ - MAT.'!BD:BD,'BP 2020 v.I dle HAZ - MAT.'!$B:$B,"Léky a léčiva")-N23-Z23</f>
        <v>30815000</v>
      </c>
      <c r="I23" s="103">
        <f t="shared" si="6"/>
        <v>2592012</v>
      </c>
      <c r="J23" s="303">
        <f t="shared" si="7"/>
        <v>1.0918404528960577</v>
      </c>
      <c r="K23" s="323">
        <f>-SUMIFS('BP 2020 v.I dle HAZ - MAT.'!BB:BB,'BP 2020 v.I dle HAZ - MAT.'!$B:$B,"Léky - centra (LEK)")</f>
        <v>235461407.16</v>
      </c>
      <c r="L23" s="353">
        <v>235500000</v>
      </c>
      <c r="M23" s="115">
        <v>263600000</v>
      </c>
      <c r="N23" s="115">
        <f>-SUMIFS('BP 2020 v.I dle HAZ - MAT.'!BD:BD,'BP 2020 v.I dle HAZ - MAT.'!$B:$B,"Léky - centra (LEK)")</f>
        <v>291500000</v>
      </c>
      <c r="O23" s="105">
        <f t="shared" si="0"/>
        <v>27900000</v>
      </c>
      <c r="P23" s="106">
        <f t="shared" si="1"/>
        <v>1.1058421851289832</v>
      </c>
      <c r="Q23" s="295">
        <f>SUMIF('CL 2020 PLÁN - SOUHRN '!A:A,A23,'CL 2020 PLÁN - SOUHRN '!I:I)</f>
        <v>311586630.32300001</v>
      </c>
      <c r="R23" s="296">
        <f t="shared" si="8"/>
        <v>47986630.323000014</v>
      </c>
      <c r="S23" s="300">
        <f t="shared" si="9"/>
        <v>1.182043362378604</v>
      </c>
      <c r="T23" s="326">
        <f t="shared" si="10"/>
        <v>20086630.323000014</v>
      </c>
      <c r="U23" s="329">
        <f t="shared" si="11"/>
        <v>1.0689078227204116</v>
      </c>
      <c r="V23" s="331"/>
      <c r="W23" s="317">
        <f>-SUMIFS('BP 2020 v.I dle HAZ - MAT.'!BB:BB,'BP 2020 v.I dle HAZ - MAT.'!$B:$B,"Léky - dle §16 (LEK)")</f>
        <v>1750895.09</v>
      </c>
      <c r="X23" s="359">
        <v>1750000</v>
      </c>
      <c r="Y23" s="116">
        <f>-SUMIFS('BP 2020 v.I dle HAZ - MAT.'!BC:BC,'BP 2020 v.I dle HAZ - MAT.'!$B:$B,"Léky - dle §16 (LEK)")</f>
        <v>1750000</v>
      </c>
      <c r="Z23" s="116">
        <f>-SUMIFS('BP 2020 v.I dle HAZ - MAT.'!BD:BD,'BP 2020 v.I dle HAZ - MAT.'!$B:$B,"Léky - dle §16 (LEK)")</f>
        <v>2000000</v>
      </c>
      <c r="AA23" s="108">
        <f t="shared" si="2"/>
        <v>250000</v>
      </c>
      <c r="AB23" s="314">
        <f t="shared" si="3"/>
        <v>1.1428571428571428</v>
      </c>
      <c r="AC23" s="309">
        <f>-SUMIFS('BP 2020 v.I dle HAZ - MAT.'!BB:BB,'BP 2020 v.I dle HAZ - MAT.'!$B:$B,"Zdravotnické prostředky")</f>
        <v>2304770.54</v>
      </c>
      <c r="AD23" s="117">
        <v>2333000</v>
      </c>
      <c r="AE23" s="338">
        <v>2339976</v>
      </c>
      <c r="AF23" s="117">
        <f>-SUMIFS('BP 2020 v.I dle HAZ - MAT.'!BD:BD,'BP 2020 v.I dle HAZ - MAT.'!$B:$B,"Zdravotnické prostředky")</f>
        <v>2414000</v>
      </c>
      <c r="AG23" s="110">
        <f t="shared" si="4"/>
        <v>74024</v>
      </c>
      <c r="AH23" s="368">
        <f t="shared" si="5"/>
        <v>1.0316345124907265</v>
      </c>
      <c r="AI23" s="373">
        <v>2333976</v>
      </c>
    </row>
    <row r="24" spans="1:36" s="46" customFormat="1" ht="30.75" customHeight="1" x14ac:dyDescent="0.25">
      <c r="A24" s="46" t="s">
        <v>428</v>
      </c>
      <c r="B24" s="46" t="s">
        <v>26</v>
      </c>
      <c r="C24" s="46" t="s">
        <v>333</v>
      </c>
      <c r="D24" s="84" t="s">
        <v>26</v>
      </c>
      <c r="E24" s="57">
        <f>-SUMIFS('BP 2020 v.I dle HAZ - MAT.'!BE:BE,'BP 2020 v.I dle HAZ - MAT.'!$B:$B,"Léky a léčiva")-K24-W24</f>
        <v>3311779.12</v>
      </c>
      <c r="F24" s="345">
        <v>3323000</v>
      </c>
      <c r="G24" s="342">
        <f>3319008+3000</f>
        <v>3322008</v>
      </c>
      <c r="H24" s="57">
        <f>-SUMIFS('BP 2020 v.I dle HAZ - MAT.'!BG:BG,'BP 2020 v.I dle HAZ - MAT.'!$B:$B,"Léky a léčiva")-N24-Z24</f>
        <v>3334000</v>
      </c>
      <c r="I24" s="94">
        <f t="shared" si="6"/>
        <v>11992</v>
      </c>
      <c r="J24" s="304">
        <f t="shared" si="7"/>
        <v>1.0036098648769058</v>
      </c>
      <c r="K24" s="322">
        <f>-SUMIFS('BP 2020 v.I dle HAZ - MAT.'!BE:BE,'BP 2020 v.I dle HAZ - MAT.'!$B:$B,"Léky - centra (LEK)")</f>
        <v>0</v>
      </c>
      <c r="L24" s="351">
        <v>0</v>
      </c>
      <c r="M24" s="64">
        <f>-SUMIFS('BP 2020 v.I dle HAZ - MAT.'!BF:BF,'BP 2020 v.I dle HAZ - MAT.'!$B:$B,"Léky - centra (LEK)")</f>
        <v>0</v>
      </c>
      <c r="N24" s="64">
        <f>-SUMIFS('BP 2020 v.I dle HAZ - MAT.'!BG:BG,'BP 2020 v.I dle HAZ - MAT.'!$B:$B,"Léky - centra (LEK)")</f>
        <v>0</v>
      </c>
      <c r="O24" s="95">
        <f t="shared" si="0"/>
        <v>0</v>
      </c>
      <c r="P24" s="96" t="str">
        <f t="shared" si="1"/>
        <v/>
      </c>
      <c r="Q24" s="295">
        <f>SUMIF('CL 2020 PLÁN - SOUHRN '!A:A,A24,'CL 2020 PLÁN - SOUHRN '!I:I)</f>
        <v>0</v>
      </c>
      <c r="R24" s="296">
        <f t="shared" si="8"/>
        <v>0</v>
      </c>
      <c r="S24" s="300" t="str">
        <f t="shared" si="9"/>
        <v/>
      </c>
      <c r="T24" s="326" t="str">
        <f t="shared" si="10"/>
        <v/>
      </c>
      <c r="U24" s="329" t="str">
        <f t="shared" si="11"/>
        <v/>
      </c>
      <c r="V24" s="331"/>
      <c r="W24" s="315">
        <f>-SUMIFS('BP 2020 v.I dle HAZ - MAT.'!BE:BE,'BP 2020 v.I dle HAZ - MAT.'!$B:$B,"Léky - dle §16 (LEK)")</f>
        <v>0</v>
      </c>
      <c r="X24" s="358">
        <v>0</v>
      </c>
      <c r="Y24" s="70">
        <f>-SUMIFS('BP 2020 v.I dle HAZ - MAT.'!BF:BF,'BP 2020 v.I dle HAZ - MAT.'!$B:$B,"Léky - dle §16 (LEK)")</f>
        <v>0</v>
      </c>
      <c r="Z24" s="70">
        <f>-SUMIFS('BP 2020 v.I dle HAZ - MAT.'!BG:BG,'BP 2020 v.I dle HAZ - MAT.'!$B:$B,"Léky - dle §16 (LEK)")</f>
        <v>0</v>
      </c>
      <c r="AA24" s="97">
        <f t="shared" si="2"/>
        <v>0</v>
      </c>
      <c r="AB24" s="316" t="str">
        <f t="shared" si="3"/>
        <v/>
      </c>
      <c r="AC24" s="308">
        <f>-SUMIFS('BP 2020 v.I dle HAZ - MAT.'!BE:BE,'BP 2020 v.I dle HAZ - MAT.'!$B:$B,"Zdravotnické prostředky")</f>
        <v>95021.440000000002</v>
      </c>
      <c r="AD24" s="308">
        <v>132000</v>
      </c>
      <c r="AE24" s="76">
        <v>135000</v>
      </c>
      <c r="AF24" s="76">
        <f>-SUMIFS('BP 2020 v.I dle HAZ - MAT.'!BG:BG,'BP 2020 v.I dle HAZ - MAT.'!$B:$B,"Zdravotnické prostředky")</f>
        <v>140500</v>
      </c>
      <c r="AG24" s="98">
        <f t="shared" si="4"/>
        <v>5500</v>
      </c>
      <c r="AH24" s="369">
        <f t="shared" si="5"/>
        <v>1.0407407407407407</v>
      </c>
      <c r="AI24" s="372">
        <v>135000</v>
      </c>
    </row>
    <row r="25" spans="1:36" s="46" customFormat="1" ht="30.75" customHeight="1" x14ac:dyDescent="0.25">
      <c r="A25" s="46" t="s">
        <v>429</v>
      </c>
      <c r="B25" s="46" t="s">
        <v>27</v>
      </c>
      <c r="C25" s="46" t="s">
        <v>334</v>
      </c>
      <c r="D25" s="113" t="s">
        <v>27</v>
      </c>
      <c r="E25" s="114">
        <f>-SUMIFS('BP 2020 v.I dle HAZ - MAT.'!BH:BH,'BP 2020 v.I dle HAZ - MAT.'!$B:$B,"Léky a léčiva")-K25-W25</f>
        <v>551039.17000000004</v>
      </c>
      <c r="F25" s="346">
        <v>591000</v>
      </c>
      <c r="G25" s="341">
        <f>1117492+1000</f>
        <v>1118492</v>
      </c>
      <c r="H25" s="114">
        <f>-SUMIFS('BP 2020 v.I dle HAZ - MAT.'!BJ:BJ,'BP 2020 v.I dle HAZ - MAT.'!$B:$B,"Léky a léčiva")-N25-Z25</f>
        <v>700000</v>
      </c>
      <c r="I25" s="103">
        <f t="shared" si="6"/>
        <v>-418492</v>
      </c>
      <c r="J25" s="303">
        <f t="shared" si="7"/>
        <v>0.62584265242844828</v>
      </c>
      <c r="K25" s="323">
        <f>-SUMIFS('BP 2020 v.I dle HAZ - MAT.'!BH:BH,'BP 2020 v.I dle HAZ - MAT.'!$B:$B,"Léky - centra (LEK)")</f>
        <v>0</v>
      </c>
      <c r="L25" s="353">
        <v>0</v>
      </c>
      <c r="M25" s="115">
        <f>-SUMIFS('BP 2020 v.I dle HAZ - MAT.'!BI:BI,'BP 2020 v.I dle HAZ - MAT.'!$B:$B,"Léky - centra (LEK)")</f>
        <v>0</v>
      </c>
      <c r="N25" s="115">
        <f>-SUMIFS('BP 2020 v.I dle HAZ - MAT.'!BJ:BJ,'BP 2020 v.I dle HAZ - MAT.'!$B:$B,"Léky - centra (LEK)")</f>
        <v>0</v>
      </c>
      <c r="O25" s="105">
        <f t="shared" si="0"/>
        <v>0</v>
      </c>
      <c r="P25" s="106" t="str">
        <f t="shared" si="1"/>
        <v/>
      </c>
      <c r="Q25" s="295">
        <f>SUMIF('CL 2020 PLÁN - SOUHRN '!A:A,A25,'CL 2020 PLÁN - SOUHRN '!I:I)</f>
        <v>0</v>
      </c>
      <c r="R25" s="296">
        <f t="shared" si="8"/>
        <v>0</v>
      </c>
      <c r="S25" s="300" t="str">
        <f t="shared" si="9"/>
        <v/>
      </c>
      <c r="T25" s="326" t="str">
        <f t="shared" si="10"/>
        <v/>
      </c>
      <c r="U25" s="329" t="str">
        <f t="shared" si="11"/>
        <v/>
      </c>
      <c r="V25" s="331"/>
      <c r="W25" s="317">
        <f>-SUMIFS('BP 2020 v.I dle HAZ - MAT.'!BH:BH,'BP 2020 v.I dle HAZ - MAT.'!$B:$B,"Léky - dle §16 (LEK)")</f>
        <v>0</v>
      </c>
      <c r="X25" s="359">
        <v>0</v>
      </c>
      <c r="Y25" s="116">
        <f>-SUMIFS('BP 2020 v.I dle HAZ - MAT.'!BI:BI,'BP 2020 v.I dle HAZ - MAT.'!$B:$B,"Léky - dle §16 (LEK)")</f>
        <v>0</v>
      </c>
      <c r="Z25" s="116">
        <f>-SUMIFS('BP 2020 v.I dle HAZ - MAT.'!BJ:BJ,'BP 2020 v.I dle HAZ - MAT.'!$B:$B,"Léky - dle §16 (LEK)")</f>
        <v>0</v>
      </c>
      <c r="AA25" s="108">
        <f t="shared" si="2"/>
        <v>0</v>
      </c>
      <c r="AB25" s="314" t="str">
        <f t="shared" si="3"/>
        <v/>
      </c>
      <c r="AC25" s="309">
        <f>-SUMIFS('BP 2020 v.I dle HAZ - MAT.'!BH:BH,'BP 2020 v.I dle HAZ - MAT.'!$B:$B,"Zdravotnické prostředky")</f>
        <v>90680.07</v>
      </c>
      <c r="AD25" s="309">
        <v>93000</v>
      </c>
      <c r="AE25" s="117">
        <v>96710</v>
      </c>
      <c r="AF25" s="117">
        <f>-SUMIFS('BP 2020 v.I dle HAZ - MAT.'!BJ:BJ,'BP 2020 v.I dle HAZ - MAT.'!$B:$B,"Zdravotnické prostředky")</f>
        <v>118000</v>
      </c>
      <c r="AG25" s="110">
        <f t="shared" si="4"/>
        <v>21290</v>
      </c>
      <c r="AH25" s="368">
        <f t="shared" si="5"/>
        <v>1.2201426946541205</v>
      </c>
      <c r="AI25" s="373">
        <v>93000</v>
      </c>
    </row>
    <row r="26" spans="1:36" s="46" customFormat="1" ht="30.75" customHeight="1" x14ac:dyDescent="0.25">
      <c r="A26" s="46" t="s">
        <v>430</v>
      </c>
      <c r="B26" s="46" t="s">
        <v>28</v>
      </c>
      <c r="C26" s="46" t="s">
        <v>335</v>
      </c>
      <c r="D26" s="84" t="s">
        <v>28</v>
      </c>
      <c r="E26" s="57">
        <f>-SUMIFS('BP 2020 v.I dle HAZ - MAT.'!BK:BK,'BP 2020 v.I dle HAZ - MAT.'!$B:$B,"Léky a léčiva")-K26-W26</f>
        <v>1360023.2799999975</v>
      </c>
      <c r="F26" s="344">
        <v>1470000</v>
      </c>
      <c r="G26" s="342">
        <f>1492304+20000</f>
        <v>1512304</v>
      </c>
      <c r="H26" s="57">
        <f>-SUMIFS('BP 2020 v.I dle HAZ - MAT.'!BM:BM,'BP 2020 v.I dle HAZ - MAT.'!$B:$B,"Léky a léčiva")-N26-Z26</f>
        <v>1554000</v>
      </c>
      <c r="I26" s="94">
        <f t="shared" si="6"/>
        <v>41696</v>
      </c>
      <c r="J26" s="304">
        <f t="shared" si="7"/>
        <v>1.0275711761656388</v>
      </c>
      <c r="K26" s="322">
        <f>-SUMIFS('BP 2020 v.I dle HAZ - MAT.'!BK:BK,'BP 2020 v.I dle HAZ - MAT.'!$B:$B,"Léky - centra (LEK)")</f>
        <v>30046094.960000001</v>
      </c>
      <c r="L26" s="351">
        <v>30100000</v>
      </c>
      <c r="M26" s="64">
        <v>34000000</v>
      </c>
      <c r="N26" s="64">
        <f>-SUMIFS('BP 2020 v.I dle HAZ - MAT.'!BM:BM,'BP 2020 v.I dle HAZ - MAT.'!$B:$B,"Léky - centra (LEK)")</f>
        <v>40000000</v>
      </c>
      <c r="O26" s="95">
        <f t="shared" si="0"/>
        <v>6000000</v>
      </c>
      <c r="P26" s="96">
        <f t="shared" si="1"/>
        <v>1.1764705882352942</v>
      </c>
      <c r="Q26" s="295">
        <f>SUMIF('CL 2020 PLÁN - SOUHRN '!A:A,A26,'CL 2020 PLÁN - SOUHRN '!I:I)</f>
        <v>36533156.944000006</v>
      </c>
      <c r="R26" s="296">
        <f t="shared" si="8"/>
        <v>2533156.9440000057</v>
      </c>
      <c r="S26" s="300">
        <f t="shared" si="9"/>
        <v>1.0745046160000002</v>
      </c>
      <c r="T26" s="326">
        <f t="shared" si="10"/>
        <v>-3466843.0559999943</v>
      </c>
      <c r="U26" s="329">
        <f t="shared" si="11"/>
        <v>0.91332892360000018</v>
      </c>
      <c r="V26" s="331"/>
      <c r="W26" s="315">
        <f>-SUMIFS('BP 2020 v.I dle HAZ - MAT.'!BK:BK,'BP 2020 v.I dle HAZ - MAT.'!$B:$B,"Léky - dle §16 (LEK)")</f>
        <v>0</v>
      </c>
      <c r="X26" s="358">
        <v>0</v>
      </c>
      <c r="Y26" s="70">
        <f>-SUMIFS('BP 2020 v.I dle HAZ - MAT.'!BL:BL,'BP 2020 v.I dle HAZ - MAT.'!$B:$B,"Léky - dle §16 (LEK)")</f>
        <v>0</v>
      </c>
      <c r="Z26" s="70">
        <f>-SUMIFS('BP 2020 v.I dle HAZ - MAT.'!BM:BM,'BP 2020 v.I dle HAZ - MAT.'!$B:$B,"Léky - dle §16 (LEK)")</f>
        <v>0</v>
      </c>
      <c r="AA26" s="97">
        <f t="shared" si="2"/>
        <v>0</v>
      </c>
      <c r="AB26" s="316" t="str">
        <f t="shared" si="3"/>
        <v/>
      </c>
      <c r="AC26" s="308">
        <f>-SUMIFS('BP 2020 v.I dle HAZ - MAT.'!BK:BK,'BP 2020 v.I dle HAZ - MAT.'!$B:$B,"Zdravotnické prostředky")</f>
        <v>840127.35000000102</v>
      </c>
      <c r="AD26" s="308">
        <v>870000</v>
      </c>
      <c r="AE26" s="76">
        <v>895000</v>
      </c>
      <c r="AF26" s="76">
        <f>-SUMIFS('BP 2020 v.I dle HAZ - MAT.'!BM:BM,'BP 2020 v.I dle HAZ - MAT.'!$B:$B,"Zdravotnické prostředky")</f>
        <v>896000</v>
      </c>
      <c r="AG26" s="98">
        <f t="shared" si="4"/>
        <v>1000</v>
      </c>
      <c r="AH26" s="369">
        <f t="shared" si="5"/>
        <v>1.0011173184357542</v>
      </c>
      <c r="AI26" s="372">
        <v>870000</v>
      </c>
    </row>
    <row r="27" spans="1:36" s="46" customFormat="1" ht="30.75" customHeight="1" x14ac:dyDescent="0.25">
      <c r="A27" s="46" t="s">
        <v>431</v>
      </c>
      <c r="B27" s="46" t="s">
        <v>29</v>
      </c>
      <c r="C27" s="46" t="s">
        <v>336</v>
      </c>
      <c r="D27" s="113" t="s">
        <v>29</v>
      </c>
      <c r="E27" s="114">
        <f>-SUMIFS('BP 2020 v.I dle HAZ - MAT.'!BN:BN,'BP 2020 v.I dle HAZ - MAT.'!$B:$B,"Léky a léčiva")-K27-W27</f>
        <v>36923071.669999987</v>
      </c>
      <c r="F27" s="114">
        <v>35695000</v>
      </c>
      <c r="G27" s="341">
        <f>38470004+125000</f>
        <v>38595004</v>
      </c>
      <c r="H27" s="114">
        <f>-SUMIFS('BP 2020 v.I dle HAZ - MAT.'!BP:BP,'BP 2020 v.I dle HAZ - MAT.'!$B:$B,"Léky a léčiva")-N27-Z27</f>
        <v>39230000</v>
      </c>
      <c r="I27" s="103">
        <f t="shared" si="6"/>
        <v>634996</v>
      </c>
      <c r="J27" s="303">
        <f t="shared" si="7"/>
        <v>1.0164528030622824</v>
      </c>
      <c r="K27" s="323">
        <f>-SUMIFS('BP 2020 v.I dle HAZ - MAT.'!BN:BN,'BP 2020 v.I dle HAZ - MAT.'!$B:$B,"Léky - centra (LEK)")</f>
        <v>251134737.66</v>
      </c>
      <c r="L27" s="353">
        <v>243000000</v>
      </c>
      <c r="M27" s="115">
        <v>300000000</v>
      </c>
      <c r="N27" s="115">
        <f>-SUMIFS('BP 2020 v.I dle HAZ - MAT.'!BP:BP,'BP 2020 v.I dle HAZ - MAT.'!$B:$B,"Léky - centra (LEK)")</f>
        <v>320770000</v>
      </c>
      <c r="O27" s="105">
        <f t="shared" si="0"/>
        <v>20770000</v>
      </c>
      <c r="P27" s="106">
        <f t="shared" si="1"/>
        <v>1.0692333333333333</v>
      </c>
      <c r="Q27" s="295">
        <f>SUMIF('CL 2020 PLÁN - SOUHRN '!A:A,A27,'CL 2020 PLÁN - SOUHRN '!I:I)</f>
        <v>318271024.87000006</v>
      </c>
      <c r="R27" s="296">
        <f t="shared" si="8"/>
        <v>18271024.870000064</v>
      </c>
      <c r="S27" s="300">
        <f t="shared" si="9"/>
        <v>1.0609034162333335</v>
      </c>
      <c r="T27" s="326">
        <f t="shared" si="10"/>
        <v>-2498975.1299999356</v>
      </c>
      <c r="U27" s="329">
        <f t="shared" si="11"/>
        <v>0.99220944873273709</v>
      </c>
      <c r="V27" s="331"/>
      <c r="W27" s="317">
        <f>-SUMIFS('BP 2020 v.I dle HAZ - MAT.'!BN:BN,'BP 2020 v.I dle HAZ - MAT.'!$B:$B,"Léky - dle §16 (LEK)")</f>
        <v>8385996.3099999996</v>
      </c>
      <c r="X27" s="359">
        <v>8385000</v>
      </c>
      <c r="Y27" s="116">
        <v>10300000</v>
      </c>
      <c r="Z27" s="116">
        <f>-SUMIFS('BP 2020 v.I dle HAZ - MAT.'!BP:BP,'BP 2020 v.I dle HAZ - MAT.'!$B:$B,"Léky - dle §16 (LEK)")</f>
        <v>8000000</v>
      </c>
      <c r="AA27" s="108">
        <f t="shared" si="2"/>
        <v>-2300000</v>
      </c>
      <c r="AB27" s="314">
        <f t="shared" si="3"/>
        <v>0.77669902912621358</v>
      </c>
      <c r="AC27" s="309">
        <f>-SUMIFS('BP 2020 v.I dle HAZ - MAT.'!BN:BN,'BP 2020 v.I dle HAZ - MAT.'!$B:$B,"Zdravotnické prostředky")</f>
        <v>4525177.3</v>
      </c>
      <c r="AD27" s="361">
        <v>4498000</v>
      </c>
      <c r="AE27" s="338">
        <f>2786981+918292+789864</f>
        <v>4495137</v>
      </c>
      <c r="AF27" s="117">
        <f>-SUMIFS('BP 2020 v.I dle HAZ - MAT.'!BP:BP,'BP 2020 v.I dle HAZ - MAT.'!$B:$B,"Zdravotnické prostředky")</f>
        <v>4510000</v>
      </c>
      <c r="AG27" s="110">
        <f t="shared" si="4"/>
        <v>14863</v>
      </c>
      <c r="AH27" s="368">
        <f t="shared" si="5"/>
        <v>1.003306462072235</v>
      </c>
      <c r="AI27" s="373">
        <v>4497012</v>
      </c>
    </row>
    <row r="28" spans="1:36" s="46" customFormat="1" ht="30.75" customHeight="1" x14ac:dyDescent="0.25">
      <c r="A28" s="46" t="s">
        <v>432</v>
      </c>
      <c r="B28" s="46" t="s">
        <v>30</v>
      </c>
      <c r="C28" s="46" t="s">
        <v>337</v>
      </c>
      <c r="D28" s="84" t="s">
        <v>30</v>
      </c>
      <c r="E28" s="57">
        <f>-SUMIFS('BP 2020 v.I dle HAZ - MAT.'!BQ:BQ,'BP 2020 v.I dle HAZ - MAT.'!$B:$B,"Léky a léčiva")-K28-W28</f>
        <v>28203396.25</v>
      </c>
      <c r="F28" s="344">
        <v>28105000</v>
      </c>
      <c r="G28" s="342">
        <f>2100000+26005000</f>
        <v>28105000</v>
      </c>
      <c r="H28" s="57">
        <f>-SUMIFS('BP 2020 v.I dle HAZ - MAT.'!BS:BS,'BP 2020 v.I dle HAZ - MAT.'!$B:$B,"Léky a léčiva")-N28-Z28</f>
        <v>30600000</v>
      </c>
      <c r="I28" s="94">
        <f t="shared" si="6"/>
        <v>2495000</v>
      </c>
      <c r="J28" s="304">
        <f t="shared" si="7"/>
        <v>1.0887742394591711</v>
      </c>
      <c r="K28" s="322">
        <f>-SUMIFS('BP 2020 v.I dle HAZ - MAT.'!BQ:BQ,'BP 2020 v.I dle HAZ - MAT.'!$B:$B,"Léky - centra (LEK)")</f>
        <v>3347256.11</v>
      </c>
      <c r="L28" s="351">
        <v>3400000</v>
      </c>
      <c r="M28" s="64">
        <f>-SUMIFS('BP 2020 v.I dle HAZ - MAT.'!BR:BR,'BP 2020 v.I dle HAZ - MAT.'!$B:$B,"Léky - centra (LEK)")</f>
        <v>3400000</v>
      </c>
      <c r="N28" s="64">
        <f>-SUMIFS('BP 2020 v.I dle HAZ - MAT.'!BS:BS,'BP 2020 v.I dle HAZ - MAT.'!$B:$B,"Léky - centra (LEK)")</f>
        <v>7600000</v>
      </c>
      <c r="O28" s="95">
        <f t="shared" si="0"/>
        <v>4200000</v>
      </c>
      <c r="P28" s="96">
        <f t="shared" si="1"/>
        <v>2.2352941176470589</v>
      </c>
      <c r="Q28" s="295">
        <f>SUMIF('CL 2020 PLÁN - SOUHRN '!A:A,A28,'CL 2020 PLÁN - SOUHRN '!I:I)</f>
        <v>3992176.3</v>
      </c>
      <c r="R28" s="296">
        <f t="shared" si="8"/>
        <v>592176.29999999981</v>
      </c>
      <c r="S28" s="300">
        <f t="shared" si="9"/>
        <v>1.1741694999999999</v>
      </c>
      <c r="T28" s="326">
        <f t="shared" si="10"/>
        <v>-3607823.7</v>
      </c>
      <c r="U28" s="329">
        <f t="shared" si="11"/>
        <v>0.52528635526315792</v>
      </c>
      <c r="V28" s="331"/>
      <c r="W28" s="315">
        <f>-SUMIFS('BP 2020 v.I dle HAZ - MAT.'!BQ:BQ,'BP 2020 v.I dle HAZ - MAT.'!$B:$B,"Léky - dle §16 (LEK)")</f>
        <v>0</v>
      </c>
      <c r="X28" s="358">
        <v>0</v>
      </c>
      <c r="Y28" s="70">
        <f>-SUMIFS('BP 2020 v.I dle HAZ - MAT.'!BR:BR,'BP 2020 v.I dle HAZ - MAT.'!$B:$B,"Léky - dle §16 (LEK)")</f>
        <v>0</v>
      </c>
      <c r="Z28" s="70">
        <f>-SUMIFS('BP 2020 v.I dle HAZ - MAT.'!BS:BS,'BP 2020 v.I dle HAZ - MAT.'!$B:$B,"Léky - dle §16 (LEK)")</f>
        <v>0</v>
      </c>
      <c r="AA28" s="97">
        <f t="shared" si="2"/>
        <v>0</v>
      </c>
      <c r="AB28" s="316" t="str">
        <f t="shared" si="3"/>
        <v/>
      </c>
      <c r="AC28" s="308">
        <f>-SUMIFS('BP 2020 v.I dle HAZ - MAT.'!BQ:BQ,'BP 2020 v.I dle HAZ - MAT.'!$B:$B,"Zdravotnické prostředky")</f>
        <v>2996710.59</v>
      </c>
      <c r="AD28" s="308">
        <v>3020000</v>
      </c>
      <c r="AE28" s="76">
        <v>3020004</v>
      </c>
      <c r="AF28" s="76">
        <f>-SUMIFS('BP 2020 v.I dle HAZ - MAT.'!BS:BS,'BP 2020 v.I dle HAZ - MAT.'!$B:$B,"Zdravotnické prostředky")</f>
        <v>3020000</v>
      </c>
      <c r="AG28" s="98">
        <f t="shared" si="4"/>
        <v>-4</v>
      </c>
      <c r="AH28" s="369">
        <f t="shared" si="5"/>
        <v>0.99999867549844301</v>
      </c>
      <c r="AI28" s="372">
        <v>3020004</v>
      </c>
    </row>
    <row r="29" spans="1:36" s="46" customFormat="1" ht="30.75" customHeight="1" x14ac:dyDescent="0.25">
      <c r="A29" s="46" t="s">
        <v>433</v>
      </c>
      <c r="B29" s="46" t="s">
        <v>31</v>
      </c>
      <c r="C29" s="46" t="s">
        <v>338</v>
      </c>
      <c r="D29" s="113" t="s">
        <v>31</v>
      </c>
      <c r="E29" s="114">
        <f>-SUMIFS('BP 2020 v.I dle HAZ - MAT.'!BT:BT,'BP 2020 v.I dle HAZ - MAT.'!$B:$B,"Léky a léčiva")-K29-W29</f>
        <v>298643.05</v>
      </c>
      <c r="F29" s="114">
        <v>380000</v>
      </c>
      <c r="G29" s="341">
        <f>270000+110000</f>
        <v>380000</v>
      </c>
      <c r="H29" s="114">
        <f>-SUMIFS('BP 2020 v.I dle HAZ - MAT.'!BV:BV,'BP 2020 v.I dle HAZ - MAT.'!$B:$B,"Léky a léčiva")-N29-Z29</f>
        <v>383000</v>
      </c>
      <c r="I29" s="103">
        <f t="shared" si="6"/>
        <v>3000</v>
      </c>
      <c r="J29" s="303">
        <f t="shared" si="7"/>
        <v>1.0078947368421052</v>
      </c>
      <c r="K29" s="323">
        <f>-SUMIFS('BP 2020 v.I dle HAZ - MAT.'!BT:BT,'BP 2020 v.I dle HAZ - MAT.'!$B:$B,"Léky - centra (LEK)")</f>
        <v>0</v>
      </c>
      <c r="L29" s="353">
        <v>0</v>
      </c>
      <c r="M29" s="115">
        <f>-SUMIFS('BP 2020 v.I dle HAZ - MAT.'!BU:BU,'BP 2020 v.I dle HAZ - MAT.'!$B:$B,"Léky - centra (LEK)")</f>
        <v>0</v>
      </c>
      <c r="N29" s="115">
        <f>-SUMIFS('BP 2020 v.I dle HAZ - MAT.'!BV:BV,'BP 2020 v.I dle HAZ - MAT.'!$B:$B,"Léky - centra (LEK)")</f>
        <v>0</v>
      </c>
      <c r="O29" s="105">
        <f t="shared" si="0"/>
        <v>0</v>
      </c>
      <c r="P29" s="106" t="str">
        <f t="shared" si="1"/>
        <v/>
      </c>
      <c r="Q29" s="295">
        <f>SUMIF('CL 2020 PLÁN - SOUHRN '!A:A,A29,'CL 2020 PLÁN - SOUHRN '!I:I)</f>
        <v>0</v>
      </c>
      <c r="R29" s="296">
        <f t="shared" si="8"/>
        <v>0</v>
      </c>
      <c r="S29" s="300" t="str">
        <f t="shared" si="9"/>
        <v/>
      </c>
      <c r="T29" s="326" t="str">
        <f t="shared" si="10"/>
        <v/>
      </c>
      <c r="U29" s="329" t="str">
        <f t="shared" si="11"/>
        <v/>
      </c>
      <c r="V29" s="331"/>
      <c r="W29" s="317">
        <f>-SUMIFS('BP 2020 v.I dle HAZ - MAT.'!BT:BT,'BP 2020 v.I dle HAZ - MAT.'!$B:$B,"Léky - dle §16 (LEK)")</f>
        <v>0</v>
      </c>
      <c r="X29" s="359">
        <v>0</v>
      </c>
      <c r="Y29" s="116">
        <f>-SUMIFS('BP 2020 v.I dle HAZ - MAT.'!BU:BU,'BP 2020 v.I dle HAZ - MAT.'!$B:$B,"Léky - dle §16 (LEK)")</f>
        <v>0</v>
      </c>
      <c r="Z29" s="116">
        <f>-SUMIFS('BP 2020 v.I dle HAZ - MAT.'!BV:BV,'BP 2020 v.I dle HAZ - MAT.'!$B:$B,"Léky - dle §16 (LEK)")</f>
        <v>0</v>
      </c>
      <c r="AA29" s="108">
        <f t="shared" si="2"/>
        <v>0</v>
      </c>
      <c r="AB29" s="314" t="str">
        <f t="shared" si="3"/>
        <v/>
      </c>
      <c r="AC29" s="309">
        <f>-SUMIFS('BP 2020 v.I dle HAZ - MAT.'!BT:BT,'BP 2020 v.I dle HAZ - MAT.'!$B:$B,"Zdravotnické prostředky")</f>
        <v>3616957.77</v>
      </c>
      <c r="AD29" s="309">
        <v>3672000</v>
      </c>
      <c r="AE29" s="338">
        <v>3671988</v>
      </c>
      <c r="AF29" s="117">
        <f>-SUMIFS('BP 2020 v.I dle HAZ - MAT.'!BV:BV,'BP 2020 v.I dle HAZ - MAT.'!$B:$B,"Zdravotnické prostředky")</f>
        <v>3680500</v>
      </c>
      <c r="AG29" s="110">
        <f t="shared" si="4"/>
        <v>8512</v>
      </c>
      <c r="AH29" s="368">
        <f t="shared" si="5"/>
        <v>1.0023180903641298</v>
      </c>
      <c r="AI29" s="373">
        <v>3671988</v>
      </c>
    </row>
    <row r="30" spans="1:36" s="46" customFormat="1" ht="30.75" customHeight="1" x14ac:dyDescent="0.25">
      <c r="A30" s="46" t="s">
        <v>434</v>
      </c>
      <c r="B30" s="46" t="s">
        <v>32</v>
      </c>
      <c r="C30" s="46" t="s">
        <v>339</v>
      </c>
      <c r="D30" s="84" t="s">
        <v>32</v>
      </c>
      <c r="E30" s="57">
        <f>-SUMIFS('BP 2020 v.I dle HAZ - MAT.'!BW:BW,'BP 2020 v.I dle HAZ - MAT.'!$B:$B,"Léky a léčiva")-K30-W30</f>
        <v>1424770.13</v>
      </c>
      <c r="F30" s="344">
        <v>1375000</v>
      </c>
      <c r="G30" s="342">
        <f>1179996+195000</f>
        <v>1374996</v>
      </c>
      <c r="H30" s="57">
        <f>-SUMIFS('BP 2020 v.I dle HAZ - MAT.'!BY:BY,'BP 2020 v.I dle HAZ - MAT.'!$B:$B,"Léky a léčiva")-N30-Z30</f>
        <v>1550000</v>
      </c>
      <c r="I30" s="94">
        <f t="shared" si="6"/>
        <v>175004</v>
      </c>
      <c r="J30" s="304">
        <f t="shared" si="7"/>
        <v>1.1272760066211103</v>
      </c>
      <c r="K30" s="322">
        <f>-SUMIFS('BP 2020 v.I dle HAZ - MAT.'!BW:BW,'BP 2020 v.I dle HAZ - MAT.'!$B:$B,"Léky - centra (LEK)")</f>
        <v>0</v>
      </c>
      <c r="L30" s="351">
        <v>0</v>
      </c>
      <c r="M30" s="64">
        <f>-SUMIFS('BP 2020 v.I dle HAZ - MAT.'!BX:BX,'BP 2020 v.I dle HAZ - MAT.'!$B:$B,"Léky - centra (LEK)")</f>
        <v>0</v>
      </c>
      <c r="N30" s="64">
        <f>-SUMIFS('BP 2020 v.I dle HAZ - MAT.'!BY:BY,'BP 2020 v.I dle HAZ - MAT.'!$B:$B,"Léky - centra (LEK)")</f>
        <v>0</v>
      </c>
      <c r="O30" s="95">
        <f t="shared" si="0"/>
        <v>0</v>
      </c>
      <c r="P30" s="96" t="str">
        <f t="shared" si="1"/>
        <v/>
      </c>
      <c r="Q30" s="295">
        <f>SUMIF('CL 2020 PLÁN - SOUHRN '!A:A,A30,'CL 2020 PLÁN - SOUHRN '!I:I)</f>
        <v>0</v>
      </c>
      <c r="R30" s="296">
        <f t="shared" si="8"/>
        <v>0</v>
      </c>
      <c r="S30" s="300" t="str">
        <f t="shared" si="9"/>
        <v/>
      </c>
      <c r="T30" s="326" t="str">
        <f t="shared" si="10"/>
        <v/>
      </c>
      <c r="U30" s="329" t="str">
        <f t="shared" si="11"/>
        <v/>
      </c>
      <c r="V30" s="331"/>
      <c r="W30" s="315">
        <f>-SUMIFS('BP 2020 v.I dle HAZ - MAT.'!BW:BW,'BP 2020 v.I dle HAZ - MAT.'!$B:$B,"Léky - dle §16 (LEK)")</f>
        <v>0</v>
      </c>
      <c r="X30" s="358">
        <v>0</v>
      </c>
      <c r="Y30" s="70">
        <f>-SUMIFS('BP 2020 v.I dle HAZ - MAT.'!BX:BX,'BP 2020 v.I dle HAZ - MAT.'!$B:$B,"Léky - dle §16 (LEK)")</f>
        <v>0</v>
      </c>
      <c r="Z30" s="70">
        <f>-SUMIFS('BP 2020 v.I dle HAZ - MAT.'!BY:BY,'BP 2020 v.I dle HAZ - MAT.'!$B:$B,"Léky - dle §16 (LEK)")</f>
        <v>0</v>
      </c>
      <c r="AA30" s="97">
        <f t="shared" si="2"/>
        <v>0</v>
      </c>
      <c r="AB30" s="316" t="str">
        <f t="shared" si="3"/>
        <v/>
      </c>
      <c r="AC30" s="308">
        <f>-SUMIFS('BP 2020 v.I dle HAZ - MAT.'!BW:BW,'BP 2020 v.I dle HAZ - MAT.'!$B:$B,"Zdravotnické prostředky")</f>
        <v>3623727.68</v>
      </c>
      <c r="AD30" s="308">
        <v>3710000</v>
      </c>
      <c r="AE30" s="339">
        <v>3944440</v>
      </c>
      <c r="AF30" s="76">
        <f>-SUMIFS('BP 2020 v.I dle HAZ - MAT.'!BY:BY,'BP 2020 v.I dle HAZ - MAT.'!$B:$B,"Zdravotnické prostředky")</f>
        <v>4000000</v>
      </c>
      <c r="AG30" s="98">
        <f t="shared" si="4"/>
        <v>55560</v>
      </c>
      <c r="AH30" s="369">
        <f t="shared" si="5"/>
        <v>1.0140856496739714</v>
      </c>
      <c r="AI30" s="372">
        <v>3707976</v>
      </c>
    </row>
    <row r="31" spans="1:36" s="46" customFormat="1" ht="30.75" customHeight="1" x14ac:dyDescent="0.25">
      <c r="A31" s="46" t="s">
        <v>435</v>
      </c>
      <c r="B31" s="46" t="s">
        <v>33</v>
      </c>
      <c r="C31" s="46" t="s">
        <v>340</v>
      </c>
      <c r="D31" s="113" t="s">
        <v>33</v>
      </c>
      <c r="E31" s="114">
        <f>-SUMIFS('BP 2020 v.I dle HAZ - MAT.'!BZ:BZ,'BP 2020 v.I dle HAZ - MAT.'!$B:$B,"Léky a léčiva")-K31-W31</f>
        <v>499949.8</v>
      </c>
      <c r="F31" s="114">
        <f>535000</f>
        <v>535000</v>
      </c>
      <c r="G31" s="341">
        <f>630004+5000</f>
        <v>635004</v>
      </c>
      <c r="H31" s="114">
        <f>-SUMIFS('BP 2020 v.I dle HAZ - MAT.'!CB:CB,'BP 2020 v.I dle HAZ - MAT.'!$B:$B,"Léky a léčiva")-N31-Z31</f>
        <v>660000</v>
      </c>
      <c r="I31" s="103">
        <f t="shared" si="6"/>
        <v>24996</v>
      </c>
      <c r="J31" s="303">
        <f t="shared" si="7"/>
        <v>1.0393635315683052</v>
      </c>
      <c r="K31" s="323">
        <f>-SUMIFS('BP 2020 v.I dle HAZ - MAT.'!BZ:BZ,'BP 2020 v.I dle HAZ - MAT.'!$B:$B,"Léky - centra (LEK)")</f>
        <v>0</v>
      </c>
      <c r="L31" s="353">
        <v>0</v>
      </c>
      <c r="M31" s="115">
        <f>-SUMIFS('BP 2020 v.I dle HAZ - MAT.'!CA:CA,'BP 2020 v.I dle HAZ - MAT.'!$B:$B,"Léky - centra (LEK)")</f>
        <v>0</v>
      </c>
      <c r="N31" s="115">
        <f>-SUMIFS('BP 2020 v.I dle HAZ - MAT.'!CB:CB,'BP 2020 v.I dle HAZ - MAT.'!$B:$B,"Léky - centra (LEK)")</f>
        <v>0</v>
      </c>
      <c r="O31" s="105">
        <f t="shared" si="0"/>
        <v>0</v>
      </c>
      <c r="P31" s="106" t="str">
        <f t="shared" si="1"/>
        <v/>
      </c>
      <c r="Q31" s="295">
        <f>SUMIF('CL 2020 PLÁN - SOUHRN '!A:A,A31,'CL 2020 PLÁN - SOUHRN '!I:I)</f>
        <v>0</v>
      </c>
      <c r="R31" s="296">
        <f t="shared" si="8"/>
        <v>0</v>
      </c>
      <c r="S31" s="300" t="str">
        <f t="shared" si="9"/>
        <v/>
      </c>
      <c r="T31" s="326" t="str">
        <f t="shared" si="10"/>
        <v/>
      </c>
      <c r="U31" s="329" t="str">
        <f t="shared" si="11"/>
        <v/>
      </c>
      <c r="V31" s="331"/>
      <c r="W31" s="317">
        <f>-SUMIFS('BP 2020 v.I dle HAZ - MAT.'!BZ:BZ,'BP 2020 v.I dle HAZ - MAT.'!$B:$B,"Léky - dle §16 (LEK)")</f>
        <v>0</v>
      </c>
      <c r="X31" s="359">
        <v>0</v>
      </c>
      <c r="Y31" s="116">
        <f>-SUMIFS('BP 2020 v.I dle HAZ - MAT.'!CA:CA,'BP 2020 v.I dle HAZ - MAT.'!$B:$B,"Léky - dle §16 (LEK)")</f>
        <v>0</v>
      </c>
      <c r="Z31" s="116">
        <f>-SUMIFS('BP 2020 v.I dle HAZ - MAT.'!CB:CB,'BP 2020 v.I dle HAZ - MAT.'!$B:$B,"Léky - dle §16 (LEK)")</f>
        <v>0</v>
      </c>
      <c r="AA31" s="108">
        <f t="shared" si="2"/>
        <v>0</v>
      </c>
      <c r="AB31" s="314" t="str">
        <f t="shared" si="3"/>
        <v/>
      </c>
      <c r="AC31" s="309">
        <f>-SUMIFS('BP 2020 v.I dle HAZ - MAT.'!BZ:BZ,'BP 2020 v.I dle HAZ - MAT.'!$B:$B,"Zdravotnické prostředky")</f>
        <v>281323.93</v>
      </c>
      <c r="AD31" s="309">
        <v>290000</v>
      </c>
      <c r="AE31" s="117">
        <v>445602</v>
      </c>
      <c r="AF31" s="117">
        <f>-SUMIFS('BP 2020 v.I dle HAZ - MAT.'!CB:CB,'BP 2020 v.I dle HAZ - MAT.'!$B:$B,"Zdravotnické prostředky")</f>
        <v>529000</v>
      </c>
      <c r="AG31" s="110">
        <f t="shared" si="4"/>
        <v>83398</v>
      </c>
      <c r="AH31" s="368">
        <f t="shared" si="5"/>
        <v>1.1871580468669352</v>
      </c>
      <c r="AI31" s="373">
        <v>290016</v>
      </c>
    </row>
    <row r="32" spans="1:36" s="46" customFormat="1" ht="30.75" customHeight="1" x14ac:dyDescent="0.25">
      <c r="A32" s="46" t="s">
        <v>436</v>
      </c>
      <c r="B32" s="46" t="s">
        <v>34</v>
      </c>
      <c r="C32" s="46" t="s">
        <v>341</v>
      </c>
      <c r="D32" s="84" t="s">
        <v>34</v>
      </c>
      <c r="E32" s="57">
        <f>-SUMIFS('BP 2020 v.I dle HAZ - MAT.'!CC:CC,'BP 2020 v.I dle HAZ - MAT.'!$B:$B,"Léky a léčiva")-K32-W32</f>
        <v>21633.91</v>
      </c>
      <c r="F32" s="57">
        <v>17000</v>
      </c>
      <c r="G32" s="57">
        <f>9996+7000</f>
        <v>16996</v>
      </c>
      <c r="H32" s="57">
        <f>-SUMIFS('BP 2020 v.I dle HAZ - MAT.'!CE:CE,'BP 2020 v.I dle HAZ - MAT.'!$B:$B,"Léky a léčiva")-N32-Z32</f>
        <v>20500</v>
      </c>
      <c r="I32" s="94">
        <f t="shared" si="6"/>
        <v>3504</v>
      </c>
      <c r="J32" s="304">
        <f t="shared" si="7"/>
        <v>1.2061661567427631</v>
      </c>
      <c r="K32" s="322">
        <f>-SUMIFS('BP 2020 v.I dle HAZ - MAT.'!CC:CC,'BP 2020 v.I dle HAZ - MAT.'!$B:$B,"Léky - centra (LEK)")</f>
        <v>0</v>
      </c>
      <c r="L32" s="351">
        <v>0</v>
      </c>
      <c r="M32" s="64">
        <f>-SUMIFS('BP 2020 v.I dle HAZ - MAT.'!CD:CD,'BP 2020 v.I dle HAZ - MAT.'!$B:$B,"Léky - centra (LEK)")</f>
        <v>0</v>
      </c>
      <c r="N32" s="64">
        <f>-SUMIFS('BP 2020 v.I dle HAZ - MAT.'!CE:CE,'BP 2020 v.I dle HAZ - MAT.'!$B:$B,"Léky - centra (LEK)")</f>
        <v>0</v>
      </c>
      <c r="O32" s="95">
        <f t="shared" si="0"/>
        <v>0</v>
      </c>
      <c r="P32" s="96" t="str">
        <f t="shared" si="1"/>
        <v/>
      </c>
      <c r="Q32" s="295">
        <f>SUMIF('CL 2020 PLÁN - SOUHRN '!A:A,A32,'CL 2020 PLÁN - SOUHRN '!I:I)</f>
        <v>0</v>
      </c>
      <c r="R32" s="296">
        <f t="shared" si="8"/>
        <v>0</v>
      </c>
      <c r="S32" s="300" t="str">
        <f t="shared" si="9"/>
        <v/>
      </c>
      <c r="T32" s="326" t="str">
        <f t="shared" si="10"/>
        <v/>
      </c>
      <c r="U32" s="329" t="str">
        <f t="shared" si="11"/>
        <v/>
      </c>
      <c r="V32" s="331"/>
      <c r="W32" s="315">
        <f>-SUMIFS('BP 2020 v.I dle HAZ - MAT.'!CC:CC,'BP 2020 v.I dle HAZ - MAT.'!$B:$B,"Léky - dle §16 (LEK)")</f>
        <v>0</v>
      </c>
      <c r="X32" s="358">
        <v>0</v>
      </c>
      <c r="Y32" s="70">
        <f>-SUMIFS('BP 2020 v.I dle HAZ - MAT.'!CD:CD,'BP 2020 v.I dle HAZ - MAT.'!$B:$B,"Léky - dle §16 (LEK)")</f>
        <v>0</v>
      </c>
      <c r="Z32" s="70">
        <f>-SUMIFS('BP 2020 v.I dle HAZ - MAT.'!CE:CE,'BP 2020 v.I dle HAZ - MAT.'!$B:$B,"Léky - dle §16 (LEK)")</f>
        <v>0</v>
      </c>
      <c r="AA32" s="97">
        <f t="shared" si="2"/>
        <v>0</v>
      </c>
      <c r="AB32" s="316" t="str">
        <f t="shared" si="3"/>
        <v/>
      </c>
      <c r="AC32" s="308">
        <f>-SUMIFS('BP 2020 v.I dle HAZ - MAT.'!CC:CC,'BP 2020 v.I dle HAZ - MAT.'!$B:$B,"Zdravotnické prostředky")</f>
        <v>88538.18</v>
      </c>
      <c r="AD32" s="308">
        <v>100000</v>
      </c>
      <c r="AE32" s="76">
        <v>151726</v>
      </c>
      <c r="AF32" s="76">
        <f>-SUMIFS('BP 2020 v.I dle HAZ - MAT.'!CE:CE,'BP 2020 v.I dle HAZ - MAT.'!$B:$B,"Zdravotnické prostředky")</f>
        <v>139000</v>
      </c>
      <c r="AG32" s="98">
        <f t="shared" si="4"/>
        <v>-12726</v>
      </c>
      <c r="AH32" s="369">
        <f t="shared" si="5"/>
        <v>0.91612512028261472</v>
      </c>
      <c r="AI32" s="372">
        <v>101004</v>
      </c>
    </row>
    <row r="33" spans="1:36" s="46" customFormat="1" ht="30.75" customHeight="1" x14ac:dyDescent="0.25">
      <c r="A33" s="46" t="s">
        <v>437</v>
      </c>
      <c r="B33" s="46" t="s">
        <v>35</v>
      </c>
      <c r="C33" s="46" t="s">
        <v>342</v>
      </c>
      <c r="D33" s="113" t="s">
        <v>35</v>
      </c>
      <c r="E33" s="114">
        <f>-SUMIFS('BP 2020 v.I dle HAZ - MAT.'!CF:CF,'BP 2020 v.I dle HAZ - MAT.'!$B:$B,"Léky a léčiva")-K33-W33</f>
        <v>33463.67</v>
      </c>
      <c r="F33" s="114">
        <v>40000</v>
      </c>
      <c r="G33" s="114">
        <v>39996</v>
      </c>
      <c r="H33" s="114">
        <f>-SUMIFS('BP 2020 v.I dle HAZ - MAT.'!CH:CH,'BP 2020 v.I dle HAZ - MAT.'!$B:$B,"Léky a léčiva")-N33-Z33</f>
        <v>40000</v>
      </c>
      <c r="I33" s="103">
        <f t="shared" si="6"/>
        <v>4</v>
      </c>
      <c r="J33" s="303">
        <f t="shared" si="7"/>
        <v>1.000100010001</v>
      </c>
      <c r="K33" s="323">
        <f>-SUMIFS('BP 2020 v.I dle HAZ - MAT.'!CF:CF,'BP 2020 v.I dle HAZ - MAT.'!$B:$B,"Léky - centra (LEK)")</f>
        <v>0</v>
      </c>
      <c r="L33" s="353">
        <v>0</v>
      </c>
      <c r="M33" s="115">
        <f>-SUMIFS('BP 2020 v.I dle HAZ - MAT.'!CG:CG,'BP 2020 v.I dle HAZ - MAT.'!$B:$B,"Léky - centra (LEK)")</f>
        <v>0</v>
      </c>
      <c r="N33" s="115">
        <f>-SUMIFS('BP 2020 v.I dle HAZ - MAT.'!CH:CH,'BP 2020 v.I dle HAZ - MAT.'!$B:$B,"Léky - centra (LEK)")</f>
        <v>0</v>
      </c>
      <c r="O33" s="105">
        <f t="shared" si="0"/>
        <v>0</v>
      </c>
      <c r="P33" s="106" t="str">
        <f t="shared" si="1"/>
        <v/>
      </c>
      <c r="Q33" s="295">
        <f>SUMIF('CL 2020 PLÁN - SOUHRN '!A:A,A33,'CL 2020 PLÁN - SOUHRN '!I:I)</f>
        <v>0</v>
      </c>
      <c r="R33" s="296">
        <f t="shared" si="8"/>
        <v>0</v>
      </c>
      <c r="S33" s="300" t="str">
        <f t="shared" si="9"/>
        <v/>
      </c>
      <c r="T33" s="326" t="str">
        <f t="shared" si="10"/>
        <v/>
      </c>
      <c r="U33" s="329" t="str">
        <f t="shared" si="11"/>
        <v/>
      </c>
      <c r="V33" s="331"/>
      <c r="W33" s="317">
        <f>-SUMIFS('BP 2020 v.I dle HAZ - MAT.'!CF:CF,'BP 2020 v.I dle HAZ - MAT.'!$B:$B,"Léky - dle §16 (LEK)")</f>
        <v>0</v>
      </c>
      <c r="X33" s="359">
        <v>0</v>
      </c>
      <c r="Y33" s="116">
        <f>-SUMIFS('BP 2020 v.I dle HAZ - MAT.'!CG:CG,'BP 2020 v.I dle HAZ - MAT.'!$B:$B,"Léky - dle §16 (LEK)")</f>
        <v>0</v>
      </c>
      <c r="Z33" s="116">
        <f>-SUMIFS('BP 2020 v.I dle HAZ - MAT.'!CH:CH,'BP 2020 v.I dle HAZ - MAT.'!$B:$B,"Léky - dle §16 (LEK)")</f>
        <v>0</v>
      </c>
      <c r="AA33" s="108">
        <f t="shared" si="2"/>
        <v>0</v>
      </c>
      <c r="AB33" s="314" t="str">
        <f t="shared" si="3"/>
        <v/>
      </c>
      <c r="AC33" s="309">
        <f>-SUMIFS('BP 2020 v.I dle HAZ - MAT.'!CF:CF,'BP 2020 v.I dle HAZ - MAT.'!$B:$B,"Zdravotnické prostředky")</f>
        <v>4818810.4000000004</v>
      </c>
      <c r="AD33" s="361">
        <v>3625000</v>
      </c>
      <c r="AE33" s="338">
        <v>3624984</v>
      </c>
      <c r="AF33" s="117">
        <f>-SUMIFS('BP 2020 v.I dle HAZ - MAT.'!CH:CH,'BP 2020 v.I dle HAZ - MAT.'!$B:$B,"Zdravotnické prostředky")</f>
        <v>4925000</v>
      </c>
      <c r="AG33" s="110">
        <f t="shared" si="4"/>
        <v>1300016</v>
      </c>
      <c r="AH33" s="368">
        <f t="shared" si="5"/>
        <v>1.3586266863522709</v>
      </c>
      <c r="AI33" s="373">
        <v>3624984</v>
      </c>
    </row>
    <row r="34" spans="1:36" s="46" customFormat="1" ht="30.75" customHeight="1" x14ac:dyDescent="0.25">
      <c r="A34" s="46" t="s">
        <v>438</v>
      </c>
      <c r="B34" s="46" t="s">
        <v>36</v>
      </c>
      <c r="C34" s="46" t="s">
        <v>343</v>
      </c>
      <c r="D34" s="84" t="s">
        <v>36</v>
      </c>
      <c r="E34" s="57">
        <f>-SUMIFS('BP 2020 v.I dle HAZ - MAT.'!CI:CI,'BP 2020 v.I dle HAZ - MAT.'!$B:$B,"Léky a léčiva")-K34-W34</f>
        <v>179839.68</v>
      </c>
      <c r="F34" s="57">
        <f>180000</f>
        <v>180000</v>
      </c>
      <c r="G34" s="57">
        <v>191000</v>
      </c>
      <c r="H34" s="57">
        <f>-SUMIFS('BP 2020 v.I dle HAZ - MAT.'!CK:CK,'BP 2020 v.I dle HAZ - MAT.'!$B:$B,"Léky a léčiva")-N34-Z34</f>
        <v>210000</v>
      </c>
      <c r="I34" s="94">
        <f t="shared" si="6"/>
        <v>19000</v>
      </c>
      <c r="J34" s="304">
        <f t="shared" si="7"/>
        <v>1.0994764397905759</v>
      </c>
      <c r="K34" s="322">
        <f>-SUMIFS('BP 2020 v.I dle HAZ - MAT.'!CI:CI,'BP 2020 v.I dle HAZ - MAT.'!$B:$B,"Léky - centra (LEK)")</f>
        <v>0</v>
      </c>
      <c r="L34" s="351">
        <v>0</v>
      </c>
      <c r="M34" s="64">
        <f>-SUMIFS('BP 2020 v.I dle HAZ - MAT.'!CJ:CJ,'BP 2020 v.I dle HAZ - MAT.'!$B:$B,"Léky - centra (LEK)")</f>
        <v>500000</v>
      </c>
      <c r="N34" s="64">
        <f>-SUMIFS('BP 2020 v.I dle HAZ - MAT.'!CK:CK,'BP 2020 v.I dle HAZ - MAT.'!$B:$B,"Léky - centra (LEK)")</f>
        <v>500000</v>
      </c>
      <c r="O34" s="95">
        <f t="shared" si="0"/>
        <v>0</v>
      </c>
      <c r="P34" s="96">
        <f t="shared" si="1"/>
        <v>1</v>
      </c>
      <c r="Q34" s="295">
        <f>SUMIF('CL 2020 PLÁN - SOUHRN '!A:A,A34,'CL 2020 PLÁN - SOUHRN '!I:I)</f>
        <v>0</v>
      </c>
      <c r="R34" s="296">
        <f t="shared" si="8"/>
        <v>-500000</v>
      </c>
      <c r="S34" s="300">
        <f t="shared" si="9"/>
        <v>0</v>
      </c>
      <c r="T34" s="326">
        <f t="shared" si="10"/>
        <v>-500000</v>
      </c>
      <c r="U34" s="329">
        <f t="shared" si="11"/>
        <v>0</v>
      </c>
      <c r="V34" s="331"/>
      <c r="W34" s="315">
        <f>-SUMIFS('BP 2020 v.I dle HAZ - MAT.'!CI:CI,'BP 2020 v.I dle HAZ - MAT.'!$B:$B,"Léky - dle §16 (LEK)")</f>
        <v>0</v>
      </c>
      <c r="X34" s="358">
        <v>0</v>
      </c>
      <c r="Y34" s="70">
        <f>-SUMIFS('BP 2020 v.I dle HAZ - MAT.'!CJ:CJ,'BP 2020 v.I dle HAZ - MAT.'!$B:$B,"Léky - dle §16 (LEK)")</f>
        <v>0</v>
      </c>
      <c r="Z34" s="70">
        <f>-SUMIFS('BP 2020 v.I dle HAZ - MAT.'!CK:CK,'BP 2020 v.I dle HAZ - MAT.'!$B:$B,"Léky - dle §16 (LEK)")</f>
        <v>0</v>
      </c>
      <c r="AA34" s="97">
        <f t="shared" si="2"/>
        <v>0</v>
      </c>
      <c r="AB34" s="316" t="str">
        <f t="shared" si="3"/>
        <v/>
      </c>
      <c r="AC34" s="308">
        <f>-SUMIFS('BP 2020 v.I dle HAZ - MAT.'!CI:CI,'BP 2020 v.I dle HAZ - MAT.'!$B:$B,"Zdravotnické prostředky")</f>
        <v>2792720.83</v>
      </c>
      <c r="AD34" s="308">
        <f>3546000</f>
        <v>3546000</v>
      </c>
      <c r="AE34" s="76">
        <v>3049012</v>
      </c>
      <c r="AF34" s="76">
        <f>-SUMIFS('BP 2020 v.I dle HAZ - MAT.'!CK:CK,'BP 2020 v.I dle HAZ - MAT.'!$B:$B,"Zdravotnické prostředky")</f>
        <v>3145000</v>
      </c>
      <c r="AG34" s="98">
        <f t="shared" si="4"/>
        <v>95988</v>
      </c>
      <c r="AH34" s="369">
        <f t="shared" si="5"/>
        <v>1.0314816734076482</v>
      </c>
      <c r="AI34" s="372">
        <v>3546012</v>
      </c>
    </row>
    <row r="35" spans="1:36" s="46" customFormat="1" ht="30.75" customHeight="1" x14ac:dyDescent="0.25">
      <c r="A35" s="46" t="s">
        <v>441</v>
      </c>
      <c r="B35" s="46" t="s">
        <v>442</v>
      </c>
      <c r="C35" s="46" t="s">
        <v>313</v>
      </c>
      <c r="D35" s="113" t="s">
        <v>37</v>
      </c>
      <c r="E35" s="114">
        <f>-SUMIFS('BP 2020 v.I dle HAZ - MAT.'!CL:CL,'BP 2020 v.I dle HAZ - MAT.'!$B:$B,"Léky a léčiva")-K35-W35</f>
        <v>1974187.56</v>
      </c>
      <c r="F35" s="343">
        <v>2210000</v>
      </c>
      <c r="G35" s="341">
        <f>1865008+220000</f>
        <v>2085008</v>
      </c>
      <c r="H35" s="114">
        <f>-SUMIFS('BP 2020 v.I dle HAZ - MAT.'!CN:CN,'BP 2020 v.I dle HAZ - MAT.'!$B:$B,"Léky a léčiva")-N35-Z35</f>
        <v>1939000</v>
      </c>
      <c r="I35" s="103">
        <f t="shared" si="6"/>
        <v>-146008</v>
      </c>
      <c r="J35" s="303">
        <f t="shared" si="7"/>
        <v>0.92997245094503234</v>
      </c>
      <c r="K35" s="323">
        <f>-SUMIFS('BP 2020 v.I dle HAZ - MAT.'!CL:CL,'BP 2020 v.I dle HAZ - MAT.'!$B:$B,"Léky - centra (LEK)")</f>
        <v>0</v>
      </c>
      <c r="L35" s="353">
        <v>0</v>
      </c>
      <c r="M35" s="115">
        <f>-SUMIFS('BP 2020 v.I dle HAZ - MAT.'!CM:CM,'BP 2020 v.I dle HAZ - MAT.'!$B:$B,"Léky - centra (LEK)")</f>
        <v>0</v>
      </c>
      <c r="N35" s="115">
        <f>-SUMIFS('BP 2020 v.I dle HAZ - MAT.'!CN:CN,'BP 2020 v.I dle HAZ - MAT.'!$B:$B,"Léky - centra (LEK)")</f>
        <v>0</v>
      </c>
      <c r="O35" s="105">
        <f t="shared" si="0"/>
        <v>0</v>
      </c>
      <c r="P35" s="106" t="str">
        <f t="shared" si="1"/>
        <v/>
      </c>
      <c r="Q35" s="295">
        <f>SUMIF('CL 2020 PLÁN - SOUHRN '!A:A,A35,'CL 2020 PLÁN - SOUHRN '!I:I)</f>
        <v>0</v>
      </c>
      <c r="R35" s="296">
        <f t="shared" si="8"/>
        <v>0</v>
      </c>
      <c r="S35" s="300" t="str">
        <f t="shared" si="9"/>
        <v/>
      </c>
      <c r="T35" s="326" t="str">
        <f t="shared" si="10"/>
        <v/>
      </c>
      <c r="U35" s="329" t="str">
        <f t="shared" si="11"/>
        <v/>
      </c>
      <c r="V35" s="331"/>
      <c r="W35" s="317">
        <f>-SUMIFS('BP 2020 v.I dle HAZ - MAT.'!CL:CL,'BP 2020 v.I dle HAZ - MAT.'!$B:$B,"Léky - dle §16 (LEK)")</f>
        <v>0</v>
      </c>
      <c r="X35" s="359">
        <v>0</v>
      </c>
      <c r="Y35" s="116">
        <f>-SUMIFS('BP 2020 v.I dle HAZ - MAT.'!CM:CM,'BP 2020 v.I dle HAZ - MAT.'!$B:$B,"Léky - dle §16 (LEK)")</f>
        <v>0</v>
      </c>
      <c r="Z35" s="116">
        <f>-SUMIFS('BP 2020 v.I dle HAZ - MAT.'!CN:CN,'BP 2020 v.I dle HAZ - MAT.'!$B:$B,"Léky - dle §16 (LEK)")</f>
        <v>0</v>
      </c>
      <c r="AA35" s="108">
        <f t="shared" si="2"/>
        <v>0</v>
      </c>
      <c r="AB35" s="314" t="str">
        <f t="shared" si="3"/>
        <v/>
      </c>
      <c r="AC35" s="309">
        <f>-SUMIFS('BP 2020 v.I dle HAZ - MAT.'!CL:CL,'BP 2020 v.I dle HAZ - MAT.'!$B:$B,"Zdravotnické prostředky")</f>
        <v>15697876.869999999</v>
      </c>
      <c r="AD35" s="309">
        <v>15819000</v>
      </c>
      <c r="AE35" s="117">
        <v>15954702</v>
      </c>
      <c r="AF35" s="117">
        <f>-SUMIFS('BP 2020 v.I dle HAZ - MAT.'!CN:CN,'BP 2020 v.I dle HAZ - MAT.'!$B:$B,"Zdravotnické prostředky")</f>
        <v>15698250</v>
      </c>
      <c r="AG35" s="110">
        <f t="shared" si="4"/>
        <v>-256452</v>
      </c>
      <c r="AH35" s="368">
        <f t="shared" si="5"/>
        <v>0.9839262431852378</v>
      </c>
      <c r="AI35" s="373">
        <v>15819036</v>
      </c>
    </row>
    <row r="36" spans="1:36" s="46" customFormat="1" ht="30.75" customHeight="1" x14ac:dyDescent="0.25">
      <c r="A36" s="46" t="s">
        <v>443</v>
      </c>
      <c r="B36" s="46" t="s">
        <v>38</v>
      </c>
      <c r="C36" s="46" t="s">
        <v>344</v>
      </c>
      <c r="D36" s="84" t="s">
        <v>38</v>
      </c>
      <c r="E36" s="57">
        <f>-SUMIFS('BP 2020 v.I dle HAZ - MAT.'!CO:CO,'BP 2020 v.I dle HAZ - MAT.'!$B:$B,"Léky a léčiva")-K36-W36</f>
        <v>79569271.439999998</v>
      </c>
      <c r="F36" s="345">
        <v>76180000</v>
      </c>
      <c r="G36" s="342">
        <f>42563988+32065000</f>
        <v>74628988</v>
      </c>
      <c r="H36" s="57">
        <f>-SUMIFS('BP 2020 v.I dle HAZ - MAT.'!CQ:CQ,'BP 2020 v.I dle HAZ - MAT.'!$B:$B,"Léky a léčiva")-N36-Z36</f>
        <v>97835000</v>
      </c>
      <c r="I36" s="94">
        <f t="shared" si="6"/>
        <v>23206012</v>
      </c>
      <c r="J36" s="304">
        <f t="shared" si="7"/>
        <v>1.3109517175819134</v>
      </c>
      <c r="K36" s="322">
        <f>-SUMIFS('BP 2020 v.I dle HAZ - MAT.'!CO:CO,'BP 2020 v.I dle HAZ - MAT.'!$B:$B,"Léky - centra (LEK)")</f>
        <v>206153890.78</v>
      </c>
      <c r="L36" s="351">
        <v>206200000</v>
      </c>
      <c r="M36" s="340">
        <v>252000000</v>
      </c>
      <c r="N36" s="64">
        <f>-SUMIFS('BP 2020 v.I dle HAZ - MAT.'!CQ:CQ,'BP 2020 v.I dle HAZ - MAT.'!$B:$B,"Léky - centra (LEK)")</f>
        <v>300000000</v>
      </c>
      <c r="O36" s="95">
        <f t="shared" si="0"/>
        <v>48000000</v>
      </c>
      <c r="P36" s="96">
        <f t="shared" si="1"/>
        <v>1.1904761904761905</v>
      </c>
      <c r="Q36" s="295">
        <f>SUMIF('CL 2020 PLÁN - SOUHRN '!A:A,A36,'CL 2020 PLÁN - SOUHRN '!I:I)</f>
        <v>260058672.053</v>
      </c>
      <c r="R36" s="296">
        <f t="shared" si="8"/>
        <v>8058672.0530000031</v>
      </c>
      <c r="S36" s="300">
        <f t="shared" si="9"/>
        <v>1.0319788573531745</v>
      </c>
      <c r="T36" s="326">
        <f t="shared" si="10"/>
        <v>-39941327.946999997</v>
      </c>
      <c r="U36" s="329">
        <f t="shared" si="11"/>
        <v>0.86686224017666669</v>
      </c>
      <c r="V36" s="331"/>
      <c r="W36" s="315">
        <f>-SUMIFS('BP 2020 v.I dle HAZ - MAT.'!CO:CO,'BP 2020 v.I dle HAZ - MAT.'!$B:$B,"Léky - dle §16 (LEK)")</f>
        <v>50744368.340000004</v>
      </c>
      <c r="X36" s="358">
        <v>50700000</v>
      </c>
      <c r="Y36" s="70">
        <v>28645896</v>
      </c>
      <c r="Z36" s="70">
        <f>-SUMIFS('BP 2020 v.I dle HAZ - MAT.'!CQ:CQ,'BP 2020 v.I dle HAZ - MAT.'!$B:$B,"Léky - dle §16 (LEK)")</f>
        <v>40000000</v>
      </c>
      <c r="AA36" s="97">
        <f t="shared" si="2"/>
        <v>11354104</v>
      </c>
      <c r="AB36" s="316">
        <f t="shared" si="3"/>
        <v>1.3963605816344513</v>
      </c>
      <c r="AC36" s="308">
        <f>-SUMIFS('BP 2020 v.I dle HAZ - MAT.'!CO:CO,'BP 2020 v.I dle HAZ - MAT.'!$B:$B,"Zdravotnické prostředky")</f>
        <v>36813631.859999999</v>
      </c>
      <c r="AD36" s="308">
        <v>36933000</v>
      </c>
      <c r="AE36" s="76">
        <f>38191952+5622</f>
        <v>38197574</v>
      </c>
      <c r="AF36" s="76">
        <f>-SUMIFS('BP 2020 v.I dle HAZ - MAT.'!CQ:CQ,'BP 2020 v.I dle HAZ - MAT.'!$B:$B,"Zdravotnické prostředky")</f>
        <v>42946320.999999903</v>
      </c>
      <c r="AG36" s="98">
        <f t="shared" si="4"/>
        <v>4748746.9999999031</v>
      </c>
      <c r="AH36" s="369">
        <f t="shared" si="5"/>
        <v>1.1243206440283329</v>
      </c>
      <c r="AI36" s="372">
        <v>37955968</v>
      </c>
      <c r="AJ36" s="374" t="s">
        <v>582</v>
      </c>
    </row>
    <row r="37" spans="1:36" s="46" customFormat="1" ht="30.75" customHeight="1" x14ac:dyDescent="0.25">
      <c r="A37" s="46" t="s">
        <v>444</v>
      </c>
      <c r="B37" s="46" t="s">
        <v>39</v>
      </c>
      <c r="C37" s="46" t="s">
        <v>345</v>
      </c>
      <c r="D37" s="113" t="s">
        <v>39</v>
      </c>
      <c r="E37" s="114">
        <f>-SUMIFS('BP 2020 v.I dle HAZ - MAT.'!CR:CR,'BP 2020 v.I dle HAZ - MAT.'!$B:$B,"Léky a léčiva")-K37-W37</f>
        <v>9920.4599999999991</v>
      </c>
      <c r="F37" s="346">
        <v>15000</v>
      </c>
      <c r="G37" s="114">
        <v>15000</v>
      </c>
      <c r="H37" s="114">
        <f>-SUMIFS('BP 2020 v.I dle HAZ - MAT.'!CT:CT,'BP 2020 v.I dle HAZ - MAT.'!$B:$B,"Léky a léčiva")-N37-Z37</f>
        <v>10000</v>
      </c>
      <c r="I37" s="103">
        <f t="shared" si="6"/>
        <v>-5000</v>
      </c>
      <c r="J37" s="303">
        <f t="shared" si="7"/>
        <v>0.66666666666666663</v>
      </c>
      <c r="K37" s="323">
        <f>-SUMIFS('BP 2020 v.I dle HAZ - MAT.'!CR:CR,'BP 2020 v.I dle HAZ - MAT.'!$B:$B,"Léky - centra (LEK)")</f>
        <v>0</v>
      </c>
      <c r="L37" s="353">
        <v>0</v>
      </c>
      <c r="M37" s="115">
        <f>-SUMIFS('BP 2020 v.I dle HAZ - MAT.'!CS:CS,'BP 2020 v.I dle HAZ - MAT.'!$B:$B,"Léky - centra (LEK)")</f>
        <v>0</v>
      </c>
      <c r="N37" s="115">
        <f>-SUMIFS('BP 2020 v.I dle HAZ - MAT.'!CT:CT,'BP 2020 v.I dle HAZ - MAT.'!$B:$B,"Léky - centra (LEK)")</f>
        <v>0</v>
      </c>
      <c r="O37" s="105">
        <f t="shared" si="0"/>
        <v>0</v>
      </c>
      <c r="P37" s="106" t="str">
        <f t="shared" si="1"/>
        <v/>
      </c>
      <c r="Q37" s="295">
        <f>SUMIF('CL 2020 PLÁN - SOUHRN '!A:A,A37,'CL 2020 PLÁN - SOUHRN '!I:I)</f>
        <v>0</v>
      </c>
      <c r="R37" s="296">
        <f t="shared" si="8"/>
        <v>0</v>
      </c>
      <c r="S37" s="300" t="str">
        <f t="shared" si="9"/>
        <v/>
      </c>
      <c r="T37" s="326" t="str">
        <f t="shared" si="10"/>
        <v/>
      </c>
      <c r="U37" s="329" t="str">
        <f t="shared" si="11"/>
        <v/>
      </c>
      <c r="V37" s="331"/>
      <c r="W37" s="317">
        <f>-SUMIFS('BP 2020 v.I dle HAZ - MAT.'!CR:CR,'BP 2020 v.I dle HAZ - MAT.'!$B:$B,"Léky - dle §16 (LEK)")</f>
        <v>0</v>
      </c>
      <c r="X37" s="359">
        <v>0</v>
      </c>
      <c r="Y37" s="116">
        <f>-SUMIFS('BP 2020 v.I dle HAZ - MAT.'!CS:CS,'BP 2020 v.I dle HAZ - MAT.'!$B:$B,"Léky - dle §16 (LEK)")</f>
        <v>0</v>
      </c>
      <c r="Z37" s="116">
        <f>-SUMIFS('BP 2020 v.I dle HAZ - MAT.'!CT:CT,'BP 2020 v.I dle HAZ - MAT.'!$B:$B,"Léky - dle §16 (LEK)")</f>
        <v>0</v>
      </c>
      <c r="AA37" s="108">
        <f t="shared" si="2"/>
        <v>0</v>
      </c>
      <c r="AB37" s="314" t="str">
        <f t="shared" si="3"/>
        <v/>
      </c>
      <c r="AC37" s="309">
        <f>-SUMIFS('BP 2020 v.I dle HAZ - MAT.'!CR:CR,'BP 2020 v.I dle HAZ - MAT.'!$B:$B,"Zdravotnické prostředky")</f>
        <v>67008474.32</v>
      </c>
      <c r="AD37" s="309">
        <f>65313000</f>
        <v>65313000</v>
      </c>
      <c r="AE37" s="117">
        <v>70763012</v>
      </c>
      <c r="AF37" s="117">
        <f>-SUMIFS('BP 2020 v.I dle HAZ - MAT.'!CT:CT,'BP 2020 v.I dle HAZ - MAT.'!$B:$B,"Zdravotnické prostředky")</f>
        <v>71713000</v>
      </c>
      <c r="AG37" s="110">
        <f t="shared" si="4"/>
        <v>949988</v>
      </c>
      <c r="AH37" s="368">
        <f t="shared" si="5"/>
        <v>1.0134249231787928</v>
      </c>
      <c r="AI37" s="373">
        <v>68313012</v>
      </c>
      <c r="AJ37" s="374" t="s">
        <v>583</v>
      </c>
    </row>
    <row r="38" spans="1:36" s="46" customFormat="1" ht="30.75" customHeight="1" x14ac:dyDescent="0.25">
      <c r="A38" s="46" t="s">
        <v>445</v>
      </c>
      <c r="B38" s="46" t="s">
        <v>40</v>
      </c>
      <c r="C38" s="46" t="s">
        <v>346</v>
      </c>
      <c r="D38" s="84" t="s">
        <v>40</v>
      </c>
      <c r="E38" s="57">
        <f>-SUMIFS('BP 2020 v.I dle HAZ - MAT.'!CU:CU,'BP 2020 v.I dle HAZ - MAT.'!$B:$B,"Léky a léčiva")-K38-W38</f>
        <v>7290948.29</v>
      </c>
      <c r="F38" s="344">
        <v>7483000</v>
      </c>
      <c r="G38" s="342">
        <f>7407988+25000</f>
        <v>7432988</v>
      </c>
      <c r="H38" s="57">
        <f>-SUMIFS('BP 2020 v.I dle HAZ - MAT.'!CW:CW,'BP 2020 v.I dle HAZ - MAT.'!$B:$B,"Léky a léčiva")-N38-Z38</f>
        <v>7617000</v>
      </c>
      <c r="I38" s="94">
        <f t="shared" si="6"/>
        <v>184012</v>
      </c>
      <c r="J38" s="304">
        <f t="shared" si="7"/>
        <v>1.0247561276837793</v>
      </c>
      <c r="K38" s="322">
        <f>-SUMIFS('BP 2020 v.I dle HAZ - MAT.'!CU:CU,'BP 2020 v.I dle HAZ - MAT.'!$B:$B,"Léky - centra (LEK)")</f>
        <v>0</v>
      </c>
      <c r="L38" s="351">
        <v>0</v>
      </c>
      <c r="M38" s="64">
        <f>-SUMIFS('BP 2020 v.I dle HAZ - MAT.'!CV:CV,'BP 2020 v.I dle HAZ - MAT.'!$B:$B,"Léky - centra (LEK)")</f>
        <v>0</v>
      </c>
      <c r="N38" s="64">
        <f>-SUMIFS('BP 2020 v.I dle HAZ - MAT.'!CW:CW,'BP 2020 v.I dle HAZ - MAT.'!$B:$B,"Léky - centra (LEK)")</f>
        <v>0</v>
      </c>
      <c r="O38" s="95">
        <f t="shared" si="0"/>
        <v>0</v>
      </c>
      <c r="P38" s="96" t="str">
        <f t="shared" si="1"/>
        <v/>
      </c>
      <c r="Q38" s="295">
        <f>SUMIF('CL 2020 PLÁN - SOUHRN '!A:A,A38,'CL 2020 PLÁN - SOUHRN '!I:I)</f>
        <v>0</v>
      </c>
      <c r="R38" s="296">
        <f t="shared" si="8"/>
        <v>0</v>
      </c>
      <c r="S38" s="300" t="str">
        <f t="shared" si="9"/>
        <v/>
      </c>
      <c r="T38" s="326" t="str">
        <f t="shared" si="10"/>
        <v/>
      </c>
      <c r="U38" s="329" t="str">
        <f t="shared" si="11"/>
        <v/>
      </c>
      <c r="V38" s="331"/>
      <c r="W38" s="315">
        <f>-SUMIFS('BP 2020 v.I dle HAZ - MAT.'!CU:CU,'BP 2020 v.I dle HAZ - MAT.'!$B:$B,"Léky - dle §16 (LEK)")</f>
        <v>0</v>
      </c>
      <c r="X38" s="358">
        <v>0</v>
      </c>
      <c r="Y38" s="70">
        <f>-SUMIFS('BP 2020 v.I dle HAZ - MAT.'!CV:CV,'BP 2020 v.I dle HAZ - MAT.'!$B:$B,"Léky - dle §16 (LEK)")</f>
        <v>0</v>
      </c>
      <c r="Z38" s="70">
        <f>-SUMIFS('BP 2020 v.I dle HAZ - MAT.'!CW:CW,'BP 2020 v.I dle HAZ - MAT.'!$B:$B,"Léky - dle §16 (LEK)")</f>
        <v>0</v>
      </c>
      <c r="AA38" s="97">
        <f t="shared" si="2"/>
        <v>0</v>
      </c>
      <c r="AB38" s="316" t="str">
        <f t="shared" si="3"/>
        <v/>
      </c>
      <c r="AC38" s="308">
        <f>-SUMIFS('BP 2020 v.I dle HAZ - MAT.'!CU:CU,'BP 2020 v.I dle HAZ - MAT.'!$B:$B,"Zdravotnické prostředky")</f>
        <v>52193499.25</v>
      </c>
      <c r="AD38" s="308">
        <v>51596000</v>
      </c>
      <c r="AE38" s="76">
        <v>53098996</v>
      </c>
      <c r="AF38" s="76">
        <f>-SUMIFS('BP 2020 v.I dle HAZ - MAT.'!CW:CW,'BP 2020 v.I dle HAZ - MAT.'!$B:$B,"Zdravotnické prostředky")</f>
        <v>58533000</v>
      </c>
      <c r="AG38" s="98">
        <f t="shared" si="4"/>
        <v>5434004</v>
      </c>
      <c r="AH38" s="369">
        <f t="shared" si="5"/>
        <v>1.1023372268658338</v>
      </c>
      <c r="AI38" s="372">
        <v>51594996</v>
      </c>
    </row>
    <row r="39" spans="1:36" s="46" customFormat="1" ht="30.75" customHeight="1" x14ac:dyDescent="0.25">
      <c r="A39" s="46" t="s">
        <v>446</v>
      </c>
      <c r="B39" s="46" t="s">
        <v>41</v>
      </c>
      <c r="C39" s="46" t="s">
        <v>347</v>
      </c>
      <c r="D39" s="113" t="s">
        <v>41</v>
      </c>
      <c r="E39" s="114">
        <f>-SUMIFS('BP 2020 v.I dle HAZ - MAT.'!CX:CX,'BP 2020 v.I dle HAZ - MAT.'!$B:$B,"Léky a léčiva")-K39-W39</f>
        <v>129407</v>
      </c>
      <c r="F39" s="114">
        <v>120000</v>
      </c>
      <c r="G39" s="114">
        <f>90000+30000</f>
        <v>120000</v>
      </c>
      <c r="H39" s="114">
        <f>-SUMIFS('BP 2020 v.I dle HAZ - MAT.'!CZ:CZ,'BP 2020 v.I dle HAZ - MAT.'!$B:$B,"Léky a léčiva")-N39-Z39</f>
        <v>100000</v>
      </c>
      <c r="I39" s="103">
        <f t="shared" si="6"/>
        <v>-20000</v>
      </c>
      <c r="J39" s="303">
        <f t="shared" si="7"/>
        <v>0.83333333333333337</v>
      </c>
      <c r="K39" s="323">
        <f>-SUMIFS('BP 2020 v.I dle HAZ - MAT.'!CX:CX,'BP 2020 v.I dle HAZ - MAT.'!$B:$B,"Léky - centra (LEK)")</f>
        <v>0</v>
      </c>
      <c r="L39" s="353">
        <v>0</v>
      </c>
      <c r="M39" s="115">
        <f>-SUMIFS('BP 2020 v.I dle HAZ - MAT.'!CY:CY,'BP 2020 v.I dle HAZ - MAT.'!$B:$B,"Léky - centra (LEK)")</f>
        <v>0</v>
      </c>
      <c r="N39" s="115">
        <f>-SUMIFS('BP 2020 v.I dle HAZ - MAT.'!CZ:CZ,'BP 2020 v.I dle HAZ - MAT.'!$B:$B,"Léky - centra (LEK)")</f>
        <v>0</v>
      </c>
      <c r="O39" s="105">
        <f t="shared" si="0"/>
        <v>0</v>
      </c>
      <c r="P39" s="106" t="str">
        <f t="shared" si="1"/>
        <v/>
      </c>
      <c r="Q39" s="295">
        <f>SUMIF('CL 2020 PLÁN - SOUHRN '!A:A,A39,'CL 2020 PLÁN - SOUHRN '!I:I)</f>
        <v>0</v>
      </c>
      <c r="R39" s="296">
        <f t="shared" si="8"/>
        <v>0</v>
      </c>
      <c r="S39" s="300" t="str">
        <f t="shared" si="9"/>
        <v/>
      </c>
      <c r="T39" s="326" t="str">
        <f t="shared" si="10"/>
        <v/>
      </c>
      <c r="U39" s="329" t="str">
        <f t="shared" si="11"/>
        <v/>
      </c>
      <c r="V39" s="331"/>
      <c r="W39" s="317">
        <f>-SUMIFS('BP 2020 v.I dle HAZ - MAT.'!CX:CX,'BP 2020 v.I dle HAZ - MAT.'!$B:$B,"Léky - dle §16 (LEK)")</f>
        <v>0</v>
      </c>
      <c r="X39" s="359">
        <v>0</v>
      </c>
      <c r="Y39" s="116">
        <f>-SUMIFS('BP 2020 v.I dle HAZ - MAT.'!CY:CY,'BP 2020 v.I dle HAZ - MAT.'!$B:$B,"Léky - dle §16 (LEK)")</f>
        <v>0</v>
      </c>
      <c r="Z39" s="116">
        <f>-SUMIFS('BP 2020 v.I dle HAZ - MAT.'!CZ:CZ,'BP 2020 v.I dle HAZ - MAT.'!$B:$B,"Léky - dle §16 (LEK)")</f>
        <v>0</v>
      </c>
      <c r="AA39" s="108">
        <f t="shared" si="2"/>
        <v>0</v>
      </c>
      <c r="AB39" s="314" t="str">
        <f t="shared" si="3"/>
        <v/>
      </c>
      <c r="AC39" s="309">
        <f>-SUMIFS('BP 2020 v.I dle HAZ - MAT.'!CX:CX,'BP 2020 v.I dle HAZ - MAT.'!$B:$B,"Zdravotnické prostředky")</f>
        <v>41296856.369999997</v>
      </c>
      <c r="AD39" s="309">
        <f>43185000</f>
        <v>43185000</v>
      </c>
      <c r="AE39" s="117">
        <v>41746159</v>
      </c>
      <c r="AF39" s="117">
        <f>-SUMIFS('BP 2020 v.I dle HAZ - MAT.'!CZ:CZ,'BP 2020 v.I dle HAZ - MAT.'!$B:$B,"Zdravotnické prostředky")</f>
        <v>41500000</v>
      </c>
      <c r="AG39" s="110">
        <f t="shared" si="4"/>
        <v>-246159</v>
      </c>
      <c r="AH39" s="368">
        <f t="shared" si="5"/>
        <v>0.99410343356379205</v>
      </c>
      <c r="AI39" s="373">
        <v>43186008</v>
      </c>
    </row>
    <row r="40" spans="1:36" s="46" customFormat="1" ht="30.75" customHeight="1" x14ac:dyDescent="0.25">
      <c r="A40" s="46" t="s">
        <v>447</v>
      </c>
      <c r="B40" s="46" t="s">
        <v>42</v>
      </c>
      <c r="C40" s="46" t="s">
        <v>348</v>
      </c>
      <c r="D40" s="84" t="s">
        <v>42</v>
      </c>
      <c r="E40" s="57">
        <f>-SUMIFS('BP 2020 v.I dle HAZ - MAT.'!DA:DA,'BP 2020 v.I dle HAZ - MAT.'!$B:$B,"Léky a léčiva")-K40-W40</f>
        <v>0</v>
      </c>
      <c r="F40" s="57">
        <v>0</v>
      </c>
      <c r="G40" s="57">
        <v>0</v>
      </c>
      <c r="H40" s="57">
        <f>-SUMIFS('BP 2020 v.I dle HAZ - MAT.'!DC:DC,'BP 2020 v.I dle HAZ - MAT.'!$B:$B,"Léky a léčiva")-N40-Z40</f>
        <v>0</v>
      </c>
      <c r="I40" s="94">
        <f t="shared" si="6"/>
        <v>0</v>
      </c>
      <c r="J40" s="304" t="str">
        <f t="shared" si="7"/>
        <v/>
      </c>
      <c r="K40" s="322">
        <f>-SUMIFS('BP 2020 v.I dle HAZ - MAT.'!DA:DA,'BP 2020 v.I dle HAZ - MAT.'!$B:$B,"Léky - centra (LEK)")</f>
        <v>0</v>
      </c>
      <c r="L40" s="351">
        <v>0</v>
      </c>
      <c r="M40" s="64">
        <f>-SUMIFS('BP 2020 v.I dle HAZ - MAT.'!DB:DB,'BP 2020 v.I dle HAZ - MAT.'!$B:$B,"Léky - centra (LEK)")</f>
        <v>0</v>
      </c>
      <c r="N40" s="64">
        <f>-SUMIFS('BP 2020 v.I dle HAZ - MAT.'!DC:DC,'BP 2020 v.I dle HAZ - MAT.'!$B:$B,"Léky - centra (LEK)")</f>
        <v>0</v>
      </c>
      <c r="O40" s="95">
        <f t="shared" si="0"/>
        <v>0</v>
      </c>
      <c r="P40" s="96" t="str">
        <f t="shared" si="1"/>
        <v/>
      </c>
      <c r="Q40" s="295">
        <f>SUMIF('CL 2020 PLÁN - SOUHRN '!A:A,A40,'CL 2020 PLÁN - SOUHRN '!I:I)</f>
        <v>0</v>
      </c>
      <c r="R40" s="296">
        <f t="shared" si="8"/>
        <v>0</v>
      </c>
      <c r="S40" s="300" t="str">
        <f t="shared" si="9"/>
        <v/>
      </c>
      <c r="T40" s="326" t="str">
        <f t="shared" si="10"/>
        <v/>
      </c>
      <c r="U40" s="329" t="str">
        <f t="shared" si="11"/>
        <v/>
      </c>
      <c r="V40" s="331"/>
      <c r="W40" s="315">
        <f>-SUMIFS('BP 2020 v.I dle HAZ - MAT.'!DA:DA,'BP 2020 v.I dle HAZ - MAT.'!$B:$B,"Léky - dle §16 (LEK)")</f>
        <v>0</v>
      </c>
      <c r="X40" s="358">
        <v>0</v>
      </c>
      <c r="Y40" s="70">
        <f>-SUMIFS('BP 2020 v.I dle HAZ - MAT.'!DB:DB,'BP 2020 v.I dle HAZ - MAT.'!$B:$B,"Léky - dle §16 (LEK)")</f>
        <v>0</v>
      </c>
      <c r="Z40" s="70">
        <f>-SUMIFS('BP 2020 v.I dle HAZ - MAT.'!DC:DC,'BP 2020 v.I dle HAZ - MAT.'!$B:$B,"Léky - dle §16 (LEK)")</f>
        <v>0</v>
      </c>
      <c r="AA40" s="97">
        <f t="shared" si="2"/>
        <v>0</v>
      </c>
      <c r="AB40" s="316" t="str">
        <f t="shared" si="3"/>
        <v/>
      </c>
      <c r="AC40" s="308">
        <f>-SUMIFS('BP 2020 v.I dle HAZ - MAT.'!DA:DA,'BP 2020 v.I dle HAZ - MAT.'!$B:$B,"Zdravotnické prostředky")</f>
        <v>0</v>
      </c>
      <c r="AD40" s="308">
        <v>0</v>
      </c>
      <c r="AE40" s="76">
        <f>-SUMIFS('BP 2020 v.I dle HAZ - MAT.'!DB:DB,'BP 2020 v.I dle HAZ - MAT.'!$B:$B,"Zdravotnické prostředky")</f>
        <v>0</v>
      </c>
      <c r="AF40" s="76">
        <f>-SUMIFS('BP 2020 v.I dle HAZ - MAT.'!DC:DC,'BP 2020 v.I dle HAZ - MAT.'!$B:$B,"Zdravotnické prostředky")</f>
        <v>0</v>
      </c>
      <c r="AG40" s="98">
        <f t="shared" si="4"/>
        <v>0</v>
      </c>
      <c r="AH40" s="369" t="str">
        <f t="shared" si="5"/>
        <v/>
      </c>
      <c r="AI40" s="372">
        <v>0</v>
      </c>
    </row>
    <row r="41" spans="1:36" s="46" customFormat="1" ht="30.75" customHeight="1" x14ac:dyDescent="0.25">
      <c r="A41" s="46" t="s">
        <v>448</v>
      </c>
      <c r="B41" s="46" t="s">
        <v>43</v>
      </c>
      <c r="C41" s="46" t="s">
        <v>349</v>
      </c>
      <c r="D41" s="113" t="s">
        <v>43</v>
      </c>
      <c r="E41" s="114">
        <f>-SUMIFS('BP 2020 v.I dle HAZ - MAT.'!DD:DD,'BP 2020 v.I dle HAZ - MAT.'!$B:$B,"Léky a léčiva")-K41-W41</f>
        <v>172026.81</v>
      </c>
      <c r="F41" s="114">
        <v>180000</v>
      </c>
      <c r="G41" s="114">
        <v>180000</v>
      </c>
      <c r="H41" s="114">
        <f>-SUMIFS('BP 2020 v.I dle HAZ - MAT.'!DF:DF,'BP 2020 v.I dle HAZ - MAT.'!$B:$B,"Léky a léčiva")-N41-Z41</f>
        <v>180000</v>
      </c>
      <c r="I41" s="103">
        <f t="shared" si="6"/>
        <v>0</v>
      </c>
      <c r="J41" s="303">
        <f t="shared" si="7"/>
        <v>1</v>
      </c>
      <c r="K41" s="323">
        <f>-SUMIFS('BP 2020 v.I dle HAZ - MAT.'!DD:DD,'BP 2020 v.I dle HAZ - MAT.'!$B:$B,"Léky - centra (LEK)")</f>
        <v>0</v>
      </c>
      <c r="L41" s="353">
        <v>0</v>
      </c>
      <c r="M41" s="115">
        <f>-SUMIFS('BP 2020 v.I dle HAZ - MAT.'!DE:DE,'BP 2020 v.I dle HAZ - MAT.'!$B:$B,"Léky - centra (LEK)")</f>
        <v>0</v>
      </c>
      <c r="N41" s="115">
        <f>-SUMIFS('BP 2020 v.I dle HAZ - MAT.'!DF:DF,'BP 2020 v.I dle HAZ - MAT.'!$B:$B,"Léky - centra (LEK)")</f>
        <v>0</v>
      </c>
      <c r="O41" s="105">
        <f t="shared" si="0"/>
        <v>0</v>
      </c>
      <c r="P41" s="106" t="str">
        <f t="shared" si="1"/>
        <v/>
      </c>
      <c r="Q41" s="295">
        <f>SUMIF('CL 2020 PLÁN - SOUHRN '!A:A,A41,'CL 2020 PLÁN - SOUHRN '!I:I)</f>
        <v>0</v>
      </c>
      <c r="R41" s="296">
        <f t="shared" si="8"/>
        <v>0</v>
      </c>
      <c r="S41" s="300" t="str">
        <f t="shared" si="9"/>
        <v/>
      </c>
      <c r="T41" s="326" t="str">
        <f t="shared" si="10"/>
        <v/>
      </c>
      <c r="U41" s="329" t="str">
        <f t="shared" si="11"/>
        <v/>
      </c>
      <c r="V41" s="331"/>
      <c r="W41" s="317">
        <f>-SUMIFS('BP 2020 v.I dle HAZ - MAT.'!DD:DD,'BP 2020 v.I dle HAZ - MAT.'!$B:$B,"Léky - dle §16 (LEK)")</f>
        <v>0</v>
      </c>
      <c r="X41" s="359">
        <v>0</v>
      </c>
      <c r="Y41" s="116">
        <f>-SUMIFS('BP 2020 v.I dle HAZ - MAT.'!DE:DE,'BP 2020 v.I dle HAZ - MAT.'!$B:$B,"Léky - dle §16 (LEK)")</f>
        <v>0</v>
      </c>
      <c r="Z41" s="116">
        <f>-SUMIFS('BP 2020 v.I dle HAZ - MAT.'!DF:DF,'BP 2020 v.I dle HAZ - MAT.'!$B:$B,"Léky - dle §16 (LEK)")</f>
        <v>0</v>
      </c>
      <c r="AA41" s="108">
        <f t="shared" si="2"/>
        <v>0</v>
      </c>
      <c r="AB41" s="314" t="str">
        <f t="shared" si="3"/>
        <v/>
      </c>
      <c r="AC41" s="309">
        <f>-SUMIFS('BP 2020 v.I dle HAZ - MAT.'!DD:DD,'BP 2020 v.I dle HAZ - MAT.'!$B:$B,"Zdravotnické prostředky")</f>
        <v>5337711.82</v>
      </c>
      <c r="AD41" s="309">
        <v>5495000</v>
      </c>
      <c r="AE41" s="117">
        <v>5845304</v>
      </c>
      <c r="AF41" s="117">
        <f>-SUMIFS('BP 2020 v.I dle HAZ - MAT.'!DF:DF,'BP 2020 v.I dle HAZ - MAT.'!$B:$B,"Zdravotnické prostředky")</f>
        <v>7390000</v>
      </c>
      <c r="AG41" s="110">
        <f t="shared" si="4"/>
        <v>1544696</v>
      </c>
      <c r="AH41" s="368">
        <f t="shared" si="5"/>
        <v>1.264262731245458</v>
      </c>
      <c r="AI41" s="373">
        <v>5495004</v>
      </c>
    </row>
    <row r="42" spans="1:36" s="46" customFormat="1" ht="30.75" customHeight="1" x14ac:dyDescent="0.25">
      <c r="A42" s="46" t="s">
        <v>449</v>
      </c>
      <c r="B42" s="46" t="s">
        <v>44</v>
      </c>
      <c r="C42" s="46" t="s">
        <v>350</v>
      </c>
      <c r="D42" s="84" t="s">
        <v>44</v>
      </c>
      <c r="E42" s="57">
        <f>-SUMIFS('BP 2020 v.I dle HAZ - MAT.'!DG:DG,'BP 2020 v.I dle HAZ - MAT.'!$B:$B,"Léky a léčiva")-K42-W42</f>
        <v>9772.33</v>
      </c>
      <c r="F42" s="57">
        <v>20000</v>
      </c>
      <c r="G42" s="57">
        <f>9996+10000</f>
        <v>19996</v>
      </c>
      <c r="H42" s="57">
        <f>-SUMIFS('BP 2020 v.I dle HAZ - MAT.'!DI:DI,'BP 2020 v.I dle HAZ - MAT.'!$B:$B,"Léky a léčiva")-N42-Z42</f>
        <v>12000</v>
      </c>
      <c r="I42" s="94">
        <f t="shared" si="6"/>
        <v>-7996</v>
      </c>
      <c r="J42" s="304">
        <f t="shared" si="7"/>
        <v>0.60012002400480091</v>
      </c>
      <c r="K42" s="322">
        <f>-SUMIFS('BP 2020 v.I dle HAZ - MAT.'!DG:DG,'BP 2020 v.I dle HAZ - MAT.'!$B:$B,"Léky - centra (LEK)")</f>
        <v>0</v>
      </c>
      <c r="L42" s="351">
        <v>0</v>
      </c>
      <c r="M42" s="64">
        <f>-SUMIFS('BP 2020 v.I dle HAZ - MAT.'!DH:DH,'BP 2020 v.I dle HAZ - MAT.'!$B:$B,"Léky - centra (LEK)")</f>
        <v>0</v>
      </c>
      <c r="N42" s="64">
        <f>-SUMIFS('BP 2020 v.I dle HAZ - MAT.'!DI:DI,'BP 2020 v.I dle HAZ - MAT.'!$B:$B,"Léky - centra (LEK)")</f>
        <v>0</v>
      </c>
      <c r="O42" s="95">
        <f t="shared" si="0"/>
        <v>0</v>
      </c>
      <c r="P42" s="96" t="str">
        <f t="shared" si="1"/>
        <v/>
      </c>
      <c r="Q42" s="295">
        <f>SUMIF('CL 2020 PLÁN - SOUHRN '!A:A,A42,'CL 2020 PLÁN - SOUHRN '!I:I)</f>
        <v>0</v>
      </c>
      <c r="R42" s="296">
        <f t="shared" si="8"/>
        <v>0</v>
      </c>
      <c r="S42" s="300" t="str">
        <f t="shared" si="9"/>
        <v/>
      </c>
      <c r="T42" s="326" t="str">
        <f t="shared" si="10"/>
        <v/>
      </c>
      <c r="U42" s="329" t="str">
        <f t="shared" si="11"/>
        <v/>
      </c>
      <c r="V42" s="331"/>
      <c r="W42" s="315">
        <f>-SUMIFS('BP 2020 v.I dle HAZ - MAT.'!DG:DG,'BP 2020 v.I dle HAZ - MAT.'!$B:$B,"Léky - dle §16 (LEK)")</f>
        <v>0</v>
      </c>
      <c r="X42" s="358">
        <v>0</v>
      </c>
      <c r="Y42" s="70">
        <f>-SUMIFS('BP 2020 v.I dle HAZ - MAT.'!DH:DH,'BP 2020 v.I dle HAZ - MAT.'!$B:$B,"Léky - dle §16 (LEK)")</f>
        <v>0</v>
      </c>
      <c r="Z42" s="70">
        <f>-SUMIFS('BP 2020 v.I dle HAZ - MAT.'!DI:DI,'BP 2020 v.I dle HAZ - MAT.'!$B:$B,"Léky - dle §16 (LEK)")</f>
        <v>0</v>
      </c>
      <c r="AA42" s="97">
        <f t="shared" si="2"/>
        <v>0</v>
      </c>
      <c r="AB42" s="316" t="str">
        <f t="shared" si="3"/>
        <v/>
      </c>
      <c r="AC42" s="308">
        <f>-SUMIFS('BP 2020 v.I dle HAZ - MAT.'!DG:DG,'BP 2020 v.I dle HAZ - MAT.'!$B:$B,"Zdravotnické prostředky")</f>
        <v>1045869.46</v>
      </c>
      <c r="AD42" s="308">
        <v>1061000</v>
      </c>
      <c r="AE42" s="76">
        <v>1060992</v>
      </c>
      <c r="AF42" s="76">
        <f>-SUMIFS('BP 2020 v.I dle HAZ - MAT.'!DI:DI,'BP 2020 v.I dle HAZ - MAT.'!$B:$B,"Zdravotnické prostředky")</f>
        <v>1175500</v>
      </c>
      <c r="AG42" s="98">
        <f t="shared" si="4"/>
        <v>114508</v>
      </c>
      <c r="AH42" s="369">
        <f t="shared" si="5"/>
        <v>1.1079254131982146</v>
      </c>
      <c r="AI42" s="372">
        <v>1060992</v>
      </c>
    </row>
    <row r="43" spans="1:36" s="46" customFormat="1" ht="30.75" customHeight="1" x14ac:dyDescent="0.25">
      <c r="A43" s="46" t="s">
        <v>450</v>
      </c>
      <c r="B43" s="46" t="s">
        <v>45</v>
      </c>
      <c r="C43" s="46" t="s">
        <v>351</v>
      </c>
      <c r="D43" s="113" t="s">
        <v>45</v>
      </c>
      <c r="E43" s="114">
        <f>-SUMIFS('BP 2020 v.I dle HAZ - MAT.'!DJ:DJ,'BP 2020 v.I dle HAZ - MAT.'!$B:$B,"Léky a léčiva")-K43-W43</f>
        <v>964.04</v>
      </c>
      <c r="F43" s="114">
        <v>1000</v>
      </c>
      <c r="G43" s="114">
        <v>996</v>
      </c>
      <c r="H43" s="114">
        <f>-SUMIFS('BP 2020 v.I dle HAZ - MAT.'!DL:DL,'BP 2020 v.I dle HAZ - MAT.'!$B:$B,"Léky a léčiva")-N43-Z43</f>
        <v>1000</v>
      </c>
      <c r="I43" s="103">
        <f t="shared" si="6"/>
        <v>4</v>
      </c>
      <c r="J43" s="303">
        <f t="shared" si="7"/>
        <v>1.0040160642570282</v>
      </c>
      <c r="K43" s="323">
        <f>-SUMIFS('BP 2020 v.I dle HAZ - MAT.'!DJ:DJ,'BP 2020 v.I dle HAZ - MAT.'!$B:$B,"Léky - centra (LEK)")</f>
        <v>0</v>
      </c>
      <c r="L43" s="353">
        <v>0</v>
      </c>
      <c r="M43" s="115">
        <f>-SUMIFS('BP 2020 v.I dle HAZ - MAT.'!DK:DK,'BP 2020 v.I dle HAZ - MAT.'!$B:$B,"Léky - centra (LEK)")</f>
        <v>0</v>
      </c>
      <c r="N43" s="115">
        <f>-SUMIFS('BP 2020 v.I dle HAZ - MAT.'!DL:DL,'BP 2020 v.I dle HAZ - MAT.'!$B:$B,"Léky - centra (LEK)")</f>
        <v>0</v>
      </c>
      <c r="O43" s="105">
        <f t="shared" si="0"/>
        <v>0</v>
      </c>
      <c r="P43" s="106" t="str">
        <f t="shared" si="1"/>
        <v/>
      </c>
      <c r="Q43" s="295">
        <f>SUMIF('CL 2020 PLÁN - SOUHRN '!A:A,A43,'CL 2020 PLÁN - SOUHRN '!I:I)</f>
        <v>0</v>
      </c>
      <c r="R43" s="296">
        <f t="shared" si="8"/>
        <v>0</v>
      </c>
      <c r="S43" s="300" t="str">
        <f t="shared" si="9"/>
        <v/>
      </c>
      <c r="T43" s="326" t="str">
        <f t="shared" si="10"/>
        <v/>
      </c>
      <c r="U43" s="329" t="str">
        <f t="shared" si="11"/>
        <v/>
      </c>
      <c r="V43" s="331"/>
      <c r="W43" s="317">
        <f>-SUMIFS('BP 2020 v.I dle HAZ - MAT.'!DJ:DJ,'BP 2020 v.I dle HAZ - MAT.'!$B:$B,"Léky - dle §16 (LEK)")</f>
        <v>0</v>
      </c>
      <c r="X43" s="359">
        <v>0</v>
      </c>
      <c r="Y43" s="116">
        <f>-SUMIFS('BP 2020 v.I dle HAZ - MAT.'!DK:DK,'BP 2020 v.I dle HAZ - MAT.'!$B:$B,"Léky - dle §16 (LEK)")</f>
        <v>0</v>
      </c>
      <c r="Z43" s="116">
        <f>-SUMIFS('BP 2020 v.I dle HAZ - MAT.'!DL:DL,'BP 2020 v.I dle HAZ - MAT.'!$B:$B,"Léky - dle §16 (LEK)")</f>
        <v>0</v>
      </c>
      <c r="AA43" s="108">
        <f t="shared" si="2"/>
        <v>0</v>
      </c>
      <c r="AB43" s="314" t="str">
        <f t="shared" si="3"/>
        <v/>
      </c>
      <c r="AC43" s="309">
        <f>-SUMIFS('BP 2020 v.I dle HAZ - MAT.'!DJ:DJ,'BP 2020 v.I dle HAZ - MAT.'!$B:$B,"Zdravotnické prostředky")</f>
        <v>47.94</v>
      </c>
      <c r="AD43" s="309">
        <v>0</v>
      </c>
      <c r="AE43" s="117">
        <v>30</v>
      </c>
      <c r="AF43" s="117">
        <f>-SUMIFS('BP 2020 v.I dle HAZ - MAT.'!DL:DL,'BP 2020 v.I dle HAZ - MAT.'!$B:$B,"Zdravotnické prostředky")</f>
        <v>0</v>
      </c>
      <c r="AG43" s="110">
        <f t="shared" si="4"/>
        <v>-30</v>
      </c>
      <c r="AH43" s="368">
        <f t="shared" si="5"/>
        <v>0</v>
      </c>
      <c r="AI43" s="373">
        <v>0</v>
      </c>
    </row>
    <row r="44" spans="1:36" s="46" customFormat="1" ht="30.75" customHeight="1" x14ac:dyDescent="0.25">
      <c r="A44" s="46" t="s">
        <v>451</v>
      </c>
      <c r="B44" s="46" t="s">
        <v>46</v>
      </c>
      <c r="C44" s="46" t="s">
        <v>352</v>
      </c>
      <c r="D44" s="84" t="s">
        <v>46</v>
      </c>
      <c r="E44" s="57">
        <f>-SUMIFS('BP 2020 v.I dle HAZ - MAT.'!DM:DM,'BP 2020 v.I dle HAZ - MAT.'!$B:$B,"Léky a léčiva")-K44-W44</f>
        <v>33180.980000000003</v>
      </c>
      <c r="F44" s="57">
        <v>40000</v>
      </c>
      <c r="G44" s="57">
        <v>40008</v>
      </c>
      <c r="H44" s="57">
        <f>-SUMIFS('BP 2020 v.I dle HAZ - MAT.'!DO:DO,'BP 2020 v.I dle HAZ - MAT.'!$B:$B,"Léky a léčiva")-N44-Z44</f>
        <v>34300</v>
      </c>
      <c r="I44" s="94">
        <f t="shared" si="6"/>
        <v>-5708</v>
      </c>
      <c r="J44" s="304">
        <f t="shared" si="7"/>
        <v>0.85732853429314138</v>
      </c>
      <c r="K44" s="322">
        <f>-SUMIFS('BP 2020 v.I dle HAZ - MAT.'!DM:DM,'BP 2020 v.I dle HAZ - MAT.'!$B:$B,"Léky - centra (LEK)")</f>
        <v>0</v>
      </c>
      <c r="L44" s="351">
        <v>0</v>
      </c>
      <c r="M44" s="64">
        <f>-SUMIFS('BP 2020 v.I dle HAZ - MAT.'!DN:DN,'BP 2020 v.I dle HAZ - MAT.'!$B:$B,"Léky - centra (LEK)")</f>
        <v>0</v>
      </c>
      <c r="N44" s="64">
        <f>-SUMIFS('BP 2020 v.I dle HAZ - MAT.'!DO:DO,'BP 2020 v.I dle HAZ - MAT.'!$B:$B,"Léky - centra (LEK)")</f>
        <v>0</v>
      </c>
      <c r="O44" s="95">
        <f t="shared" si="0"/>
        <v>0</v>
      </c>
      <c r="P44" s="96" t="str">
        <f t="shared" si="1"/>
        <v/>
      </c>
      <c r="Q44" s="295">
        <f>SUMIF('CL 2020 PLÁN - SOUHRN '!A:A,A44,'CL 2020 PLÁN - SOUHRN '!I:I)</f>
        <v>0</v>
      </c>
      <c r="R44" s="296">
        <f t="shared" si="8"/>
        <v>0</v>
      </c>
      <c r="S44" s="300" t="str">
        <f t="shared" si="9"/>
        <v/>
      </c>
      <c r="T44" s="326" t="str">
        <f t="shared" si="10"/>
        <v/>
      </c>
      <c r="U44" s="329" t="str">
        <f t="shared" si="11"/>
        <v/>
      </c>
      <c r="V44" s="331"/>
      <c r="W44" s="315">
        <f>-SUMIFS('BP 2020 v.I dle HAZ - MAT.'!DM:DM,'BP 2020 v.I dle HAZ - MAT.'!$B:$B,"Léky - dle §16 (LEK)")</f>
        <v>0</v>
      </c>
      <c r="X44" s="358">
        <v>0</v>
      </c>
      <c r="Y44" s="70">
        <f>-SUMIFS('BP 2020 v.I dle HAZ - MAT.'!DN:DN,'BP 2020 v.I dle HAZ - MAT.'!$B:$B,"Léky - dle §16 (LEK)")</f>
        <v>0</v>
      </c>
      <c r="Z44" s="70">
        <f>-SUMIFS('BP 2020 v.I dle HAZ - MAT.'!DO:DO,'BP 2020 v.I dle HAZ - MAT.'!$B:$B,"Léky - dle §16 (LEK)")</f>
        <v>0</v>
      </c>
      <c r="AA44" s="97">
        <f t="shared" si="2"/>
        <v>0</v>
      </c>
      <c r="AB44" s="316" t="str">
        <f t="shared" si="3"/>
        <v/>
      </c>
      <c r="AC44" s="308">
        <f>-SUMIFS('BP 2020 v.I dle HAZ - MAT.'!DM:DM,'BP 2020 v.I dle HAZ - MAT.'!$B:$B,"Zdravotnické prostředky")</f>
        <v>28949655.390000001</v>
      </c>
      <c r="AD44" s="308">
        <v>29439000</v>
      </c>
      <c r="AE44" s="76">
        <f>29689000+450000</f>
        <v>30139000</v>
      </c>
      <c r="AF44" s="76">
        <f>-SUMIFS('BP 2020 v.I dle HAZ - MAT.'!DO:DO,'BP 2020 v.I dle HAZ - MAT.'!$B:$B,"Zdravotnické prostředky")</f>
        <v>30388500</v>
      </c>
      <c r="AG44" s="98">
        <f t="shared" si="4"/>
        <v>249500</v>
      </c>
      <c r="AH44" s="369">
        <f t="shared" si="5"/>
        <v>1.008278310494708</v>
      </c>
      <c r="AI44" s="372">
        <v>29439000</v>
      </c>
    </row>
    <row r="45" spans="1:36" s="46" customFormat="1" ht="30.75" customHeight="1" x14ac:dyDescent="0.25">
      <c r="A45" s="46" t="s">
        <v>452</v>
      </c>
      <c r="B45" s="46" t="s">
        <v>47</v>
      </c>
      <c r="C45" s="46" t="s">
        <v>353</v>
      </c>
      <c r="D45" s="113" t="s">
        <v>47</v>
      </c>
      <c r="E45" s="114">
        <f>-SUMIFS('BP 2020 v.I dle HAZ - MAT.'!DP:DP,'BP 2020 v.I dle HAZ - MAT.'!$B:$B,"Léky a léčiva")-K45-W45</f>
        <v>21815.19</v>
      </c>
      <c r="F45" s="114">
        <v>22000</v>
      </c>
      <c r="G45" s="114">
        <v>21996</v>
      </c>
      <c r="H45" s="114">
        <f>-SUMIFS('BP 2020 v.I dle HAZ - MAT.'!DR:DR,'BP 2020 v.I dle HAZ - MAT.'!$B:$B,"Léky a léčiva")-N45-Z45</f>
        <v>22000</v>
      </c>
      <c r="I45" s="103">
        <f t="shared" si="6"/>
        <v>4</v>
      </c>
      <c r="J45" s="303">
        <f t="shared" si="7"/>
        <v>1.000181851245681</v>
      </c>
      <c r="K45" s="323">
        <f>-SUMIFS('BP 2020 v.I dle HAZ - MAT.'!DP:DP,'BP 2020 v.I dle HAZ - MAT.'!$B:$B,"Léky - centra (LEK)")</f>
        <v>0</v>
      </c>
      <c r="L45" s="353">
        <v>0</v>
      </c>
      <c r="M45" s="115">
        <f>-SUMIFS('BP 2020 v.I dle HAZ - MAT.'!DQ:DQ,'BP 2020 v.I dle HAZ - MAT.'!$B:$B,"Léky - centra (LEK)")</f>
        <v>0</v>
      </c>
      <c r="N45" s="115">
        <f>-SUMIFS('BP 2020 v.I dle HAZ - MAT.'!DR:DR,'BP 2020 v.I dle HAZ - MAT.'!$B:$B,"Léky - centra (LEK)")</f>
        <v>0</v>
      </c>
      <c r="O45" s="105">
        <f t="shared" si="0"/>
        <v>0</v>
      </c>
      <c r="P45" s="106" t="str">
        <f t="shared" si="1"/>
        <v/>
      </c>
      <c r="Q45" s="295">
        <f>SUMIF('CL 2020 PLÁN - SOUHRN '!A:A,A45,'CL 2020 PLÁN - SOUHRN '!I:I)</f>
        <v>0</v>
      </c>
      <c r="R45" s="296">
        <f t="shared" si="8"/>
        <v>0</v>
      </c>
      <c r="S45" s="300" t="str">
        <f t="shared" si="9"/>
        <v/>
      </c>
      <c r="T45" s="326" t="str">
        <f t="shared" si="10"/>
        <v/>
      </c>
      <c r="U45" s="329" t="str">
        <f t="shared" si="11"/>
        <v/>
      </c>
      <c r="V45" s="331"/>
      <c r="W45" s="317">
        <f>-SUMIFS('BP 2020 v.I dle HAZ - MAT.'!DP:DP,'BP 2020 v.I dle HAZ - MAT.'!$B:$B,"Léky - dle §16 (LEK)")</f>
        <v>0</v>
      </c>
      <c r="X45" s="359">
        <v>0</v>
      </c>
      <c r="Y45" s="116">
        <f>-SUMIFS('BP 2020 v.I dle HAZ - MAT.'!DQ:DQ,'BP 2020 v.I dle HAZ - MAT.'!$B:$B,"Léky - dle §16 (LEK)")</f>
        <v>0</v>
      </c>
      <c r="Z45" s="116">
        <f>-SUMIFS('BP 2020 v.I dle HAZ - MAT.'!DR:DR,'BP 2020 v.I dle HAZ - MAT.'!$B:$B,"Léky - dle §16 (LEK)")</f>
        <v>0</v>
      </c>
      <c r="AA45" s="108">
        <f t="shared" si="2"/>
        <v>0</v>
      </c>
      <c r="AB45" s="314" t="str">
        <f t="shared" si="3"/>
        <v/>
      </c>
      <c r="AC45" s="309">
        <f>-SUMIFS('BP 2020 v.I dle HAZ - MAT.'!DP:DP,'BP 2020 v.I dle HAZ - MAT.'!$B:$B,"Zdravotnické prostředky")</f>
        <v>27672354.140000001</v>
      </c>
      <c r="AD45" s="309">
        <v>28307000</v>
      </c>
      <c r="AE45" s="117">
        <v>28557004</v>
      </c>
      <c r="AF45" s="117">
        <f>-SUMIFS('BP 2020 v.I dle HAZ - MAT.'!DR:DR,'BP 2020 v.I dle HAZ - MAT.'!$B:$B,"Zdravotnické prostředky")</f>
        <v>29060000</v>
      </c>
      <c r="AG45" s="110">
        <f t="shared" si="4"/>
        <v>502996</v>
      </c>
      <c r="AH45" s="368">
        <f t="shared" si="5"/>
        <v>1.0176137524790765</v>
      </c>
      <c r="AI45" s="373">
        <v>28307004</v>
      </c>
    </row>
    <row r="46" spans="1:36" s="46" customFormat="1" ht="30.75" customHeight="1" x14ac:dyDescent="0.25">
      <c r="A46" s="46" t="s">
        <v>453</v>
      </c>
      <c r="B46" s="46" t="s">
        <v>48</v>
      </c>
      <c r="C46" s="46" t="s">
        <v>354</v>
      </c>
      <c r="D46" s="84" t="s">
        <v>48</v>
      </c>
      <c r="E46" s="57">
        <f>-SUMIFS('BP 2020 v.I dle HAZ - MAT.'!DS:DS,'BP 2020 v.I dle HAZ - MAT.'!$B:$B,"Léky a léčiva")-K46-W46</f>
        <v>0</v>
      </c>
      <c r="F46" s="57">
        <v>0</v>
      </c>
      <c r="G46" s="57">
        <v>0</v>
      </c>
      <c r="H46" s="57">
        <f>-SUMIFS('BP 2020 v.I dle HAZ - MAT.'!DU:DU,'BP 2020 v.I dle HAZ - MAT.'!$B:$B,"Léky a léčiva")-N46-Z46</f>
        <v>0</v>
      </c>
      <c r="I46" s="94">
        <f t="shared" si="6"/>
        <v>0</v>
      </c>
      <c r="J46" s="304" t="str">
        <f t="shared" si="7"/>
        <v/>
      </c>
      <c r="K46" s="322">
        <f>-SUMIFS('BP 2020 v.I dle HAZ - MAT.'!DS:DS,'BP 2020 v.I dle HAZ - MAT.'!$B:$B,"Léky - centra (LEK)")</f>
        <v>0</v>
      </c>
      <c r="L46" s="351">
        <v>0</v>
      </c>
      <c r="M46" s="64">
        <f>-SUMIFS('BP 2020 v.I dle HAZ - MAT.'!DT:DT,'BP 2020 v.I dle HAZ - MAT.'!$B:$B,"Léky - centra (LEK)")</f>
        <v>0</v>
      </c>
      <c r="N46" s="64">
        <f>-SUMIFS('BP 2020 v.I dle HAZ - MAT.'!DU:DU,'BP 2020 v.I dle HAZ - MAT.'!$B:$B,"Léky - centra (LEK)")</f>
        <v>0</v>
      </c>
      <c r="O46" s="95">
        <f t="shared" si="0"/>
        <v>0</v>
      </c>
      <c r="P46" s="96" t="str">
        <f t="shared" si="1"/>
        <v/>
      </c>
      <c r="Q46" s="295">
        <f>SUMIF('CL 2020 PLÁN - SOUHRN '!A:A,A46,'CL 2020 PLÁN - SOUHRN '!I:I)</f>
        <v>0</v>
      </c>
      <c r="R46" s="296">
        <f t="shared" si="8"/>
        <v>0</v>
      </c>
      <c r="S46" s="300" t="str">
        <f t="shared" si="9"/>
        <v/>
      </c>
      <c r="T46" s="326" t="str">
        <f t="shared" si="10"/>
        <v/>
      </c>
      <c r="U46" s="329" t="str">
        <f t="shared" si="11"/>
        <v/>
      </c>
      <c r="V46" s="331"/>
      <c r="W46" s="315">
        <f>-SUMIFS('BP 2020 v.I dle HAZ - MAT.'!DS:DS,'BP 2020 v.I dle HAZ - MAT.'!$B:$B,"Léky - dle §16 (LEK)")</f>
        <v>0</v>
      </c>
      <c r="X46" s="358">
        <v>0</v>
      </c>
      <c r="Y46" s="70">
        <f>-SUMIFS('BP 2020 v.I dle HAZ - MAT.'!DT:DT,'BP 2020 v.I dle HAZ - MAT.'!$B:$B,"Léky - dle §16 (LEK)")</f>
        <v>0</v>
      </c>
      <c r="Z46" s="70">
        <f>-SUMIFS('BP 2020 v.I dle HAZ - MAT.'!DU:DU,'BP 2020 v.I dle HAZ - MAT.'!$B:$B,"Léky - dle §16 (LEK)")</f>
        <v>0</v>
      </c>
      <c r="AA46" s="97">
        <f t="shared" si="2"/>
        <v>0</v>
      </c>
      <c r="AB46" s="316" t="str">
        <f t="shared" si="3"/>
        <v/>
      </c>
      <c r="AC46" s="308">
        <f>-SUMIFS('BP 2020 v.I dle HAZ - MAT.'!DS:DS,'BP 2020 v.I dle HAZ - MAT.'!$B:$B,"Zdravotnické prostředky")</f>
        <v>0</v>
      </c>
      <c r="AD46" s="308">
        <v>0</v>
      </c>
      <c r="AE46" s="76">
        <f>-SUMIFS('BP 2020 v.I dle HAZ - MAT.'!DT:DT,'BP 2020 v.I dle HAZ - MAT.'!$B:$B,"Zdravotnické prostředky")</f>
        <v>0</v>
      </c>
      <c r="AF46" s="76">
        <f>-SUMIFS('BP 2020 v.I dle HAZ - MAT.'!DU:DU,'BP 2020 v.I dle HAZ - MAT.'!$B:$B,"Zdravotnické prostředky")</f>
        <v>0</v>
      </c>
      <c r="AG46" s="98">
        <f t="shared" si="4"/>
        <v>0</v>
      </c>
      <c r="AH46" s="369" t="str">
        <f t="shared" si="5"/>
        <v/>
      </c>
      <c r="AI46" s="372">
        <v>0</v>
      </c>
    </row>
    <row r="47" spans="1:36" s="46" customFormat="1" ht="30.75" customHeight="1" x14ac:dyDescent="0.25">
      <c r="A47" s="46" t="s">
        <v>454</v>
      </c>
      <c r="B47" s="46" t="s">
        <v>455</v>
      </c>
      <c r="C47" s="46" t="s">
        <v>355</v>
      </c>
      <c r="D47" s="113" t="s">
        <v>49</v>
      </c>
      <c r="E47" s="114">
        <f>-SUMIFS('BP 2020 v.I dle HAZ - MAT.'!DV:DV,'BP 2020 v.I dle HAZ - MAT.'!$B:$B,"Léky a léčiva")-K47-W47</f>
        <v>29167.57</v>
      </c>
      <c r="F47" s="114">
        <v>30000</v>
      </c>
      <c r="G47" s="114">
        <f>27000+3000</f>
        <v>30000</v>
      </c>
      <c r="H47" s="114">
        <f>-SUMIFS('BP 2020 v.I dle HAZ - MAT.'!DX:DX,'BP 2020 v.I dle HAZ - MAT.'!$B:$B,"Léky a léčiva")-N47-Z47</f>
        <v>125000</v>
      </c>
      <c r="I47" s="103">
        <f t="shared" si="6"/>
        <v>95000</v>
      </c>
      <c r="J47" s="303">
        <f t="shared" si="7"/>
        <v>4.166666666666667</v>
      </c>
      <c r="K47" s="323">
        <f>-SUMIFS('BP 2020 v.I dle HAZ - MAT.'!DV:DV,'BP 2020 v.I dle HAZ - MAT.'!$B:$B,"Léky - centra (LEK)")</f>
        <v>0</v>
      </c>
      <c r="L47" s="353">
        <v>0</v>
      </c>
      <c r="M47" s="115">
        <f>-SUMIFS('BP 2020 v.I dle HAZ - MAT.'!DW:DW,'BP 2020 v.I dle HAZ - MAT.'!$B:$B,"Léky - centra (LEK)")</f>
        <v>0</v>
      </c>
      <c r="N47" s="115">
        <f>-SUMIFS('BP 2020 v.I dle HAZ - MAT.'!DX:DX,'BP 2020 v.I dle HAZ - MAT.'!$B:$B,"Léky - centra (LEK)")</f>
        <v>0</v>
      </c>
      <c r="O47" s="105">
        <f t="shared" si="0"/>
        <v>0</v>
      </c>
      <c r="P47" s="106" t="str">
        <f t="shared" si="1"/>
        <v/>
      </c>
      <c r="Q47" s="295">
        <f>SUMIF('CL 2020 PLÁN - SOUHRN '!A:A,A47,'CL 2020 PLÁN - SOUHRN '!I:I)</f>
        <v>0</v>
      </c>
      <c r="R47" s="296">
        <f t="shared" si="8"/>
        <v>0</v>
      </c>
      <c r="S47" s="300" t="str">
        <f t="shared" si="9"/>
        <v/>
      </c>
      <c r="T47" s="326" t="str">
        <f t="shared" si="10"/>
        <v/>
      </c>
      <c r="U47" s="329" t="str">
        <f t="shared" si="11"/>
        <v/>
      </c>
      <c r="V47" s="331"/>
      <c r="W47" s="317">
        <f>-SUMIFS('BP 2020 v.I dle HAZ - MAT.'!DV:DV,'BP 2020 v.I dle HAZ - MAT.'!$B:$B,"Léky - dle §16 (LEK)")</f>
        <v>0</v>
      </c>
      <c r="X47" s="359">
        <v>0</v>
      </c>
      <c r="Y47" s="116">
        <f>-SUMIFS('BP 2020 v.I dle HAZ - MAT.'!DW:DW,'BP 2020 v.I dle HAZ - MAT.'!$B:$B,"Léky - dle §16 (LEK)")</f>
        <v>0</v>
      </c>
      <c r="Z47" s="116">
        <f>-SUMIFS('BP 2020 v.I dle HAZ - MAT.'!DX:DX,'BP 2020 v.I dle HAZ - MAT.'!$B:$B,"Léky - dle §16 (LEK)")</f>
        <v>0</v>
      </c>
      <c r="AA47" s="108">
        <f t="shared" si="2"/>
        <v>0</v>
      </c>
      <c r="AB47" s="314" t="str">
        <f t="shared" si="3"/>
        <v/>
      </c>
      <c r="AC47" s="309">
        <f>-SUMIFS('BP 2020 v.I dle HAZ - MAT.'!DV:DV,'BP 2020 v.I dle HAZ - MAT.'!$B:$B,"Zdravotnické prostředky")</f>
        <v>7221688.7300000004</v>
      </c>
      <c r="AD47" s="309">
        <v>7275000</v>
      </c>
      <c r="AE47" s="117">
        <v>7314412</v>
      </c>
      <c r="AF47" s="117">
        <f>-SUMIFS('BP 2020 v.I dle HAZ - MAT.'!DX:DX,'BP 2020 v.I dle HAZ - MAT.'!$B:$B,"Zdravotnické prostředky")</f>
        <v>8045000</v>
      </c>
      <c r="AG47" s="110">
        <f t="shared" si="4"/>
        <v>730588</v>
      </c>
      <c r="AH47" s="368">
        <f t="shared" si="5"/>
        <v>1.0998833535764734</v>
      </c>
      <c r="AI47" s="373">
        <v>7275012</v>
      </c>
    </row>
    <row r="48" spans="1:36" s="46" customFormat="1" ht="30.75" customHeight="1" x14ac:dyDescent="0.25">
      <c r="A48" s="46" t="s">
        <v>456</v>
      </c>
      <c r="B48" s="46" t="s">
        <v>50</v>
      </c>
      <c r="C48" s="46" t="s">
        <v>356</v>
      </c>
      <c r="D48" s="84" t="s">
        <v>50</v>
      </c>
      <c r="E48" s="57">
        <f>-SUMIFS('BP 2020 v.I dle HAZ - MAT.'!DY:DY,'BP 2020 v.I dle HAZ - MAT.'!$B:$B,"Léky a léčiva")-K48-W48</f>
        <v>46.1</v>
      </c>
      <c r="F48" s="57">
        <v>0</v>
      </c>
      <c r="G48" s="57">
        <v>0</v>
      </c>
      <c r="H48" s="57">
        <f>-SUMIFS('BP 2020 v.I dle HAZ - MAT.'!EA:EA,'BP 2020 v.I dle HAZ - MAT.'!$B:$B,"Léky a léčiva")-N48-Z48</f>
        <v>0</v>
      </c>
      <c r="I48" s="94">
        <f t="shared" si="6"/>
        <v>0</v>
      </c>
      <c r="J48" s="304" t="str">
        <f t="shared" si="7"/>
        <v/>
      </c>
      <c r="K48" s="322">
        <f>-SUMIFS('BP 2020 v.I dle HAZ - MAT.'!DY:DY,'BP 2020 v.I dle HAZ - MAT.'!$B:$B,"Léky - centra (LEK)")</f>
        <v>0</v>
      </c>
      <c r="L48" s="351">
        <v>0</v>
      </c>
      <c r="M48" s="64">
        <f>-SUMIFS('BP 2020 v.I dle HAZ - MAT.'!DZ:DZ,'BP 2020 v.I dle HAZ - MAT.'!$B:$B,"Léky - centra (LEK)")</f>
        <v>0</v>
      </c>
      <c r="N48" s="64">
        <f>-SUMIFS('BP 2020 v.I dle HAZ - MAT.'!EA:EA,'BP 2020 v.I dle HAZ - MAT.'!$B:$B,"Léky - centra (LEK)")</f>
        <v>0</v>
      </c>
      <c r="O48" s="95">
        <f t="shared" si="0"/>
        <v>0</v>
      </c>
      <c r="P48" s="96" t="str">
        <f t="shared" si="1"/>
        <v/>
      </c>
      <c r="Q48" s="295">
        <f>SUMIF('CL 2020 PLÁN - SOUHRN '!A:A,A48,'CL 2020 PLÁN - SOUHRN '!I:I)</f>
        <v>0</v>
      </c>
      <c r="R48" s="296">
        <f t="shared" si="8"/>
        <v>0</v>
      </c>
      <c r="S48" s="300" t="str">
        <f t="shared" si="9"/>
        <v/>
      </c>
      <c r="T48" s="326" t="str">
        <f t="shared" si="10"/>
        <v/>
      </c>
      <c r="U48" s="329" t="str">
        <f t="shared" si="11"/>
        <v/>
      </c>
      <c r="V48" s="331"/>
      <c r="W48" s="315">
        <f>-SUMIFS('BP 2020 v.I dle HAZ - MAT.'!DY:DY,'BP 2020 v.I dle HAZ - MAT.'!$B:$B,"Léky - dle §16 (LEK)")</f>
        <v>0</v>
      </c>
      <c r="X48" s="358">
        <v>0</v>
      </c>
      <c r="Y48" s="70">
        <f>-SUMIFS('BP 2020 v.I dle HAZ - MAT.'!DZ:DZ,'BP 2020 v.I dle HAZ - MAT.'!$B:$B,"Léky - dle §16 (LEK)")</f>
        <v>0</v>
      </c>
      <c r="Z48" s="70">
        <f>-SUMIFS('BP 2020 v.I dle HAZ - MAT.'!EA:EA,'BP 2020 v.I dle HAZ - MAT.'!$B:$B,"Léky - dle §16 (LEK)")</f>
        <v>0</v>
      </c>
      <c r="AA48" s="97">
        <f t="shared" si="2"/>
        <v>0</v>
      </c>
      <c r="AB48" s="316" t="str">
        <f t="shared" si="3"/>
        <v/>
      </c>
      <c r="AC48" s="308">
        <f>-SUMIFS('BP 2020 v.I dle HAZ - MAT.'!DY:DY,'BP 2020 v.I dle HAZ - MAT.'!$B:$B,"Zdravotnické prostředky")</f>
        <v>9.9499999999999993</v>
      </c>
      <c r="AD48" s="308">
        <v>0</v>
      </c>
      <c r="AE48" s="76">
        <f>-SUMIFS('BP 2020 v.I dle HAZ - MAT.'!DZ:DZ,'BP 2020 v.I dle HAZ - MAT.'!$B:$B,"Zdravotnické prostředky")</f>
        <v>0</v>
      </c>
      <c r="AF48" s="76">
        <f>-SUMIFS('BP 2020 v.I dle HAZ - MAT.'!EA:EA,'BP 2020 v.I dle HAZ - MAT.'!$B:$B,"Zdravotnické prostředky")</f>
        <v>0</v>
      </c>
      <c r="AG48" s="98">
        <f t="shared" si="4"/>
        <v>0</v>
      </c>
      <c r="AH48" s="369" t="str">
        <f t="shared" si="5"/>
        <v/>
      </c>
      <c r="AI48" s="372">
        <v>0</v>
      </c>
    </row>
    <row r="49" spans="1:36" s="46" customFormat="1" ht="30.75" customHeight="1" x14ac:dyDescent="0.25">
      <c r="A49" s="46" t="s">
        <v>457</v>
      </c>
      <c r="B49" s="46" t="s">
        <v>51</v>
      </c>
      <c r="C49" s="46" t="s">
        <v>357</v>
      </c>
      <c r="D49" s="113" t="s">
        <v>51</v>
      </c>
      <c r="E49" s="114">
        <f>-SUMIFS('BP 2020 v.I dle HAZ - MAT.'!EB:EB,'BP 2020 v.I dle HAZ - MAT.'!$B:$B,"Léky a léčiva")-K49-W49</f>
        <v>0</v>
      </c>
      <c r="F49" s="114">
        <v>0</v>
      </c>
      <c r="G49" s="114">
        <v>0</v>
      </c>
      <c r="H49" s="114">
        <f>-SUMIFS('BP 2020 v.I dle HAZ - MAT.'!ED:ED,'BP 2020 v.I dle HAZ - MAT.'!$B:$B,"Léky a léčiva")-N49-Z49</f>
        <v>0</v>
      </c>
      <c r="I49" s="103">
        <f t="shared" si="6"/>
        <v>0</v>
      </c>
      <c r="J49" s="303" t="str">
        <f t="shared" si="7"/>
        <v/>
      </c>
      <c r="K49" s="323">
        <f>-SUMIFS('BP 2020 v.I dle HAZ - MAT.'!EB:EB,'BP 2020 v.I dle HAZ - MAT.'!$B:$B,"Léky - centra (LEK)")</f>
        <v>0</v>
      </c>
      <c r="L49" s="353">
        <v>0</v>
      </c>
      <c r="M49" s="115">
        <f>-SUMIFS('BP 2020 v.I dle HAZ - MAT.'!EC:EC,'BP 2020 v.I dle HAZ - MAT.'!$B:$B,"Léky - centra (LEK)")</f>
        <v>0</v>
      </c>
      <c r="N49" s="115">
        <f>-SUMIFS('BP 2020 v.I dle HAZ - MAT.'!ED:ED,'BP 2020 v.I dle HAZ - MAT.'!$B:$B,"Léky - centra (LEK)")</f>
        <v>0</v>
      </c>
      <c r="O49" s="105">
        <f t="shared" si="0"/>
        <v>0</v>
      </c>
      <c r="P49" s="106" t="str">
        <f t="shared" si="1"/>
        <v/>
      </c>
      <c r="Q49" s="295">
        <f>SUMIF('CL 2020 PLÁN - SOUHRN '!A:A,A49,'CL 2020 PLÁN - SOUHRN '!I:I)</f>
        <v>0</v>
      </c>
      <c r="R49" s="296">
        <f t="shared" si="8"/>
        <v>0</v>
      </c>
      <c r="S49" s="300" t="str">
        <f t="shared" si="9"/>
        <v/>
      </c>
      <c r="T49" s="326" t="str">
        <f t="shared" si="10"/>
        <v/>
      </c>
      <c r="U49" s="329" t="str">
        <f t="shared" si="11"/>
        <v/>
      </c>
      <c r="V49" s="331"/>
      <c r="W49" s="317">
        <f>-SUMIFS('BP 2020 v.I dle HAZ - MAT.'!EB:EB,'BP 2020 v.I dle HAZ - MAT.'!$B:$B,"Léky - dle §16 (LEK)")</f>
        <v>0</v>
      </c>
      <c r="X49" s="359">
        <v>0</v>
      </c>
      <c r="Y49" s="116">
        <f>-SUMIFS('BP 2020 v.I dle HAZ - MAT.'!EC:EC,'BP 2020 v.I dle HAZ - MAT.'!$B:$B,"Léky - dle §16 (LEK)")</f>
        <v>0</v>
      </c>
      <c r="Z49" s="116">
        <f>-SUMIFS('BP 2020 v.I dle HAZ - MAT.'!ED:ED,'BP 2020 v.I dle HAZ - MAT.'!$B:$B,"Léky - dle §16 (LEK)")</f>
        <v>0</v>
      </c>
      <c r="AA49" s="108">
        <f t="shared" si="2"/>
        <v>0</v>
      </c>
      <c r="AB49" s="314" t="str">
        <f t="shared" si="3"/>
        <v/>
      </c>
      <c r="AC49" s="309">
        <f>-SUMIFS('BP 2020 v.I dle HAZ - MAT.'!EB:EB,'BP 2020 v.I dle HAZ - MAT.'!$B:$B,"Zdravotnické prostředky")</f>
        <v>92905.05</v>
      </c>
      <c r="AD49" s="309">
        <v>105000</v>
      </c>
      <c r="AE49" s="117">
        <v>105000</v>
      </c>
      <c r="AF49" s="117">
        <f>-SUMIFS('BP 2020 v.I dle HAZ - MAT.'!ED:ED,'BP 2020 v.I dle HAZ - MAT.'!$B:$B,"Zdravotnické prostředky")</f>
        <v>110000</v>
      </c>
      <c r="AG49" s="110">
        <f t="shared" si="4"/>
        <v>5000</v>
      </c>
      <c r="AH49" s="368">
        <f t="shared" si="5"/>
        <v>1.0476190476190477</v>
      </c>
      <c r="AI49" s="373">
        <v>105000</v>
      </c>
    </row>
    <row r="50" spans="1:36" s="46" customFormat="1" ht="30.75" customHeight="1" x14ac:dyDescent="0.25">
      <c r="A50" s="46" t="s">
        <v>458</v>
      </c>
      <c r="B50" s="46" t="s">
        <v>52</v>
      </c>
      <c r="C50" s="46" t="s">
        <v>388</v>
      </c>
      <c r="D50" s="84" t="s">
        <v>52</v>
      </c>
      <c r="E50" s="57">
        <f>-SUMIFS('BP 2020 v.I dle HAZ - MAT.'!EE:EE,'BP 2020 v.I dle HAZ - MAT.'!$B:$B,"Léky a léčiva")-K50-W50</f>
        <v>938873.99</v>
      </c>
      <c r="F50" s="344">
        <v>950000</v>
      </c>
      <c r="G50" s="342">
        <f>854800+170000</f>
        <v>1024800</v>
      </c>
      <c r="H50" s="57">
        <f>-SUMIFS('BP 2020 v.I dle HAZ - MAT.'!EG:EG,'BP 2020 v.I dle HAZ - MAT.'!$B:$B,"Léky a léčiva")-N50-Z50</f>
        <v>1040000</v>
      </c>
      <c r="I50" s="94">
        <f t="shared" si="6"/>
        <v>15200</v>
      </c>
      <c r="J50" s="304">
        <f t="shared" si="7"/>
        <v>1.014832162373146</v>
      </c>
      <c r="K50" s="322">
        <f>-SUMIFS('BP 2020 v.I dle HAZ - MAT.'!EE:EE,'BP 2020 v.I dle HAZ - MAT.'!$B:$B,"Léky - centra (LEK)")</f>
        <v>0</v>
      </c>
      <c r="L50" s="351">
        <v>0</v>
      </c>
      <c r="M50" s="64">
        <f>-SUMIFS('BP 2020 v.I dle HAZ - MAT.'!EF:EF,'BP 2020 v.I dle HAZ - MAT.'!$B:$B,"Léky - centra (LEK)")</f>
        <v>0</v>
      </c>
      <c r="N50" s="64">
        <f>-SUMIFS('BP 2020 v.I dle HAZ - MAT.'!EG:EG,'BP 2020 v.I dle HAZ - MAT.'!$B:$B,"Léky - centra (LEK)")</f>
        <v>0</v>
      </c>
      <c r="O50" s="95">
        <f t="shared" si="0"/>
        <v>0</v>
      </c>
      <c r="P50" s="96" t="str">
        <f t="shared" si="1"/>
        <v/>
      </c>
      <c r="Q50" s="295">
        <f>SUMIF('CL 2020 PLÁN - SOUHRN '!A:A,A50,'CL 2020 PLÁN - SOUHRN '!I:I)</f>
        <v>0</v>
      </c>
      <c r="R50" s="296">
        <f t="shared" si="8"/>
        <v>0</v>
      </c>
      <c r="S50" s="300" t="str">
        <f t="shared" si="9"/>
        <v/>
      </c>
      <c r="T50" s="326" t="str">
        <f t="shared" si="10"/>
        <v/>
      </c>
      <c r="U50" s="329" t="str">
        <f t="shared" si="11"/>
        <v/>
      </c>
      <c r="V50" s="331"/>
      <c r="W50" s="315">
        <f>-SUMIFS('BP 2020 v.I dle HAZ - MAT.'!EE:EE,'BP 2020 v.I dle HAZ - MAT.'!$B:$B,"Léky - dle §16 (LEK)")</f>
        <v>0</v>
      </c>
      <c r="X50" s="358">
        <v>0</v>
      </c>
      <c r="Y50" s="70">
        <f>-SUMIFS('BP 2020 v.I dle HAZ - MAT.'!EF:EF,'BP 2020 v.I dle HAZ - MAT.'!$B:$B,"Léky - dle §16 (LEK)")</f>
        <v>0</v>
      </c>
      <c r="Z50" s="70">
        <f>-SUMIFS('BP 2020 v.I dle HAZ - MAT.'!EG:EG,'BP 2020 v.I dle HAZ - MAT.'!$B:$B,"Léky - dle §16 (LEK)")</f>
        <v>0</v>
      </c>
      <c r="AA50" s="97">
        <f t="shared" si="2"/>
        <v>0</v>
      </c>
      <c r="AB50" s="316" t="str">
        <f t="shared" si="3"/>
        <v/>
      </c>
      <c r="AC50" s="308">
        <f>-SUMIFS('BP 2020 v.I dle HAZ - MAT.'!EE:EE,'BP 2020 v.I dle HAZ - MAT.'!$B:$B,"Zdravotnické prostředky")</f>
        <v>13524953.91</v>
      </c>
      <c r="AD50" s="308">
        <v>10329000</v>
      </c>
      <c r="AE50" s="76">
        <f>34917473-2897000-17560000-235000</f>
        <v>14225473</v>
      </c>
      <c r="AF50" s="76">
        <f>-SUMIFS('BP 2020 v.I dle HAZ - MAT.'!EG:EG,'BP 2020 v.I dle HAZ - MAT.'!$B:$B,"Zdravotnické prostředky")</f>
        <v>13489000</v>
      </c>
      <c r="AG50" s="98">
        <f t="shared" si="4"/>
        <v>-736473</v>
      </c>
      <c r="AH50" s="369">
        <f t="shared" si="5"/>
        <v>0.9482285755981541</v>
      </c>
      <c r="AI50" s="372">
        <v>32564424</v>
      </c>
      <c r="AJ50" s="374" t="s">
        <v>584</v>
      </c>
    </row>
    <row r="51" spans="1:36" s="46" customFormat="1" ht="30.75" customHeight="1" x14ac:dyDescent="0.25">
      <c r="A51" s="46" t="s">
        <v>459</v>
      </c>
      <c r="B51" s="46" t="s">
        <v>53</v>
      </c>
      <c r="C51" s="46" t="s">
        <v>358</v>
      </c>
      <c r="D51" s="113" t="s">
        <v>53</v>
      </c>
      <c r="E51" s="114">
        <f>-SUMIFS('BP 2020 v.I dle HAZ - MAT.'!EH:EH,'BP 2020 v.I dle HAZ - MAT.'!$B:$B,"Léky a léčiva")-K51-W51</f>
        <v>72835.490000000005</v>
      </c>
      <c r="F51" s="346">
        <v>80000</v>
      </c>
      <c r="G51" s="114">
        <v>79992</v>
      </c>
      <c r="H51" s="114">
        <f>-SUMIFS('BP 2020 v.I dle HAZ - MAT.'!EJ:EJ,'BP 2020 v.I dle HAZ - MAT.'!$B:$B,"Léky a léčiva")-N51-Z51</f>
        <v>50834</v>
      </c>
      <c r="I51" s="103">
        <f t="shared" si="6"/>
        <v>-29158</v>
      </c>
      <c r="J51" s="303">
        <f t="shared" si="7"/>
        <v>0.63548854885488548</v>
      </c>
      <c r="K51" s="323">
        <f>-SUMIFS('BP 2020 v.I dle HAZ - MAT.'!EH:EH,'BP 2020 v.I dle HAZ - MAT.'!$B:$B,"Léky - centra (LEK)")</f>
        <v>0</v>
      </c>
      <c r="L51" s="353">
        <v>0</v>
      </c>
      <c r="M51" s="115">
        <f>-SUMIFS('BP 2020 v.I dle HAZ - MAT.'!EI:EI,'BP 2020 v.I dle HAZ - MAT.'!$B:$B,"Léky - centra (LEK)")</f>
        <v>0</v>
      </c>
      <c r="N51" s="115">
        <f>-SUMIFS('BP 2020 v.I dle HAZ - MAT.'!EJ:EJ,'BP 2020 v.I dle HAZ - MAT.'!$B:$B,"Léky - centra (LEK)")</f>
        <v>0</v>
      </c>
      <c r="O51" s="105">
        <f t="shared" si="0"/>
        <v>0</v>
      </c>
      <c r="P51" s="106" t="str">
        <f t="shared" si="1"/>
        <v/>
      </c>
      <c r="Q51" s="295">
        <f>SUMIF('CL 2020 PLÁN - SOUHRN '!A:A,A51,'CL 2020 PLÁN - SOUHRN '!I:I)</f>
        <v>0</v>
      </c>
      <c r="R51" s="296">
        <f t="shared" si="8"/>
        <v>0</v>
      </c>
      <c r="S51" s="300" t="str">
        <f t="shared" si="9"/>
        <v/>
      </c>
      <c r="T51" s="326" t="str">
        <f t="shared" si="10"/>
        <v/>
      </c>
      <c r="U51" s="329" t="str">
        <f t="shared" si="11"/>
        <v/>
      </c>
      <c r="V51" s="331"/>
      <c r="W51" s="317">
        <f>-SUMIFS('BP 2020 v.I dle HAZ - MAT.'!EH:EH,'BP 2020 v.I dle HAZ - MAT.'!$B:$B,"Léky - dle §16 (LEK)")</f>
        <v>0</v>
      </c>
      <c r="X51" s="359">
        <v>0</v>
      </c>
      <c r="Y51" s="116">
        <f>-SUMIFS('BP 2020 v.I dle HAZ - MAT.'!EI:EI,'BP 2020 v.I dle HAZ - MAT.'!$B:$B,"Léky - dle §16 (LEK)")</f>
        <v>0</v>
      </c>
      <c r="Z51" s="116">
        <f>-SUMIFS('BP 2020 v.I dle HAZ - MAT.'!EJ:EJ,'BP 2020 v.I dle HAZ - MAT.'!$B:$B,"Léky - dle §16 (LEK)")</f>
        <v>0</v>
      </c>
      <c r="AA51" s="108">
        <f t="shared" si="2"/>
        <v>0</v>
      </c>
      <c r="AB51" s="314" t="str">
        <f t="shared" si="3"/>
        <v/>
      </c>
      <c r="AC51" s="309">
        <f>-SUMIFS('BP 2020 v.I dle HAZ - MAT.'!EH:EH,'BP 2020 v.I dle HAZ - MAT.'!$B:$B,"Zdravotnické prostředky")</f>
        <v>1929192.42</v>
      </c>
      <c r="AD51" s="309">
        <v>2165000</v>
      </c>
      <c r="AE51" s="117">
        <f>4265898-918292-789864-19739-56551-5622</f>
        <v>2475830</v>
      </c>
      <c r="AF51" s="117">
        <f>-SUMIFS('BP 2020 v.I dle HAZ - MAT.'!EJ:EJ,'BP 2020 v.I dle HAZ - MAT.'!$B:$B,"Zdravotnické prostředky")</f>
        <v>3620298</v>
      </c>
      <c r="AG51" s="110">
        <f t="shared" si="4"/>
        <v>1144468</v>
      </c>
      <c r="AH51" s="368">
        <f t="shared" si="5"/>
        <v>1.4622562938489314</v>
      </c>
      <c r="AI51" s="373">
        <v>2150988</v>
      </c>
    </row>
    <row r="52" spans="1:36" s="46" customFormat="1" ht="30.75" customHeight="1" x14ac:dyDescent="0.25">
      <c r="A52" s="46" t="s">
        <v>460</v>
      </c>
      <c r="B52" s="46" t="s">
        <v>54</v>
      </c>
      <c r="C52" s="46" t="s">
        <v>359</v>
      </c>
      <c r="D52" s="84" t="s">
        <v>54</v>
      </c>
      <c r="E52" s="57">
        <f>-SUMIFS('BP 2020 v.I dle HAZ - MAT.'!EK:EK,'BP 2020 v.I dle HAZ - MAT.'!$B:$B,"Léky a léčiva")-K52-W52</f>
        <v>10937515.859999999</v>
      </c>
      <c r="F52" s="344">
        <v>10815000</v>
      </c>
      <c r="G52" s="342">
        <f>8879009+2215000</f>
        <v>11094009</v>
      </c>
      <c r="H52" s="57">
        <f>-SUMIFS('BP 2020 v.I dle HAZ - MAT.'!EM:EM,'BP 2020 v.I dle HAZ - MAT.'!$B:$B,"Léky a léčiva")-N52-Z52</f>
        <v>11442000</v>
      </c>
      <c r="I52" s="94">
        <f t="shared" si="6"/>
        <v>347991</v>
      </c>
      <c r="J52" s="304">
        <f t="shared" si="7"/>
        <v>1.0313674704969142</v>
      </c>
      <c r="K52" s="322">
        <f>-SUMIFS('BP 2020 v.I dle HAZ - MAT.'!EK:EK,'BP 2020 v.I dle HAZ - MAT.'!$B:$B,"Léky - centra (LEK)")</f>
        <v>0</v>
      </c>
      <c r="L52" s="351">
        <v>0</v>
      </c>
      <c r="M52" s="64">
        <f>-SUMIFS('BP 2020 v.I dle HAZ - MAT.'!EL:EL,'BP 2020 v.I dle HAZ - MAT.'!$B:$B,"Léky - centra (LEK)")</f>
        <v>0</v>
      </c>
      <c r="N52" s="64">
        <f>-SUMIFS('BP 2020 v.I dle HAZ - MAT.'!EM:EM,'BP 2020 v.I dle HAZ - MAT.'!$B:$B,"Léky - centra (LEK)")</f>
        <v>0</v>
      </c>
      <c r="O52" s="95">
        <f t="shared" si="0"/>
        <v>0</v>
      </c>
      <c r="P52" s="96" t="str">
        <f t="shared" si="1"/>
        <v/>
      </c>
      <c r="Q52" s="295">
        <f>SUMIF('CL 2020 PLÁN - SOUHRN '!A:A,A52,'CL 2020 PLÁN - SOUHRN '!I:I)</f>
        <v>0</v>
      </c>
      <c r="R52" s="296">
        <f t="shared" si="8"/>
        <v>0</v>
      </c>
      <c r="S52" s="300" t="str">
        <f t="shared" si="9"/>
        <v/>
      </c>
      <c r="T52" s="326" t="str">
        <f t="shared" si="10"/>
        <v/>
      </c>
      <c r="U52" s="329" t="str">
        <f t="shared" si="11"/>
        <v/>
      </c>
      <c r="V52" s="331"/>
      <c r="W52" s="315">
        <f>-SUMIFS('BP 2020 v.I dle HAZ - MAT.'!EK:EK,'BP 2020 v.I dle HAZ - MAT.'!$B:$B,"Léky - dle §16 (LEK)")</f>
        <v>0</v>
      </c>
      <c r="X52" s="358">
        <v>0</v>
      </c>
      <c r="Y52" s="70">
        <f>-SUMIFS('BP 2020 v.I dle HAZ - MAT.'!EL:EL,'BP 2020 v.I dle HAZ - MAT.'!$B:$B,"Léky - dle §16 (LEK)")</f>
        <v>0</v>
      </c>
      <c r="Z52" s="70">
        <f>-SUMIFS('BP 2020 v.I dle HAZ - MAT.'!EM:EM,'BP 2020 v.I dle HAZ - MAT.'!$B:$B,"Léky - dle §16 (LEK)")</f>
        <v>0</v>
      </c>
      <c r="AA52" s="97">
        <f t="shared" si="2"/>
        <v>0</v>
      </c>
      <c r="AB52" s="316" t="str">
        <f t="shared" si="3"/>
        <v/>
      </c>
      <c r="AC52" s="308">
        <f>-SUMIFS('BP 2020 v.I dle HAZ - MAT.'!EK:EK,'BP 2020 v.I dle HAZ - MAT.'!$B:$B,"Zdravotnické prostředky")</f>
        <v>36356426.390000001</v>
      </c>
      <c r="AD52" s="308">
        <v>36240000</v>
      </c>
      <c r="AE52" s="76">
        <f>39489514</f>
        <v>39489514</v>
      </c>
      <c r="AF52" s="76">
        <f>-SUMIFS('BP 2020 v.I dle HAZ - MAT.'!EM:EM,'BP 2020 v.I dle HAZ - MAT.'!$B:$B,"Zdravotnické prostředky")</f>
        <v>43080000</v>
      </c>
      <c r="AG52" s="98">
        <f t="shared" si="4"/>
        <v>3590486</v>
      </c>
      <c r="AH52" s="369">
        <f t="shared" si="5"/>
        <v>1.0909225167977503</v>
      </c>
      <c r="AI52" s="372">
        <v>37473036</v>
      </c>
    </row>
    <row r="53" spans="1:36" s="46" customFormat="1" ht="30.75" customHeight="1" x14ac:dyDescent="0.25">
      <c r="A53" s="46" t="s">
        <v>461</v>
      </c>
      <c r="B53" s="46" t="s">
        <v>55</v>
      </c>
      <c r="C53" s="46" t="s">
        <v>360</v>
      </c>
      <c r="D53" s="113" t="s">
        <v>55</v>
      </c>
      <c r="E53" s="114">
        <f>-SUMIFS('BP 2020 v.I dle HAZ - MAT.'!EN:EN,'BP 2020 v.I dle HAZ - MAT.'!$B:$B,"Léky a léčiva")-K53-W53</f>
        <v>0</v>
      </c>
      <c r="F53" s="346">
        <v>0</v>
      </c>
      <c r="G53" s="114">
        <v>0</v>
      </c>
      <c r="H53" s="114">
        <f>-SUMIFS('BP 2020 v.I dle HAZ - MAT.'!EP:EP,'BP 2020 v.I dle HAZ - MAT.'!$B:$B,"Léky a léčiva")-N53-Z53</f>
        <v>0</v>
      </c>
      <c r="I53" s="103">
        <f t="shared" si="6"/>
        <v>0</v>
      </c>
      <c r="J53" s="303" t="str">
        <f t="shared" si="7"/>
        <v/>
      </c>
      <c r="K53" s="323">
        <f>-SUMIFS('BP 2020 v.I dle HAZ - MAT.'!EN:EN,'BP 2020 v.I dle HAZ - MAT.'!$B:$B,"Léky - centra (LEK)")</f>
        <v>0</v>
      </c>
      <c r="L53" s="353">
        <v>0</v>
      </c>
      <c r="M53" s="115">
        <f>-SUMIFS('BP 2020 v.I dle HAZ - MAT.'!EO:EO,'BP 2020 v.I dle HAZ - MAT.'!$B:$B,"Léky - centra (LEK)")</f>
        <v>0</v>
      </c>
      <c r="N53" s="115">
        <f>-SUMIFS('BP 2020 v.I dle HAZ - MAT.'!EP:EP,'BP 2020 v.I dle HAZ - MAT.'!$B:$B,"Léky - centra (LEK)")</f>
        <v>0</v>
      </c>
      <c r="O53" s="105">
        <f t="shared" si="0"/>
        <v>0</v>
      </c>
      <c r="P53" s="106" t="str">
        <f t="shared" si="1"/>
        <v/>
      </c>
      <c r="Q53" s="295">
        <f>SUMIF('CL 2020 PLÁN - SOUHRN '!A:A,A53,'CL 2020 PLÁN - SOUHRN '!I:I)</f>
        <v>0</v>
      </c>
      <c r="R53" s="296">
        <f t="shared" si="8"/>
        <v>0</v>
      </c>
      <c r="S53" s="300" t="str">
        <f t="shared" si="9"/>
        <v/>
      </c>
      <c r="T53" s="326" t="str">
        <f t="shared" si="10"/>
        <v/>
      </c>
      <c r="U53" s="329" t="str">
        <f t="shared" si="11"/>
        <v/>
      </c>
      <c r="V53" s="331"/>
      <c r="W53" s="317">
        <f>-SUMIFS('BP 2020 v.I dle HAZ - MAT.'!EN:EN,'BP 2020 v.I dle HAZ - MAT.'!$B:$B,"Léky - dle §16 (LEK)")</f>
        <v>0</v>
      </c>
      <c r="X53" s="359">
        <v>0</v>
      </c>
      <c r="Y53" s="116">
        <f>-SUMIFS('BP 2020 v.I dle HAZ - MAT.'!EO:EO,'BP 2020 v.I dle HAZ - MAT.'!$B:$B,"Léky - dle §16 (LEK)")</f>
        <v>0</v>
      </c>
      <c r="Z53" s="116">
        <f>-SUMIFS('BP 2020 v.I dle HAZ - MAT.'!EP:EP,'BP 2020 v.I dle HAZ - MAT.'!$B:$B,"Léky - dle §16 (LEK)")</f>
        <v>0</v>
      </c>
      <c r="AA53" s="108">
        <f t="shared" si="2"/>
        <v>0</v>
      </c>
      <c r="AB53" s="314" t="str">
        <f t="shared" si="3"/>
        <v/>
      </c>
      <c r="AC53" s="309">
        <f>-SUMIFS('BP 2020 v.I dle HAZ - MAT.'!EN:EN,'BP 2020 v.I dle HAZ - MAT.'!$B:$B,"Zdravotnické prostředky")</f>
        <v>0</v>
      </c>
      <c r="AD53" s="309">
        <v>0</v>
      </c>
      <c r="AE53" s="117">
        <f>-SUMIFS('BP 2020 v.I dle HAZ - MAT.'!EO:EO,'BP 2020 v.I dle HAZ - MAT.'!$B:$B,"Zdravotnické prostředky")</f>
        <v>0</v>
      </c>
      <c r="AF53" s="117">
        <f>-SUMIFS('BP 2020 v.I dle HAZ - MAT.'!EP:EP,'BP 2020 v.I dle HAZ - MAT.'!$B:$B,"Zdravotnické prostředky")</f>
        <v>0</v>
      </c>
      <c r="AG53" s="110">
        <f t="shared" si="4"/>
        <v>0</v>
      </c>
      <c r="AH53" s="368" t="str">
        <f t="shared" si="5"/>
        <v/>
      </c>
      <c r="AI53" s="373">
        <v>0</v>
      </c>
    </row>
    <row r="54" spans="1:36" s="46" customFormat="1" ht="30.75" customHeight="1" x14ac:dyDescent="0.25">
      <c r="A54" s="46" t="s">
        <v>462</v>
      </c>
      <c r="B54" s="46" t="s">
        <v>56</v>
      </c>
      <c r="C54" s="46" t="s">
        <v>361</v>
      </c>
      <c r="D54" s="84" t="s">
        <v>56</v>
      </c>
      <c r="E54" s="57">
        <f>-SUMIFS('BP 2020 v.I dle HAZ - MAT.'!EQ:EQ,'BP 2020 v.I dle HAZ - MAT.'!$B:$B,"Léky a léčiva")-K54-W54</f>
        <v>0</v>
      </c>
      <c r="F54" s="345">
        <v>0</v>
      </c>
      <c r="G54" s="57">
        <v>0</v>
      </c>
      <c r="H54" s="57">
        <f>-SUMIFS('BP 2020 v.I dle HAZ - MAT.'!ES:ES,'BP 2020 v.I dle HAZ - MAT.'!$B:$B,"Léky a léčiva")-N54-Z54</f>
        <v>0</v>
      </c>
      <c r="I54" s="94">
        <f t="shared" si="6"/>
        <v>0</v>
      </c>
      <c r="J54" s="304" t="str">
        <f t="shared" si="7"/>
        <v/>
      </c>
      <c r="K54" s="322">
        <f>-SUMIFS('BP 2020 v.I dle HAZ - MAT.'!EQ:EQ,'BP 2020 v.I dle HAZ - MAT.'!$B:$B,"Léky - centra (LEK)")</f>
        <v>0</v>
      </c>
      <c r="L54" s="351">
        <v>0</v>
      </c>
      <c r="M54" s="64">
        <f>-SUMIFS('BP 2020 v.I dle HAZ - MAT.'!ER:ER,'BP 2020 v.I dle HAZ - MAT.'!$B:$B,"Léky - centra (LEK)")</f>
        <v>0</v>
      </c>
      <c r="N54" s="64">
        <f>-SUMIFS('BP 2020 v.I dle HAZ - MAT.'!ES:ES,'BP 2020 v.I dle HAZ - MAT.'!$B:$B,"Léky - centra (LEK)")</f>
        <v>0</v>
      </c>
      <c r="O54" s="95">
        <f t="shared" si="0"/>
        <v>0</v>
      </c>
      <c r="P54" s="96" t="str">
        <f t="shared" si="1"/>
        <v/>
      </c>
      <c r="Q54" s="295">
        <f>SUMIF('CL 2020 PLÁN - SOUHRN '!A:A,A54,'CL 2020 PLÁN - SOUHRN '!I:I)</f>
        <v>0</v>
      </c>
      <c r="R54" s="296">
        <f t="shared" si="8"/>
        <v>0</v>
      </c>
      <c r="S54" s="300" t="str">
        <f t="shared" si="9"/>
        <v/>
      </c>
      <c r="T54" s="326" t="str">
        <f t="shared" si="10"/>
        <v/>
      </c>
      <c r="U54" s="329" t="str">
        <f t="shared" si="11"/>
        <v/>
      </c>
      <c r="V54" s="331"/>
      <c r="W54" s="315">
        <f>-SUMIFS('BP 2020 v.I dle HAZ - MAT.'!EQ:EQ,'BP 2020 v.I dle HAZ - MAT.'!$B:$B,"Léky - dle §16 (LEK)")</f>
        <v>0</v>
      </c>
      <c r="X54" s="358">
        <v>0</v>
      </c>
      <c r="Y54" s="70">
        <f>-SUMIFS('BP 2020 v.I dle HAZ - MAT.'!ER:ER,'BP 2020 v.I dle HAZ - MAT.'!$B:$B,"Léky - dle §16 (LEK)")</f>
        <v>0</v>
      </c>
      <c r="Z54" s="70">
        <f>-SUMIFS('BP 2020 v.I dle HAZ - MAT.'!ES:ES,'BP 2020 v.I dle HAZ - MAT.'!$B:$B,"Léky - dle §16 (LEK)")</f>
        <v>0</v>
      </c>
      <c r="AA54" s="97">
        <f t="shared" si="2"/>
        <v>0</v>
      </c>
      <c r="AB54" s="316" t="str">
        <f t="shared" si="3"/>
        <v/>
      </c>
      <c r="AC54" s="308">
        <f>-SUMIFS('BP 2020 v.I dle HAZ - MAT.'!EQ:EQ,'BP 2020 v.I dle HAZ - MAT.'!$B:$B,"Zdravotnické prostředky")</f>
        <v>0</v>
      </c>
      <c r="AD54" s="308">
        <v>0</v>
      </c>
      <c r="AE54" s="76">
        <f>-SUMIFS('BP 2020 v.I dle HAZ - MAT.'!ER:ER,'BP 2020 v.I dle HAZ - MAT.'!$B:$B,"Zdravotnické prostředky")</f>
        <v>0</v>
      </c>
      <c r="AF54" s="76">
        <f>-SUMIFS('BP 2020 v.I dle HAZ - MAT.'!ES:ES,'BP 2020 v.I dle HAZ - MAT.'!$B:$B,"Zdravotnické prostředky")</f>
        <v>0</v>
      </c>
      <c r="AG54" s="98">
        <f t="shared" si="4"/>
        <v>0</v>
      </c>
      <c r="AH54" s="369" t="str">
        <f t="shared" si="5"/>
        <v/>
      </c>
      <c r="AI54" s="372">
        <v>0</v>
      </c>
    </row>
    <row r="55" spans="1:36" s="46" customFormat="1" ht="30.75" customHeight="1" x14ac:dyDescent="0.25">
      <c r="A55" s="292"/>
      <c r="B55" s="292"/>
      <c r="C55" s="46" t="s">
        <v>362</v>
      </c>
      <c r="D55" s="113" t="s">
        <v>57</v>
      </c>
      <c r="E55" s="114">
        <f>-SUMIFS('BP 2020 v.I dle HAZ - MAT.'!ET:ET,'BP 2020 v.I dle HAZ - MAT.'!$B:$B,"Léky a léčiva")-K55-W55</f>
        <v>701.21</v>
      </c>
      <c r="F55" s="346">
        <v>0</v>
      </c>
      <c r="G55" s="114">
        <v>0</v>
      </c>
      <c r="H55" s="114">
        <f>-SUMIFS('BP 2020 v.I dle HAZ - MAT.'!EV:EV,'BP 2020 v.I dle HAZ - MAT.'!$B:$B,"Léky a léčiva")-N55-Z55</f>
        <v>0</v>
      </c>
      <c r="I55" s="103">
        <f t="shared" si="6"/>
        <v>0</v>
      </c>
      <c r="J55" s="303" t="str">
        <f t="shared" si="7"/>
        <v/>
      </c>
      <c r="K55" s="323">
        <f>-SUMIFS('BP 2020 v.I dle HAZ - MAT.'!ET:ET,'BP 2020 v.I dle HAZ - MAT.'!$B:$B,"Léky - centra (LEK)")</f>
        <v>0</v>
      </c>
      <c r="L55" s="353">
        <v>0</v>
      </c>
      <c r="M55" s="115">
        <f>-SUMIFS('BP 2020 v.I dle HAZ - MAT.'!EU:EU,'BP 2020 v.I dle HAZ - MAT.'!$B:$B,"Léky - centra (LEK)")</f>
        <v>0</v>
      </c>
      <c r="N55" s="115">
        <f>-SUMIFS('BP 2020 v.I dle HAZ - MAT.'!EV:EV,'BP 2020 v.I dle HAZ - MAT.'!$B:$B,"Léky - centra (LEK)")</f>
        <v>0</v>
      </c>
      <c r="O55" s="105">
        <f t="shared" si="0"/>
        <v>0</v>
      </c>
      <c r="P55" s="106" t="str">
        <f t="shared" si="1"/>
        <v/>
      </c>
      <c r="Q55" s="295">
        <f>SUMIF('CL 2020 PLÁN - SOUHRN '!A:A,A55,'CL 2020 PLÁN - SOUHRN '!I:I)</f>
        <v>0</v>
      </c>
      <c r="R55" s="296">
        <f t="shared" si="8"/>
        <v>0</v>
      </c>
      <c r="S55" s="300" t="str">
        <f t="shared" si="9"/>
        <v/>
      </c>
      <c r="T55" s="326" t="str">
        <f t="shared" si="10"/>
        <v/>
      </c>
      <c r="U55" s="329" t="str">
        <f t="shared" si="11"/>
        <v/>
      </c>
      <c r="V55" s="331"/>
      <c r="W55" s="317">
        <f>-SUMIFS('BP 2020 v.I dle HAZ - MAT.'!ET:ET,'BP 2020 v.I dle HAZ - MAT.'!$B:$B,"Léky - dle §16 (LEK)")</f>
        <v>0</v>
      </c>
      <c r="X55" s="359">
        <v>0</v>
      </c>
      <c r="Y55" s="116">
        <f>-SUMIFS('BP 2020 v.I dle HAZ - MAT.'!EU:EU,'BP 2020 v.I dle HAZ - MAT.'!$B:$B,"Léky - dle §16 (LEK)")</f>
        <v>0</v>
      </c>
      <c r="Z55" s="116">
        <f>-SUMIFS('BP 2020 v.I dle HAZ - MAT.'!EV:EV,'BP 2020 v.I dle HAZ - MAT.'!$B:$B,"Léky - dle §16 (LEK)")</f>
        <v>0</v>
      </c>
      <c r="AA55" s="108">
        <f t="shared" si="2"/>
        <v>0</v>
      </c>
      <c r="AB55" s="314" t="str">
        <f t="shared" si="3"/>
        <v/>
      </c>
      <c r="AC55" s="309">
        <f>-SUMIFS('BP 2020 v.I dle HAZ - MAT.'!ET:ET,'BP 2020 v.I dle HAZ - MAT.'!$B:$B,"Zdravotnické prostředky")</f>
        <v>55231.57</v>
      </c>
      <c r="AD55" s="309">
        <v>65000</v>
      </c>
      <c r="AE55" s="117">
        <v>65004</v>
      </c>
      <c r="AF55" s="117">
        <f>-SUMIFS('BP 2020 v.I dle HAZ - MAT.'!EV:EV,'BP 2020 v.I dle HAZ - MAT.'!$B:$B,"Zdravotnické prostředky")</f>
        <v>0</v>
      </c>
      <c r="AG55" s="110">
        <f t="shared" si="4"/>
        <v>-65004</v>
      </c>
      <c r="AH55" s="368">
        <f t="shared" si="5"/>
        <v>0</v>
      </c>
      <c r="AI55" s="373">
        <v>65004</v>
      </c>
    </row>
    <row r="56" spans="1:36" s="46" customFormat="1" ht="30.75" customHeight="1" x14ac:dyDescent="0.25">
      <c r="A56" s="46" t="s">
        <v>464</v>
      </c>
      <c r="B56" s="46" t="s">
        <v>58</v>
      </c>
      <c r="C56" s="46" t="s">
        <v>363</v>
      </c>
      <c r="D56" s="84" t="s">
        <v>58</v>
      </c>
      <c r="E56" s="57">
        <f>-SUMIFS('BP 2020 v.I dle HAZ - MAT.'!EW:EW,'BP 2020 v.I dle HAZ - MAT.'!$B:$B,"Léky a léčiva")-K56-W56</f>
        <v>37228.910000000003</v>
      </c>
      <c r="F56" s="344">
        <v>70000</v>
      </c>
      <c r="G56" s="342">
        <v>69996</v>
      </c>
      <c r="H56" s="57">
        <f>-SUMIFS('BP 2020 v.I dle HAZ - MAT.'!EY:EY,'BP 2020 v.I dle HAZ - MAT.'!$B:$B,"Léky a léčiva")-N56-Z56</f>
        <v>50000</v>
      </c>
      <c r="I56" s="94">
        <f t="shared" si="6"/>
        <v>-19996</v>
      </c>
      <c r="J56" s="304">
        <f t="shared" si="7"/>
        <v>0.71432653294473969</v>
      </c>
      <c r="K56" s="322">
        <f>-SUMIFS('BP 2020 v.I dle HAZ - MAT.'!EW:EW,'BP 2020 v.I dle HAZ - MAT.'!$B:$B,"Léky - centra (LEK)")</f>
        <v>0</v>
      </c>
      <c r="L56" s="351">
        <v>0</v>
      </c>
      <c r="M56" s="64">
        <f>-SUMIFS('BP 2020 v.I dle HAZ - MAT.'!EX:EX,'BP 2020 v.I dle HAZ - MAT.'!$B:$B,"Léky - centra (LEK)")</f>
        <v>0</v>
      </c>
      <c r="N56" s="64">
        <f>-SUMIFS('BP 2020 v.I dle HAZ - MAT.'!EY:EY,'BP 2020 v.I dle HAZ - MAT.'!$B:$B,"Léky - centra (LEK)")</f>
        <v>0</v>
      </c>
      <c r="O56" s="95">
        <f t="shared" si="0"/>
        <v>0</v>
      </c>
      <c r="P56" s="96" t="str">
        <f t="shared" si="1"/>
        <v/>
      </c>
      <c r="Q56" s="295">
        <f>SUMIF('CL 2020 PLÁN - SOUHRN '!A:A,A56,'CL 2020 PLÁN - SOUHRN '!I:I)</f>
        <v>0</v>
      </c>
      <c r="R56" s="296">
        <f t="shared" si="8"/>
        <v>0</v>
      </c>
      <c r="S56" s="300" t="str">
        <f t="shared" si="9"/>
        <v/>
      </c>
      <c r="T56" s="326" t="str">
        <f t="shared" si="10"/>
        <v/>
      </c>
      <c r="U56" s="329" t="str">
        <f t="shared" si="11"/>
        <v/>
      </c>
      <c r="V56" s="331"/>
      <c r="W56" s="315">
        <f>-SUMIFS('BP 2020 v.I dle HAZ - MAT.'!EW:EW,'BP 2020 v.I dle HAZ - MAT.'!$B:$B,"Léky - dle §16 (LEK)")</f>
        <v>0</v>
      </c>
      <c r="X56" s="358">
        <v>0</v>
      </c>
      <c r="Y56" s="70">
        <f>-SUMIFS('BP 2020 v.I dle HAZ - MAT.'!EX:EX,'BP 2020 v.I dle HAZ - MAT.'!$B:$B,"Léky - dle §16 (LEK)")</f>
        <v>0</v>
      </c>
      <c r="Z56" s="70">
        <f>-SUMIFS('BP 2020 v.I dle HAZ - MAT.'!EY:EY,'BP 2020 v.I dle HAZ - MAT.'!$B:$B,"Léky - dle §16 (LEK)")</f>
        <v>0</v>
      </c>
      <c r="AA56" s="97">
        <f t="shared" si="2"/>
        <v>0</v>
      </c>
      <c r="AB56" s="316" t="str">
        <f t="shared" si="3"/>
        <v/>
      </c>
      <c r="AC56" s="308">
        <f>-SUMIFS('BP 2020 v.I dle HAZ - MAT.'!EW:EW,'BP 2020 v.I dle HAZ - MAT.'!$B:$B,"Zdravotnické prostředky")</f>
        <v>24941.13</v>
      </c>
      <c r="AD56" s="308">
        <v>25000</v>
      </c>
      <c r="AE56" s="76">
        <v>50596</v>
      </c>
      <c r="AF56" s="76">
        <f>-SUMIFS('BP 2020 v.I dle HAZ - MAT.'!EY:EY,'BP 2020 v.I dle HAZ - MAT.'!$B:$B,"Zdravotnické prostředky")</f>
        <v>47000</v>
      </c>
      <c r="AG56" s="98">
        <f t="shared" si="4"/>
        <v>-3596</v>
      </c>
      <c r="AH56" s="369">
        <f t="shared" si="5"/>
        <v>0.92892718791999362</v>
      </c>
      <c r="AI56" s="372">
        <v>24996</v>
      </c>
    </row>
    <row r="57" spans="1:36" s="46" customFormat="1" ht="30.75" customHeight="1" x14ac:dyDescent="0.25">
      <c r="A57" s="46" t="s">
        <v>465</v>
      </c>
      <c r="B57" s="46" t="s">
        <v>59</v>
      </c>
      <c r="C57" s="46" t="s">
        <v>364</v>
      </c>
      <c r="D57" s="113" t="s">
        <v>59</v>
      </c>
      <c r="E57" s="114">
        <f>-SUMIFS('BP 2020 v.I dle HAZ - MAT.'!EZ:EZ,'BP 2020 v.I dle HAZ - MAT.'!$B:$B,"Léky a léčiva")-K57-W57</f>
        <v>0</v>
      </c>
      <c r="F57" s="346">
        <v>0</v>
      </c>
      <c r="G57" s="114">
        <v>0</v>
      </c>
      <c r="H57" s="114">
        <f>-SUMIFS('BP 2020 v.I dle HAZ - MAT.'!FB:FB,'BP 2020 v.I dle HAZ - MAT.'!$B:$B,"Léky a léčiva")-N57-Z57</f>
        <v>0</v>
      </c>
      <c r="I57" s="103">
        <f t="shared" si="6"/>
        <v>0</v>
      </c>
      <c r="J57" s="303" t="str">
        <f t="shared" si="7"/>
        <v/>
      </c>
      <c r="K57" s="323">
        <f>-SUMIFS('BP 2020 v.I dle HAZ - MAT.'!EZ:EZ,'BP 2020 v.I dle HAZ - MAT.'!$B:$B,"Léky - centra (LEK)")</f>
        <v>0</v>
      </c>
      <c r="L57" s="353">
        <v>0</v>
      </c>
      <c r="M57" s="115">
        <f>-SUMIFS('BP 2020 v.I dle HAZ - MAT.'!FA:FA,'BP 2020 v.I dle HAZ - MAT.'!$B:$B,"Léky - centra (LEK)")</f>
        <v>0</v>
      </c>
      <c r="N57" s="115">
        <f>-SUMIFS('BP 2020 v.I dle HAZ - MAT.'!FB:FB,'BP 2020 v.I dle HAZ - MAT.'!$B:$B,"Léky - centra (LEK)")</f>
        <v>0</v>
      </c>
      <c r="O57" s="105">
        <f t="shared" si="0"/>
        <v>0</v>
      </c>
      <c r="P57" s="106" t="str">
        <f t="shared" si="1"/>
        <v/>
      </c>
      <c r="Q57" s="295">
        <f>SUMIF('CL 2020 PLÁN - SOUHRN '!A:A,A57,'CL 2020 PLÁN - SOUHRN '!I:I)</f>
        <v>0</v>
      </c>
      <c r="R57" s="296">
        <f t="shared" si="8"/>
        <v>0</v>
      </c>
      <c r="S57" s="300" t="str">
        <f t="shared" si="9"/>
        <v/>
      </c>
      <c r="T57" s="326" t="str">
        <f t="shared" si="10"/>
        <v/>
      </c>
      <c r="U57" s="329" t="str">
        <f t="shared" si="11"/>
        <v/>
      </c>
      <c r="V57" s="331"/>
      <c r="W57" s="317">
        <f>-SUMIFS('BP 2020 v.I dle HAZ - MAT.'!EZ:EZ,'BP 2020 v.I dle HAZ - MAT.'!$B:$B,"Léky - dle §16 (LEK)")</f>
        <v>0</v>
      </c>
      <c r="X57" s="359">
        <v>0</v>
      </c>
      <c r="Y57" s="116">
        <f>-SUMIFS('BP 2020 v.I dle HAZ - MAT.'!FA:FA,'BP 2020 v.I dle HAZ - MAT.'!$B:$B,"Léky - dle §16 (LEK)")</f>
        <v>0</v>
      </c>
      <c r="Z57" s="116">
        <f>-SUMIFS('BP 2020 v.I dle HAZ - MAT.'!FB:FB,'BP 2020 v.I dle HAZ - MAT.'!$B:$B,"Léky - dle §16 (LEK)")</f>
        <v>0</v>
      </c>
      <c r="AA57" s="108">
        <f t="shared" si="2"/>
        <v>0</v>
      </c>
      <c r="AB57" s="314" t="str">
        <f t="shared" si="3"/>
        <v/>
      </c>
      <c r="AC57" s="309">
        <f>-SUMIFS('BP 2020 v.I dle HAZ - MAT.'!EZ:EZ,'BP 2020 v.I dle HAZ - MAT.'!$B:$B,"Zdravotnické prostředky")</f>
        <v>1223106.1200000001</v>
      </c>
      <c r="AD57" s="309">
        <v>1186000</v>
      </c>
      <c r="AE57" s="117">
        <v>1496000</v>
      </c>
      <c r="AF57" s="117">
        <f>-SUMIFS('BP 2020 v.I dle HAZ - MAT.'!FB:FB,'BP 2020 v.I dle HAZ - MAT.'!$B:$B,"Zdravotnické prostředky")</f>
        <v>2980000</v>
      </c>
      <c r="AG57" s="110">
        <f t="shared" si="4"/>
        <v>1484000</v>
      </c>
      <c r="AH57" s="368">
        <f t="shared" si="5"/>
        <v>1.9919786096256684</v>
      </c>
      <c r="AI57" s="373">
        <v>1056000</v>
      </c>
    </row>
    <row r="58" spans="1:36" s="46" customFormat="1" ht="30.75" customHeight="1" x14ac:dyDescent="0.25">
      <c r="A58" s="46" t="s">
        <v>466</v>
      </c>
      <c r="B58" s="46" t="s">
        <v>60</v>
      </c>
      <c r="C58" s="46" t="s">
        <v>365</v>
      </c>
      <c r="D58" s="84" t="s">
        <v>60</v>
      </c>
      <c r="E58" s="57">
        <f>-SUMIFS('BP 2020 v.I dle HAZ - MAT.'!FC:FC,'BP 2020 v.I dle HAZ - MAT.'!$B:$B,"Léky a léčiva")-K58-W58</f>
        <v>10967659.52</v>
      </c>
      <c r="F58" s="344">
        <v>10750000</v>
      </c>
      <c r="G58" s="342">
        <f>8560100+1690000</f>
        <v>10250100</v>
      </c>
      <c r="H58" s="57">
        <f>-SUMIFS('BP 2020 v.I dle HAZ - MAT.'!FE:FE,'BP 2020 v.I dle HAZ - MAT.'!$B:$B,"Léky a léčiva")-N58-Z58</f>
        <v>10000000</v>
      </c>
      <c r="I58" s="94">
        <f t="shared" si="6"/>
        <v>-250100</v>
      </c>
      <c r="J58" s="304">
        <f t="shared" si="7"/>
        <v>0.97560023804645812</v>
      </c>
      <c r="K58" s="322">
        <f>-SUMIFS('BP 2020 v.I dle HAZ - MAT.'!FC:FC,'BP 2020 v.I dle HAZ - MAT.'!$B:$B,"Léky - centra (LEK)")</f>
        <v>0</v>
      </c>
      <c r="L58" s="351">
        <v>0</v>
      </c>
      <c r="M58" s="64">
        <f>-SUMIFS('BP 2020 v.I dle HAZ - MAT.'!FD:FD,'BP 2020 v.I dle HAZ - MAT.'!$B:$B,"Léky - centra (LEK)")</f>
        <v>0</v>
      </c>
      <c r="N58" s="64">
        <f>-SUMIFS('BP 2020 v.I dle HAZ - MAT.'!FE:FE,'BP 2020 v.I dle HAZ - MAT.'!$B:$B,"Léky - centra (LEK)")</f>
        <v>0</v>
      </c>
      <c r="O58" s="95">
        <f t="shared" si="0"/>
        <v>0</v>
      </c>
      <c r="P58" s="96" t="str">
        <f t="shared" si="1"/>
        <v/>
      </c>
      <c r="Q58" s="295">
        <f>SUMIF('CL 2020 PLÁN - SOUHRN '!A:A,A58,'CL 2020 PLÁN - SOUHRN '!I:I)</f>
        <v>824990.11</v>
      </c>
      <c r="R58" s="296">
        <f t="shared" si="8"/>
        <v>0</v>
      </c>
      <c r="S58" s="300" t="str">
        <f t="shared" si="9"/>
        <v/>
      </c>
      <c r="T58" s="326" t="str">
        <f t="shared" si="10"/>
        <v/>
      </c>
      <c r="U58" s="329" t="str">
        <f t="shared" si="11"/>
        <v/>
      </c>
      <c r="V58" s="331"/>
      <c r="W58" s="315">
        <f>-SUMIFS('BP 2020 v.I dle HAZ - MAT.'!FC:FC,'BP 2020 v.I dle HAZ - MAT.'!$B:$B,"Léky - dle §16 (LEK)")</f>
        <v>0</v>
      </c>
      <c r="X58" s="358">
        <v>0</v>
      </c>
      <c r="Y58" s="70">
        <f>-SUMIFS('BP 2020 v.I dle HAZ - MAT.'!FD:FD,'BP 2020 v.I dle HAZ - MAT.'!$B:$B,"Léky - dle §16 (LEK)")</f>
        <v>0</v>
      </c>
      <c r="Z58" s="70">
        <f>-SUMIFS('BP 2020 v.I dle HAZ - MAT.'!FE:FE,'BP 2020 v.I dle HAZ - MAT.'!$B:$B,"Léky - dle §16 (LEK)")</f>
        <v>0</v>
      </c>
      <c r="AA58" s="97">
        <f t="shared" si="2"/>
        <v>0</v>
      </c>
      <c r="AB58" s="316" t="str">
        <f t="shared" si="3"/>
        <v/>
      </c>
      <c r="AC58" s="308">
        <f>-SUMIFS('BP 2020 v.I dle HAZ - MAT.'!FC:FC,'BP 2020 v.I dle HAZ - MAT.'!$B:$B,"Zdravotnické prostředky")</f>
        <v>4667755.97</v>
      </c>
      <c r="AD58" s="308">
        <v>4747000</v>
      </c>
      <c r="AE58" s="76">
        <v>4740488</v>
      </c>
      <c r="AF58" s="76">
        <f>-SUMIFS('BP 2020 v.I dle HAZ - MAT.'!FE:FE,'BP 2020 v.I dle HAZ - MAT.'!$B:$B,"Zdravotnické prostředky")</f>
        <v>4700000</v>
      </c>
      <c r="AG58" s="98">
        <f t="shared" si="4"/>
        <v>-40488</v>
      </c>
      <c r="AH58" s="369">
        <f t="shared" si="5"/>
        <v>0.99145910716365071</v>
      </c>
      <c r="AI58" s="372">
        <v>4706988</v>
      </c>
    </row>
    <row r="59" spans="1:36" s="46" customFormat="1" ht="30.75" customHeight="1" x14ac:dyDescent="0.25">
      <c r="A59" s="46" t="s">
        <v>467</v>
      </c>
      <c r="B59" s="46" t="s">
        <v>61</v>
      </c>
      <c r="C59" s="46" t="s">
        <v>366</v>
      </c>
      <c r="D59" s="113" t="s">
        <v>61</v>
      </c>
      <c r="E59" s="114">
        <f>-SUMIFS('BP 2020 v.I dle HAZ - MAT.'!FF:FF,'BP 2020 v.I dle HAZ - MAT.'!$B:$B,"Léky a léčiva")-K59-W59</f>
        <v>2213296.36</v>
      </c>
      <c r="F59" s="346">
        <v>2268000</v>
      </c>
      <c r="G59" s="341">
        <f>1896996+370000</f>
        <v>2266996</v>
      </c>
      <c r="H59" s="114">
        <f>-SUMIFS('BP 2020 v.I dle HAZ - MAT.'!FH:FH,'BP 2020 v.I dle HAZ - MAT.'!$B:$B,"Léky a léčiva")-N59-Z59</f>
        <v>2291441</v>
      </c>
      <c r="I59" s="103">
        <f t="shared" si="6"/>
        <v>24445</v>
      </c>
      <c r="J59" s="303">
        <f t="shared" si="7"/>
        <v>1.0107829921182041</v>
      </c>
      <c r="K59" s="323">
        <f>-SUMIFS('BP 2020 v.I dle HAZ - MAT.'!FF:FF,'BP 2020 v.I dle HAZ - MAT.'!$B:$B,"Léky - centra (LEK)")</f>
        <v>0</v>
      </c>
      <c r="L59" s="353">
        <v>0</v>
      </c>
      <c r="M59" s="115">
        <f>-SUMIFS('BP 2020 v.I dle HAZ - MAT.'!FG:FG,'BP 2020 v.I dle HAZ - MAT.'!$B:$B,"Léky - centra (LEK)")</f>
        <v>0</v>
      </c>
      <c r="N59" s="115">
        <f>-SUMIFS('BP 2020 v.I dle HAZ - MAT.'!FH:FH,'BP 2020 v.I dle HAZ - MAT.'!$B:$B,"Léky - centra (LEK)")</f>
        <v>0</v>
      </c>
      <c r="O59" s="105">
        <f t="shared" si="0"/>
        <v>0</v>
      </c>
      <c r="P59" s="106" t="str">
        <f t="shared" si="1"/>
        <v/>
      </c>
      <c r="Q59" s="295">
        <f>SUMIF('CL 2020 PLÁN - SOUHRN '!A:A,A59,'CL 2020 PLÁN - SOUHRN '!I:I)</f>
        <v>0</v>
      </c>
      <c r="R59" s="296">
        <f t="shared" si="8"/>
        <v>0</v>
      </c>
      <c r="S59" s="300" t="str">
        <f t="shared" si="9"/>
        <v/>
      </c>
      <c r="T59" s="326" t="str">
        <f t="shared" si="10"/>
        <v/>
      </c>
      <c r="U59" s="329" t="str">
        <f t="shared" si="11"/>
        <v/>
      </c>
      <c r="V59" s="331"/>
      <c r="W59" s="317">
        <f>-SUMIFS('BP 2020 v.I dle HAZ - MAT.'!FF:FF,'BP 2020 v.I dle HAZ - MAT.'!$B:$B,"Léky - dle §16 (LEK)")</f>
        <v>0</v>
      </c>
      <c r="X59" s="359">
        <v>0</v>
      </c>
      <c r="Y59" s="116">
        <f>-SUMIFS('BP 2020 v.I dle HAZ - MAT.'!FG:FG,'BP 2020 v.I dle HAZ - MAT.'!$B:$B,"Léky - dle §16 (LEK)")</f>
        <v>0</v>
      </c>
      <c r="Z59" s="116">
        <f>-SUMIFS('BP 2020 v.I dle HAZ - MAT.'!FH:FH,'BP 2020 v.I dle HAZ - MAT.'!$B:$B,"Léky - dle §16 (LEK)")</f>
        <v>0</v>
      </c>
      <c r="AA59" s="108">
        <f t="shared" si="2"/>
        <v>0</v>
      </c>
      <c r="AB59" s="314" t="str">
        <f t="shared" si="3"/>
        <v/>
      </c>
      <c r="AC59" s="309">
        <f>-SUMIFS('BP 2020 v.I dle HAZ - MAT.'!FF:FF,'BP 2020 v.I dle HAZ - MAT.'!$B:$B,"Zdravotnické prostředky")</f>
        <v>4165642.61</v>
      </c>
      <c r="AD59" s="309">
        <v>4201000</v>
      </c>
      <c r="AE59" s="117">
        <v>4255000</v>
      </c>
      <c r="AF59" s="117">
        <f>-SUMIFS('BP 2020 v.I dle HAZ - MAT.'!FH:FH,'BP 2020 v.I dle HAZ - MAT.'!$B:$B,"Zdravotnické prostředky")</f>
        <v>4265476</v>
      </c>
      <c r="AG59" s="110">
        <f t="shared" si="4"/>
        <v>10476</v>
      </c>
      <c r="AH59" s="368">
        <f t="shared" si="5"/>
        <v>1.002462044653349</v>
      </c>
      <c r="AI59" s="373">
        <v>4200000</v>
      </c>
    </row>
    <row r="60" spans="1:36" s="46" customFormat="1" ht="30.75" customHeight="1" x14ac:dyDescent="0.25">
      <c r="C60" s="46" t="s">
        <v>367</v>
      </c>
      <c r="D60" s="84" t="s">
        <v>62</v>
      </c>
      <c r="E60" s="57">
        <f>-SUMIFS('BP 2020 v.I dle HAZ - MAT.'!FI:FI,'BP 2020 v.I dle HAZ - MAT.'!$B:$B,"Léky a léčiva")-K60-W60</f>
        <v>0</v>
      </c>
      <c r="F60" s="57"/>
      <c r="G60" s="57">
        <f>-SUMIFS('BP 2020 v.I dle HAZ - MAT.'!FJ:FJ,'BP 2020 v.I dle HAZ - MAT.'!$B:$B,"Léky a léčiva")-M60-Y60</f>
        <v>0</v>
      </c>
      <c r="H60" s="57">
        <f>-SUMIFS('BP 2020 v.I dle HAZ - MAT.'!FK:FK,'BP 2020 v.I dle HAZ - MAT.'!$B:$B,"Léky a léčiva")-N60-Z60</f>
        <v>0</v>
      </c>
      <c r="I60" s="94">
        <f t="shared" si="6"/>
        <v>0</v>
      </c>
      <c r="J60" s="304" t="str">
        <f t="shared" si="7"/>
        <v/>
      </c>
      <c r="K60" s="322">
        <f>-SUMIFS('BP 2020 v.I dle HAZ - MAT.'!FI:FI,'BP 2020 v.I dle HAZ - MAT.'!$B:$B,"Léky - centra (LEK)")</f>
        <v>0</v>
      </c>
      <c r="L60" s="351"/>
      <c r="M60" s="64">
        <f>-SUMIFS('BP 2020 v.I dle HAZ - MAT.'!FJ:FJ,'BP 2020 v.I dle HAZ - MAT.'!$B:$B,"Léky - centra (LEK)")</f>
        <v>0</v>
      </c>
      <c r="N60" s="64">
        <f>-SUMIFS('BP 2020 v.I dle HAZ - MAT.'!FK:FK,'BP 2020 v.I dle HAZ - MAT.'!$B:$B,"Léky - centra (LEK)")</f>
        <v>0</v>
      </c>
      <c r="O60" s="95">
        <f t="shared" si="0"/>
        <v>0</v>
      </c>
      <c r="P60" s="96" t="str">
        <f t="shared" si="1"/>
        <v/>
      </c>
      <c r="Q60" s="295">
        <f>SUMIF('CL 2020 PLÁN - SOUHRN '!A:A,A60,'CL 2020 PLÁN - SOUHRN '!I:I)</f>
        <v>0</v>
      </c>
      <c r="R60" s="296">
        <f t="shared" si="8"/>
        <v>0</v>
      </c>
      <c r="S60" s="300" t="str">
        <f t="shared" si="9"/>
        <v/>
      </c>
      <c r="T60" s="326" t="str">
        <f t="shared" si="10"/>
        <v/>
      </c>
      <c r="U60" s="329" t="str">
        <f t="shared" si="11"/>
        <v/>
      </c>
      <c r="V60" s="331"/>
      <c r="W60" s="315">
        <f>-SUMIFS('BP 2020 v.I dle HAZ - MAT.'!FI:FI,'BP 2020 v.I dle HAZ - MAT.'!$B:$B,"Léky - dle §16 (LEK)")</f>
        <v>0</v>
      </c>
      <c r="X60" s="358"/>
      <c r="Y60" s="70">
        <f>-SUMIFS('BP 2020 v.I dle HAZ - MAT.'!FJ:FJ,'BP 2020 v.I dle HAZ - MAT.'!$B:$B,"Léky - dle §16 (LEK)")</f>
        <v>0</v>
      </c>
      <c r="Z60" s="70">
        <f>-SUMIFS('BP 2020 v.I dle HAZ - MAT.'!FK:FK,'BP 2020 v.I dle HAZ - MAT.'!$B:$B,"Léky - dle §16 (LEK)")</f>
        <v>0</v>
      </c>
      <c r="AA60" s="97">
        <f t="shared" si="2"/>
        <v>0</v>
      </c>
      <c r="AB60" s="316" t="str">
        <f t="shared" si="3"/>
        <v/>
      </c>
      <c r="AC60" s="308">
        <f>-SUMIFS('BP 2020 v.I dle HAZ - MAT.'!FI:FI,'BP 2020 v.I dle HAZ - MAT.'!$B:$B,"Zdravotnické prostředky")</f>
        <v>0</v>
      </c>
      <c r="AD60" s="308"/>
      <c r="AE60" s="76">
        <f>-SUMIFS('BP 2020 v.I dle HAZ - MAT.'!FJ:FJ,'BP 2020 v.I dle HAZ - MAT.'!$B:$B,"Zdravotnické prostředky")</f>
        <v>0</v>
      </c>
      <c r="AF60" s="76">
        <f>-SUMIFS('BP 2020 v.I dle HAZ - MAT.'!FK:FK,'BP 2020 v.I dle HAZ - MAT.'!$B:$B,"Zdravotnické prostředky")</f>
        <v>0</v>
      </c>
      <c r="AG60" s="98">
        <f t="shared" si="4"/>
        <v>0</v>
      </c>
      <c r="AH60" s="369" t="str">
        <f t="shared" si="5"/>
        <v/>
      </c>
      <c r="AI60" s="372"/>
    </row>
    <row r="61" spans="1:36" s="46" customFormat="1" ht="30.75" customHeight="1" x14ac:dyDescent="0.25">
      <c r="C61" s="46" t="s">
        <v>368</v>
      </c>
      <c r="D61" s="113" t="s">
        <v>63</v>
      </c>
      <c r="E61" s="114">
        <f>-SUMIFS('BP 2020 v.I dle HAZ - MAT.'!FL:FL,'BP 2020 v.I dle HAZ - MAT.'!$B:$B,"Léky a léčiva")-K61-W61</f>
        <v>0</v>
      </c>
      <c r="F61" s="114"/>
      <c r="G61" s="114">
        <f>-SUMIFS('BP 2020 v.I dle HAZ - MAT.'!FM:FM,'BP 2020 v.I dle HAZ - MAT.'!$B:$B,"Léky a léčiva")-M61-Y61</f>
        <v>0</v>
      </c>
      <c r="H61" s="114">
        <f>-SUMIFS('BP 2020 v.I dle HAZ - MAT.'!FN:FN,'BP 2020 v.I dle HAZ - MAT.'!$B:$B,"Léky a léčiva")-N61-Z61</f>
        <v>0</v>
      </c>
      <c r="I61" s="103">
        <f t="shared" si="6"/>
        <v>0</v>
      </c>
      <c r="J61" s="303" t="str">
        <f t="shared" si="7"/>
        <v/>
      </c>
      <c r="K61" s="323">
        <f>-SUMIFS('BP 2020 v.I dle HAZ - MAT.'!FL:FL,'BP 2020 v.I dle HAZ - MAT.'!$B:$B,"Léky - centra (LEK)")</f>
        <v>0</v>
      </c>
      <c r="L61" s="353"/>
      <c r="M61" s="115">
        <f>-SUMIFS('BP 2020 v.I dle HAZ - MAT.'!FM:FM,'BP 2020 v.I dle HAZ - MAT.'!$B:$B,"Léky - centra (LEK)")</f>
        <v>0</v>
      </c>
      <c r="N61" s="115">
        <f>-SUMIFS('BP 2020 v.I dle HAZ - MAT.'!FN:FN,'BP 2020 v.I dle HAZ - MAT.'!$B:$B,"Léky - centra (LEK)")</f>
        <v>0</v>
      </c>
      <c r="O61" s="105">
        <f t="shared" si="0"/>
        <v>0</v>
      </c>
      <c r="P61" s="106" t="str">
        <f t="shared" si="1"/>
        <v/>
      </c>
      <c r="Q61" s="295">
        <f>SUMIF('CL 2020 PLÁN - SOUHRN '!A:A,A61,'CL 2020 PLÁN - SOUHRN '!I:I)</f>
        <v>0</v>
      </c>
      <c r="R61" s="296">
        <f t="shared" si="8"/>
        <v>0</v>
      </c>
      <c r="S61" s="300" t="str">
        <f t="shared" si="9"/>
        <v/>
      </c>
      <c r="T61" s="326" t="str">
        <f t="shared" si="10"/>
        <v/>
      </c>
      <c r="U61" s="329" t="str">
        <f t="shared" si="11"/>
        <v/>
      </c>
      <c r="V61" s="331"/>
      <c r="W61" s="317">
        <f>-SUMIFS('BP 2020 v.I dle HAZ - MAT.'!FL:FL,'BP 2020 v.I dle HAZ - MAT.'!$B:$B,"Léky - dle §16 (LEK)")</f>
        <v>0</v>
      </c>
      <c r="X61" s="359"/>
      <c r="Y61" s="116">
        <f>-SUMIFS('BP 2020 v.I dle HAZ - MAT.'!FM:FM,'BP 2020 v.I dle HAZ - MAT.'!$B:$B,"Léky - dle §16 (LEK)")</f>
        <v>0</v>
      </c>
      <c r="Z61" s="116">
        <f>-SUMIFS('BP 2020 v.I dle HAZ - MAT.'!FN:FN,'BP 2020 v.I dle HAZ - MAT.'!$B:$B,"Léky - dle §16 (LEK)")</f>
        <v>0</v>
      </c>
      <c r="AA61" s="108">
        <f t="shared" si="2"/>
        <v>0</v>
      </c>
      <c r="AB61" s="314" t="str">
        <f t="shared" si="3"/>
        <v/>
      </c>
      <c r="AC61" s="309">
        <f>-SUMIFS('BP 2020 v.I dle HAZ - MAT.'!FL:FL,'BP 2020 v.I dle HAZ - MAT.'!$B:$B,"Zdravotnické prostředky")</f>
        <v>780537.76</v>
      </c>
      <c r="AD61" s="309"/>
      <c r="AE61" s="117">
        <f>-SUMIFS('BP 2020 v.I dle HAZ - MAT.'!FM:FM,'BP 2020 v.I dle HAZ - MAT.'!$B:$B,"Zdravotnické prostředky")</f>
        <v>0</v>
      </c>
      <c r="AF61" s="117">
        <f>-SUMIFS('BP 2020 v.I dle HAZ - MAT.'!FN:FN,'BP 2020 v.I dle HAZ - MAT.'!$B:$B,"Zdravotnické prostředky")</f>
        <v>0</v>
      </c>
      <c r="AG61" s="110">
        <f t="shared" si="4"/>
        <v>0</v>
      </c>
      <c r="AH61" s="368" t="str">
        <f t="shared" si="5"/>
        <v/>
      </c>
      <c r="AI61" s="373"/>
    </row>
    <row r="62" spans="1:36" s="46" customFormat="1" ht="30.75" customHeight="1" x14ac:dyDescent="0.25">
      <c r="C62" s="46" t="s">
        <v>369</v>
      </c>
      <c r="D62" s="84" t="s">
        <v>64</v>
      </c>
      <c r="E62" s="57">
        <f>-SUMIFS('BP 2020 v.I dle HAZ - MAT.'!FO:FO,'BP 2020 v.I dle HAZ - MAT.'!$B:$B,"Léky a léčiva")-K62-W62</f>
        <v>10648.76</v>
      </c>
      <c r="F62" s="57"/>
      <c r="G62" s="57">
        <f>-SUMIFS('BP 2020 v.I dle HAZ - MAT.'!FP:FP,'BP 2020 v.I dle HAZ - MAT.'!$B:$B,"Léky a léčiva")-M62-Y62</f>
        <v>0</v>
      </c>
      <c r="H62" s="57">
        <f>-SUMIFS('BP 2020 v.I dle HAZ - MAT.'!FQ:FQ,'BP 2020 v.I dle HAZ - MAT.'!$B:$B,"Léky a léčiva")-N62-Z62</f>
        <v>0</v>
      </c>
      <c r="I62" s="94">
        <f t="shared" si="6"/>
        <v>0</v>
      </c>
      <c r="J62" s="304" t="str">
        <f t="shared" si="7"/>
        <v/>
      </c>
      <c r="K62" s="322">
        <f>-SUMIFS('BP 2020 v.I dle HAZ - MAT.'!FO:FO,'BP 2020 v.I dle HAZ - MAT.'!$B:$B,"Léky - centra (LEK)")</f>
        <v>0</v>
      </c>
      <c r="L62" s="351"/>
      <c r="M62" s="64">
        <f>-SUMIFS('BP 2020 v.I dle HAZ - MAT.'!FP:FP,'BP 2020 v.I dle HAZ - MAT.'!$B:$B,"Léky - centra (LEK)")</f>
        <v>0</v>
      </c>
      <c r="N62" s="64">
        <f>-SUMIFS('BP 2020 v.I dle HAZ - MAT.'!FQ:FQ,'BP 2020 v.I dle HAZ - MAT.'!$B:$B,"Léky - centra (LEK)")</f>
        <v>0</v>
      </c>
      <c r="O62" s="95">
        <f t="shared" si="0"/>
        <v>0</v>
      </c>
      <c r="P62" s="96" t="str">
        <f t="shared" si="1"/>
        <v/>
      </c>
      <c r="Q62" s="295">
        <f>SUMIF('CL 2020 PLÁN - SOUHRN '!A:A,A62,'CL 2020 PLÁN - SOUHRN '!I:I)</f>
        <v>0</v>
      </c>
      <c r="R62" s="296">
        <f t="shared" si="8"/>
        <v>0</v>
      </c>
      <c r="S62" s="300" t="str">
        <f t="shared" si="9"/>
        <v/>
      </c>
      <c r="T62" s="326" t="str">
        <f t="shared" si="10"/>
        <v/>
      </c>
      <c r="U62" s="329" t="str">
        <f t="shared" si="11"/>
        <v/>
      </c>
      <c r="V62" s="331"/>
      <c r="W62" s="315">
        <f>-SUMIFS('BP 2020 v.I dle HAZ - MAT.'!FO:FO,'BP 2020 v.I dle HAZ - MAT.'!$B:$B,"Léky - dle §16 (LEK)")</f>
        <v>0</v>
      </c>
      <c r="X62" s="358"/>
      <c r="Y62" s="70">
        <f>-SUMIFS('BP 2020 v.I dle HAZ - MAT.'!FP:FP,'BP 2020 v.I dle HAZ - MAT.'!$B:$B,"Léky - dle §16 (LEK)")</f>
        <v>0</v>
      </c>
      <c r="Z62" s="70">
        <f>-SUMIFS('BP 2020 v.I dle HAZ - MAT.'!FQ:FQ,'BP 2020 v.I dle HAZ - MAT.'!$B:$B,"Léky - dle §16 (LEK)")</f>
        <v>0</v>
      </c>
      <c r="AA62" s="97">
        <f t="shared" si="2"/>
        <v>0</v>
      </c>
      <c r="AB62" s="316" t="str">
        <f t="shared" si="3"/>
        <v/>
      </c>
      <c r="AC62" s="308">
        <f>-SUMIFS('BP 2020 v.I dle HAZ - MAT.'!FO:FO,'BP 2020 v.I dle HAZ - MAT.'!$B:$B,"Zdravotnické prostředky")</f>
        <v>4743512.9800000004</v>
      </c>
      <c r="AD62" s="308">
        <v>4761000</v>
      </c>
      <c r="AE62" s="76">
        <f>-SUMIFS('BP 2020 v.I dle HAZ - MAT.'!FP:FP,'BP 2020 v.I dle HAZ - MAT.'!$B:$B,"Zdravotnické prostředky")</f>
        <v>4761000</v>
      </c>
      <c r="AF62" s="76">
        <f>-SUMIFS('BP 2020 v.I dle HAZ - MAT.'!FQ:FQ,'BP 2020 v.I dle HAZ - MAT.'!$B:$B,"Zdravotnické prostředky")</f>
        <v>0</v>
      </c>
      <c r="AG62" s="98">
        <f t="shared" si="4"/>
        <v>-4761000</v>
      </c>
      <c r="AH62" s="369">
        <f t="shared" si="5"/>
        <v>0</v>
      </c>
      <c r="AI62" s="372"/>
    </row>
    <row r="63" spans="1:36" s="46" customFormat="1" ht="30.75" customHeight="1" x14ac:dyDescent="0.25">
      <c r="C63" s="46" t="s">
        <v>370</v>
      </c>
      <c r="D63" s="113" t="s">
        <v>64</v>
      </c>
      <c r="E63" s="114">
        <f>-SUMIFS('BP 2020 v.I dle HAZ - MAT.'!FR:FR,'BP 2020 v.I dle HAZ - MAT.'!$B:$B,"Léky a léčiva")-K63-W63</f>
        <v>0</v>
      </c>
      <c r="F63" s="114"/>
      <c r="G63" s="114">
        <f>-SUMIFS('BP 2020 v.I dle HAZ - MAT.'!FS:FS,'BP 2020 v.I dle HAZ - MAT.'!$B:$B,"Léky a léčiva")-M63-Y63</f>
        <v>0</v>
      </c>
      <c r="H63" s="114">
        <f>-SUMIFS('BP 2020 v.I dle HAZ - MAT.'!FT:FT,'BP 2020 v.I dle HAZ - MAT.'!$B:$B,"Léky a léčiva")-N63-Z63</f>
        <v>0</v>
      </c>
      <c r="I63" s="103">
        <f t="shared" si="6"/>
        <v>0</v>
      </c>
      <c r="J63" s="303" t="str">
        <f t="shared" si="7"/>
        <v/>
      </c>
      <c r="K63" s="323">
        <f>-SUMIFS('BP 2020 v.I dle HAZ - MAT.'!FR:FR,'BP 2020 v.I dle HAZ - MAT.'!$B:$B,"Léky - centra (LEK)")</f>
        <v>0</v>
      </c>
      <c r="L63" s="353"/>
      <c r="M63" s="115">
        <f>-SUMIFS('BP 2020 v.I dle HAZ - MAT.'!FS:FS,'BP 2020 v.I dle HAZ - MAT.'!$B:$B,"Léky - centra (LEK)")</f>
        <v>0</v>
      </c>
      <c r="N63" s="115">
        <f>-SUMIFS('BP 2020 v.I dle HAZ - MAT.'!FT:FT,'BP 2020 v.I dle HAZ - MAT.'!$B:$B,"Léky - centra (LEK)")</f>
        <v>0</v>
      </c>
      <c r="O63" s="105">
        <f t="shared" si="0"/>
        <v>0</v>
      </c>
      <c r="P63" s="106" t="str">
        <f t="shared" si="1"/>
        <v/>
      </c>
      <c r="Q63" s="295">
        <f>SUMIF('CL 2020 PLÁN - SOUHRN '!A:A,A63,'CL 2020 PLÁN - SOUHRN '!I:I)</f>
        <v>0</v>
      </c>
      <c r="R63" s="296">
        <f t="shared" si="8"/>
        <v>0</v>
      </c>
      <c r="S63" s="300" t="str">
        <f t="shared" si="9"/>
        <v/>
      </c>
      <c r="T63" s="326" t="str">
        <f t="shared" si="10"/>
        <v/>
      </c>
      <c r="U63" s="329" t="str">
        <f t="shared" si="11"/>
        <v/>
      </c>
      <c r="V63" s="331"/>
      <c r="W63" s="317">
        <f>-SUMIFS('BP 2020 v.I dle HAZ - MAT.'!FR:FR,'BP 2020 v.I dle HAZ - MAT.'!$B:$B,"Léky - dle §16 (LEK)")</f>
        <v>0</v>
      </c>
      <c r="X63" s="359"/>
      <c r="Y63" s="116">
        <f>-SUMIFS('BP 2020 v.I dle HAZ - MAT.'!FS:FS,'BP 2020 v.I dle HAZ - MAT.'!$B:$B,"Léky - dle §16 (LEK)")</f>
        <v>0</v>
      </c>
      <c r="Z63" s="116">
        <f>-SUMIFS('BP 2020 v.I dle HAZ - MAT.'!FT:FT,'BP 2020 v.I dle HAZ - MAT.'!$B:$B,"Léky - dle §16 (LEK)")</f>
        <v>0</v>
      </c>
      <c r="AA63" s="108">
        <f t="shared" si="2"/>
        <v>0</v>
      </c>
      <c r="AB63" s="314" t="str">
        <f t="shared" si="3"/>
        <v/>
      </c>
      <c r="AC63" s="309">
        <f>-SUMIFS('BP 2020 v.I dle HAZ - MAT.'!FR:FR,'BP 2020 v.I dle HAZ - MAT.'!$B:$B,"Zdravotnické prostředky")</f>
        <v>367265.46</v>
      </c>
      <c r="AD63" s="309"/>
      <c r="AE63" s="117">
        <f>-SUMIFS('BP 2020 v.I dle HAZ - MAT.'!FS:FS,'BP 2020 v.I dle HAZ - MAT.'!$B:$B,"Zdravotnické prostředky")</f>
        <v>0</v>
      </c>
      <c r="AF63" s="117">
        <v>5727000</v>
      </c>
      <c r="AG63" s="110">
        <f t="shared" si="4"/>
        <v>5727000</v>
      </c>
      <c r="AH63" s="368" t="str">
        <f t="shared" si="5"/>
        <v/>
      </c>
      <c r="AI63" s="373">
        <v>5727000</v>
      </c>
    </row>
    <row r="64" spans="1:36" s="46" customFormat="1" ht="30.75" customHeight="1" x14ac:dyDescent="0.25">
      <c r="C64" s="46" t="s">
        <v>371</v>
      </c>
      <c r="D64" s="84" t="s">
        <v>65</v>
      </c>
      <c r="E64" s="57">
        <f>-SUMIFS('BP 2020 v.I dle HAZ - MAT.'!FU:FU,'BP 2020 v.I dle HAZ - MAT.'!$B:$B,"Léky a léčiva")-K64-W64</f>
        <v>0</v>
      </c>
      <c r="F64" s="57"/>
      <c r="G64" s="57">
        <f>-SUMIFS('BP 2020 v.I dle HAZ - MAT.'!FV:FV,'BP 2020 v.I dle HAZ - MAT.'!$B:$B,"Léky a léčiva")-M64-Y64</f>
        <v>0</v>
      </c>
      <c r="H64" s="57">
        <f>-SUMIFS('BP 2020 v.I dle HAZ - MAT.'!FW:FW,'BP 2020 v.I dle HAZ - MAT.'!$B:$B,"Léky a léčiva")-N64-Z64</f>
        <v>0</v>
      </c>
      <c r="I64" s="94">
        <f t="shared" si="6"/>
        <v>0</v>
      </c>
      <c r="J64" s="304" t="str">
        <f t="shared" si="7"/>
        <v/>
      </c>
      <c r="K64" s="322">
        <f>-SUMIFS('BP 2020 v.I dle HAZ - MAT.'!FU:FU,'BP 2020 v.I dle HAZ - MAT.'!$B:$B,"Léky - centra (LEK)")</f>
        <v>0</v>
      </c>
      <c r="L64" s="351"/>
      <c r="M64" s="64">
        <f>-SUMIFS('BP 2020 v.I dle HAZ - MAT.'!FV:FV,'BP 2020 v.I dle HAZ - MAT.'!$B:$B,"Léky - centra (LEK)")</f>
        <v>0</v>
      </c>
      <c r="N64" s="64">
        <f>-SUMIFS('BP 2020 v.I dle HAZ - MAT.'!FW:FW,'BP 2020 v.I dle HAZ - MAT.'!$B:$B,"Léky - centra (LEK)")</f>
        <v>0</v>
      </c>
      <c r="O64" s="95">
        <f t="shared" si="0"/>
        <v>0</v>
      </c>
      <c r="P64" s="96" t="str">
        <f t="shared" si="1"/>
        <v/>
      </c>
      <c r="Q64" s="295">
        <f>SUMIF('CL 2020 PLÁN - SOUHRN '!A:A,A64,'CL 2020 PLÁN - SOUHRN '!I:I)</f>
        <v>0</v>
      </c>
      <c r="R64" s="296">
        <f t="shared" si="8"/>
        <v>0</v>
      </c>
      <c r="S64" s="300" t="str">
        <f t="shared" si="9"/>
        <v/>
      </c>
      <c r="T64" s="326" t="str">
        <f t="shared" si="10"/>
        <v/>
      </c>
      <c r="U64" s="329" t="str">
        <f t="shared" si="11"/>
        <v/>
      </c>
      <c r="V64" s="331"/>
      <c r="W64" s="315">
        <f>-SUMIFS('BP 2020 v.I dle HAZ - MAT.'!FU:FU,'BP 2020 v.I dle HAZ - MAT.'!$B:$B,"Léky - dle §16 (LEK)")</f>
        <v>0</v>
      </c>
      <c r="X64" s="358"/>
      <c r="Y64" s="70">
        <f>-SUMIFS('BP 2020 v.I dle HAZ - MAT.'!FV:FV,'BP 2020 v.I dle HAZ - MAT.'!$B:$B,"Léky - dle §16 (LEK)")</f>
        <v>0</v>
      </c>
      <c r="Z64" s="70">
        <f>-SUMIFS('BP 2020 v.I dle HAZ - MAT.'!FW:FW,'BP 2020 v.I dle HAZ - MAT.'!$B:$B,"Léky - dle §16 (LEK)")</f>
        <v>0</v>
      </c>
      <c r="AA64" s="97">
        <f t="shared" si="2"/>
        <v>0</v>
      </c>
      <c r="AB64" s="316" t="str">
        <f t="shared" si="3"/>
        <v/>
      </c>
      <c r="AC64" s="308">
        <f>-SUMIFS('BP 2020 v.I dle HAZ - MAT.'!FU:FU,'BP 2020 v.I dle HAZ - MAT.'!$B:$B,"Zdravotnické prostředky")</f>
        <v>0</v>
      </c>
      <c r="AD64" s="308"/>
      <c r="AE64" s="76">
        <f>-SUMIFS('BP 2020 v.I dle HAZ - MAT.'!FV:FV,'BP 2020 v.I dle HAZ - MAT.'!$B:$B,"Zdravotnické prostředky")</f>
        <v>0</v>
      </c>
      <c r="AF64" s="76">
        <f>-SUMIFS('BP 2020 v.I dle HAZ - MAT.'!FW:FW,'BP 2020 v.I dle HAZ - MAT.'!$B:$B,"Zdravotnické prostředky")</f>
        <v>0</v>
      </c>
      <c r="AG64" s="98">
        <f t="shared" si="4"/>
        <v>0</v>
      </c>
      <c r="AH64" s="369" t="str">
        <f t="shared" si="5"/>
        <v/>
      </c>
      <c r="AI64" s="372"/>
    </row>
    <row r="65" spans="3:38" s="46" customFormat="1" ht="30.75" customHeight="1" x14ac:dyDescent="0.25">
      <c r="C65" s="46" t="s">
        <v>372</v>
      </c>
      <c r="D65" s="113" t="s">
        <v>66</v>
      </c>
      <c r="E65" s="114">
        <v>0</v>
      </c>
      <c r="F65" s="114"/>
      <c r="G65" s="114">
        <v>0</v>
      </c>
      <c r="H65" s="114">
        <f>-SUMIFS('BP 2020 v.I dle HAZ - MAT.'!FZ:FZ,'BP 2020 v.I dle HAZ - MAT.'!$B:$B,"Léky a léčiva")-N65-Z65</f>
        <v>0</v>
      </c>
      <c r="I65" s="103">
        <f t="shared" si="6"/>
        <v>0</v>
      </c>
      <c r="J65" s="303" t="str">
        <f t="shared" si="7"/>
        <v/>
      </c>
      <c r="K65" s="323">
        <f>-SUMIFS('BP 2020 v.I dle HAZ - MAT.'!FX:FX,'BP 2020 v.I dle HAZ - MAT.'!$B:$B,"Léky - centra (LEK)")</f>
        <v>0</v>
      </c>
      <c r="L65" s="353"/>
      <c r="M65" s="115"/>
      <c r="N65" s="115">
        <f>-SUMIFS('BP 2020 v.I dle HAZ - MAT.'!FZ:FZ,'BP 2020 v.I dle HAZ - MAT.'!$B:$B,"Léky - centra (LEK)")</f>
        <v>0</v>
      </c>
      <c r="O65" s="105">
        <f t="shared" si="0"/>
        <v>0</v>
      </c>
      <c r="P65" s="106" t="str">
        <f t="shared" si="1"/>
        <v/>
      </c>
      <c r="Q65" s="295">
        <f>SUMIF('CL 2020 PLÁN - SOUHRN '!A:A,A65,'CL 2020 PLÁN - SOUHRN '!I:I)</f>
        <v>0</v>
      </c>
      <c r="R65" s="296">
        <f t="shared" si="8"/>
        <v>0</v>
      </c>
      <c r="S65" s="300" t="str">
        <f t="shared" si="9"/>
        <v/>
      </c>
      <c r="T65" s="326" t="str">
        <f t="shared" si="10"/>
        <v/>
      </c>
      <c r="U65" s="329" t="str">
        <f t="shared" si="11"/>
        <v/>
      </c>
      <c r="V65" s="331"/>
      <c r="W65" s="317">
        <f>-SUMIFS('BP 2020 v.I dle HAZ - MAT.'!FX:FX,'BP 2020 v.I dle HAZ - MAT.'!$B:$B,"Léky - dle §16 (LEK)")</f>
        <v>0</v>
      </c>
      <c r="X65" s="359"/>
      <c r="Y65" s="116"/>
      <c r="Z65" s="116">
        <f>-SUMIFS('BP 2020 v.I dle HAZ - MAT.'!FZ:FZ,'BP 2020 v.I dle HAZ - MAT.'!$B:$B,"Léky - dle §16 (LEK)")</f>
        <v>0</v>
      </c>
      <c r="AA65" s="108">
        <f t="shared" si="2"/>
        <v>0</v>
      </c>
      <c r="AB65" s="314" t="str">
        <f t="shared" si="3"/>
        <v/>
      </c>
      <c r="AC65" s="309">
        <f>-SUMIFS('BP 2020 v.I dle HAZ - MAT.'!FX:FX,'BP 2020 v.I dle HAZ - MAT.'!$B:$B,"Zdravotnické prostředky")</f>
        <v>0</v>
      </c>
      <c r="AD65" s="309"/>
      <c r="AE65" s="117"/>
      <c r="AF65" s="117">
        <f>-SUMIFS('BP 2020 v.I dle HAZ - MAT.'!FZ:FZ,'BP 2020 v.I dle HAZ - MAT.'!$B:$B,"Zdravotnické prostředky")</f>
        <v>0</v>
      </c>
      <c r="AG65" s="110">
        <f t="shared" si="4"/>
        <v>0</v>
      </c>
      <c r="AH65" s="368" t="str">
        <f t="shared" si="5"/>
        <v/>
      </c>
      <c r="AI65" s="373"/>
    </row>
    <row r="66" spans="3:38" s="46" customFormat="1" ht="30.75" customHeight="1" x14ac:dyDescent="0.25">
      <c r="C66" s="46" t="s">
        <v>373</v>
      </c>
      <c r="D66" s="84" t="s">
        <v>67</v>
      </c>
      <c r="E66" s="57">
        <f>-SUMIFS('BP 2020 v.I dle HAZ - MAT.'!GA:GA,'BP 2020 v.I dle HAZ - MAT.'!$B:$B,"Léky a léčiva")-K66-W66</f>
        <v>0</v>
      </c>
      <c r="F66" s="57"/>
      <c r="G66" s="57">
        <f>-SUMIFS('BP 2020 v.I dle HAZ - MAT.'!GB:GB,'BP 2020 v.I dle HAZ - MAT.'!$B:$B,"Léky a léčiva")-M66-Y66</f>
        <v>0</v>
      </c>
      <c r="H66" s="57">
        <f>-SUMIFS('BP 2020 v.I dle HAZ - MAT.'!GC:GC,'BP 2020 v.I dle HAZ - MAT.'!$B:$B,"Léky a léčiva")-N66-Z66</f>
        <v>0</v>
      </c>
      <c r="I66" s="94">
        <f t="shared" si="6"/>
        <v>0</v>
      </c>
      <c r="J66" s="304" t="str">
        <f t="shared" si="7"/>
        <v/>
      </c>
      <c r="K66" s="322">
        <f>-SUMIFS('BP 2020 v.I dle HAZ - MAT.'!GA:GA,'BP 2020 v.I dle HAZ - MAT.'!$B:$B,"Léky - centra (LEK)")</f>
        <v>0</v>
      </c>
      <c r="L66" s="351"/>
      <c r="M66" s="64">
        <f>-SUMIFS('BP 2020 v.I dle HAZ - MAT.'!GB:GB,'BP 2020 v.I dle HAZ - MAT.'!$B:$B,"Léky - centra (LEK)")</f>
        <v>0</v>
      </c>
      <c r="N66" s="64">
        <f>-SUMIFS('BP 2020 v.I dle HAZ - MAT.'!GC:GC,'BP 2020 v.I dle HAZ - MAT.'!$B:$B,"Léky - centra (LEK)")</f>
        <v>0</v>
      </c>
      <c r="O66" s="95">
        <f t="shared" si="0"/>
        <v>0</v>
      </c>
      <c r="P66" s="96" t="str">
        <f t="shared" si="1"/>
        <v/>
      </c>
      <c r="Q66" s="295">
        <f>SUMIF('CL 2020 PLÁN - SOUHRN '!A:A,A66,'CL 2020 PLÁN - SOUHRN '!I:I)</f>
        <v>0</v>
      </c>
      <c r="R66" s="296">
        <f t="shared" si="8"/>
        <v>0</v>
      </c>
      <c r="S66" s="300" t="str">
        <f t="shared" si="9"/>
        <v/>
      </c>
      <c r="T66" s="326" t="str">
        <f t="shared" si="10"/>
        <v/>
      </c>
      <c r="U66" s="329" t="str">
        <f t="shared" si="11"/>
        <v/>
      </c>
      <c r="V66" s="331"/>
      <c r="W66" s="315">
        <f>-SUMIFS('BP 2020 v.I dle HAZ - MAT.'!GA:GA,'BP 2020 v.I dle HAZ - MAT.'!$B:$B,"Léky - dle §16 (LEK)")</f>
        <v>0</v>
      </c>
      <c r="X66" s="358"/>
      <c r="Y66" s="70">
        <f>-SUMIFS('BP 2020 v.I dle HAZ - MAT.'!GB:GB,'BP 2020 v.I dle HAZ - MAT.'!$B:$B,"Léky - dle §16 (LEK)")</f>
        <v>0</v>
      </c>
      <c r="Z66" s="70">
        <f>-SUMIFS('BP 2020 v.I dle HAZ - MAT.'!GC:GC,'BP 2020 v.I dle HAZ - MAT.'!$B:$B,"Léky - dle §16 (LEK)")</f>
        <v>0</v>
      </c>
      <c r="AA66" s="97">
        <f t="shared" si="2"/>
        <v>0</v>
      </c>
      <c r="AB66" s="316" t="str">
        <f t="shared" si="3"/>
        <v/>
      </c>
      <c r="AC66" s="308">
        <f>-SUMIFS('BP 2020 v.I dle HAZ - MAT.'!GA:GA,'BP 2020 v.I dle HAZ - MAT.'!$B:$B,"Zdravotnické prostředky")</f>
        <v>0</v>
      </c>
      <c r="AD66" s="308"/>
      <c r="AE66" s="76">
        <f>-SUMIFS('BP 2020 v.I dle HAZ - MAT.'!GB:GB,'BP 2020 v.I dle HAZ - MAT.'!$B:$B,"Zdravotnické prostředky")</f>
        <v>0</v>
      </c>
      <c r="AF66" s="76">
        <f>-SUMIFS('BP 2020 v.I dle HAZ - MAT.'!GC:GC,'BP 2020 v.I dle HAZ - MAT.'!$B:$B,"Zdravotnické prostředky")</f>
        <v>0</v>
      </c>
      <c r="AG66" s="98">
        <f t="shared" si="4"/>
        <v>0</v>
      </c>
      <c r="AH66" s="369" t="str">
        <f t="shared" si="5"/>
        <v/>
      </c>
      <c r="AI66" s="372"/>
    </row>
    <row r="67" spans="3:38" s="46" customFormat="1" ht="30.75" customHeight="1" x14ac:dyDescent="0.25">
      <c r="C67" s="46" t="s">
        <v>374</v>
      </c>
      <c r="D67" s="113" t="s">
        <v>68</v>
      </c>
      <c r="E67" s="114">
        <f>-SUMIFS('BP 2020 v.I dle HAZ - MAT.'!GD:GD,'BP 2020 v.I dle HAZ - MAT.'!$B:$B,"Léky a léčiva")-K67-W67</f>
        <v>0</v>
      </c>
      <c r="F67" s="114"/>
      <c r="G67" s="114">
        <f>-SUMIFS('BP 2020 v.I dle HAZ - MAT.'!GE:GE,'BP 2020 v.I dle HAZ - MAT.'!$B:$B,"Léky a léčiva")-M67-Y67</f>
        <v>0</v>
      </c>
      <c r="H67" s="114">
        <f>-SUMIFS('BP 2020 v.I dle HAZ - MAT.'!GF:GF,'BP 2020 v.I dle HAZ - MAT.'!$B:$B,"Léky a léčiva")-N67-Z67</f>
        <v>0</v>
      </c>
      <c r="I67" s="103">
        <f t="shared" si="6"/>
        <v>0</v>
      </c>
      <c r="J67" s="303" t="str">
        <f t="shared" si="7"/>
        <v/>
      </c>
      <c r="K67" s="323">
        <f>-SUMIFS('BP 2020 v.I dle HAZ - MAT.'!GD:GD,'BP 2020 v.I dle HAZ - MAT.'!$B:$B,"Léky - centra (LEK)")</f>
        <v>0</v>
      </c>
      <c r="L67" s="353"/>
      <c r="M67" s="115">
        <f>-SUMIFS('BP 2020 v.I dle HAZ - MAT.'!GE:GE,'BP 2020 v.I dle HAZ - MAT.'!$B:$B,"Léky - centra (LEK)")</f>
        <v>0</v>
      </c>
      <c r="N67" s="115">
        <f>-SUMIFS('BP 2020 v.I dle HAZ - MAT.'!GF:GF,'BP 2020 v.I dle HAZ - MAT.'!$B:$B,"Léky - centra (LEK)")</f>
        <v>0</v>
      </c>
      <c r="O67" s="105">
        <f t="shared" si="0"/>
        <v>0</v>
      </c>
      <c r="P67" s="106" t="str">
        <f t="shared" si="1"/>
        <v/>
      </c>
      <c r="Q67" s="295">
        <f>SUMIF('CL 2020 PLÁN - SOUHRN '!A:A,A67,'CL 2020 PLÁN - SOUHRN '!I:I)</f>
        <v>0</v>
      </c>
      <c r="R67" s="296">
        <f t="shared" si="8"/>
        <v>0</v>
      </c>
      <c r="S67" s="300" t="str">
        <f t="shared" si="9"/>
        <v/>
      </c>
      <c r="T67" s="326" t="str">
        <f t="shared" si="10"/>
        <v/>
      </c>
      <c r="U67" s="329" t="str">
        <f t="shared" si="11"/>
        <v/>
      </c>
      <c r="V67" s="331"/>
      <c r="W67" s="317">
        <f>-SUMIFS('BP 2020 v.I dle HAZ - MAT.'!GD:GD,'BP 2020 v.I dle HAZ - MAT.'!$B:$B,"Léky - dle §16 (LEK)")</f>
        <v>0</v>
      </c>
      <c r="X67" s="359"/>
      <c r="Y67" s="116">
        <f>-SUMIFS('BP 2020 v.I dle HAZ - MAT.'!GE:GE,'BP 2020 v.I dle HAZ - MAT.'!$B:$B,"Léky - dle §16 (LEK)")</f>
        <v>0</v>
      </c>
      <c r="Z67" s="116">
        <f>-SUMIFS('BP 2020 v.I dle HAZ - MAT.'!GF:GF,'BP 2020 v.I dle HAZ - MAT.'!$B:$B,"Léky - dle §16 (LEK)")</f>
        <v>0</v>
      </c>
      <c r="AA67" s="108">
        <f t="shared" si="2"/>
        <v>0</v>
      </c>
      <c r="AB67" s="314" t="str">
        <f t="shared" si="3"/>
        <v/>
      </c>
      <c r="AC67" s="309">
        <f>-SUMIFS('BP 2020 v.I dle HAZ - MAT.'!GD:GD,'BP 2020 v.I dle HAZ - MAT.'!$B:$B,"Zdravotnické prostředky")</f>
        <v>0</v>
      </c>
      <c r="AD67" s="309"/>
      <c r="AE67" s="117">
        <f>-SUMIFS('BP 2020 v.I dle HAZ - MAT.'!GE:GE,'BP 2020 v.I dle HAZ - MAT.'!$B:$B,"Zdravotnické prostředky")</f>
        <v>0</v>
      </c>
      <c r="AF67" s="117">
        <f>-SUMIFS('BP 2020 v.I dle HAZ - MAT.'!GF:GF,'BP 2020 v.I dle HAZ - MAT.'!$B:$B,"Zdravotnické prostředky")</f>
        <v>0</v>
      </c>
      <c r="AG67" s="110">
        <f t="shared" si="4"/>
        <v>0</v>
      </c>
      <c r="AH67" s="368" t="str">
        <f t="shared" si="5"/>
        <v/>
      </c>
      <c r="AI67" s="373"/>
    </row>
    <row r="68" spans="3:38" s="46" customFormat="1" ht="30.75" customHeight="1" x14ac:dyDescent="0.25">
      <c r="C68" s="46" t="s">
        <v>375</v>
      </c>
      <c r="D68" s="84" t="s">
        <v>69</v>
      </c>
      <c r="E68" s="57">
        <f>-SUMIFS('BP 2020 v.I dle HAZ - MAT.'!GG:GG,'BP 2020 v.I dle HAZ - MAT.'!$B:$B,"Léky a léčiva")-K68-W68</f>
        <v>0</v>
      </c>
      <c r="F68" s="57"/>
      <c r="G68" s="57">
        <f>-SUMIFS('BP 2020 v.I dle HAZ - MAT.'!GH:GH,'BP 2020 v.I dle HAZ - MAT.'!$B:$B,"Léky a léčiva")-M68-Y68</f>
        <v>0</v>
      </c>
      <c r="H68" s="57">
        <f>-SUMIFS('BP 2020 v.I dle HAZ - MAT.'!GI:GI,'BP 2020 v.I dle HAZ - MAT.'!$B:$B,"Léky a léčiva")-N68-Z68</f>
        <v>0</v>
      </c>
      <c r="I68" s="94">
        <f t="shared" si="6"/>
        <v>0</v>
      </c>
      <c r="J68" s="304" t="str">
        <f t="shared" si="7"/>
        <v/>
      </c>
      <c r="K68" s="322">
        <f>-SUMIFS('BP 2020 v.I dle HAZ - MAT.'!GG:GG,'BP 2020 v.I dle HAZ - MAT.'!$B:$B,"Léky - centra (LEK)")</f>
        <v>0</v>
      </c>
      <c r="L68" s="351"/>
      <c r="M68" s="64">
        <f>-SUMIFS('BP 2020 v.I dle HAZ - MAT.'!GH:GH,'BP 2020 v.I dle HAZ - MAT.'!$B:$B,"Léky - centra (LEK)")</f>
        <v>0</v>
      </c>
      <c r="N68" s="64">
        <f>-SUMIFS('BP 2020 v.I dle HAZ - MAT.'!GI:GI,'BP 2020 v.I dle HAZ - MAT.'!$B:$B,"Léky - centra (LEK)")</f>
        <v>0</v>
      </c>
      <c r="O68" s="95">
        <f t="shared" si="0"/>
        <v>0</v>
      </c>
      <c r="P68" s="96" t="str">
        <f t="shared" si="1"/>
        <v/>
      </c>
      <c r="Q68" s="295">
        <f>SUMIF('CL 2020 PLÁN - SOUHRN '!A:A,A68,'CL 2020 PLÁN - SOUHRN '!I:I)</f>
        <v>0</v>
      </c>
      <c r="R68" s="296">
        <f t="shared" si="8"/>
        <v>0</v>
      </c>
      <c r="S68" s="300" t="str">
        <f t="shared" si="9"/>
        <v/>
      </c>
      <c r="T68" s="326" t="str">
        <f t="shared" si="10"/>
        <v/>
      </c>
      <c r="U68" s="329" t="str">
        <f t="shared" si="11"/>
        <v/>
      </c>
      <c r="V68" s="331"/>
      <c r="W68" s="315">
        <f>-SUMIFS('BP 2020 v.I dle HAZ - MAT.'!GG:GG,'BP 2020 v.I dle HAZ - MAT.'!$B:$B,"Léky - dle §16 (LEK)")</f>
        <v>0</v>
      </c>
      <c r="X68" s="358"/>
      <c r="Y68" s="70">
        <f>-SUMIFS('BP 2020 v.I dle HAZ - MAT.'!GH:GH,'BP 2020 v.I dle HAZ - MAT.'!$B:$B,"Léky - dle §16 (LEK)")</f>
        <v>0</v>
      </c>
      <c r="Z68" s="70">
        <f>-SUMIFS('BP 2020 v.I dle HAZ - MAT.'!GI:GI,'BP 2020 v.I dle HAZ - MAT.'!$B:$B,"Léky - dle §16 (LEK)")</f>
        <v>0</v>
      </c>
      <c r="AA68" s="97">
        <f t="shared" si="2"/>
        <v>0</v>
      </c>
      <c r="AB68" s="316" t="str">
        <f t="shared" si="3"/>
        <v/>
      </c>
      <c r="AC68" s="308">
        <f>-SUMIFS('BP 2020 v.I dle HAZ - MAT.'!GG:GG,'BP 2020 v.I dle HAZ - MAT.'!$B:$B,"Zdravotnické prostředky")</f>
        <v>0</v>
      </c>
      <c r="AD68" s="308"/>
      <c r="AE68" s="76">
        <f>-SUMIFS('BP 2020 v.I dle HAZ - MAT.'!GH:GH,'BP 2020 v.I dle HAZ - MAT.'!$B:$B,"Zdravotnické prostředky")</f>
        <v>0</v>
      </c>
      <c r="AF68" s="76">
        <f>-SUMIFS('BP 2020 v.I dle HAZ - MAT.'!GI:GI,'BP 2020 v.I dle HAZ - MAT.'!$B:$B,"Zdravotnické prostředky")</f>
        <v>0</v>
      </c>
      <c r="AG68" s="98">
        <f t="shared" si="4"/>
        <v>0</v>
      </c>
      <c r="AH68" s="369" t="str">
        <f t="shared" si="5"/>
        <v/>
      </c>
      <c r="AI68" s="372"/>
    </row>
    <row r="69" spans="3:38" s="46" customFormat="1" ht="30.75" customHeight="1" x14ac:dyDescent="0.25">
      <c r="C69" s="46" t="s">
        <v>376</v>
      </c>
      <c r="D69" s="113" t="s">
        <v>70</v>
      </c>
      <c r="E69" s="114">
        <f>-SUMIFS('BP 2020 v.I dle HAZ - MAT.'!GJ:GJ,'BP 2020 v.I dle HAZ - MAT.'!$B:$B,"Léky a léčiva")-K69-W69</f>
        <v>0</v>
      </c>
      <c r="F69" s="114"/>
      <c r="G69" s="114">
        <f>-SUMIFS('BP 2020 v.I dle HAZ - MAT.'!GK:GK,'BP 2020 v.I dle HAZ - MAT.'!$B:$B,"Léky a léčiva")-M69-Y69</f>
        <v>0</v>
      </c>
      <c r="H69" s="114">
        <f>-SUMIFS('BP 2020 v.I dle HAZ - MAT.'!GL:GL,'BP 2020 v.I dle HAZ - MAT.'!$B:$B,"Léky a léčiva")-N69-Z69</f>
        <v>0</v>
      </c>
      <c r="I69" s="103">
        <f t="shared" si="6"/>
        <v>0</v>
      </c>
      <c r="J69" s="303" t="str">
        <f t="shared" si="7"/>
        <v/>
      </c>
      <c r="K69" s="323">
        <f>-SUMIFS('BP 2020 v.I dle HAZ - MAT.'!GJ:GJ,'BP 2020 v.I dle HAZ - MAT.'!$B:$B,"Léky - centra (LEK)")</f>
        <v>0</v>
      </c>
      <c r="L69" s="353"/>
      <c r="M69" s="115">
        <f>-SUMIFS('BP 2020 v.I dle HAZ - MAT.'!GK:GK,'BP 2020 v.I dle HAZ - MAT.'!$B:$B,"Léky - centra (LEK)")</f>
        <v>0</v>
      </c>
      <c r="N69" s="115">
        <f>-SUMIFS('BP 2020 v.I dle HAZ - MAT.'!GL:GL,'BP 2020 v.I dle HAZ - MAT.'!$B:$B,"Léky - centra (LEK)")</f>
        <v>0</v>
      </c>
      <c r="O69" s="105">
        <f t="shared" si="0"/>
        <v>0</v>
      </c>
      <c r="P69" s="106" t="str">
        <f t="shared" si="1"/>
        <v/>
      </c>
      <c r="Q69" s="295">
        <f>SUMIF('CL 2020 PLÁN - SOUHRN '!A:A,A69,'CL 2020 PLÁN - SOUHRN '!I:I)</f>
        <v>0</v>
      </c>
      <c r="R69" s="296">
        <f t="shared" si="8"/>
        <v>0</v>
      </c>
      <c r="S69" s="300" t="str">
        <f t="shared" si="9"/>
        <v/>
      </c>
      <c r="T69" s="326" t="str">
        <f t="shared" si="10"/>
        <v/>
      </c>
      <c r="U69" s="329" t="str">
        <f t="shared" si="11"/>
        <v/>
      </c>
      <c r="V69" s="331"/>
      <c r="W69" s="317">
        <f>-SUMIFS('BP 2020 v.I dle HAZ - MAT.'!GJ:GJ,'BP 2020 v.I dle HAZ - MAT.'!$B:$B,"Léky - dle §16 (LEK)")</f>
        <v>0</v>
      </c>
      <c r="X69" s="359"/>
      <c r="Y69" s="116">
        <f>-SUMIFS('BP 2020 v.I dle HAZ - MAT.'!GK:GK,'BP 2020 v.I dle HAZ - MAT.'!$B:$B,"Léky - dle §16 (LEK)")</f>
        <v>0</v>
      </c>
      <c r="Z69" s="116">
        <f>-SUMIFS('BP 2020 v.I dle HAZ - MAT.'!GL:GL,'BP 2020 v.I dle HAZ - MAT.'!$B:$B,"Léky - dle §16 (LEK)")</f>
        <v>0</v>
      </c>
      <c r="AA69" s="108">
        <f t="shared" si="2"/>
        <v>0</v>
      </c>
      <c r="AB69" s="314" t="str">
        <f t="shared" si="3"/>
        <v/>
      </c>
      <c r="AC69" s="309">
        <f>-SUMIFS('BP 2020 v.I dle HAZ - MAT.'!GJ:GJ,'BP 2020 v.I dle HAZ - MAT.'!$B:$B,"Zdravotnické prostředky")</f>
        <v>0</v>
      </c>
      <c r="AD69" s="309"/>
      <c r="AE69" s="117">
        <f>-SUMIFS('BP 2020 v.I dle HAZ - MAT.'!GK:GK,'BP 2020 v.I dle HAZ - MAT.'!$B:$B,"Zdravotnické prostředky")</f>
        <v>53000</v>
      </c>
      <c r="AF69" s="117">
        <f>-SUMIFS('BP 2020 v.I dle HAZ - MAT.'!GL:GL,'BP 2020 v.I dle HAZ - MAT.'!$B:$B,"Zdravotnické prostředky")</f>
        <v>49500</v>
      </c>
      <c r="AG69" s="110">
        <f t="shared" si="4"/>
        <v>-3500</v>
      </c>
      <c r="AH69" s="368">
        <f t="shared" si="5"/>
        <v>0.93396226415094341</v>
      </c>
      <c r="AI69" s="373"/>
    </row>
    <row r="70" spans="3:38" s="46" customFormat="1" ht="30.75" customHeight="1" x14ac:dyDescent="0.25">
      <c r="C70" s="46" t="s">
        <v>377</v>
      </c>
      <c r="D70" s="84" t="s">
        <v>71</v>
      </c>
      <c r="E70" s="57">
        <f>-SUMIFS('BP 2020 v.I dle HAZ - MAT.'!GM:GM,'BP 2020 v.I dle HAZ - MAT.'!$B:$B,"Léky a léčiva")-K70-W70</f>
        <v>0</v>
      </c>
      <c r="F70" s="57"/>
      <c r="G70" s="57">
        <f>-SUMIFS('BP 2020 v.I dle HAZ - MAT.'!GN:GN,'BP 2020 v.I dle HAZ - MAT.'!$B:$B,"Léky a léčiva")-M70-Y70</f>
        <v>0</v>
      </c>
      <c r="H70" s="57">
        <f>-SUMIFS('BP 2020 v.I dle HAZ - MAT.'!GO:GO,'BP 2020 v.I dle HAZ - MAT.'!$B:$B,"Léky a léčiva")-N70-Z70</f>
        <v>0</v>
      </c>
      <c r="I70" s="94">
        <f t="shared" si="6"/>
        <v>0</v>
      </c>
      <c r="J70" s="304" t="str">
        <f t="shared" si="7"/>
        <v/>
      </c>
      <c r="K70" s="322">
        <f>-SUMIFS('BP 2020 v.I dle HAZ - MAT.'!GM:GM,'BP 2020 v.I dle HAZ - MAT.'!$B:$B,"Léky - centra (LEK)")</f>
        <v>0</v>
      </c>
      <c r="L70" s="351"/>
      <c r="M70" s="64">
        <f>-SUMIFS('BP 2020 v.I dle HAZ - MAT.'!GN:GN,'BP 2020 v.I dle HAZ - MAT.'!$B:$B,"Léky - centra (LEK)")</f>
        <v>0</v>
      </c>
      <c r="N70" s="64">
        <f>-SUMIFS('BP 2020 v.I dle HAZ - MAT.'!GO:GO,'BP 2020 v.I dle HAZ - MAT.'!$B:$B,"Léky - centra (LEK)")</f>
        <v>0</v>
      </c>
      <c r="O70" s="95">
        <f t="shared" si="0"/>
        <v>0</v>
      </c>
      <c r="P70" s="96" t="str">
        <f t="shared" si="1"/>
        <v/>
      </c>
      <c r="Q70" s="295">
        <f>SUMIF('CL 2020 PLÁN - SOUHRN '!A:A,A70,'CL 2020 PLÁN - SOUHRN '!I:I)</f>
        <v>0</v>
      </c>
      <c r="R70" s="296">
        <f t="shared" si="8"/>
        <v>0</v>
      </c>
      <c r="S70" s="300" t="str">
        <f t="shared" si="9"/>
        <v/>
      </c>
      <c r="T70" s="326" t="str">
        <f t="shared" si="10"/>
        <v/>
      </c>
      <c r="U70" s="329" t="str">
        <f t="shared" si="11"/>
        <v/>
      </c>
      <c r="V70" s="331"/>
      <c r="W70" s="315">
        <f>-SUMIFS('BP 2020 v.I dle HAZ - MAT.'!GM:GM,'BP 2020 v.I dle HAZ - MAT.'!$B:$B,"Léky - dle §16 (LEK)")</f>
        <v>0</v>
      </c>
      <c r="X70" s="358"/>
      <c r="Y70" s="70">
        <f>-SUMIFS('BP 2020 v.I dle HAZ - MAT.'!GN:GN,'BP 2020 v.I dle HAZ - MAT.'!$B:$B,"Léky - dle §16 (LEK)")</f>
        <v>0</v>
      </c>
      <c r="Z70" s="70">
        <f>-SUMIFS('BP 2020 v.I dle HAZ - MAT.'!GO:GO,'BP 2020 v.I dle HAZ - MAT.'!$B:$B,"Léky - dle §16 (LEK)")</f>
        <v>0</v>
      </c>
      <c r="AA70" s="97">
        <f t="shared" si="2"/>
        <v>0</v>
      </c>
      <c r="AB70" s="316" t="str">
        <f t="shared" si="3"/>
        <v/>
      </c>
      <c r="AC70" s="308">
        <f>-SUMIFS('BP 2020 v.I dle HAZ - MAT.'!GM:GM,'BP 2020 v.I dle HAZ - MAT.'!$B:$B,"Zdravotnické prostředky")</f>
        <v>0</v>
      </c>
      <c r="AD70" s="308"/>
      <c r="AE70" s="76">
        <f>-SUMIFS('BP 2020 v.I dle HAZ - MAT.'!GN:GN,'BP 2020 v.I dle HAZ - MAT.'!$B:$B,"Zdravotnické prostředky")</f>
        <v>0</v>
      </c>
      <c r="AF70" s="76">
        <f>-SUMIFS('BP 2020 v.I dle HAZ - MAT.'!GO:GO,'BP 2020 v.I dle HAZ - MAT.'!$B:$B,"Zdravotnické prostředky")</f>
        <v>0</v>
      </c>
      <c r="AG70" s="98">
        <f t="shared" si="4"/>
        <v>0</v>
      </c>
      <c r="AH70" s="369" t="str">
        <f t="shared" si="5"/>
        <v/>
      </c>
      <c r="AI70" s="372"/>
    </row>
    <row r="71" spans="3:38" s="46" customFormat="1" ht="30.75" customHeight="1" x14ac:dyDescent="0.25">
      <c r="C71" s="46" t="s">
        <v>378</v>
      </c>
      <c r="D71" s="113" t="s">
        <v>72</v>
      </c>
      <c r="E71" s="114">
        <f>-SUMIFS('BP 2020 v.I dle HAZ - MAT.'!GP:GP,'BP 2020 v.I dle HAZ - MAT.'!$B:$B,"Léky a léčiva")-K71-W71</f>
        <v>0</v>
      </c>
      <c r="F71" s="114"/>
      <c r="G71" s="114">
        <f>-SUMIFS('BP 2020 v.I dle HAZ - MAT.'!GQ:GQ,'BP 2020 v.I dle HAZ - MAT.'!$B:$B,"Léky a léčiva")-M71-Y71</f>
        <v>0</v>
      </c>
      <c r="H71" s="114">
        <f>-SUMIFS('BP 2020 v.I dle HAZ - MAT.'!GR:GR,'BP 2020 v.I dle HAZ - MAT.'!$B:$B,"Léky a léčiva")-N71-Z71</f>
        <v>0</v>
      </c>
      <c r="I71" s="103">
        <f t="shared" si="6"/>
        <v>0</v>
      </c>
      <c r="J71" s="303" t="str">
        <f t="shared" si="7"/>
        <v/>
      </c>
      <c r="K71" s="323">
        <f>-SUMIFS('BP 2020 v.I dle HAZ - MAT.'!GP:GP,'BP 2020 v.I dle HAZ - MAT.'!$B:$B,"Léky - centra (LEK)")</f>
        <v>0</v>
      </c>
      <c r="L71" s="353"/>
      <c r="M71" s="115">
        <f>-SUMIFS('BP 2020 v.I dle HAZ - MAT.'!GQ:GQ,'BP 2020 v.I dle HAZ - MAT.'!$B:$B,"Léky - centra (LEK)")</f>
        <v>0</v>
      </c>
      <c r="N71" s="115">
        <f>-SUMIFS('BP 2020 v.I dle HAZ - MAT.'!GR:GR,'BP 2020 v.I dle HAZ - MAT.'!$B:$B,"Léky - centra (LEK)")</f>
        <v>0</v>
      </c>
      <c r="O71" s="105">
        <f t="shared" ref="O71:O79" si="12">N71-M71</f>
        <v>0</v>
      </c>
      <c r="P71" s="106" t="str">
        <f t="shared" ref="P71:P79" si="13">IF(M71=0,"",N71/M71)</f>
        <v/>
      </c>
      <c r="Q71" s="295">
        <f>SUMIF('CL 2020 PLÁN - SOUHRN '!A:A,A71,'CL 2020 PLÁN - SOUHRN '!I:I)</f>
        <v>0</v>
      </c>
      <c r="R71" s="296">
        <f t="shared" si="8"/>
        <v>0</v>
      </c>
      <c r="S71" s="300" t="str">
        <f t="shared" si="9"/>
        <v/>
      </c>
      <c r="T71" s="326" t="str">
        <f t="shared" si="10"/>
        <v/>
      </c>
      <c r="U71" s="329" t="str">
        <f t="shared" si="11"/>
        <v/>
      </c>
      <c r="V71" s="331"/>
      <c r="W71" s="317">
        <f>-SUMIFS('BP 2020 v.I dle HAZ - MAT.'!GP:GP,'BP 2020 v.I dle HAZ - MAT.'!$B:$B,"Léky - dle §16 (LEK)")</f>
        <v>0</v>
      </c>
      <c r="X71" s="359"/>
      <c r="Y71" s="116">
        <f>-SUMIFS('BP 2020 v.I dle HAZ - MAT.'!GQ:GQ,'BP 2020 v.I dle HAZ - MAT.'!$B:$B,"Léky - dle §16 (LEK)")</f>
        <v>0</v>
      </c>
      <c r="Z71" s="116">
        <f>-SUMIFS('BP 2020 v.I dle HAZ - MAT.'!GR:GR,'BP 2020 v.I dle HAZ - MAT.'!$B:$B,"Léky - dle §16 (LEK)")</f>
        <v>0</v>
      </c>
      <c r="AA71" s="108">
        <f t="shared" ref="AA71:AA77" si="14">Z71-Y71</f>
        <v>0</v>
      </c>
      <c r="AB71" s="314" t="str">
        <f t="shared" ref="AB71:AB79" si="15">IF(Y71=0,"",Z71/Y71)</f>
        <v/>
      </c>
      <c r="AC71" s="309">
        <f>-SUMIFS('BP 2020 v.I dle HAZ - MAT.'!GP:GP,'BP 2020 v.I dle HAZ - MAT.'!$B:$B,"Zdravotnické prostředky")</f>
        <v>0</v>
      </c>
      <c r="AD71" s="309"/>
      <c r="AE71" s="117">
        <f>-SUMIFS('BP 2020 v.I dle HAZ - MAT.'!GQ:GQ,'BP 2020 v.I dle HAZ - MAT.'!$B:$B,"Zdravotnické prostředky")</f>
        <v>0</v>
      </c>
      <c r="AF71" s="117">
        <f>-SUMIFS('BP 2020 v.I dle HAZ - MAT.'!GR:GR,'BP 2020 v.I dle HAZ - MAT.'!$B:$B,"Zdravotnické prostředky")</f>
        <v>0</v>
      </c>
      <c r="AG71" s="110">
        <f t="shared" ref="AG71:AG77" si="16">AF71-AE71</f>
        <v>0</v>
      </c>
      <c r="AH71" s="368" t="str">
        <f t="shared" ref="AH71:AH79" si="17">IF(AE71=0,"",AF71/AE71)</f>
        <v/>
      </c>
      <c r="AI71" s="373"/>
    </row>
    <row r="72" spans="3:38" s="46" customFormat="1" ht="30.75" customHeight="1" x14ac:dyDescent="0.25">
      <c r="C72" s="46" t="s">
        <v>379</v>
      </c>
      <c r="D72" s="84" t="s">
        <v>73</v>
      </c>
      <c r="E72" s="57">
        <f>-SUMIFS('BP 2020 v.I dle HAZ - MAT.'!GS:GS,'BP 2020 v.I dle HAZ - MAT.'!$B:$B,"Léky a léčiva")-K72-W72</f>
        <v>290.60000000000002</v>
      </c>
      <c r="F72" s="57"/>
      <c r="G72" s="57">
        <v>0</v>
      </c>
      <c r="H72" s="57">
        <f>-SUMIFS('BP 2020 v.I dle HAZ - MAT.'!GU:GU,'BP 2020 v.I dle HAZ - MAT.'!$B:$B,"Léky a léčiva")-N72-Z72</f>
        <v>0</v>
      </c>
      <c r="I72" s="94">
        <f t="shared" ref="I72:I77" si="18">H72-G72</f>
        <v>0</v>
      </c>
      <c r="J72" s="304" t="str">
        <f t="shared" ref="J72:J79" si="19">IF(G72=0,"",H72/G72)</f>
        <v/>
      </c>
      <c r="K72" s="322">
        <f>-SUMIFS('BP 2020 v.I dle HAZ - MAT.'!GS:GS,'BP 2020 v.I dle HAZ - MAT.'!$B:$B,"Léky - centra (LEK)")</f>
        <v>0</v>
      </c>
      <c r="L72" s="351"/>
      <c r="M72" s="64">
        <f>-SUMIFS('BP 2020 v.I dle HAZ - MAT.'!GT:GT,'BP 2020 v.I dle HAZ - MAT.'!$B:$B,"Léky - centra (LEK)")</f>
        <v>0</v>
      </c>
      <c r="N72" s="64">
        <f>-SUMIFS('BP 2020 v.I dle HAZ - MAT.'!GU:GU,'BP 2020 v.I dle HAZ - MAT.'!$B:$B,"Léky - centra (LEK)")</f>
        <v>0</v>
      </c>
      <c r="O72" s="95">
        <f t="shared" si="12"/>
        <v>0</v>
      </c>
      <c r="P72" s="96" t="str">
        <f t="shared" si="13"/>
        <v/>
      </c>
      <c r="Q72" s="295">
        <f>SUMIF('CL 2020 PLÁN - SOUHRN '!A:A,A72,'CL 2020 PLÁN - SOUHRN '!I:I)</f>
        <v>0</v>
      </c>
      <c r="R72" s="296">
        <f t="shared" ref="R72:R79" si="20">IF(M72=0,0,Q72-M72)</f>
        <v>0</v>
      </c>
      <c r="S72" s="300" t="str">
        <f t="shared" ref="S72:S79" si="21">IF(M72=0,"",Q72/M72)</f>
        <v/>
      </c>
      <c r="T72" s="326" t="str">
        <f t="shared" ref="T72:T79" si="22">IF(M72=0,"",Q72-N72)</f>
        <v/>
      </c>
      <c r="U72" s="329" t="str">
        <f t="shared" ref="U72:U80" si="23">IF(N72=0,"",Q72/N72)</f>
        <v/>
      </c>
      <c r="V72" s="331"/>
      <c r="W72" s="315">
        <f>-SUMIFS('BP 2020 v.I dle HAZ - MAT.'!GS:GS,'BP 2020 v.I dle HAZ - MAT.'!$B:$B,"Léky - dle §16 (LEK)")</f>
        <v>0</v>
      </c>
      <c r="X72" s="358"/>
      <c r="Y72" s="70">
        <f>-SUMIFS('BP 2020 v.I dle HAZ - MAT.'!GT:GT,'BP 2020 v.I dle HAZ - MAT.'!$B:$B,"Léky - dle §16 (LEK)")</f>
        <v>0</v>
      </c>
      <c r="Z72" s="70">
        <f>-SUMIFS('BP 2020 v.I dle HAZ - MAT.'!GU:GU,'BP 2020 v.I dle HAZ - MAT.'!$B:$B,"Léky - dle §16 (LEK)")</f>
        <v>0</v>
      </c>
      <c r="AA72" s="97">
        <f t="shared" si="14"/>
        <v>0</v>
      </c>
      <c r="AB72" s="316" t="str">
        <f t="shared" si="15"/>
        <v/>
      </c>
      <c r="AC72" s="308">
        <f>-SUMIFS('BP 2020 v.I dle HAZ - MAT.'!GS:GS,'BP 2020 v.I dle HAZ - MAT.'!$B:$B,"Zdravotnické prostředky")</f>
        <v>0</v>
      </c>
      <c r="AD72" s="308"/>
      <c r="AE72" s="76">
        <f>-SUMIFS('BP 2020 v.I dle HAZ - MAT.'!GT:GT,'BP 2020 v.I dle HAZ - MAT.'!$B:$B,"Zdravotnické prostředky")</f>
        <v>0</v>
      </c>
      <c r="AF72" s="76">
        <f>-SUMIFS('BP 2020 v.I dle HAZ - MAT.'!GU:GU,'BP 2020 v.I dle HAZ - MAT.'!$B:$B,"Zdravotnické prostředky")</f>
        <v>0</v>
      </c>
      <c r="AG72" s="98">
        <f t="shared" si="16"/>
        <v>0</v>
      </c>
      <c r="AH72" s="369" t="str">
        <f t="shared" si="17"/>
        <v/>
      </c>
      <c r="AI72" s="372"/>
    </row>
    <row r="73" spans="3:38" s="46" customFormat="1" ht="30.75" customHeight="1" x14ac:dyDescent="0.25">
      <c r="C73" s="46" t="s">
        <v>380</v>
      </c>
      <c r="D73" s="113" t="s">
        <v>74</v>
      </c>
      <c r="E73" s="114">
        <f>-SUMIFS('BP 2020 v.I dle HAZ - MAT.'!GV:GV,'BP 2020 v.I dle HAZ - MAT.'!$B:$B,"Léky a léčiva")-K73-W73</f>
        <v>0</v>
      </c>
      <c r="F73" s="114"/>
      <c r="G73" s="114">
        <f>-SUMIFS('BP 2020 v.I dle HAZ - MAT.'!GW:GW,'BP 2020 v.I dle HAZ - MAT.'!$B:$B,"Léky a léčiva")-M73-Y73</f>
        <v>0</v>
      </c>
      <c r="H73" s="114">
        <f>-SUMIFS('BP 2020 v.I dle HAZ - MAT.'!GX:GX,'BP 2020 v.I dle HAZ - MAT.'!$B:$B,"Léky a léčiva")-N73-Z73</f>
        <v>0</v>
      </c>
      <c r="I73" s="103">
        <f t="shared" si="18"/>
        <v>0</v>
      </c>
      <c r="J73" s="303" t="str">
        <f t="shared" si="19"/>
        <v/>
      </c>
      <c r="K73" s="323">
        <f>-SUMIFS('BP 2020 v.I dle HAZ - MAT.'!GV:GV,'BP 2020 v.I dle HAZ - MAT.'!$B:$B,"Léky - centra (LEK)")</f>
        <v>0</v>
      </c>
      <c r="L73" s="353"/>
      <c r="M73" s="115">
        <f>-SUMIFS('BP 2020 v.I dle HAZ - MAT.'!GW:GW,'BP 2020 v.I dle HAZ - MAT.'!$B:$B,"Léky - centra (LEK)")</f>
        <v>0</v>
      </c>
      <c r="N73" s="115">
        <f>-SUMIFS('BP 2020 v.I dle HAZ - MAT.'!GX:GX,'BP 2020 v.I dle HAZ - MAT.'!$B:$B,"Léky - centra (LEK)")</f>
        <v>0</v>
      </c>
      <c r="O73" s="105">
        <f t="shared" si="12"/>
        <v>0</v>
      </c>
      <c r="P73" s="106" t="str">
        <f t="shared" si="13"/>
        <v/>
      </c>
      <c r="Q73" s="295">
        <f>SUMIF('CL 2020 PLÁN - SOUHRN '!A:A,A73,'CL 2020 PLÁN - SOUHRN '!I:I)</f>
        <v>0</v>
      </c>
      <c r="R73" s="296">
        <f t="shared" si="20"/>
        <v>0</v>
      </c>
      <c r="S73" s="300" t="str">
        <f t="shared" si="21"/>
        <v/>
      </c>
      <c r="T73" s="326" t="str">
        <f t="shared" si="22"/>
        <v/>
      </c>
      <c r="U73" s="329" t="str">
        <f t="shared" si="23"/>
        <v/>
      </c>
      <c r="V73" s="331"/>
      <c r="W73" s="317">
        <f>-SUMIFS('BP 2020 v.I dle HAZ - MAT.'!GV:GV,'BP 2020 v.I dle HAZ - MAT.'!$B:$B,"Léky - dle §16 (LEK)")</f>
        <v>0</v>
      </c>
      <c r="X73" s="359"/>
      <c r="Y73" s="116">
        <f>-SUMIFS('BP 2020 v.I dle HAZ - MAT.'!GW:GW,'BP 2020 v.I dle HAZ - MAT.'!$B:$B,"Léky - dle §16 (LEK)")</f>
        <v>0</v>
      </c>
      <c r="Z73" s="116">
        <f>-SUMIFS('BP 2020 v.I dle HAZ - MAT.'!GX:GX,'BP 2020 v.I dle HAZ - MAT.'!$B:$B,"Léky - dle §16 (LEK)")</f>
        <v>0</v>
      </c>
      <c r="AA73" s="108">
        <f t="shared" si="14"/>
        <v>0</v>
      </c>
      <c r="AB73" s="314" t="str">
        <f t="shared" si="15"/>
        <v/>
      </c>
      <c r="AC73" s="309">
        <f>-SUMIFS('BP 2020 v.I dle HAZ - MAT.'!GV:GV,'BP 2020 v.I dle HAZ - MAT.'!$B:$B,"Zdravotnické prostředky")</f>
        <v>0</v>
      </c>
      <c r="AD73" s="309"/>
      <c r="AE73" s="117">
        <f>-SUMIFS('BP 2020 v.I dle HAZ - MAT.'!GW:GW,'BP 2020 v.I dle HAZ - MAT.'!$B:$B,"Zdravotnické prostředky")</f>
        <v>0</v>
      </c>
      <c r="AF73" s="117">
        <f>-SUMIFS('BP 2020 v.I dle HAZ - MAT.'!GX:GX,'BP 2020 v.I dle HAZ - MAT.'!$B:$B,"Zdravotnické prostředky")</f>
        <v>0</v>
      </c>
      <c r="AG73" s="110">
        <f t="shared" si="16"/>
        <v>0</v>
      </c>
      <c r="AH73" s="368" t="str">
        <f t="shared" si="17"/>
        <v/>
      </c>
      <c r="AI73" s="373"/>
    </row>
    <row r="74" spans="3:38" s="46" customFormat="1" ht="30.75" customHeight="1" x14ac:dyDescent="0.25">
      <c r="C74" s="46" t="s">
        <v>381</v>
      </c>
      <c r="D74" s="84" t="s">
        <v>75</v>
      </c>
      <c r="E74" s="57">
        <f>-SUMIFS('BP 2020 v.I dle HAZ - MAT.'!GY:GY,'BP 2020 v.I dle HAZ - MAT.'!$B:$B,"Léky a léčiva")-K74-W74</f>
        <v>0</v>
      </c>
      <c r="F74" s="57"/>
      <c r="G74" s="57">
        <f>-SUMIFS('BP 2020 v.I dle HAZ - MAT.'!GZ:GZ,'BP 2020 v.I dle HAZ - MAT.'!$B:$B,"Léky a léčiva")-M74-Y74</f>
        <v>0</v>
      </c>
      <c r="H74" s="57">
        <f>-SUMIFS('BP 2020 v.I dle HAZ - MAT.'!HA:HA,'BP 2020 v.I dle HAZ - MAT.'!$B:$B,"Léky a léčiva")-N74-Z74</f>
        <v>0</v>
      </c>
      <c r="I74" s="94">
        <f t="shared" si="18"/>
        <v>0</v>
      </c>
      <c r="J74" s="304" t="str">
        <f t="shared" si="19"/>
        <v/>
      </c>
      <c r="K74" s="322">
        <f>-SUMIFS('BP 2020 v.I dle HAZ - MAT.'!GY:GY,'BP 2020 v.I dle HAZ - MAT.'!$B:$B,"Léky - centra (LEK)")</f>
        <v>0</v>
      </c>
      <c r="L74" s="351"/>
      <c r="M74" s="64">
        <f>-SUMIFS('BP 2020 v.I dle HAZ - MAT.'!GZ:GZ,'BP 2020 v.I dle HAZ - MAT.'!$B:$B,"Léky - centra (LEK)")</f>
        <v>0</v>
      </c>
      <c r="N74" s="64">
        <f>-SUMIFS('BP 2020 v.I dle HAZ - MAT.'!HA:HA,'BP 2020 v.I dle HAZ - MAT.'!$B:$B,"Léky - centra (LEK)")</f>
        <v>0</v>
      </c>
      <c r="O74" s="95">
        <f t="shared" si="12"/>
        <v>0</v>
      </c>
      <c r="P74" s="96" t="str">
        <f t="shared" si="13"/>
        <v/>
      </c>
      <c r="Q74" s="295">
        <f>SUMIF('CL 2020 PLÁN - SOUHRN '!A:A,A74,'CL 2020 PLÁN - SOUHRN '!I:I)</f>
        <v>0</v>
      </c>
      <c r="R74" s="296">
        <f t="shared" si="20"/>
        <v>0</v>
      </c>
      <c r="S74" s="300" t="str">
        <f t="shared" si="21"/>
        <v/>
      </c>
      <c r="T74" s="326" t="str">
        <f t="shared" si="22"/>
        <v/>
      </c>
      <c r="U74" s="329" t="str">
        <f t="shared" si="23"/>
        <v/>
      </c>
      <c r="V74" s="331"/>
      <c r="W74" s="315">
        <f>-SUMIFS('BP 2020 v.I dle HAZ - MAT.'!GY:GY,'BP 2020 v.I dle HAZ - MAT.'!$B:$B,"Léky - dle §16 (LEK)")</f>
        <v>0</v>
      </c>
      <c r="X74" s="358"/>
      <c r="Y74" s="70">
        <f>-SUMIFS('BP 2020 v.I dle HAZ - MAT.'!GZ:GZ,'BP 2020 v.I dle HAZ - MAT.'!$B:$B,"Léky - dle §16 (LEK)")</f>
        <v>0</v>
      </c>
      <c r="Z74" s="70">
        <f>-SUMIFS('BP 2020 v.I dle HAZ - MAT.'!HA:HA,'BP 2020 v.I dle HAZ - MAT.'!$B:$B,"Léky - dle §16 (LEK)")</f>
        <v>0</v>
      </c>
      <c r="AA74" s="97">
        <f t="shared" si="14"/>
        <v>0</v>
      </c>
      <c r="AB74" s="316" t="str">
        <f t="shared" si="15"/>
        <v/>
      </c>
      <c r="AC74" s="308">
        <f>-SUMIFS('BP 2020 v.I dle HAZ - MAT.'!GY:GY,'BP 2020 v.I dle HAZ - MAT.'!$B:$B,"Zdravotnické prostředky")</f>
        <v>0</v>
      </c>
      <c r="AD74" s="308"/>
      <c r="AE74" s="76">
        <f>-SUMIFS('BP 2020 v.I dle HAZ - MAT.'!GZ:GZ,'BP 2020 v.I dle HAZ - MAT.'!$B:$B,"Zdravotnické prostředky")</f>
        <v>0</v>
      </c>
      <c r="AF74" s="76">
        <f>-SUMIFS('BP 2020 v.I dle HAZ - MAT.'!HA:HA,'BP 2020 v.I dle HAZ - MAT.'!$B:$B,"Zdravotnické prostředky")</f>
        <v>0</v>
      </c>
      <c r="AG74" s="98">
        <f t="shared" si="16"/>
        <v>0</v>
      </c>
      <c r="AH74" s="369" t="str">
        <f t="shared" si="17"/>
        <v/>
      </c>
      <c r="AI74" s="372"/>
    </row>
    <row r="75" spans="3:38" s="46" customFormat="1" ht="30.75" customHeight="1" x14ac:dyDescent="0.25">
      <c r="C75" s="46" t="s">
        <v>382</v>
      </c>
      <c r="D75" s="113" t="s">
        <v>76</v>
      </c>
      <c r="E75" s="114">
        <f>-SUMIFS('BP 2020 v.I dle HAZ - MAT.'!HB:HB,'BP 2020 v.I dle HAZ - MAT.'!$B:$B,"Léky a léčiva")-K75-W75</f>
        <v>0</v>
      </c>
      <c r="F75" s="114"/>
      <c r="G75" s="114">
        <f>-SUMIFS('BP 2020 v.I dle HAZ - MAT.'!HC:HC,'BP 2020 v.I dle HAZ - MAT.'!$B:$B,"Léky a léčiva")-M75-Y75</f>
        <v>0</v>
      </c>
      <c r="H75" s="114">
        <f>-SUMIFS('BP 2020 v.I dle HAZ - MAT.'!HD:HD,'BP 2020 v.I dle HAZ - MAT.'!$B:$B,"Léky a léčiva")-N75-Z75</f>
        <v>0</v>
      </c>
      <c r="I75" s="103">
        <f t="shared" si="18"/>
        <v>0</v>
      </c>
      <c r="J75" s="303" t="str">
        <f t="shared" si="19"/>
        <v/>
      </c>
      <c r="K75" s="323">
        <f>-SUMIFS('BP 2020 v.I dle HAZ - MAT.'!HB:HB,'BP 2020 v.I dle HAZ - MAT.'!$B:$B,"Léky - centra (LEK)")</f>
        <v>0</v>
      </c>
      <c r="L75" s="353"/>
      <c r="M75" s="115">
        <f>-SUMIFS('BP 2020 v.I dle HAZ - MAT.'!HC:HC,'BP 2020 v.I dle HAZ - MAT.'!$B:$B,"Léky - centra (LEK)")</f>
        <v>0</v>
      </c>
      <c r="N75" s="115">
        <f>-SUMIFS('BP 2020 v.I dle HAZ - MAT.'!HD:HD,'BP 2020 v.I dle HAZ - MAT.'!$B:$B,"Léky - centra (LEK)")</f>
        <v>0</v>
      </c>
      <c r="O75" s="105">
        <f t="shared" si="12"/>
        <v>0</v>
      </c>
      <c r="P75" s="106" t="str">
        <f t="shared" si="13"/>
        <v/>
      </c>
      <c r="Q75" s="295">
        <f>SUMIF('CL 2020 PLÁN - SOUHRN '!A:A,A75,'CL 2020 PLÁN - SOUHRN '!I:I)</f>
        <v>0</v>
      </c>
      <c r="R75" s="296">
        <f t="shared" si="20"/>
        <v>0</v>
      </c>
      <c r="S75" s="300" t="str">
        <f t="shared" si="21"/>
        <v/>
      </c>
      <c r="T75" s="326" t="str">
        <f t="shared" si="22"/>
        <v/>
      </c>
      <c r="U75" s="329" t="str">
        <f t="shared" si="23"/>
        <v/>
      </c>
      <c r="V75" s="331"/>
      <c r="W75" s="317">
        <f>-SUMIFS('BP 2020 v.I dle HAZ - MAT.'!HB:HB,'BP 2020 v.I dle HAZ - MAT.'!$B:$B,"Léky - dle §16 (LEK)")</f>
        <v>0</v>
      </c>
      <c r="X75" s="359"/>
      <c r="Y75" s="116">
        <f>-SUMIFS('BP 2020 v.I dle HAZ - MAT.'!HC:HC,'BP 2020 v.I dle HAZ - MAT.'!$B:$B,"Léky - dle §16 (LEK)")</f>
        <v>0</v>
      </c>
      <c r="Z75" s="116">
        <f>-SUMIFS('BP 2020 v.I dle HAZ - MAT.'!HD:HD,'BP 2020 v.I dle HAZ - MAT.'!$B:$B,"Léky - dle §16 (LEK)")</f>
        <v>0</v>
      </c>
      <c r="AA75" s="108">
        <f t="shared" si="14"/>
        <v>0</v>
      </c>
      <c r="AB75" s="314" t="str">
        <f t="shared" si="15"/>
        <v/>
      </c>
      <c r="AC75" s="309">
        <f>-SUMIFS('BP 2020 v.I dle HAZ - MAT.'!HB:HB,'BP 2020 v.I dle HAZ - MAT.'!$B:$B,"Zdravotnické prostředky")</f>
        <v>0</v>
      </c>
      <c r="AD75" s="309">
        <f>1000+12000+40000</f>
        <v>53000</v>
      </c>
      <c r="AE75" s="117">
        <f>-SUMIFS('BP 2020 v.I dle HAZ - MAT.'!HC:HC,'BP 2020 v.I dle HAZ - MAT.'!$B:$B,"Zdravotnické prostředky")</f>
        <v>0</v>
      </c>
      <c r="AF75" s="117">
        <f>-SUMIFS('BP 2020 v.I dle HAZ - MAT.'!HD:HD,'BP 2020 v.I dle HAZ - MAT.'!$B:$B,"Zdravotnické prostředky")</f>
        <v>0</v>
      </c>
      <c r="AG75" s="110">
        <f t="shared" si="16"/>
        <v>0</v>
      </c>
      <c r="AH75" s="368" t="str">
        <f t="shared" si="17"/>
        <v/>
      </c>
      <c r="AI75" s="373"/>
    </row>
    <row r="76" spans="3:38" s="46" customFormat="1" ht="30.75" customHeight="1" x14ac:dyDescent="0.25">
      <c r="C76" s="46" t="s">
        <v>386</v>
      </c>
      <c r="D76" s="84" t="s">
        <v>77</v>
      </c>
      <c r="E76" s="57">
        <f>-SUMIFS('BP 2020 v.I dle HAZ - MAT.'!HE:HE,'BP 2020 v.I dle HAZ - MAT.'!$B:$B,"Léky a léčiva")-K76-W76</f>
        <v>0</v>
      </c>
      <c r="F76" s="57"/>
      <c r="G76" s="57">
        <f>-SUMIFS('BP 2020 v.I dle HAZ - MAT.'!HF:HF,'BP 2020 v.I dle HAZ - MAT.'!$B:$B,"Léky a léčiva")-M76-Y76</f>
        <v>0</v>
      </c>
      <c r="H76" s="57">
        <f>-SUMIFS('BP 2020 v.I dle HAZ - MAT.'!HG:HG,'BP 2020 v.I dle HAZ - MAT.'!$B:$B,"Léky a léčiva")-N76-Z76</f>
        <v>0</v>
      </c>
      <c r="I76" s="94">
        <f t="shared" si="18"/>
        <v>0</v>
      </c>
      <c r="J76" s="304" t="str">
        <f t="shared" si="19"/>
        <v/>
      </c>
      <c r="K76" s="322">
        <f>-SUMIFS('BP 2020 v.I dle HAZ - MAT.'!HE:HE,'BP 2020 v.I dle HAZ - MAT.'!$B:$B,"Léky - centra (LEK)")</f>
        <v>0</v>
      </c>
      <c r="L76" s="351"/>
      <c r="M76" s="64">
        <f>-SUMIFS('BP 2020 v.I dle HAZ - MAT.'!HF:HF,'BP 2020 v.I dle HAZ - MAT.'!$B:$B,"Léky - centra (LEK)")</f>
        <v>0</v>
      </c>
      <c r="N76" s="64">
        <f>-SUMIFS('BP 2020 v.I dle HAZ - MAT.'!HG:HG,'BP 2020 v.I dle HAZ - MAT.'!$B:$B,"Léky - centra (LEK)")</f>
        <v>0</v>
      </c>
      <c r="O76" s="95">
        <f t="shared" si="12"/>
        <v>0</v>
      </c>
      <c r="P76" s="96" t="str">
        <f t="shared" si="13"/>
        <v/>
      </c>
      <c r="Q76" s="295">
        <f>SUMIF('CL 2020 PLÁN - SOUHRN '!A:A,A76,'CL 2020 PLÁN - SOUHRN '!I:I)</f>
        <v>0</v>
      </c>
      <c r="R76" s="296">
        <f t="shared" si="20"/>
        <v>0</v>
      </c>
      <c r="S76" s="300" t="str">
        <f t="shared" si="21"/>
        <v/>
      </c>
      <c r="T76" s="326" t="str">
        <f t="shared" si="22"/>
        <v/>
      </c>
      <c r="U76" s="329" t="str">
        <f t="shared" si="23"/>
        <v/>
      </c>
      <c r="V76" s="331"/>
      <c r="W76" s="315">
        <f>-SUMIFS('BP 2020 v.I dle HAZ - MAT.'!HE:HE,'BP 2020 v.I dle HAZ - MAT.'!$B:$B,"Léky - dle §16 (LEK)")</f>
        <v>0</v>
      </c>
      <c r="X76" s="358"/>
      <c r="Y76" s="70">
        <f>-SUMIFS('BP 2020 v.I dle HAZ - MAT.'!HF:HF,'BP 2020 v.I dle HAZ - MAT.'!$B:$B,"Léky - dle §16 (LEK)")</f>
        <v>0</v>
      </c>
      <c r="Z76" s="70">
        <f>-SUMIFS('BP 2020 v.I dle HAZ - MAT.'!HG:HG,'BP 2020 v.I dle HAZ - MAT.'!$B:$B,"Léky - dle §16 (LEK)")</f>
        <v>0</v>
      </c>
      <c r="AA76" s="97">
        <f t="shared" si="14"/>
        <v>0</v>
      </c>
      <c r="AB76" s="316" t="str">
        <f t="shared" si="15"/>
        <v/>
      </c>
      <c r="AC76" s="308">
        <f>-SUMIFS('BP 2020 v.I dle HAZ - MAT.'!HE:HE,'BP 2020 v.I dle HAZ - MAT.'!$B:$B,"Zdravotnické prostředky")</f>
        <v>0</v>
      </c>
      <c r="AD76" s="308"/>
      <c r="AE76" s="76">
        <f>-SUMIFS('BP 2020 v.I dle HAZ - MAT.'!HF:HF,'BP 2020 v.I dle HAZ - MAT.'!$B:$B,"Zdravotnické prostředky")</f>
        <v>0</v>
      </c>
      <c r="AF76" s="76">
        <f>-SUMIFS('BP 2020 v.I dle HAZ - MAT.'!HG:HG,'BP 2020 v.I dle HAZ - MAT.'!$B:$B,"Zdravotnické prostředky")</f>
        <v>0</v>
      </c>
      <c r="AG76" s="98">
        <f t="shared" si="16"/>
        <v>0</v>
      </c>
      <c r="AH76" s="369" t="str">
        <f t="shared" si="17"/>
        <v/>
      </c>
      <c r="AI76" s="372"/>
    </row>
    <row r="77" spans="3:38" s="46" customFormat="1" ht="30.75" customHeight="1" x14ac:dyDescent="0.25">
      <c r="C77" s="46" t="s">
        <v>383</v>
      </c>
      <c r="D77" s="113" t="s">
        <v>78</v>
      </c>
      <c r="E77" s="114">
        <f>-SUMIFS('BP 2020 v.I dle HAZ - MAT.'!HH:HH,'BP 2020 v.I dle HAZ - MAT.'!$B:$B,"Léky a léčiva")-K77-W77</f>
        <v>69333.460000000006</v>
      </c>
      <c r="F77" s="114"/>
      <c r="G77" s="114">
        <f>-SUMIFS('BP 2020 v.I dle HAZ - MAT.'!HI:HI,'BP 2020 v.I dle HAZ - MAT.'!$B:$B,"Léky a léčiva")-M77-Y77</f>
        <v>0</v>
      </c>
      <c r="H77" s="114">
        <f>-SUMIFS('BP 2020 v.I dle HAZ - MAT.'!HJ:HJ,'BP 2020 v.I dle HAZ - MAT.'!$B:$B,"Léky a léčiva")-N77-Z77</f>
        <v>0</v>
      </c>
      <c r="I77" s="103">
        <f t="shared" si="18"/>
        <v>0</v>
      </c>
      <c r="J77" s="303" t="str">
        <f t="shared" si="19"/>
        <v/>
      </c>
      <c r="K77" s="323">
        <f>-SUMIFS('BP 2020 v.I dle HAZ - MAT.'!HH:HH,'BP 2020 v.I dle HAZ - MAT.'!$B:$B,"Léky - centra (LEK)")</f>
        <v>0</v>
      </c>
      <c r="L77" s="353"/>
      <c r="M77" s="115">
        <f>-SUMIFS('BP 2020 v.I dle HAZ - MAT.'!HI:HI,'BP 2020 v.I dle HAZ - MAT.'!$B:$B,"Léky - centra (LEK)")</f>
        <v>0</v>
      </c>
      <c r="N77" s="115">
        <f>-SUMIFS('BP 2020 v.I dle HAZ - MAT.'!HJ:HJ,'BP 2020 v.I dle HAZ - MAT.'!$B:$B,"Léky - centra (LEK)")</f>
        <v>0</v>
      </c>
      <c r="O77" s="105">
        <f t="shared" si="12"/>
        <v>0</v>
      </c>
      <c r="P77" s="106" t="str">
        <f t="shared" si="13"/>
        <v/>
      </c>
      <c r="Q77" s="295">
        <f>SUMIF('CL 2020 PLÁN - SOUHRN '!A:A,A77,'CL 2020 PLÁN - SOUHRN '!I:I)</f>
        <v>0</v>
      </c>
      <c r="R77" s="296">
        <f t="shared" si="20"/>
        <v>0</v>
      </c>
      <c r="S77" s="300" t="str">
        <f t="shared" si="21"/>
        <v/>
      </c>
      <c r="T77" s="326" t="str">
        <f t="shared" si="22"/>
        <v/>
      </c>
      <c r="U77" s="329" t="str">
        <f t="shared" si="23"/>
        <v/>
      </c>
      <c r="V77" s="331"/>
      <c r="W77" s="317">
        <f>-SUMIFS('BP 2020 v.I dle HAZ - MAT.'!HH:HH,'BP 2020 v.I dle HAZ - MAT.'!$B:$B,"Léky - dle §16 (LEK)")</f>
        <v>0</v>
      </c>
      <c r="X77" s="359"/>
      <c r="Y77" s="116">
        <f>-SUMIFS('BP 2020 v.I dle HAZ - MAT.'!HI:HI,'BP 2020 v.I dle HAZ - MAT.'!$B:$B,"Léky - dle §16 (LEK)")</f>
        <v>0</v>
      </c>
      <c r="Z77" s="116">
        <f>-SUMIFS('BP 2020 v.I dle HAZ - MAT.'!HJ:HJ,'BP 2020 v.I dle HAZ - MAT.'!$B:$B,"Léky - dle §16 (LEK)")</f>
        <v>0</v>
      </c>
      <c r="AA77" s="108">
        <f t="shared" si="14"/>
        <v>0</v>
      </c>
      <c r="AB77" s="314" t="str">
        <f t="shared" si="15"/>
        <v/>
      </c>
      <c r="AC77" s="309">
        <f>-SUMIFS('BP 2020 v.I dle HAZ - MAT.'!HH:HH,'BP 2020 v.I dle HAZ - MAT.'!$B:$B,"Zdravotnické prostředky")</f>
        <v>0</v>
      </c>
      <c r="AD77" s="309"/>
      <c r="AE77" s="117">
        <f>-SUMIFS('BP 2020 v.I dle HAZ - MAT.'!HI:HI,'BP 2020 v.I dle HAZ - MAT.'!$B:$B,"Zdravotnické prostředky")</f>
        <v>0</v>
      </c>
      <c r="AF77" s="117">
        <f>-SUMIFS('BP 2020 v.I dle HAZ - MAT.'!HJ:HJ,'BP 2020 v.I dle HAZ - MAT.'!$B:$B,"Zdravotnické prostředky")</f>
        <v>0</v>
      </c>
      <c r="AG77" s="110">
        <f t="shared" si="16"/>
        <v>0</v>
      </c>
      <c r="AH77" s="368" t="str">
        <f t="shared" si="17"/>
        <v/>
      </c>
      <c r="AI77" s="373"/>
    </row>
    <row r="78" spans="3:38" s="46" customFormat="1" ht="30.75" customHeight="1" x14ac:dyDescent="0.25">
      <c r="C78" s="46" t="s">
        <v>384</v>
      </c>
      <c r="D78" s="84" t="s">
        <v>79</v>
      </c>
      <c r="E78" s="57">
        <f>-SUMIFS('BP 2020 v.I dle HAZ - MAT.'!HK:HK,'BP 2020 v.I dle HAZ - MAT.'!$B:$B,"Léky a léčiva")-K78-W78</f>
        <v>0</v>
      </c>
      <c r="F78" s="57"/>
      <c r="G78" s="57">
        <f>-SUMIFS('BP 2020 v.I dle HAZ - MAT.'!HL:HL,'BP 2020 v.I dle HAZ - MAT.'!$B:$B,"Léky a léčiva")-M78-Y78</f>
        <v>0</v>
      </c>
      <c r="H78" s="57">
        <f>-SUMIFS('BP 2020 v.I dle HAZ - MAT.'!HM:HM,'BP 2020 v.I dle HAZ - MAT.'!$B:$B,"Léky a léčiva")-N78-Z78</f>
        <v>0</v>
      </c>
      <c r="I78" s="94">
        <f>H78-G78</f>
        <v>0</v>
      </c>
      <c r="J78" s="304" t="str">
        <f t="shared" si="19"/>
        <v/>
      </c>
      <c r="K78" s="322">
        <f>-SUMIFS('BP 2020 v.I dle HAZ - MAT.'!HK:HK,'BP 2020 v.I dle HAZ - MAT.'!$B:$B,"Léky - centra (LEK)")</f>
        <v>0</v>
      </c>
      <c r="L78" s="351"/>
      <c r="M78" s="64">
        <f>-SUMIFS('BP 2020 v.I dle HAZ - MAT.'!HL:HL,'BP 2020 v.I dle HAZ - MAT.'!$B:$B,"Léky - centra (LEK)")</f>
        <v>0</v>
      </c>
      <c r="N78" s="64">
        <f>-SUMIFS('BP 2020 v.I dle HAZ - MAT.'!HM:HM,'BP 2020 v.I dle HAZ - MAT.'!$B:$B,"Léky - centra (LEK)")</f>
        <v>0</v>
      </c>
      <c r="O78" s="95">
        <f t="shared" si="12"/>
        <v>0</v>
      </c>
      <c r="P78" s="96" t="str">
        <f t="shared" si="13"/>
        <v/>
      </c>
      <c r="Q78" s="295">
        <f>SUMIF('CL 2020 PLÁN - SOUHRN '!A:A,A78,'CL 2020 PLÁN - SOUHRN '!I:I)</f>
        <v>0</v>
      </c>
      <c r="R78" s="296">
        <f t="shared" si="20"/>
        <v>0</v>
      </c>
      <c r="S78" s="300" t="str">
        <f t="shared" si="21"/>
        <v/>
      </c>
      <c r="T78" s="326" t="str">
        <f t="shared" si="22"/>
        <v/>
      </c>
      <c r="U78" s="329" t="str">
        <f t="shared" si="23"/>
        <v/>
      </c>
      <c r="V78" s="331"/>
      <c r="W78" s="315">
        <f>-SUMIFS('BP 2020 v.I dle HAZ - MAT.'!HK:HK,'BP 2020 v.I dle HAZ - MAT.'!$B:$B,"Léky - dle §16 (LEK)")</f>
        <v>0</v>
      </c>
      <c r="X78" s="358"/>
      <c r="Y78" s="70">
        <f>-SUMIFS('BP 2020 v.I dle HAZ - MAT.'!HL:HL,'BP 2020 v.I dle HAZ - MAT.'!$B:$B,"Léky - dle §16 (LEK)")</f>
        <v>0</v>
      </c>
      <c r="Z78" s="70">
        <f>-SUMIFS('BP 2020 v.I dle HAZ - MAT.'!HM:HM,'BP 2020 v.I dle HAZ - MAT.'!$B:$B,"Léky - dle §16 (LEK)")</f>
        <v>0</v>
      </c>
      <c r="AA78" s="97">
        <f>Z78-Y78</f>
        <v>0</v>
      </c>
      <c r="AB78" s="316" t="str">
        <f t="shared" si="15"/>
        <v/>
      </c>
      <c r="AC78" s="308">
        <f>-SUMIFS('BP 2020 v.I dle HAZ - MAT.'!HK:HK,'BP 2020 v.I dle HAZ - MAT.'!$B:$B,"Zdravotnické prostředky")</f>
        <v>0</v>
      </c>
      <c r="AD78" s="308"/>
      <c r="AE78" s="76">
        <f>-SUMIFS('BP 2020 v.I dle HAZ - MAT.'!HL:HL,'BP 2020 v.I dle HAZ - MAT.'!$B:$B,"Zdravotnické prostředky")</f>
        <v>0</v>
      </c>
      <c r="AF78" s="76">
        <f>-SUMIFS('BP 2020 v.I dle HAZ - MAT.'!HM:HM,'BP 2020 v.I dle HAZ - MAT.'!$B:$B,"Zdravotnické prostředky")</f>
        <v>0</v>
      </c>
      <c r="AG78" s="98">
        <f>AF78-AE78</f>
        <v>0</v>
      </c>
      <c r="AH78" s="369" t="str">
        <f t="shared" si="17"/>
        <v/>
      </c>
      <c r="AI78" s="372"/>
    </row>
    <row r="79" spans="3:38" s="46" customFormat="1" ht="30.75" customHeight="1" x14ac:dyDescent="0.25">
      <c r="C79" s="46" t="s">
        <v>385</v>
      </c>
      <c r="D79" s="113" t="s">
        <v>80</v>
      </c>
      <c r="E79" s="114">
        <f>-SUMIFS('BP 2020 v.I dle HAZ - MAT.'!HN:HN,'BP 2020 v.I dle HAZ - MAT.'!$B:$B,"Léky a léčiva")-K79-W79</f>
        <v>0</v>
      </c>
      <c r="F79" s="114"/>
      <c r="G79" s="114">
        <f>-SUMIFS('BP 2020 v.I dle HAZ - MAT.'!HO:HO,'BP 2020 v.I dle HAZ - MAT.'!$B:$B,"Léky a léčiva")-M79-Y79</f>
        <v>0</v>
      </c>
      <c r="H79" s="114">
        <f>-SUMIFS('BP 2020 v.I dle HAZ - MAT.'!HP:HP,'BP 2020 v.I dle HAZ - MAT.'!$B:$B,"Léky a léčiva")-N79-Z79</f>
        <v>0</v>
      </c>
      <c r="I79" s="103">
        <f t="shared" ref="I79" si="24">H79-G79</f>
        <v>0</v>
      </c>
      <c r="J79" s="303" t="str">
        <f t="shared" si="19"/>
        <v/>
      </c>
      <c r="K79" s="323">
        <f>-SUMIFS('BP 2020 v.I dle HAZ - MAT.'!HN:HN,'BP 2020 v.I dle HAZ - MAT.'!$B:$B,"Léky - centra (LEK)")</f>
        <v>0</v>
      </c>
      <c r="L79" s="353"/>
      <c r="M79" s="115">
        <f>-SUMIFS('BP 2020 v.I dle HAZ - MAT.'!HO:HO,'BP 2020 v.I dle HAZ - MAT.'!$B:$B,"Léky - centra (LEK)")</f>
        <v>0</v>
      </c>
      <c r="N79" s="115">
        <f>-SUMIFS('BP 2020 v.I dle HAZ - MAT.'!HP:HP,'BP 2020 v.I dle HAZ - MAT.'!$B:$B,"Léky - centra (LEK)")</f>
        <v>0</v>
      </c>
      <c r="O79" s="105">
        <f t="shared" si="12"/>
        <v>0</v>
      </c>
      <c r="P79" s="106" t="str">
        <f t="shared" si="13"/>
        <v/>
      </c>
      <c r="Q79" s="295">
        <f>SUMIF('CL 2020 PLÁN - SOUHRN '!A:A,A79,'CL 2020 PLÁN - SOUHRN '!I:I)</f>
        <v>0</v>
      </c>
      <c r="R79" s="296">
        <f t="shared" si="20"/>
        <v>0</v>
      </c>
      <c r="S79" s="300" t="str">
        <f t="shared" si="21"/>
        <v/>
      </c>
      <c r="T79" s="326" t="str">
        <f t="shared" si="22"/>
        <v/>
      </c>
      <c r="U79" s="329" t="str">
        <f t="shared" si="23"/>
        <v/>
      </c>
      <c r="V79" s="331"/>
      <c r="W79" s="317">
        <f>-SUMIFS('BP 2020 v.I dle HAZ - MAT.'!HN:HN,'BP 2020 v.I dle HAZ - MAT.'!$B:$B,"Léky - dle §16 (LEK)")</f>
        <v>0</v>
      </c>
      <c r="X79" s="359"/>
      <c r="Y79" s="116">
        <f>-SUMIFS('BP 2020 v.I dle HAZ - MAT.'!HO:HO,'BP 2020 v.I dle HAZ - MAT.'!$B:$B,"Léky - dle §16 (LEK)")</f>
        <v>0</v>
      </c>
      <c r="Z79" s="116">
        <f>-SUMIFS('BP 2020 v.I dle HAZ - MAT.'!HP:HP,'BP 2020 v.I dle HAZ - MAT.'!$B:$B,"Léky - dle §16 (LEK)")</f>
        <v>0</v>
      </c>
      <c r="AA79" s="108">
        <f t="shared" ref="AA79" si="25">Z79-Y79</f>
        <v>0</v>
      </c>
      <c r="AB79" s="314" t="str">
        <f t="shared" si="15"/>
        <v/>
      </c>
      <c r="AC79" s="309">
        <f>-SUMIFS('BP 2020 v.I dle HAZ - MAT.'!HN:HN,'BP 2020 v.I dle HAZ - MAT.'!$B:$B,"Zdravotnické prostředky")</f>
        <v>0</v>
      </c>
      <c r="AD79" s="309"/>
      <c r="AE79" s="117">
        <f>-SUMIFS('BP 2020 v.I dle HAZ - MAT.'!HO:HO,'BP 2020 v.I dle HAZ - MAT.'!$B:$B,"Zdravotnické prostředky")</f>
        <v>0</v>
      </c>
      <c r="AF79" s="117">
        <f>-SUMIFS('BP 2020 v.I dle HAZ - MAT.'!HP:HP,'BP 2020 v.I dle HAZ - MAT.'!$B:$B,"Zdravotnické prostředky")</f>
        <v>0</v>
      </c>
      <c r="AG79" s="110">
        <f t="shared" ref="AG79" si="26">AF79-AE79</f>
        <v>0</v>
      </c>
      <c r="AH79" s="368" t="str">
        <f t="shared" si="17"/>
        <v/>
      </c>
      <c r="AI79" s="373"/>
    </row>
    <row r="80" spans="3:38" s="52" customFormat="1" ht="30.75" customHeight="1" thickBot="1" x14ac:dyDescent="0.3">
      <c r="D80" s="85" t="s">
        <v>387</v>
      </c>
      <c r="E80" s="86">
        <f>SUM(E7:E79)</f>
        <v>352878387.1400001</v>
      </c>
      <c r="F80" s="86">
        <f>SUM(F7:F79)</f>
        <v>350048000</v>
      </c>
      <c r="G80" s="86">
        <f t="shared" ref="G80:I80" si="27">SUM(G7:G79)</f>
        <v>353995852</v>
      </c>
      <c r="H80" s="86">
        <f t="shared" si="27"/>
        <v>387039419.00000012</v>
      </c>
      <c r="I80" s="87">
        <f t="shared" si="27"/>
        <v>33043567.000000108</v>
      </c>
      <c r="J80" s="305">
        <f t="shared" ref="J80" si="28">H80/G80</f>
        <v>1.0933445033700568</v>
      </c>
      <c r="K80" s="324">
        <f>SUM(K7:K79)</f>
        <v>1045394322.41</v>
      </c>
      <c r="L80" s="354">
        <f>SUM(L7:L79)</f>
        <v>1029500000</v>
      </c>
      <c r="M80" s="88">
        <f t="shared" ref="M80:R80" si="29">SUM(M7:M79)</f>
        <v>1210499992</v>
      </c>
      <c r="N80" s="88">
        <f t="shared" si="29"/>
        <v>1397870000</v>
      </c>
      <c r="O80" s="89">
        <f t="shared" si="29"/>
        <v>187370008</v>
      </c>
      <c r="P80" s="90">
        <f>N80/M80</f>
        <v>1.1547872856161077</v>
      </c>
      <c r="Q80" s="297">
        <f t="shared" ref="Q80" si="30">SUM(Q7:Q79)</f>
        <v>1317139578.75</v>
      </c>
      <c r="R80" s="298">
        <f t="shared" si="29"/>
        <v>105362658.13000008</v>
      </c>
      <c r="S80" s="301">
        <f>Q80/M80</f>
        <v>1.0880954873645303</v>
      </c>
      <c r="T80" s="327">
        <f t="shared" ref="T80" si="31">SUM(T7:T79)</f>
        <v>-82007349.869999915</v>
      </c>
      <c r="U80" s="330">
        <f t="shared" si="23"/>
        <v>0.94224754716103787</v>
      </c>
      <c r="V80" s="332"/>
      <c r="W80" s="318">
        <f>SUM(W7:W79)</f>
        <v>75085327.530000001</v>
      </c>
      <c r="X80" s="360">
        <f>SUM(X7:X79)</f>
        <v>73502000</v>
      </c>
      <c r="Y80" s="91">
        <f t="shared" ref="Y80:AA80" si="32">SUM(Y7:Y79)</f>
        <v>61683292</v>
      </c>
      <c r="Z80" s="91">
        <f t="shared" si="32"/>
        <v>155914800</v>
      </c>
      <c r="AA80" s="92">
        <f t="shared" si="32"/>
        <v>94231508</v>
      </c>
      <c r="AB80" s="319">
        <f t="shared" ref="AB80" si="33">Z80/Y80</f>
        <v>2.5276666491794892</v>
      </c>
      <c r="AC80" s="310">
        <f>SUM(AC7:AC79)</f>
        <v>926475101.1700002</v>
      </c>
      <c r="AD80" s="310">
        <f>SUM(AD7:AD79)</f>
        <v>937342000</v>
      </c>
      <c r="AE80" s="86">
        <f t="shared" ref="AE80:AI80" si="34">SUM(AE7:AE79)</f>
        <v>993060499</v>
      </c>
      <c r="AF80" s="86">
        <f t="shared" si="34"/>
        <v>1051431262.0000007</v>
      </c>
      <c r="AG80" s="87">
        <f t="shared" si="34"/>
        <v>58370763.000000715</v>
      </c>
      <c r="AH80" s="305">
        <f t="shared" ref="AH80" si="35">AF80/AE80</f>
        <v>1.0587786575528675</v>
      </c>
      <c r="AI80" s="86">
        <f t="shared" si="34"/>
        <v>983355445</v>
      </c>
      <c r="AK80" s="46"/>
      <c r="AL80" s="46"/>
    </row>
    <row r="81" spans="5:38" x14ac:dyDescent="0.25">
      <c r="E81" s="39">
        <f>-('BP 2020 v.I dle HAZ - MAT.'!C9-'BP 2020 v.I dle HAZ - MAT.'!C24-'BP 2020 v.I dle HAZ - MAT.'!C25)</f>
        <v>352878673.71001017</v>
      </c>
      <c r="F81" s="39"/>
      <c r="G81" s="39">
        <f>-('BP 2020 v.I dle HAZ - MAT.'!D9-'BP 2020 v.I dle HAZ - MAT.'!D24-'BP 2020 v.I dle HAZ - MAT.'!D25)</f>
        <v>359707315.08536518</v>
      </c>
      <c r="H81" s="39">
        <f>-('BP 2020 v.I dle HAZ - MAT.'!E9-'BP 2020 v.I dle HAZ - MAT.'!E24-'BP 2020 v.I dle HAZ - MAT.'!E25)</f>
        <v>387039419</v>
      </c>
      <c r="K81" s="65">
        <f>-'BP 2020 v.I dle HAZ - MAT.'!C24</f>
        <v>1045394322.41</v>
      </c>
      <c r="L81" s="65"/>
      <c r="M81" s="65">
        <f>-'BP 2020 v.I dle HAZ - MAT.'!D24</f>
        <v>1100000466.2351799</v>
      </c>
      <c r="N81" s="65">
        <f>-'BP 2020 v.I dle HAZ - MAT.'!E24</f>
        <v>1397870000</v>
      </c>
      <c r="W81" s="71">
        <f>-'BP 2020 v.I dle HAZ - MAT.'!C25</f>
        <v>75085327.530000001</v>
      </c>
      <c r="X81" s="71"/>
      <c r="Y81" s="71">
        <f>-'BP 2020 v.I dle HAZ - MAT.'!D25</f>
        <v>75000430.045834899</v>
      </c>
      <c r="Z81" s="71">
        <f>-'BP 2020 v.I dle HAZ - MAT.'!E25</f>
        <v>155914800</v>
      </c>
      <c r="AA81" s="71"/>
      <c r="AC81" s="77">
        <f>-'BP 2020 v.I dle HAZ - MAT.'!C28</f>
        <v>926475101.17000401</v>
      </c>
      <c r="AD81" s="77"/>
      <c r="AE81" s="77">
        <f>-'BP 2020 v.I dle HAZ - MAT.'!D28</f>
        <v>965611525.17287397</v>
      </c>
      <c r="AF81" s="77">
        <f>-'BP 2020 v.I dle HAZ - MAT.'!E28</f>
        <v>1045704262.00001</v>
      </c>
      <c r="AI81" s="77"/>
      <c r="AK81" s="46"/>
      <c r="AL81" s="46"/>
    </row>
    <row r="82" spans="5:38" x14ac:dyDescent="0.25">
      <c r="AC82" s="77"/>
      <c r="AD82" s="77"/>
      <c r="AE82" s="77"/>
      <c r="AF82" s="77"/>
      <c r="AK82" s="46"/>
      <c r="AL82" s="46"/>
    </row>
    <row r="84" spans="5:38" x14ac:dyDescent="0.25">
      <c r="AE84" s="365">
        <f>SUM(AE7:AE59)</f>
        <v>988246499</v>
      </c>
    </row>
  </sheetData>
  <autoFilter ref="D6:D79"/>
  <mergeCells count="4">
    <mergeCell ref="E5:J5"/>
    <mergeCell ref="K5:V5"/>
    <mergeCell ref="W5:AB5"/>
    <mergeCell ref="AC5:AI5"/>
  </mergeCells>
  <conditionalFormatting sqref="I7">
    <cfRule type="expression" dxfId="37" priority="19">
      <formula>I7&gt;250000</formula>
    </cfRule>
  </conditionalFormatting>
  <conditionalFormatting sqref="I8:I9">
    <cfRule type="expression" dxfId="36" priority="18">
      <formula>I8&gt;250000</formula>
    </cfRule>
  </conditionalFormatting>
  <conditionalFormatting sqref="J7:J9">
    <cfRule type="expression" dxfId="35" priority="17">
      <formula>AND(J7&lt;&gt;"",J7&gt;1.25)</formula>
    </cfRule>
  </conditionalFormatting>
  <conditionalFormatting sqref="O7:O9">
    <cfRule type="expression" dxfId="34" priority="16">
      <formula>O7&gt;250000</formula>
    </cfRule>
  </conditionalFormatting>
  <conditionalFormatting sqref="P7:P9">
    <cfRule type="expression" dxfId="33" priority="15">
      <formula>AND(P7&lt;&gt;"",P7&gt;1.25)</formula>
    </cfRule>
  </conditionalFormatting>
  <conditionalFormatting sqref="AA7:AA9">
    <cfRule type="expression" dxfId="32" priority="14">
      <formula>AA7&gt;250000</formula>
    </cfRule>
  </conditionalFormatting>
  <conditionalFormatting sqref="AB7:AB9">
    <cfRule type="expression" dxfId="31" priority="13">
      <formula>AND(AB7&lt;&gt;"",AB7&gt;1.25)</formula>
    </cfRule>
  </conditionalFormatting>
  <conditionalFormatting sqref="AG7:AG9">
    <cfRule type="expression" dxfId="30" priority="12">
      <formula>AG7&gt;250000</formula>
    </cfRule>
  </conditionalFormatting>
  <conditionalFormatting sqref="AH7:AH9">
    <cfRule type="expression" dxfId="29" priority="11">
      <formula>AND(AH7&lt;&gt;"",AH7&gt;1.25)</formula>
    </cfRule>
  </conditionalFormatting>
  <conditionalFormatting sqref="I10:I79">
    <cfRule type="expression" dxfId="28" priority="10">
      <formula>I10&gt;250000</formula>
    </cfRule>
  </conditionalFormatting>
  <conditionalFormatting sqref="J10:J79">
    <cfRule type="expression" dxfId="27" priority="9">
      <formula>AND(J10&lt;&gt;"",J10&gt;1.25)</formula>
    </cfRule>
  </conditionalFormatting>
  <conditionalFormatting sqref="O10:O79">
    <cfRule type="expression" dxfId="26" priority="8">
      <formula>O10&gt;250000</formula>
    </cfRule>
  </conditionalFormatting>
  <conditionalFormatting sqref="P10:P79">
    <cfRule type="expression" dxfId="25" priority="7">
      <formula>AND(P10&lt;&gt;"",P10&gt;1.25)</formula>
    </cfRule>
  </conditionalFormatting>
  <conditionalFormatting sqref="AA10:AA79">
    <cfRule type="expression" dxfId="24" priority="6">
      <formula>AA10&gt;250000</formula>
    </cfRule>
  </conditionalFormatting>
  <conditionalFormatting sqref="AB10:AB79">
    <cfRule type="expression" dxfId="23" priority="5">
      <formula>AND(AB10&lt;&gt;"",AB10&gt;1.25)</formula>
    </cfRule>
  </conditionalFormatting>
  <conditionalFormatting sqref="AG10:AG79">
    <cfRule type="expression" dxfId="22" priority="4">
      <formula>AG10&gt;250000</formula>
    </cfRule>
  </conditionalFormatting>
  <conditionalFormatting sqref="AH10:AH79">
    <cfRule type="expression" dxfId="21" priority="3">
      <formula>AND(AH10&lt;&gt;"",AH10&gt;1.25)</formula>
    </cfRule>
  </conditionalFormatting>
  <conditionalFormatting sqref="R7:R79">
    <cfRule type="expression" dxfId="20" priority="2">
      <formula>R7&gt;250000</formula>
    </cfRule>
  </conditionalFormatting>
  <conditionalFormatting sqref="S7:S79">
    <cfRule type="expression" dxfId="19" priority="1">
      <formula>AND(S7&lt;&gt;"",S7&gt;1.25)</formula>
    </cfRule>
  </conditionalFormatting>
  <pageMargins left="0.27559055118110237" right="0.19685039370078741" top="0.19685039370078741" bottom="0.15748031496062992" header="3.937007874015748E-2" footer="3.937007874015748E-2"/>
  <pageSetup paperSize="9" scale="71" fitToHeight="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AL84"/>
  <sheetViews>
    <sheetView topLeftCell="D1" zoomScaleNormal="100" workbookViewId="0">
      <pane xSplit="1" ySplit="6" topLeftCell="K36" activePane="bottomRight" state="frozen"/>
      <selection activeCell="D1" sqref="D1"/>
      <selection pane="topRight" activeCell="E1" sqref="E1"/>
      <selection pane="bottomLeft" activeCell="D7" sqref="D7"/>
      <selection pane="bottomRight" activeCell="AC70" sqref="AC70"/>
    </sheetView>
  </sheetViews>
  <sheetFormatPr defaultRowHeight="15" x14ac:dyDescent="0.25"/>
  <cols>
    <col min="1" max="1" width="0" hidden="1" customWidth="1"/>
    <col min="2" max="2" width="15.28515625" hidden="1" customWidth="1"/>
    <col min="3" max="3" width="5.5703125" hidden="1" customWidth="1"/>
    <col min="4" max="4" width="41.140625" style="44" customWidth="1"/>
    <col min="5" max="8" width="14.140625" customWidth="1"/>
    <col min="9" max="9" width="14.28515625" customWidth="1"/>
    <col min="10" max="10" width="11.7109375" customWidth="1"/>
    <col min="11" max="15" width="14.140625" style="66" customWidth="1"/>
    <col min="16" max="16" width="11.7109375" style="66" customWidth="1"/>
    <col min="17" max="18" width="14.28515625" style="66" customWidth="1"/>
    <col min="19" max="21" width="11.7109375" style="66" customWidth="1"/>
    <col min="22" max="22" width="13.5703125" style="66" customWidth="1"/>
    <col min="23" max="25" width="11.7109375" style="72" customWidth="1"/>
    <col min="26" max="26" width="13" style="72" customWidth="1"/>
    <col min="27" max="28" width="11.7109375" style="72" customWidth="1"/>
    <col min="29" max="30" width="12.28515625" style="78" customWidth="1"/>
    <col min="31" max="31" width="14.28515625" style="78" bestFit="1" customWidth="1"/>
    <col min="32" max="32" width="14.5703125" style="78" customWidth="1"/>
    <col min="33" max="33" width="12.28515625" style="78" customWidth="1"/>
    <col min="34" max="34" width="10.85546875" style="78" customWidth="1"/>
    <col min="35" max="35" width="12" style="39" bestFit="1" customWidth="1"/>
    <col min="36" max="36" width="61.85546875" bestFit="1" customWidth="1"/>
    <col min="37" max="37" width="13.85546875" customWidth="1"/>
    <col min="38" max="38" width="10.85546875" bestFit="1" customWidth="1"/>
  </cols>
  <sheetData>
    <row r="4" spans="1:35" ht="15.75" thickBot="1" x14ac:dyDescent="0.3">
      <c r="D4" s="43"/>
      <c r="E4" s="2"/>
      <c r="F4" s="2"/>
      <c r="G4" s="337" t="s">
        <v>569</v>
      </c>
      <c r="H4" s="2"/>
      <c r="I4" s="2"/>
      <c r="J4" s="2"/>
      <c r="K4" s="60"/>
      <c r="L4" s="60"/>
      <c r="M4" s="336" t="s">
        <v>568</v>
      </c>
      <c r="N4" s="60"/>
      <c r="O4" s="60"/>
      <c r="P4" s="60"/>
      <c r="Q4" s="60"/>
      <c r="R4" s="60"/>
      <c r="S4" s="60"/>
      <c r="T4" s="60"/>
      <c r="U4" s="60"/>
      <c r="V4" s="60"/>
      <c r="W4" s="67"/>
      <c r="X4" s="67"/>
      <c r="Y4" s="335" t="s">
        <v>567</v>
      </c>
      <c r="Z4" s="67"/>
      <c r="AA4" s="67"/>
      <c r="AB4" s="67"/>
      <c r="AC4" s="73"/>
      <c r="AD4" s="73"/>
      <c r="AE4" s="334" t="s">
        <v>569</v>
      </c>
      <c r="AF4" s="73"/>
      <c r="AG4" s="73"/>
      <c r="AH4" s="73"/>
    </row>
    <row r="5" spans="1:35" s="79" customFormat="1" ht="18.75" x14ac:dyDescent="0.3">
      <c r="D5" s="81"/>
      <c r="E5" s="379" t="s">
        <v>308</v>
      </c>
      <c r="F5" s="379"/>
      <c r="G5" s="379"/>
      <c r="H5" s="379"/>
      <c r="I5" s="379"/>
      <c r="J5" s="380"/>
      <c r="K5" s="381" t="s">
        <v>313</v>
      </c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3"/>
      <c r="W5" s="384" t="s">
        <v>314</v>
      </c>
      <c r="X5" s="385"/>
      <c r="Y5" s="386"/>
      <c r="Z5" s="386"/>
      <c r="AA5" s="386"/>
      <c r="AB5" s="394"/>
      <c r="AC5" s="391" t="s">
        <v>315</v>
      </c>
      <c r="AD5" s="391"/>
      <c r="AE5" s="392"/>
      <c r="AF5" s="392"/>
      <c r="AG5" s="392"/>
      <c r="AH5" s="393"/>
      <c r="AI5" s="80"/>
    </row>
    <row r="6" spans="1:35" s="38" customFormat="1" ht="60.75" thickBot="1" x14ac:dyDescent="0.3">
      <c r="D6" s="82" t="s">
        <v>307</v>
      </c>
      <c r="E6" s="58" t="s">
        <v>304</v>
      </c>
      <c r="F6" s="58" t="s">
        <v>570</v>
      </c>
      <c r="G6" s="347" t="s">
        <v>305</v>
      </c>
      <c r="H6" s="58" t="s">
        <v>306</v>
      </c>
      <c r="I6" s="59" t="s">
        <v>311</v>
      </c>
      <c r="J6" s="302" t="s">
        <v>312</v>
      </c>
      <c r="K6" s="320" t="s">
        <v>309</v>
      </c>
      <c r="L6" s="349" t="s">
        <v>571</v>
      </c>
      <c r="M6" s="61" t="s">
        <v>310</v>
      </c>
      <c r="N6" s="61" t="s">
        <v>306</v>
      </c>
      <c r="O6" s="62" t="s">
        <v>311</v>
      </c>
      <c r="P6" s="63" t="s">
        <v>312</v>
      </c>
      <c r="Q6" s="293" t="s">
        <v>561</v>
      </c>
      <c r="R6" s="294" t="s">
        <v>562</v>
      </c>
      <c r="S6" s="299" t="s">
        <v>312</v>
      </c>
      <c r="T6" s="325" t="s">
        <v>563</v>
      </c>
      <c r="U6" s="328" t="s">
        <v>564</v>
      </c>
      <c r="V6" s="333" t="s">
        <v>565</v>
      </c>
      <c r="W6" s="311" t="s">
        <v>309</v>
      </c>
      <c r="X6" s="356" t="s">
        <v>572</v>
      </c>
      <c r="Y6" s="363" t="s">
        <v>310</v>
      </c>
      <c r="Z6" s="68" t="s">
        <v>306</v>
      </c>
      <c r="AA6" s="69" t="s">
        <v>311</v>
      </c>
      <c r="AB6" s="312" t="s">
        <v>312</v>
      </c>
      <c r="AC6" s="306" t="s">
        <v>309</v>
      </c>
      <c r="AD6" s="306" t="s">
        <v>572</v>
      </c>
      <c r="AE6" s="74" t="s">
        <v>310</v>
      </c>
      <c r="AF6" s="74" t="s">
        <v>306</v>
      </c>
      <c r="AG6" s="75" t="s">
        <v>311</v>
      </c>
      <c r="AH6" s="83" t="s">
        <v>312</v>
      </c>
      <c r="AI6" s="55"/>
    </row>
    <row r="7" spans="1:35" s="100" customFormat="1" ht="30.75" customHeight="1" thickTop="1" x14ac:dyDescent="0.25">
      <c r="A7" s="100" t="s">
        <v>408</v>
      </c>
      <c r="B7" s="100" t="s">
        <v>9</v>
      </c>
      <c r="C7" s="100" t="s">
        <v>316</v>
      </c>
      <c r="D7" s="101" t="s">
        <v>9</v>
      </c>
      <c r="E7" s="102">
        <f>-SUMIFS('BP 2020 v.I dle HAZ - MAT.'!F:F,'BP 2020 v.I dle HAZ - MAT.'!$B:$B,"Léky a léčiva")-K7-W7</f>
        <v>7438243.3400000017</v>
      </c>
      <c r="F7" s="343">
        <v>7650000</v>
      </c>
      <c r="G7" s="348">
        <f>7428000+220000</f>
        <v>7648000</v>
      </c>
      <c r="H7" s="102">
        <f>-SUMIFS('BP 2020 v.I dle HAZ - MAT.'!H:H,'BP 2020 v.I dle HAZ - MAT.'!$B:$B,"Léky a léčiva")-N7-Z7</f>
        <v>7600000</v>
      </c>
      <c r="I7" s="103">
        <f>H7-G7</f>
        <v>-48000</v>
      </c>
      <c r="J7" s="303">
        <f>IF(G7=0,"",H7/G7)</f>
        <v>0.99372384937238489</v>
      </c>
      <c r="K7" s="321">
        <f>-SUMIFS('BP 2020 v.I dle HAZ - MAT.'!F:F,'BP 2020 v.I dle HAZ - MAT.'!$B:$B,"Léky - centra (LEK)")</f>
        <v>84927055.390000001</v>
      </c>
      <c r="L7" s="350">
        <v>85000000</v>
      </c>
      <c r="M7" s="104">
        <v>91000000</v>
      </c>
      <c r="N7" s="104">
        <f>-SUMIFS('BP 2020 v.I dle HAZ - MAT.'!H:H,'BP 2020 v.I dle HAZ - MAT.'!$B:$B,"Léky - centra (LEK)")</f>
        <v>105000000</v>
      </c>
      <c r="O7" s="105">
        <f t="shared" ref="O7:O38" si="0">N7-M7</f>
        <v>14000000</v>
      </c>
      <c r="P7" s="106">
        <f t="shared" ref="P7:P38" si="1">IF(M7=0,"",N7/M7)</f>
        <v>1.1538461538461537</v>
      </c>
      <c r="Q7" s="295">
        <f>SUMIF('CL 2020 PLÁN - SOUHRN '!A:A,A7,'CL 2020 PLÁN - SOUHRN '!I:I)</f>
        <v>93670323.960000008</v>
      </c>
      <c r="R7" s="296">
        <f>IF(M7=0,0,Q7-M7)</f>
        <v>2670323.9600000083</v>
      </c>
      <c r="S7" s="300">
        <f>IF(M7=0,"",Q7/M7)</f>
        <v>1.0293442193406594</v>
      </c>
      <c r="T7" s="326">
        <f>IF(M7=0,"",Q7-N7)</f>
        <v>-11329676.039999992</v>
      </c>
      <c r="U7" s="329">
        <f>IF(N7=0,"",Q7/N7)</f>
        <v>0.89209832342857154</v>
      </c>
      <c r="V7" s="331"/>
      <c r="W7" s="313">
        <f>-SUMIFS('BP 2020 v.I dle HAZ - MAT.'!F:F,'BP 2020 v.I dle HAZ - MAT.'!$B:$B,"Léky - dle §16 (LEK)")</f>
        <v>5203279.08</v>
      </c>
      <c r="X7" s="357">
        <v>5200000</v>
      </c>
      <c r="Y7" s="364">
        <v>5199996</v>
      </c>
      <c r="Z7" s="107">
        <f>-SUMIFS('BP 2020 v.I dle HAZ - MAT.'!H:H,'BP 2020 v.I dle HAZ - MAT.'!$B:$B,"Léky - dle §16 (LEK)")</f>
        <v>9500000</v>
      </c>
      <c r="AA7" s="108">
        <f t="shared" ref="AA7:AA12" si="2">Z7-Y7</f>
        <v>4300004</v>
      </c>
      <c r="AB7" s="314">
        <f t="shared" ref="AB7:AB12" si="3">IF(Y7=0,"",Z7/Y7)</f>
        <v>1.8269244822496018</v>
      </c>
      <c r="AC7" s="307">
        <f>-SUMIFS('BP 2020 v.I dle HAZ - MAT.'!F:F,'BP 2020 v.I dle HAZ - MAT.'!$B:$B,"Zdravotnické prostředky")</f>
        <v>299661396.18000001</v>
      </c>
      <c r="AD7" s="361">
        <v>313615000</v>
      </c>
      <c r="AE7" s="362">
        <v>336738485</v>
      </c>
      <c r="AF7" s="109">
        <f>-SUMIFS('BP 2020 v.I dle HAZ - MAT.'!H:H,'BP 2020 v.I dle HAZ - MAT.'!$B:$B,"Zdravotnické prostředky")</f>
        <v>356117420.00000101</v>
      </c>
      <c r="AG7" s="110">
        <f t="shared" ref="AG7:AG13" si="4">AF7-AE7</f>
        <v>19378935.000001013</v>
      </c>
      <c r="AH7" s="111">
        <f t="shared" ref="AH7:AH13" si="5">IF(AE7=0,"",AF7/AE7)</f>
        <v>1.0575489166318517</v>
      </c>
      <c r="AI7" s="112"/>
    </row>
    <row r="8" spans="1:35" s="46" customFormat="1" ht="30.75" customHeight="1" x14ac:dyDescent="0.25">
      <c r="A8" s="46" t="s">
        <v>409</v>
      </c>
      <c r="B8" s="46" t="s">
        <v>410</v>
      </c>
      <c r="C8" s="46" t="s">
        <v>317</v>
      </c>
      <c r="D8" s="84" t="s">
        <v>10</v>
      </c>
      <c r="E8" s="57">
        <f>-SUMIFS('BP 2020 v.I dle HAZ - MAT.'!I:I,'BP 2020 v.I dle HAZ - MAT.'!$B:$B,"Léky a léčiva")-K8-W8</f>
        <v>11881014</v>
      </c>
      <c r="F8" s="57">
        <f>9370000+2646000</f>
        <v>12016000</v>
      </c>
      <c r="G8" s="57">
        <f>8096988+2160000+2834984+53000</f>
        <v>13144972</v>
      </c>
      <c r="H8" s="57">
        <f>-SUMIFS('BP 2020 v.I dle HAZ - MAT.'!K:K,'BP 2020 v.I dle HAZ - MAT.'!$B:$B,"Léky a léčiva")-N8-Z8</f>
        <v>12125000.000000097</v>
      </c>
      <c r="I8" s="94">
        <f t="shared" ref="I8:I13" si="6">H8-G8</f>
        <v>-1019971.9999999031</v>
      </c>
      <c r="J8" s="304">
        <f t="shared" ref="J8:J58" si="7">IF(G8=0,"",H8/G8)</f>
        <v>0.92240592068207505</v>
      </c>
      <c r="K8" s="322">
        <f>-SUMIFS('BP 2020 v.I dle HAZ - MAT.'!I:I,'BP 2020 v.I dle HAZ - MAT.'!$B:$B,"Léky - centra (LEK)")</f>
        <v>45812879.399999999</v>
      </c>
      <c r="L8" s="351">
        <v>35500000</v>
      </c>
      <c r="M8" s="64">
        <v>37499996</v>
      </c>
      <c r="N8" s="64">
        <f>-SUMIFS('BP 2020 v.I dle HAZ - MAT.'!K:K,'BP 2020 v.I dle HAZ - MAT.'!$B:$B,"Léky - centra (LEK)")</f>
        <v>46000000</v>
      </c>
      <c r="O8" s="95">
        <f t="shared" si="0"/>
        <v>8500004</v>
      </c>
      <c r="P8" s="96">
        <f t="shared" si="1"/>
        <v>1.2266667975111252</v>
      </c>
      <c r="Q8" s="295">
        <f>SUMIF('CL 2020 PLÁN - SOUHRN '!A:A,A8,'CL 2020 PLÁN - SOUHRN '!I:I)</f>
        <v>49961911.920000002</v>
      </c>
      <c r="R8" s="296">
        <f t="shared" ref="R8:R71" si="8">IF(M8=0,0,Q8-M8)</f>
        <v>12461915.920000002</v>
      </c>
      <c r="S8" s="300">
        <f t="shared" ref="S8:S71" si="9">IF(M8=0,"",Q8/M8)</f>
        <v>1.3323177933138981</v>
      </c>
      <c r="T8" s="326">
        <f t="shared" ref="T8:T71" si="10">IF(M8=0,"",Q8-N8)</f>
        <v>3961911.9200000018</v>
      </c>
      <c r="U8" s="329">
        <f t="shared" ref="U8:U71" si="11">IF(N8=0,"",Q8/N8)</f>
        <v>1.0861285199999999</v>
      </c>
      <c r="V8" s="331"/>
      <c r="W8" s="315">
        <f>-SUMIFS('BP 2020 v.I dle HAZ - MAT.'!I:I,'BP 2020 v.I dle HAZ - MAT.'!$B:$B,"Léky - dle §16 (LEK)")</f>
        <v>0</v>
      </c>
      <c r="X8" s="358">
        <v>0</v>
      </c>
      <c r="Y8" s="70">
        <f>-SUMIFS('BP 2020 v.I dle HAZ - MAT.'!J:J,'BP 2020 v.I dle HAZ - MAT.'!$B:$B,"Léky - dle §16 (LEK)")</f>
        <v>0</v>
      </c>
      <c r="Z8" s="70">
        <f>-SUMIFS('BP 2020 v.I dle HAZ - MAT.'!K:K,'BP 2020 v.I dle HAZ - MAT.'!$B:$B,"Léky - dle §16 (LEK)")</f>
        <v>0</v>
      </c>
      <c r="AA8" s="97">
        <f t="shared" si="2"/>
        <v>0</v>
      </c>
      <c r="AB8" s="316" t="str">
        <f t="shared" si="3"/>
        <v/>
      </c>
      <c r="AC8" s="308">
        <f>-SUMIFS('BP 2020 v.I dle HAZ - MAT.'!I:I,'BP 2020 v.I dle HAZ - MAT.'!$B:$B,"Zdravotnické prostředky")</f>
        <v>16569628.92</v>
      </c>
      <c r="AD8" s="308">
        <f>17500000+946000</f>
        <v>18446000</v>
      </c>
      <c r="AE8" s="76">
        <f>22039534+1380382</f>
        <v>23419916</v>
      </c>
      <c r="AF8" s="76">
        <f>-SUMIFS('BP 2020 v.I dle HAZ - MAT.'!K:K,'BP 2020 v.I dle HAZ - MAT.'!$B:$B,"Zdravotnické prostředky")</f>
        <v>29493000</v>
      </c>
      <c r="AG8" s="98">
        <f t="shared" si="4"/>
        <v>6073084</v>
      </c>
      <c r="AH8" s="99">
        <f t="shared" si="5"/>
        <v>1.2593128002679428</v>
      </c>
      <c r="AI8" s="45"/>
    </row>
    <row r="9" spans="1:35" s="100" customFormat="1" ht="30.75" customHeight="1" x14ac:dyDescent="0.25">
      <c r="A9" s="100" t="s">
        <v>411</v>
      </c>
      <c r="B9" s="100" t="s">
        <v>412</v>
      </c>
      <c r="C9" s="100" t="s">
        <v>318</v>
      </c>
      <c r="D9" s="113" t="s">
        <v>11</v>
      </c>
      <c r="E9" s="114">
        <f>-SUMIFS('BP 2020 v.I dle HAZ - MAT.'!L:L,'BP 2020 v.I dle HAZ - MAT.'!$B:$B,"Léky a léčiva")-K9-W9</f>
        <v>23110230.340000007</v>
      </c>
      <c r="F9" s="114">
        <v>22926000</v>
      </c>
      <c r="G9" s="341">
        <f>19165004+2076000</f>
        <v>21241004</v>
      </c>
      <c r="H9" s="114">
        <f>-SUMIFS('BP 2020 v.I dle HAZ - MAT.'!N:N,'BP 2020 v.I dle HAZ - MAT.'!$B:$B,"Léky a léčiva")-N9-Z9</f>
        <v>20155000</v>
      </c>
      <c r="I9" s="103">
        <f t="shared" si="6"/>
        <v>-1086004</v>
      </c>
      <c r="J9" s="303">
        <f t="shared" si="7"/>
        <v>0.94887228494472298</v>
      </c>
      <c r="K9" s="323">
        <f>-SUMIFS('BP 2020 v.I dle HAZ - MAT.'!L:L,'BP 2020 v.I dle HAZ - MAT.'!$B:$B,"Léky - centra (LEK)")</f>
        <v>64530637</v>
      </c>
      <c r="L9" s="352">
        <v>64600000</v>
      </c>
      <c r="M9" s="355">
        <v>58999996</v>
      </c>
      <c r="N9" s="115">
        <f>-SUMIFS('BP 2020 v.I dle HAZ - MAT.'!N:N,'BP 2020 v.I dle HAZ - MAT.'!$B:$B,"Léky - centra (LEK)")</f>
        <v>64000000</v>
      </c>
      <c r="O9" s="105">
        <f t="shared" si="0"/>
        <v>5000004</v>
      </c>
      <c r="P9" s="106">
        <f t="shared" si="1"/>
        <v>1.084745836253955</v>
      </c>
      <c r="Q9" s="295">
        <f>SUMIF('CL 2020 PLÁN - SOUHRN '!A:A,A9,'CL 2020 PLÁN - SOUHRN '!I:I)</f>
        <v>75846445.298999995</v>
      </c>
      <c r="R9" s="296">
        <f t="shared" si="8"/>
        <v>16846449.298999995</v>
      </c>
      <c r="S9" s="300">
        <f t="shared" si="9"/>
        <v>1.285533058324275</v>
      </c>
      <c r="T9" s="326">
        <f t="shared" si="10"/>
        <v>11846445.298999995</v>
      </c>
      <c r="U9" s="329">
        <f t="shared" si="11"/>
        <v>1.1851007077968749</v>
      </c>
      <c r="V9" s="331"/>
      <c r="W9" s="317">
        <f>-SUMIFS('BP 2020 v.I dle HAZ - MAT.'!L:L,'BP 2020 v.I dle HAZ - MAT.'!$B:$B,"Léky - dle §16 (LEK)")</f>
        <v>75467.09</v>
      </c>
      <c r="X9" s="359">
        <f>75000</f>
        <v>75000</v>
      </c>
      <c r="Y9" s="116">
        <v>425000</v>
      </c>
      <c r="Z9" s="116">
        <f>-SUMIFS('BP 2020 v.I dle HAZ - MAT.'!N:N,'BP 2020 v.I dle HAZ - MAT.'!$B:$B,"Léky - dle §16 (LEK)")</f>
        <v>1000000</v>
      </c>
      <c r="AA9" s="108">
        <f t="shared" si="2"/>
        <v>575000</v>
      </c>
      <c r="AB9" s="314">
        <f t="shared" si="3"/>
        <v>2.3529411764705883</v>
      </c>
      <c r="AC9" s="309">
        <f>-SUMIFS('BP 2020 v.I dle HAZ - MAT.'!L:L,'BP 2020 v.I dle HAZ - MAT.'!$B:$B,"Zdravotnické prostředky")</f>
        <v>15948432.619999999</v>
      </c>
      <c r="AD9" s="309">
        <v>16085000</v>
      </c>
      <c r="AE9" s="338">
        <v>16695986</v>
      </c>
      <c r="AF9" s="117">
        <f>-SUMIFS('BP 2020 v.I dle HAZ - MAT.'!N:N,'BP 2020 v.I dle HAZ - MAT.'!$B:$B,"Zdravotnické prostředky")</f>
        <v>16948213</v>
      </c>
      <c r="AG9" s="110">
        <f t="shared" si="4"/>
        <v>252227</v>
      </c>
      <c r="AH9" s="111">
        <f t="shared" si="5"/>
        <v>1.0151070442919634</v>
      </c>
      <c r="AI9" s="112"/>
    </row>
    <row r="10" spans="1:35" s="46" customFormat="1" ht="30.75" customHeight="1" x14ac:dyDescent="0.25">
      <c r="A10" s="46" t="s">
        <v>413</v>
      </c>
      <c r="B10" s="46" t="s">
        <v>414</v>
      </c>
      <c r="C10" s="46" t="s">
        <v>319</v>
      </c>
      <c r="D10" s="84" t="s">
        <v>12</v>
      </c>
      <c r="E10" s="57">
        <f>-SUMIFS('BP 2020 v.I dle HAZ - MAT.'!O:O,'BP 2020 v.I dle HAZ - MAT.'!$B:$B,"Léky a léčiva")-K10-W10</f>
        <v>8828051.25</v>
      </c>
      <c r="F10" s="57">
        <v>8640000</v>
      </c>
      <c r="G10" s="342">
        <f>7994330+820000</f>
        <v>8814330</v>
      </c>
      <c r="H10" s="57">
        <f>-SUMIFS('BP 2020 v.I dle HAZ - MAT.'!Q:Q,'BP 2020 v.I dle HAZ - MAT.'!$B:$B,"Léky a léčiva")-N10-Z10</f>
        <v>10214245</v>
      </c>
      <c r="I10" s="94">
        <f t="shared" si="6"/>
        <v>1399915</v>
      </c>
      <c r="J10" s="304">
        <f t="shared" si="7"/>
        <v>1.1588226217988207</v>
      </c>
      <c r="K10" s="322">
        <f>-SUMIFS('BP 2020 v.I dle HAZ - MAT.'!O:O,'BP 2020 v.I dle HAZ - MAT.'!$B:$B,"Léky - centra (LEK)")</f>
        <v>0</v>
      </c>
      <c r="L10" s="351">
        <v>0</v>
      </c>
      <c r="M10" s="64">
        <f>-SUMIFS('BP 2020 v.I dle HAZ - MAT.'!P:P,'BP 2020 v.I dle HAZ - MAT.'!$B:$B,"Léky - centra (LEK)")</f>
        <v>0</v>
      </c>
      <c r="N10" s="64">
        <f>-SUMIFS('BP 2020 v.I dle HAZ - MAT.'!Q:Q,'BP 2020 v.I dle HAZ - MAT.'!$B:$B,"Léky - centra (LEK)")</f>
        <v>0</v>
      </c>
      <c r="O10" s="95">
        <f t="shared" si="0"/>
        <v>0</v>
      </c>
      <c r="P10" s="96" t="str">
        <f t="shared" si="1"/>
        <v/>
      </c>
      <c r="Q10" s="295">
        <f>SUMIF('CL 2020 PLÁN - SOUHRN '!A:A,A10,'CL 2020 PLÁN - SOUHRN '!I:I)</f>
        <v>142049.10999999999</v>
      </c>
      <c r="R10" s="296">
        <f t="shared" si="8"/>
        <v>0</v>
      </c>
      <c r="S10" s="300" t="str">
        <f t="shared" si="9"/>
        <v/>
      </c>
      <c r="T10" s="326" t="str">
        <f t="shared" si="10"/>
        <v/>
      </c>
      <c r="U10" s="329" t="str">
        <f t="shared" si="11"/>
        <v/>
      </c>
      <c r="V10" s="331"/>
      <c r="W10" s="315">
        <f>-SUMIFS('BP 2020 v.I dle HAZ - MAT.'!O:O,'BP 2020 v.I dle HAZ - MAT.'!$B:$B,"Léky - dle §16 (LEK)")</f>
        <v>0</v>
      </c>
      <c r="X10" s="358">
        <v>0</v>
      </c>
      <c r="Y10" s="70">
        <f>-SUMIFS('BP 2020 v.I dle HAZ - MAT.'!P:P,'BP 2020 v.I dle HAZ - MAT.'!$B:$B,"Léky - dle §16 (LEK)")</f>
        <v>0</v>
      </c>
      <c r="Z10" s="70">
        <f>-SUMIFS('BP 2020 v.I dle HAZ - MAT.'!Q:Q,'BP 2020 v.I dle HAZ - MAT.'!$B:$B,"Léky - dle §16 (LEK)")</f>
        <v>0</v>
      </c>
      <c r="AA10" s="97">
        <f t="shared" si="2"/>
        <v>0</v>
      </c>
      <c r="AB10" s="316" t="str">
        <f t="shared" si="3"/>
        <v/>
      </c>
      <c r="AC10" s="308">
        <f>-SUMIFS('BP 2020 v.I dle HAZ - MAT.'!O:O,'BP 2020 v.I dle HAZ - MAT.'!$B:$B,"Zdravotnické prostředky")</f>
        <v>20869902.329999998</v>
      </c>
      <c r="AD10" s="308">
        <v>19584000</v>
      </c>
      <c r="AE10" s="339">
        <v>22081104</v>
      </c>
      <c r="AF10" s="76">
        <f>-SUMIFS('BP 2020 v.I dle HAZ - MAT.'!Q:Q,'BP 2020 v.I dle HAZ - MAT.'!$B:$B,"Zdravotnické prostředky")</f>
        <v>23356136</v>
      </c>
      <c r="AG10" s="98">
        <f t="shared" si="4"/>
        <v>1275032</v>
      </c>
      <c r="AH10" s="99">
        <f t="shared" si="5"/>
        <v>1.0577431273363869</v>
      </c>
      <c r="AI10" s="45"/>
    </row>
    <row r="11" spans="1:35" s="100" customFormat="1" ht="30.75" customHeight="1" x14ac:dyDescent="0.25">
      <c r="A11" s="100" t="s">
        <v>415</v>
      </c>
      <c r="B11" s="100" t="s">
        <v>13</v>
      </c>
      <c r="C11" s="100" t="s">
        <v>320</v>
      </c>
      <c r="D11" s="113" t="s">
        <v>13</v>
      </c>
      <c r="E11" s="114">
        <f>-SUMIFS('BP 2020 v.I dle HAZ - MAT.'!R:R,'BP 2020 v.I dle HAZ - MAT.'!$B:$B,"Léky a léčiva")-K11-W11</f>
        <v>3795919.92</v>
      </c>
      <c r="F11" s="114">
        <f>3240000</f>
        <v>3240000</v>
      </c>
      <c r="G11" s="341">
        <f>3808675+430000</f>
        <v>4238675</v>
      </c>
      <c r="H11" s="114">
        <f>-SUMIFS('BP 2020 v.I dle HAZ - MAT.'!T:T,'BP 2020 v.I dle HAZ - MAT.'!$B:$B,"Léky a léčiva")-N11-Z11</f>
        <v>4090000</v>
      </c>
      <c r="I11" s="103">
        <f t="shared" si="6"/>
        <v>-148675</v>
      </c>
      <c r="J11" s="303">
        <f t="shared" si="7"/>
        <v>0.96492418031578264</v>
      </c>
      <c r="K11" s="323">
        <f>-SUMIFS('BP 2020 v.I dle HAZ - MAT.'!R:R,'BP 2020 v.I dle HAZ - MAT.'!$B:$B,"Léky - centra (LEK)")</f>
        <v>0</v>
      </c>
      <c r="L11" s="353">
        <v>0</v>
      </c>
      <c r="M11" s="115">
        <f>-SUMIFS('BP 2020 v.I dle HAZ - MAT.'!S:S,'BP 2020 v.I dle HAZ - MAT.'!$B:$B,"Léky - centra (LEK)")</f>
        <v>0</v>
      </c>
      <c r="N11" s="115">
        <f>-SUMIFS('BP 2020 v.I dle HAZ - MAT.'!T:T,'BP 2020 v.I dle HAZ - MAT.'!$B:$B,"Léky - centra (LEK)")</f>
        <v>0</v>
      </c>
      <c r="O11" s="105">
        <f t="shared" si="0"/>
        <v>0</v>
      </c>
      <c r="P11" s="106" t="str">
        <f t="shared" si="1"/>
        <v/>
      </c>
      <c r="Q11" s="295">
        <f>SUMIF('CL 2020 PLÁN - SOUHRN '!A:A,A11,'CL 2020 PLÁN - SOUHRN '!I:I)</f>
        <v>0</v>
      </c>
      <c r="R11" s="296">
        <f t="shared" si="8"/>
        <v>0</v>
      </c>
      <c r="S11" s="300" t="str">
        <f t="shared" si="9"/>
        <v/>
      </c>
      <c r="T11" s="326" t="str">
        <f t="shared" si="10"/>
        <v/>
      </c>
      <c r="U11" s="329" t="str">
        <f t="shared" si="11"/>
        <v/>
      </c>
      <c r="V11" s="331"/>
      <c r="W11" s="317">
        <f>-SUMIFS('BP 2020 v.I dle HAZ - MAT.'!R:R,'BP 2020 v.I dle HAZ - MAT.'!$B:$B,"Léky - dle §16 (LEK)")</f>
        <v>0</v>
      </c>
      <c r="X11" s="359">
        <v>0</v>
      </c>
      <c r="Y11" s="116">
        <f>-SUMIFS('BP 2020 v.I dle HAZ - MAT.'!S:S,'BP 2020 v.I dle HAZ - MAT.'!$B:$B,"Léky - dle §16 (LEK)")</f>
        <v>0</v>
      </c>
      <c r="Z11" s="116">
        <f>-SUMIFS('BP 2020 v.I dle HAZ - MAT.'!T:T,'BP 2020 v.I dle HAZ - MAT.'!$B:$B,"Léky - dle §16 (LEK)")</f>
        <v>0</v>
      </c>
      <c r="AA11" s="108">
        <f t="shared" si="2"/>
        <v>0</v>
      </c>
      <c r="AB11" s="314" t="str">
        <f t="shared" si="3"/>
        <v/>
      </c>
      <c r="AC11" s="309">
        <f>-SUMIFS('BP 2020 v.I dle HAZ - MAT.'!R:R,'BP 2020 v.I dle HAZ - MAT.'!$B:$B,"Zdravotnické prostředky")</f>
        <v>8000989.1900000004</v>
      </c>
      <c r="AD11" s="309">
        <v>7940000</v>
      </c>
      <c r="AE11" s="338">
        <v>7807358</v>
      </c>
      <c r="AF11" s="117">
        <f>-SUMIFS('BP 2020 v.I dle HAZ - MAT.'!T:T,'BP 2020 v.I dle HAZ - MAT.'!$B:$B,"Zdravotnické prostředky")</f>
        <v>7886000</v>
      </c>
      <c r="AG11" s="110">
        <f t="shared" si="4"/>
        <v>78642</v>
      </c>
      <c r="AH11" s="111">
        <f t="shared" si="5"/>
        <v>1.0100728056789505</v>
      </c>
      <c r="AI11" s="112"/>
    </row>
    <row r="12" spans="1:35" s="46" customFormat="1" ht="30.75" customHeight="1" x14ac:dyDescent="0.25">
      <c r="A12" s="46" t="s">
        <v>416</v>
      </c>
      <c r="B12" s="46" t="s">
        <v>14</v>
      </c>
      <c r="C12" s="46" t="s">
        <v>321</v>
      </c>
      <c r="D12" s="84" t="s">
        <v>14</v>
      </c>
      <c r="E12" s="57">
        <f>-SUMIFS('BP 2020 v.I dle HAZ - MAT.'!U:U,'BP 2020 v.I dle HAZ - MAT.'!$B:$B,"Léky a léčiva")-K12-W12</f>
        <v>6855213.9199999999</v>
      </c>
      <c r="F12" s="57">
        <v>6710000</v>
      </c>
      <c r="G12" s="342">
        <f>5861408+1050000</f>
        <v>6911408</v>
      </c>
      <c r="H12" s="57">
        <f>-SUMIFS('BP 2020 v.I dle HAZ - MAT.'!W:W,'BP 2020 v.I dle HAZ - MAT.'!$B:$B,"Léky a léčiva")-N12-Z12</f>
        <v>7740000.0000000102</v>
      </c>
      <c r="I12" s="94">
        <f t="shared" si="6"/>
        <v>828592.00000001024</v>
      </c>
      <c r="J12" s="304">
        <f t="shared" si="7"/>
        <v>1.1198875829642831</v>
      </c>
      <c r="K12" s="322">
        <f>-SUMIFS('BP 2020 v.I dle HAZ - MAT.'!U:U,'BP 2020 v.I dle HAZ - MAT.'!$B:$B,"Léky - centra (LEK)")</f>
        <v>0</v>
      </c>
      <c r="L12" s="351">
        <v>0</v>
      </c>
      <c r="M12" s="64">
        <f>-SUMIFS('BP 2020 v.I dle HAZ - MAT.'!V:V,'BP 2020 v.I dle HAZ - MAT.'!$B:$B,"Léky - centra (LEK)")</f>
        <v>0</v>
      </c>
      <c r="N12" s="64">
        <f>-SUMIFS('BP 2020 v.I dle HAZ - MAT.'!W:W,'BP 2020 v.I dle HAZ - MAT.'!$B:$B,"Léky - centra (LEK)")</f>
        <v>0</v>
      </c>
      <c r="O12" s="95">
        <f t="shared" si="0"/>
        <v>0</v>
      </c>
      <c r="P12" s="96" t="str">
        <f t="shared" si="1"/>
        <v/>
      </c>
      <c r="Q12" s="295">
        <f>SUMIF('CL 2020 PLÁN - SOUHRN '!A:A,A12,'CL 2020 PLÁN - SOUHRN '!I:I)</f>
        <v>0</v>
      </c>
      <c r="R12" s="296">
        <f t="shared" si="8"/>
        <v>0</v>
      </c>
      <c r="S12" s="300" t="str">
        <f t="shared" si="9"/>
        <v/>
      </c>
      <c r="T12" s="326" t="str">
        <f t="shared" si="10"/>
        <v/>
      </c>
      <c r="U12" s="329" t="str">
        <f t="shared" si="11"/>
        <v/>
      </c>
      <c r="V12" s="331"/>
      <c r="W12" s="315">
        <f>-SUMIFS('BP 2020 v.I dle HAZ - MAT.'!U:U,'BP 2020 v.I dle HAZ - MAT.'!$B:$B,"Léky - dle §16 (LEK)")</f>
        <v>88986.48</v>
      </c>
      <c r="X12" s="358">
        <v>90000</v>
      </c>
      <c r="Y12" s="70">
        <f>-SUMIFS('BP 2020 v.I dle HAZ - MAT.'!V:V,'BP 2020 v.I dle HAZ - MAT.'!$B:$B,"Léky - dle §16 (LEK)")</f>
        <v>0</v>
      </c>
      <c r="Z12" s="70">
        <f>-SUMIFS('BP 2020 v.I dle HAZ - MAT.'!W:W,'BP 2020 v.I dle HAZ - MAT.'!$B:$B,"Léky - dle §16 (LEK)")</f>
        <v>0</v>
      </c>
      <c r="AA12" s="97">
        <f t="shared" si="2"/>
        <v>0</v>
      </c>
      <c r="AB12" s="316" t="str">
        <f t="shared" si="3"/>
        <v/>
      </c>
      <c r="AC12" s="308">
        <f>-SUMIFS('BP 2020 v.I dle HAZ - MAT.'!U:U,'BP 2020 v.I dle HAZ - MAT.'!$B:$B,"Zdravotnické prostředky")</f>
        <v>59913187.649999999</v>
      </c>
      <c r="AD12" s="308">
        <v>64270000</v>
      </c>
      <c r="AE12" s="339">
        <v>64197481</v>
      </c>
      <c r="AF12" s="76">
        <f>-SUMIFS('BP 2020 v.I dle HAZ - MAT.'!W:W,'BP 2020 v.I dle HAZ - MAT.'!$B:$B,"Zdravotnické prostředky")</f>
        <v>67555999.999999896</v>
      </c>
      <c r="AG12" s="98">
        <f t="shared" si="4"/>
        <v>3358518.9999998957</v>
      </c>
      <c r="AH12" s="99">
        <f t="shared" si="5"/>
        <v>1.0523154327503894</v>
      </c>
      <c r="AI12" s="45"/>
    </row>
    <row r="13" spans="1:35" s="46" customFormat="1" ht="30.75" customHeight="1" x14ac:dyDescent="0.25">
      <c r="A13" s="46" t="s">
        <v>417</v>
      </c>
      <c r="B13" s="46" t="s">
        <v>15</v>
      </c>
      <c r="C13" s="46" t="s">
        <v>322</v>
      </c>
      <c r="D13" s="113" t="s">
        <v>15</v>
      </c>
      <c r="E13" s="114">
        <f>-SUMIFS('BP 2020 v.I dle HAZ - MAT.'!X:X,'BP 2020 v.I dle HAZ - MAT.'!$B:$B,"Léky a léčiva")-K13-W13</f>
        <v>22539578.359999999</v>
      </c>
      <c r="F13" s="114">
        <v>24756000</v>
      </c>
      <c r="G13" s="341">
        <f>19876974+4280000</f>
        <v>24156974</v>
      </c>
      <c r="H13" s="114">
        <f>-SUMIFS('BP 2020 v.I dle HAZ - MAT.'!Z:Z,'BP 2020 v.I dle HAZ - MAT.'!$B:$B,"Léky a léčiva")-N13-Z13</f>
        <v>24630000</v>
      </c>
      <c r="I13" s="103">
        <f t="shared" si="6"/>
        <v>473026</v>
      </c>
      <c r="J13" s="303">
        <f t="shared" si="7"/>
        <v>1.0195813432593006</v>
      </c>
      <c r="K13" s="323">
        <f>-SUMIFS('BP 2020 v.I dle HAZ - MAT.'!X:X,'BP 2020 v.I dle HAZ - MAT.'!$B:$B,"Léky - centra (LEK)")</f>
        <v>0</v>
      </c>
      <c r="L13" s="353">
        <v>0</v>
      </c>
      <c r="M13" s="115">
        <f>-SUMIFS('BP 2020 v.I dle HAZ - MAT.'!Y:Y,'BP 2020 v.I dle HAZ - MAT.'!$B:$B,"Léky - centra (LEK)")</f>
        <v>0</v>
      </c>
      <c r="N13" s="115">
        <f>-SUMIFS('BP 2020 v.I dle HAZ - MAT.'!Z:Z,'BP 2020 v.I dle HAZ - MAT.'!$B:$B,"Léky - centra (LEK)")</f>
        <v>0</v>
      </c>
      <c r="O13" s="105">
        <f t="shared" si="0"/>
        <v>0</v>
      </c>
      <c r="P13" s="106" t="str">
        <f t="shared" si="1"/>
        <v/>
      </c>
      <c r="Q13" s="295">
        <f>SUMIF('CL 2020 PLÁN - SOUHRN '!A:A,A13,'CL 2020 PLÁN - SOUHRN '!I:I)</f>
        <v>266433.984</v>
      </c>
      <c r="R13" s="296">
        <f t="shared" si="8"/>
        <v>0</v>
      </c>
      <c r="S13" s="300" t="str">
        <f t="shared" si="9"/>
        <v/>
      </c>
      <c r="T13" s="326" t="str">
        <f t="shared" si="10"/>
        <v/>
      </c>
      <c r="U13" s="329" t="str">
        <f t="shared" si="11"/>
        <v/>
      </c>
      <c r="V13" s="331"/>
      <c r="W13" s="317">
        <f>-SUMIFS('BP 2020 v.I dle HAZ - MAT.'!X:X,'BP 2020 v.I dle HAZ - MAT.'!$B:$B,"Léky - dle §16 (LEK)")</f>
        <v>0</v>
      </c>
      <c r="X13" s="359">
        <v>0</v>
      </c>
      <c r="Y13" s="116">
        <f>-SUMIFS('BP 2020 v.I dle HAZ - MAT.'!Y:Y,'BP 2020 v.I dle HAZ - MAT.'!$B:$B,"Léky - dle §16 (LEK)")</f>
        <v>0</v>
      </c>
      <c r="Z13" s="116">
        <f>-SUMIFS('BP 2020 v.I dle HAZ - MAT.'!Z:Z,'BP 2020 v.I dle HAZ - MAT.'!$B:$B,"Léky - dle §16 (LEK)")</f>
        <v>0</v>
      </c>
      <c r="AA13" s="108">
        <f t="shared" ref="AA13:AA71" si="12">Z13-Y13</f>
        <v>0</v>
      </c>
      <c r="AB13" s="314" t="str">
        <f t="shared" ref="AB13:AB71" si="13">IF(Y13=0,"",Z13/Y13)</f>
        <v/>
      </c>
      <c r="AC13" s="309">
        <f>-SUMIFS('BP 2020 v.I dle HAZ - MAT.'!X:X,'BP 2020 v.I dle HAZ - MAT.'!$B:$B,"Zdravotnické prostředky")</f>
        <v>12788934.98</v>
      </c>
      <c r="AD13" s="361">
        <v>15360000</v>
      </c>
      <c r="AE13" s="338">
        <v>15324984</v>
      </c>
      <c r="AF13" s="117">
        <f>-SUMIFS('BP 2020 v.I dle HAZ - MAT.'!Z:Z,'BP 2020 v.I dle HAZ - MAT.'!$B:$B,"Zdravotnické prostředky")</f>
        <v>15713645</v>
      </c>
      <c r="AG13" s="110">
        <f t="shared" si="4"/>
        <v>388661</v>
      </c>
      <c r="AH13" s="111">
        <f t="shared" si="5"/>
        <v>1.025361266282562</v>
      </c>
      <c r="AI13" s="45"/>
    </row>
    <row r="14" spans="1:35" s="46" customFormat="1" ht="30.75" customHeight="1" x14ac:dyDescent="0.25">
      <c r="A14" s="46" t="s">
        <v>418</v>
      </c>
      <c r="B14" s="46" t="s">
        <v>16</v>
      </c>
      <c r="C14" s="46" t="s">
        <v>323</v>
      </c>
      <c r="D14" s="84" t="s">
        <v>16</v>
      </c>
      <c r="E14" s="57">
        <f>-SUMIFS('BP 2020 v.I dle HAZ - MAT.'!AA:AA,'BP 2020 v.I dle HAZ - MAT.'!$B:$B,"Léky a léčiva")-K14-W14</f>
        <v>9233977.2599999998</v>
      </c>
      <c r="F14" s="57">
        <v>9890000</v>
      </c>
      <c r="G14" s="342">
        <f>7825020+2065000</f>
        <v>9890020</v>
      </c>
      <c r="H14" s="57">
        <f>-SUMIFS('BP 2020 v.I dle HAZ - MAT.'!AC:AC,'BP 2020 v.I dle HAZ - MAT.'!$B:$B,"Léky a léčiva")-N14-Z14</f>
        <v>10138700</v>
      </c>
      <c r="I14" s="94">
        <f t="shared" ref="I14:I71" si="14">H14-G14</f>
        <v>248680</v>
      </c>
      <c r="J14" s="304">
        <f t="shared" si="7"/>
        <v>1.0251445396470382</v>
      </c>
      <c r="K14" s="322">
        <f>-SUMIFS('BP 2020 v.I dle HAZ - MAT.'!AA:AA,'BP 2020 v.I dle HAZ - MAT.'!$B:$B,"Léky - centra (LEK)")</f>
        <v>0</v>
      </c>
      <c r="L14" s="351">
        <v>0</v>
      </c>
      <c r="M14" s="64">
        <f>-SUMIFS('BP 2020 v.I dle HAZ - MAT.'!AB:AB,'BP 2020 v.I dle HAZ - MAT.'!$B:$B,"Léky - centra (LEK)")</f>
        <v>0</v>
      </c>
      <c r="N14" s="64">
        <f>-SUMIFS('BP 2020 v.I dle HAZ - MAT.'!AC:AC,'BP 2020 v.I dle HAZ - MAT.'!$B:$B,"Léky - centra (LEK)")</f>
        <v>0</v>
      </c>
      <c r="O14" s="95">
        <f t="shared" si="0"/>
        <v>0</v>
      </c>
      <c r="P14" s="96" t="str">
        <f t="shared" si="1"/>
        <v/>
      </c>
      <c r="Q14" s="295">
        <f>SUMIF('CL 2020 PLÁN - SOUHRN '!A:A,A14,'CL 2020 PLÁN - SOUHRN '!I:I)</f>
        <v>0</v>
      </c>
      <c r="R14" s="296">
        <f t="shared" si="8"/>
        <v>0</v>
      </c>
      <c r="S14" s="300" t="str">
        <f t="shared" si="9"/>
        <v/>
      </c>
      <c r="T14" s="326" t="str">
        <f t="shared" si="10"/>
        <v/>
      </c>
      <c r="U14" s="329" t="str">
        <f t="shared" si="11"/>
        <v/>
      </c>
      <c r="V14" s="331"/>
      <c r="W14" s="315">
        <f>-SUMIFS('BP 2020 v.I dle HAZ - MAT.'!AA:AA,'BP 2020 v.I dle HAZ - MAT.'!$B:$B,"Léky - dle §16 (LEK)")</f>
        <v>0</v>
      </c>
      <c r="X14" s="358">
        <v>0</v>
      </c>
      <c r="Y14" s="70">
        <f>-SUMIFS('BP 2020 v.I dle HAZ - MAT.'!AB:AB,'BP 2020 v.I dle HAZ - MAT.'!$B:$B,"Léky - dle §16 (LEK)")</f>
        <v>0</v>
      </c>
      <c r="Z14" s="70">
        <f>-SUMIFS('BP 2020 v.I dle HAZ - MAT.'!AC:AC,'BP 2020 v.I dle HAZ - MAT.'!$B:$B,"Léky - dle §16 (LEK)")</f>
        <v>0</v>
      </c>
      <c r="AA14" s="97">
        <f t="shared" si="12"/>
        <v>0</v>
      </c>
      <c r="AB14" s="316" t="str">
        <f t="shared" si="13"/>
        <v/>
      </c>
      <c r="AC14" s="308">
        <f>-SUMIFS('BP 2020 v.I dle HAZ - MAT.'!AA:AA,'BP 2020 v.I dle HAZ - MAT.'!$B:$B,"Zdravotnické prostředky")</f>
        <v>12143355.439999999</v>
      </c>
      <c r="AD14" s="308">
        <v>12536000</v>
      </c>
      <c r="AE14" s="339">
        <f>9801176+2897000</f>
        <v>12698176</v>
      </c>
      <c r="AF14" s="76">
        <f>-SUMIFS('BP 2020 v.I dle HAZ - MAT.'!AC:AC,'BP 2020 v.I dle HAZ - MAT.'!$B:$B,"Zdravotnické prostředky")</f>
        <v>13894000</v>
      </c>
      <c r="AG14" s="98">
        <f t="shared" ref="AG14:AG71" si="15">AF14-AE14</f>
        <v>1195824</v>
      </c>
      <c r="AH14" s="99">
        <f t="shared" ref="AH14:AH71" si="16">IF(AE14=0,"",AF14/AE14)</f>
        <v>1.0941728953827699</v>
      </c>
      <c r="AI14" s="45"/>
    </row>
    <row r="15" spans="1:35" s="46" customFormat="1" ht="30.75" customHeight="1" x14ac:dyDescent="0.25">
      <c r="A15" s="46" t="s">
        <v>419</v>
      </c>
      <c r="B15" s="46" t="s">
        <v>17</v>
      </c>
      <c r="C15" s="46" t="s">
        <v>324</v>
      </c>
      <c r="D15" s="113" t="s">
        <v>17</v>
      </c>
      <c r="E15" s="114">
        <f>-SUMIFS('BP 2020 v.I dle HAZ - MAT.'!AD:AD,'BP 2020 v.I dle HAZ - MAT.'!$B:$B,"Léky a léčiva")-K15-W15</f>
        <v>2814557.1900000004</v>
      </c>
      <c r="F15" s="114">
        <v>3030000</v>
      </c>
      <c r="G15" s="341">
        <f>2589984+440000</f>
        <v>3029984</v>
      </c>
      <c r="H15" s="114">
        <f>-SUMIFS('BP 2020 v.I dle HAZ - MAT.'!AF:AF,'BP 2020 v.I dle HAZ - MAT.'!$B:$B,"Léky a léčiva")-N15-Z15</f>
        <v>3533000</v>
      </c>
      <c r="I15" s="103">
        <f t="shared" si="14"/>
        <v>503016</v>
      </c>
      <c r="J15" s="303">
        <f t="shared" si="7"/>
        <v>1.1660127578231436</v>
      </c>
      <c r="K15" s="323">
        <f>-SUMIFS('BP 2020 v.I dle HAZ - MAT.'!AD:AD,'BP 2020 v.I dle HAZ - MAT.'!$B:$B,"Léky - centra (LEK)")</f>
        <v>3933802</v>
      </c>
      <c r="L15" s="353">
        <v>4000000</v>
      </c>
      <c r="M15" s="115">
        <v>4000000</v>
      </c>
      <c r="N15" s="115">
        <f>-SUMIFS('BP 2020 v.I dle HAZ - MAT.'!AF:AF,'BP 2020 v.I dle HAZ - MAT.'!$B:$B,"Léky - centra (LEK)")</f>
        <v>2500000</v>
      </c>
      <c r="O15" s="105">
        <f t="shared" si="0"/>
        <v>-1500000</v>
      </c>
      <c r="P15" s="106">
        <f t="shared" si="1"/>
        <v>0.625</v>
      </c>
      <c r="Q15" s="295">
        <f>SUMIF('CL 2020 PLÁN - SOUHRN '!A:A,A15,'CL 2020 PLÁN - SOUHRN '!I:I)</f>
        <v>3815581</v>
      </c>
      <c r="R15" s="296">
        <f t="shared" si="8"/>
        <v>-184419</v>
      </c>
      <c r="S15" s="300">
        <f t="shared" si="9"/>
        <v>0.95389524999999997</v>
      </c>
      <c r="T15" s="326">
        <f t="shared" si="10"/>
        <v>1315581</v>
      </c>
      <c r="U15" s="329">
        <f t="shared" si="11"/>
        <v>1.5262324</v>
      </c>
      <c r="V15" s="331"/>
      <c r="W15" s="317">
        <f>-SUMIFS('BP 2020 v.I dle HAZ - MAT.'!AD:AD,'BP 2020 v.I dle HAZ - MAT.'!$B:$B,"Léky - dle §16 (LEK)")</f>
        <v>0</v>
      </c>
      <c r="X15" s="359">
        <v>0</v>
      </c>
      <c r="Y15" s="116">
        <f>-SUMIFS('BP 2020 v.I dle HAZ - MAT.'!AE:AE,'BP 2020 v.I dle HAZ - MAT.'!$B:$B,"Léky - dle §16 (LEK)")</f>
        <v>0</v>
      </c>
      <c r="Z15" s="116">
        <f>-SUMIFS('BP 2020 v.I dle HAZ - MAT.'!AF:AF,'BP 2020 v.I dle HAZ - MAT.'!$B:$B,"Léky - dle §16 (LEK)")</f>
        <v>0</v>
      </c>
      <c r="AA15" s="108">
        <f t="shared" si="12"/>
        <v>0</v>
      </c>
      <c r="AB15" s="314" t="str">
        <f t="shared" si="13"/>
        <v/>
      </c>
      <c r="AC15" s="309">
        <f>-SUMIFS('BP 2020 v.I dle HAZ - MAT.'!AD:AD,'BP 2020 v.I dle HAZ - MAT.'!$B:$B,"Zdravotnické prostředky")</f>
        <v>4256194.7</v>
      </c>
      <c r="AD15" s="309">
        <v>4415000</v>
      </c>
      <c r="AE15" s="338">
        <v>4449996</v>
      </c>
      <c r="AF15" s="117">
        <f>-SUMIFS('BP 2020 v.I dle HAZ - MAT.'!AF:AF,'BP 2020 v.I dle HAZ - MAT.'!$B:$B,"Zdravotnické prostředky")</f>
        <v>4471000</v>
      </c>
      <c r="AG15" s="110">
        <f t="shared" si="15"/>
        <v>21004</v>
      </c>
      <c r="AH15" s="111">
        <f t="shared" si="16"/>
        <v>1.0047200042427005</v>
      </c>
      <c r="AI15" s="45"/>
    </row>
    <row r="16" spans="1:35" s="46" customFormat="1" ht="30.75" customHeight="1" x14ac:dyDescent="0.25">
      <c r="A16" s="46" t="s">
        <v>420</v>
      </c>
      <c r="B16" s="46" t="s">
        <v>18</v>
      </c>
      <c r="C16" s="46" t="s">
        <v>325</v>
      </c>
      <c r="D16" s="84" t="s">
        <v>18</v>
      </c>
      <c r="E16" s="57">
        <f>-SUMIFS('BP 2020 v.I dle HAZ - MAT.'!AG:AG,'BP 2020 v.I dle HAZ - MAT.'!$B:$B,"Léky a léčiva")-K16-W16</f>
        <v>18297628.520000003</v>
      </c>
      <c r="F16" s="57">
        <v>17835000</v>
      </c>
      <c r="G16" s="342">
        <f>8882540+9810000</f>
        <v>18692540</v>
      </c>
      <c r="H16" s="57">
        <f>-SUMIFS('BP 2020 v.I dle HAZ - MAT.'!AI:AI,'BP 2020 v.I dle HAZ - MAT.'!$B:$B,"Léky a léčiva")-N16-Z16</f>
        <v>19229878</v>
      </c>
      <c r="I16" s="94">
        <f t="shared" si="14"/>
        <v>537338</v>
      </c>
      <c r="J16" s="304">
        <f t="shared" si="7"/>
        <v>1.0287461201099477</v>
      </c>
      <c r="K16" s="322">
        <f>-SUMIFS('BP 2020 v.I dle HAZ - MAT.'!AG:AG,'BP 2020 v.I dle HAZ - MAT.'!$B:$B,"Léky - centra (LEK)")</f>
        <v>17506734.77</v>
      </c>
      <c r="L16" s="351">
        <v>19500000</v>
      </c>
      <c r="M16" s="64">
        <v>16800000</v>
      </c>
      <c r="N16" s="64">
        <f>-SUMIFS('BP 2020 v.I dle HAZ - MAT.'!AI:AI,'BP 2020 v.I dle HAZ - MAT.'!$B:$B,"Léky - centra (LEK)")</f>
        <v>19000000</v>
      </c>
      <c r="O16" s="95">
        <f t="shared" si="0"/>
        <v>2200000</v>
      </c>
      <c r="P16" s="96">
        <f t="shared" si="1"/>
        <v>1.1309523809523809</v>
      </c>
      <c r="Q16" s="295">
        <f>SUMIF('CL 2020 PLÁN - SOUHRN '!A:A,A16,'CL 2020 PLÁN - SOUHRN '!I:I)</f>
        <v>20538710.903000001</v>
      </c>
      <c r="R16" s="296">
        <f t="shared" si="8"/>
        <v>3738710.9030000009</v>
      </c>
      <c r="S16" s="300">
        <f t="shared" si="9"/>
        <v>1.2225423156547619</v>
      </c>
      <c r="T16" s="326">
        <f t="shared" si="10"/>
        <v>1538710.9030000009</v>
      </c>
      <c r="U16" s="329">
        <f t="shared" si="11"/>
        <v>1.080984784368421</v>
      </c>
      <c r="V16" s="331"/>
      <c r="W16" s="315">
        <f>-SUMIFS('BP 2020 v.I dle HAZ - MAT.'!AG:AG,'BP 2020 v.I dle HAZ - MAT.'!$B:$B,"Léky - dle §16 (LEK)")</f>
        <v>1851572.8</v>
      </c>
      <c r="X16" s="358">
        <v>0</v>
      </c>
      <c r="Y16" s="70">
        <v>8360400</v>
      </c>
      <c r="Z16" s="70">
        <f>-SUMIFS('BP 2020 v.I dle HAZ - MAT.'!AI:AI,'BP 2020 v.I dle HAZ - MAT.'!$B:$B,"Léky - dle §16 (LEK)")</f>
        <v>25124800</v>
      </c>
      <c r="AA16" s="97">
        <f t="shared" si="12"/>
        <v>16764400</v>
      </c>
      <c r="AB16" s="316">
        <f t="shared" si="13"/>
        <v>3.0052150614803121</v>
      </c>
      <c r="AC16" s="308">
        <f>-SUMIFS('BP 2020 v.I dle HAZ - MAT.'!AG:AG,'BP 2020 v.I dle HAZ - MAT.'!$B:$B,"Zdravotnické prostředky")</f>
        <v>6513154.6699999999</v>
      </c>
      <c r="AD16" s="308">
        <v>6560000</v>
      </c>
      <c r="AE16" s="339">
        <v>6833092</v>
      </c>
      <c r="AF16" s="76">
        <f>-SUMIFS('BP 2020 v.I dle HAZ - MAT.'!AI:AI,'BP 2020 v.I dle HAZ - MAT.'!$B:$B,"Zdravotnické prostředky")</f>
        <v>6817000</v>
      </c>
      <c r="AG16" s="98">
        <f t="shared" si="15"/>
        <v>-16092</v>
      </c>
      <c r="AH16" s="99">
        <f t="shared" si="16"/>
        <v>0.99764498999867113</v>
      </c>
      <c r="AI16" s="45"/>
    </row>
    <row r="17" spans="1:35" s="46" customFormat="1" ht="30.75" customHeight="1" x14ac:dyDescent="0.25">
      <c r="A17" s="46" t="s">
        <v>421</v>
      </c>
      <c r="B17" s="46" t="s">
        <v>19</v>
      </c>
      <c r="C17" s="46" t="s">
        <v>326</v>
      </c>
      <c r="D17" s="113" t="s">
        <v>19</v>
      </c>
      <c r="E17" s="114">
        <f>-SUMIFS('BP 2020 v.I dle HAZ - MAT.'!AJ:AJ,'BP 2020 v.I dle HAZ - MAT.'!$B:$B,"Léky a léčiva")-K17-W17</f>
        <v>3576409.23</v>
      </c>
      <c r="F17" s="114">
        <v>3615000</v>
      </c>
      <c r="G17" s="341">
        <f>3496988+305000</f>
        <v>3801988</v>
      </c>
      <c r="H17" s="114">
        <f>-SUMIFS('BP 2020 v.I dle HAZ - MAT.'!AL:AL,'BP 2020 v.I dle HAZ - MAT.'!$B:$B,"Léky a léčiva")-N17-Z17</f>
        <v>3800000</v>
      </c>
      <c r="I17" s="103">
        <f t="shared" si="14"/>
        <v>-1988</v>
      </c>
      <c r="J17" s="303">
        <f t="shared" si="7"/>
        <v>0.99947711565633557</v>
      </c>
      <c r="K17" s="323">
        <f>-SUMIFS('BP 2020 v.I dle HAZ - MAT.'!AJ:AJ,'BP 2020 v.I dle HAZ - MAT.'!$B:$B,"Léky - centra (LEK)")</f>
        <v>0</v>
      </c>
      <c r="L17" s="353">
        <v>0</v>
      </c>
      <c r="M17" s="115">
        <f>-SUMIFS('BP 2020 v.I dle HAZ - MAT.'!AK:AK,'BP 2020 v.I dle HAZ - MAT.'!$B:$B,"Léky - centra (LEK)")</f>
        <v>0</v>
      </c>
      <c r="N17" s="115">
        <f>-SUMIFS('BP 2020 v.I dle HAZ - MAT.'!AL:AL,'BP 2020 v.I dle HAZ - MAT.'!$B:$B,"Léky - centra (LEK)")</f>
        <v>0</v>
      </c>
      <c r="O17" s="105">
        <f t="shared" si="0"/>
        <v>0</v>
      </c>
      <c r="P17" s="106" t="str">
        <f t="shared" si="1"/>
        <v/>
      </c>
      <c r="Q17" s="295">
        <f>SUMIF('CL 2020 PLÁN - SOUHRN '!A:A,A17,'CL 2020 PLÁN - SOUHRN '!I:I)</f>
        <v>8054.1060000000007</v>
      </c>
      <c r="R17" s="296">
        <f t="shared" si="8"/>
        <v>0</v>
      </c>
      <c r="S17" s="300" t="str">
        <f t="shared" si="9"/>
        <v/>
      </c>
      <c r="T17" s="326" t="str">
        <f t="shared" si="10"/>
        <v/>
      </c>
      <c r="U17" s="329" t="str">
        <f t="shared" si="11"/>
        <v/>
      </c>
      <c r="V17" s="331"/>
      <c r="W17" s="317">
        <f>-SUMIFS('BP 2020 v.I dle HAZ - MAT.'!AJ:AJ,'BP 2020 v.I dle HAZ - MAT.'!$B:$B,"Léky - dle §16 (LEK)")</f>
        <v>0</v>
      </c>
      <c r="X17" s="359">
        <v>0</v>
      </c>
      <c r="Y17" s="116">
        <f>-SUMIFS('BP 2020 v.I dle HAZ - MAT.'!AK:AK,'BP 2020 v.I dle HAZ - MAT.'!$B:$B,"Léky - dle §16 (LEK)")</f>
        <v>0</v>
      </c>
      <c r="Z17" s="116">
        <f>-SUMIFS('BP 2020 v.I dle HAZ - MAT.'!AL:AL,'BP 2020 v.I dle HAZ - MAT.'!$B:$B,"Léky - dle §16 (LEK)")</f>
        <v>0</v>
      </c>
      <c r="AA17" s="108">
        <f t="shared" si="12"/>
        <v>0</v>
      </c>
      <c r="AB17" s="314" t="str">
        <f t="shared" si="13"/>
        <v/>
      </c>
      <c r="AC17" s="309">
        <f>-SUMIFS('BP 2020 v.I dle HAZ - MAT.'!AJ:AJ,'BP 2020 v.I dle HAZ - MAT.'!$B:$B,"Zdravotnické prostředky")</f>
        <v>49646093.759999998</v>
      </c>
      <c r="AD17" s="309">
        <v>43488000</v>
      </c>
      <c r="AE17" s="338">
        <f>47009603</f>
        <v>47009603</v>
      </c>
      <c r="AF17" s="117">
        <f>-SUMIFS('BP 2020 v.I dle HAZ - MAT.'!AL:AL,'BP 2020 v.I dle HAZ - MAT.'!$B:$B,"Zdravotnické prostředky")</f>
        <v>50375552.999999903</v>
      </c>
      <c r="AG17" s="110">
        <f t="shared" si="15"/>
        <v>3365949.9999999031</v>
      </c>
      <c r="AH17" s="111">
        <f t="shared" si="16"/>
        <v>1.0716013279244223</v>
      </c>
      <c r="AI17" s="45"/>
    </row>
    <row r="18" spans="1:35" s="46" customFormat="1" ht="30.75" customHeight="1" x14ac:dyDescent="0.25">
      <c r="A18" s="46" t="s">
        <v>422</v>
      </c>
      <c r="B18" s="46" t="s">
        <v>20</v>
      </c>
      <c r="C18" s="46" t="s">
        <v>327</v>
      </c>
      <c r="D18" s="84" t="s">
        <v>20</v>
      </c>
      <c r="E18" s="57">
        <f>-SUMIFS('BP 2020 v.I dle HAZ - MAT.'!AM:AM,'BP 2020 v.I dle HAZ - MAT.'!$B:$B,"Léky a léčiva")-K18-W18</f>
        <v>3917458.51</v>
      </c>
      <c r="F18" s="57">
        <v>4005000</v>
      </c>
      <c r="G18" s="342">
        <f>4064984+140000</f>
        <v>4204984</v>
      </c>
      <c r="H18" s="57">
        <f>-SUMIFS('BP 2020 v.I dle HAZ - MAT.'!AO:AO,'BP 2020 v.I dle HAZ - MAT.'!$B:$B,"Léky a léčiva")-N18-Z18</f>
        <v>4755000</v>
      </c>
      <c r="I18" s="94">
        <f t="shared" si="14"/>
        <v>550016</v>
      </c>
      <c r="J18" s="304">
        <f t="shared" si="7"/>
        <v>1.1308009733211826</v>
      </c>
      <c r="K18" s="322">
        <f>-SUMIFS('BP 2020 v.I dle HAZ - MAT.'!AM:AM,'BP 2020 v.I dle HAZ - MAT.'!$B:$B,"Léky - centra (LEK)")</f>
        <v>0</v>
      </c>
      <c r="L18" s="351">
        <v>0</v>
      </c>
      <c r="M18" s="64">
        <f>-SUMIFS('BP 2020 v.I dle HAZ - MAT.'!AN:AN,'BP 2020 v.I dle HAZ - MAT.'!$B:$B,"Léky - centra (LEK)")</f>
        <v>0</v>
      </c>
      <c r="N18" s="64">
        <f>-SUMIFS('BP 2020 v.I dle HAZ - MAT.'!AO:AO,'BP 2020 v.I dle HAZ - MAT.'!$B:$B,"Léky - centra (LEK)")</f>
        <v>0</v>
      </c>
      <c r="O18" s="95">
        <f t="shared" si="0"/>
        <v>0</v>
      </c>
      <c r="P18" s="96" t="str">
        <f t="shared" si="1"/>
        <v/>
      </c>
      <c r="Q18" s="295">
        <f>SUMIF('CL 2020 PLÁN - SOUHRN '!A:A,A18,'CL 2020 PLÁN - SOUHRN '!I:I)</f>
        <v>35401.31</v>
      </c>
      <c r="R18" s="296">
        <f t="shared" si="8"/>
        <v>0</v>
      </c>
      <c r="S18" s="300" t="str">
        <f t="shared" si="9"/>
        <v/>
      </c>
      <c r="T18" s="326" t="str">
        <f t="shared" si="10"/>
        <v/>
      </c>
      <c r="U18" s="329" t="str">
        <f t="shared" si="11"/>
        <v/>
      </c>
      <c r="V18" s="331"/>
      <c r="W18" s="315">
        <f>-SUMIFS('BP 2020 v.I dle HAZ - MAT.'!AM:AM,'BP 2020 v.I dle HAZ - MAT.'!$B:$B,"Léky - dle §16 (LEK)")</f>
        <v>0</v>
      </c>
      <c r="X18" s="358">
        <v>0</v>
      </c>
      <c r="Y18" s="70">
        <f>-SUMIFS('BP 2020 v.I dle HAZ - MAT.'!AN:AN,'BP 2020 v.I dle HAZ - MAT.'!$B:$B,"Léky - dle §16 (LEK)")</f>
        <v>0</v>
      </c>
      <c r="Z18" s="70">
        <f>-SUMIFS('BP 2020 v.I dle HAZ - MAT.'!AO:AO,'BP 2020 v.I dle HAZ - MAT.'!$B:$B,"Léky - dle §16 (LEK)")</f>
        <v>0</v>
      </c>
      <c r="AA18" s="97">
        <f t="shared" si="12"/>
        <v>0</v>
      </c>
      <c r="AB18" s="316" t="str">
        <f t="shared" si="13"/>
        <v/>
      </c>
      <c r="AC18" s="308">
        <f>-SUMIFS('BP 2020 v.I dle HAZ - MAT.'!AM:AM,'BP 2020 v.I dle HAZ - MAT.'!$B:$B,"Zdravotnické prostředky")</f>
        <v>22535132.98</v>
      </c>
      <c r="AD18" s="308">
        <v>21654000</v>
      </c>
      <c r="AE18" s="339">
        <f>6950465+17560000</f>
        <v>24510465</v>
      </c>
      <c r="AF18" s="76">
        <f>-SUMIFS('BP 2020 v.I dle HAZ - MAT.'!AO:AO,'BP 2020 v.I dle HAZ - MAT.'!$B:$B,"Zdravotnické prostředky")</f>
        <v>25105000</v>
      </c>
      <c r="AG18" s="98">
        <f t="shared" si="15"/>
        <v>594535</v>
      </c>
      <c r="AH18" s="99">
        <f t="shared" si="16"/>
        <v>1.0242563737570871</v>
      </c>
      <c r="AI18" s="45"/>
    </row>
    <row r="19" spans="1:35" s="46" customFormat="1" ht="30.75" customHeight="1" x14ac:dyDescent="0.25">
      <c r="A19" s="46" t="s">
        <v>423</v>
      </c>
      <c r="B19" s="46" t="s">
        <v>21</v>
      </c>
      <c r="C19" s="46" t="s">
        <v>328</v>
      </c>
      <c r="D19" s="113" t="s">
        <v>21</v>
      </c>
      <c r="E19" s="114">
        <f>-SUMIFS('BP 2020 v.I dle HAZ - MAT.'!AP:AP,'BP 2020 v.I dle HAZ - MAT.'!$B:$B,"Léky a léčiva")-K19-W19</f>
        <v>1254016.33</v>
      </c>
      <c r="F19" s="114">
        <v>1410000</v>
      </c>
      <c r="G19" s="341">
        <f>1218008+175000</f>
        <v>1393008</v>
      </c>
      <c r="H19" s="114">
        <f>-SUMIFS('BP 2020 v.I dle HAZ - MAT.'!AR:AR,'BP 2020 v.I dle HAZ - MAT.'!$B:$B,"Léky a léčiva")-N19-Z19</f>
        <v>1430000</v>
      </c>
      <c r="I19" s="103">
        <f t="shared" si="14"/>
        <v>36992</v>
      </c>
      <c r="J19" s="303">
        <f t="shared" si="7"/>
        <v>1.0265554828112975</v>
      </c>
      <c r="K19" s="323">
        <f>-SUMIFS('BP 2020 v.I dle HAZ - MAT.'!AP:AP,'BP 2020 v.I dle HAZ - MAT.'!$B:$B,"Léky - centra (LEK)")</f>
        <v>0</v>
      </c>
      <c r="L19" s="353">
        <v>0</v>
      </c>
      <c r="M19" s="115">
        <f>-SUMIFS('BP 2020 v.I dle HAZ - MAT.'!AQ:AQ,'BP 2020 v.I dle HAZ - MAT.'!$B:$B,"Léky - centra (LEK)")</f>
        <v>0</v>
      </c>
      <c r="N19" s="115">
        <f>-SUMIFS('BP 2020 v.I dle HAZ - MAT.'!AR:AR,'BP 2020 v.I dle HAZ - MAT.'!$B:$B,"Léky - centra (LEK)")</f>
        <v>0</v>
      </c>
      <c r="O19" s="105">
        <f t="shared" si="0"/>
        <v>0</v>
      </c>
      <c r="P19" s="106" t="str">
        <f t="shared" si="1"/>
        <v/>
      </c>
      <c r="Q19" s="295">
        <f>SUMIF('CL 2020 PLÁN - SOUHRN '!A:A,A19,'CL 2020 PLÁN - SOUHRN '!I:I)</f>
        <v>0</v>
      </c>
      <c r="R19" s="296">
        <f t="shared" si="8"/>
        <v>0</v>
      </c>
      <c r="S19" s="300" t="str">
        <f t="shared" si="9"/>
        <v/>
      </c>
      <c r="T19" s="326" t="str">
        <f t="shared" si="10"/>
        <v/>
      </c>
      <c r="U19" s="329" t="str">
        <f t="shared" si="11"/>
        <v/>
      </c>
      <c r="V19" s="331"/>
      <c r="W19" s="317">
        <f>-SUMIFS('BP 2020 v.I dle HAZ - MAT.'!AP:AP,'BP 2020 v.I dle HAZ - MAT.'!$B:$B,"Léky - dle §16 (LEK)")</f>
        <v>0</v>
      </c>
      <c r="X19" s="359">
        <v>0</v>
      </c>
      <c r="Y19" s="116">
        <f>-SUMIFS('BP 2020 v.I dle HAZ - MAT.'!AQ:AQ,'BP 2020 v.I dle HAZ - MAT.'!$B:$B,"Léky - dle §16 (LEK)")</f>
        <v>0</v>
      </c>
      <c r="Z19" s="116">
        <f>-SUMIFS('BP 2020 v.I dle HAZ - MAT.'!AR:AR,'BP 2020 v.I dle HAZ - MAT.'!$B:$B,"Léky - dle §16 (LEK)")</f>
        <v>0</v>
      </c>
      <c r="AA19" s="108">
        <f t="shared" si="12"/>
        <v>0</v>
      </c>
      <c r="AB19" s="314" t="str">
        <f t="shared" si="13"/>
        <v/>
      </c>
      <c r="AC19" s="309">
        <f>-SUMIFS('BP 2020 v.I dle HAZ - MAT.'!AP:AP,'BP 2020 v.I dle HAZ - MAT.'!$B:$B,"Zdravotnické prostředky")</f>
        <v>3361180.1</v>
      </c>
      <c r="AD19" s="309">
        <v>2748000</v>
      </c>
      <c r="AE19" s="338">
        <f>3246820+235000</f>
        <v>3481820</v>
      </c>
      <c r="AF19" s="117">
        <f>-SUMIFS('BP 2020 v.I dle HAZ - MAT.'!AR:AR,'BP 2020 v.I dle HAZ - MAT.'!$B:$B,"Zdravotnické prostředky")</f>
        <v>3600000</v>
      </c>
      <c r="AG19" s="110">
        <f t="shared" si="15"/>
        <v>118180</v>
      </c>
      <c r="AH19" s="111">
        <f t="shared" si="16"/>
        <v>1.033942018829233</v>
      </c>
      <c r="AI19" s="45"/>
    </row>
    <row r="20" spans="1:35" s="46" customFormat="1" ht="30.75" customHeight="1" x14ac:dyDescent="0.25">
      <c r="A20" s="46" t="s">
        <v>424</v>
      </c>
      <c r="B20" s="46" t="s">
        <v>22</v>
      </c>
      <c r="C20" s="46" t="s">
        <v>329</v>
      </c>
      <c r="D20" s="84" t="s">
        <v>22</v>
      </c>
      <c r="E20" s="57">
        <f>-SUMIFS('BP 2020 v.I dle HAZ - MAT.'!AS:AS,'BP 2020 v.I dle HAZ - MAT.'!$B:$B,"Léky a léčiva")-K20-W20</f>
        <v>1116865.0299999937</v>
      </c>
      <c r="F20" s="57">
        <v>1195000</v>
      </c>
      <c r="G20" s="342">
        <f>1084008+110000</f>
        <v>1194008</v>
      </c>
      <c r="H20" s="57">
        <f>-SUMIFS('BP 2020 v.I dle HAZ - MAT.'!AU:AU,'BP 2020 v.I dle HAZ - MAT.'!$B:$B,"Léky a léčiva")-N20-Z20</f>
        <v>1240000</v>
      </c>
      <c r="I20" s="94">
        <f t="shared" si="14"/>
        <v>45992</v>
      </c>
      <c r="J20" s="304">
        <f t="shared" si="7"/>
        <v>1.0385190048977897</v>
      </c>
      <c r="K20" s="322">
        <f>-SUMIFS('BP 2020 v.I dle HAZ - MAT.'!AS:AS,'BP 2020 v.I dle HAZ - MAT.'!$B:$B,"Léky - centra (LEK)")</f>
        <v>42013431.380000003</v>
      </c>
      <c r="L20" s="351">
        <v>42100000</v>
      </c>
      <c r="M20" s="64">
        <v>46500000</v>
      </c>
      <c r="N20" s="64">
        <f>-SUMIFS('BP 2020 v.I dle HAZ - MAT.'!AU:AU,'BP 2020 v.I dle HAZ - MAT.'!$B:$B,"Léky - centra (LEK)")</f>
        <v>49000000</v>
      </c>
      <c r="O20" s="95">
        <f t="shared" si="0"/>
        <v>2500000</v>
      </c>
      <c r="P20" s="96">
        <f t="shared" si="1"/>
        <v>1.053763440860215</v>
      </c>
      <c r="Q20" s="295">
        <f>SUMIF('CL 2020 PLÁN - SOUHRN '!A:A,A20,'CL 2020 PLÁN - SOUHRN '!I:I)</f>
        <v>54677530.566999994</v>
      </c>
      <c r="R20" s="296">
        <f t="shared" si="8"/>
        <v>8177530.5669999942</v>
      </c>
      <c r="S20" s="300">
        <f t="shared" si="9"/>
        <v>1.1758608724086019</v>
      </c>
      <c r="T20" s="326">
        <f t="shared" si="10"/>
        <v>5677530.5669999942</v>
      </c>
      <c r="U20" s="329">
        <f t="shared" si="11"/>
        <v>1.115867970755102</v>
      </c>
      <c r="V20" s="331"/>
      <c r="W20" s="315">
        <f>-SUMIFS('BP 2020 v.I dle HAZ - MAT.'!AS:AS,'BP 2020 v.I dle HAZ - MAT.'!$B:$B,"Léky - dle §16 (LEK)")</f>
        <v>0</v>
      </c>
      <c r="X20" s="358">
        <v>312000</v>
      </c>
      <c r="Y20" s="70">
        <f>-SUMIFS('BP 2020 v.I dle HAZ - MAT.'!AT:AT,'BP 2020 v.I dle HAZ - MAT.'!$B:$B,"Léky - dle §16 (LEK)")</f>
        <v>312000</v>
      </c>
      <c r="Z20" s="70">
        <f>-SUMIFS('BP 2020 v.I dle HAZ - MAT.'!AU:AU,'BP 2020 v.I dle HAZ - MAT.'!$B:$B,"Léky - dle §16 (LEK)")</f>
        <v>290000</v>
      </c>
      <c r="AA20" s="97">
        <f t="shared" si="12"/>
        <v>-22000</v>
      </c>
      <c r="AB20" s="316">
        <f t="shared" si="13"/>
        <v>0.92948717948717952</v>
      </c>
      <c r="AC20" s="308">
        <f>-SUMIFS('BP 2020 v.I dle HAZ - MAT.'!AS:AS,'BP 2020 v.I dle HAZ - MAT.'!$B:$B,"Zdravotnické prostředky")</f>
        <v>10599073.710000001</v>
      </c>
      <c r="AD20" s="308">
        <f>10670000</f>
        <v>10670000</v>
      </c>
      <c r="AE20" s="339">
        <v>11276215</v>
      </c>
      <c r="AF20" s="76">
        <f>-SUMIFS('BP 2020 v.I dle HAZ - MAT.'!AU:AU,'BP 2020 v.I dle HAZ - MAT.'!$B:$B,"Zdravotnické prostředky")</f>
        <v>11159500</v>
      </c>
      <c r="AG20" s="98">
        <f t="shared" si="15"/>
        <v>-116715</v>
      </c>
      <c r="AH20" s="99">
        <f t="shared" si="16"/>
        <v>0.98964945240934121</v>
      </c>
      <c r="AI20" s="45"/>
    </row>
    <row r="21" spans="1:35" s="46" customFormat="1" ht="30.75" customHeight="1" x14ac:dyDescent="0.25">
      <c r="A21" s="46" t="s">
        <v>425</v>
      </c>
      <c r="B21" s="46" t="s">
        <v>23</v>
      </c>
      <c r="C21" s="46" t="s">
        <v>330</v>
      </c>
      <c r="D21" s="113" t="s">
        <v>23</v>
      </c>
      <c r="E21" s="114">
        <f>-SUMIFS('BP 2020 v.I dle HAZ - MAT.'!AV:AV,'BP 2020 v.I dle HAZ - MAT.'!$B:$B,"Léky a léčiva")-K21-W21</f>
        <v>3324600.3</v>
      </c>
      <c r="F21" s="114">
        <f>3330000</f>
        <v>3330000</v>
      </c>
      <c r="G21" s="341">
        <f>99996+3260000</f>
        <v>3359996</v>
      </c>
      <c r="H21" s="114">
        <f>-SUMIFS('BP 2020 v.I dle HAZ - MAT.'!AX:AX,'BP 2020 v.I dle HAZ - MAT.'!$B:$B,"Léky a léčiva")-N21-Z21</f>
        <v>5120000</v>
      </c>
      <c r="I21" s="103">
        <f t="shared" si="14"/>
        <v>1760004</v>
      </c>
      <c r="J21" s="303">
        <f t="shared" si="7"/>
        <v>1.5238113378706404</v>
      </c>
      <c r="K21" s="323">
        <f>-SUMIFS('BP 2020 v.I dle HAZ - MAT.'!AV:AV,'BP 2020 v.I dle HAZ - MAT.'!$B:$B,"Léky - centra (LEK)")</f>
        <v>3937751.07</v>
      </c>
      <c r="L21" s="353">
        <v>4000000</v>
      </c>
      <c r="M21" s="115">
        <v>7200000</v>
      </c>
      <c r="N21" s="115">
        <f>-SUMIFS('BP 2020 v.I dle HAZ - MAT.'!AX:AX,'BP 2020 v.I dle HAZ - MAT.'!$B:$B,"Léky - centra (LEK)")</f>
        <v>12000000</v>
      </c>
      <c r="O21" s="105">
        <f t="shared" si="0"/>
        <v>4800000</v>
      </c>
      <c r="P21" s="106">
        <f t="shared" si="1"/>
        <v>1.6666666666666667</v>
      </c>
      <c r="Q21" s="295">
        <f>SUMIF('CL 2020 PLÁN - SOUHRN '!A:A,A21,'CL 2020 PLÁN - SOUHRN '!I:I)</f>
        <v>5625010.71</v>
      </c>
      <c r="R21" s="296">
        <f t="shared" si="8"/>
        <v>-1574989.29</v>
      </c>
      <c r="S21" s="300">
        <f t="shared" si="9"/>
        <v>0.78125148749999995</v>
      </c>
      <c r="T21" s="326">
        <f t="shared" si="10"/>
        <v>-6374989.29</v>
      </c>
      <c r="U21" s="329">
        <f t="shared" si="11"/>
        <v>0.46875089250000002</v>
      </c>
      <c r="V21" s="331"/>
      <c r="W21" s="317">
        <f>-SUMIFS('BP 2020 v.I dle HAZ - MAT.'!AV:AV,'BP 2020 v.I dle HAZ - MAT.'!$B:$B,"Léky - dle §16 (LEK)")</f>
        <v>638703.01</v>
      </c>
      <c r="X21" s="359">
        <v>640000</v>
      </c>
      <c r="Y21" s="116">
        <v>340000</v>
      </c>
      <c r="Z21" s="116">
        <f>-SUMIFS('BP 2020 v.I dle HAZ - MAT.'!AX:AX,'BP 2020 v.I dle HAZ - MAT.'!$B:$B,"Léky - dle §16 (LEK)")</f>
        <v>0</v>
      </c>
      <c r="AA21" s="108">
        <f t="shared" si="12"/>
        <v>-340000</v>
      </c>
      <c r="AB21" s="314">
        <f t="shared" si="13"/>
        <v>0</v>
      </c>
      <c r="AC21" s="309">
        <f>-SUMIFS('BP 2020 v.I dle HAZ - MAT.'!AV:AV,'BP 2020 v.I dle HAZ - MAT.'!$B:$B,"Zdravotnické prostředky")</f>
        <v>433755.29</v>
      </c>
      <c r="AD21" s="309">
        <v>440000</v>
      </c>
      <c r="AE21" s="338">
        <v>465004</v>
      </c>
      <c r="AF21" s="117">
        <f>-SUMIFS('BP 2020 v.I dle HAZ - MAT.'!AX:AX,'BP 2020 v.I dle HAZ - MAT.'!$B:$B,"Zdravotnické prostředky")</f>
        <v>506000</v>
      </c>
      <c r="AG21" s="110">
        <f t="shared" si="15"/>
        <v>40996</v>
      </c>
      <c r="AH21" s="111">
        <f t="shared" si="16"/>
        <v>1.0881626824715487</v>
      </c>
      <c r="AI21" s="45"/>
    </row>
    <row r="22" spans="1:35" s="46" customFormat="1" ht="30.75" customHeight="1" x14ac:dyDescent="0.25">
      <c r="A22" s="46" t="s">
        <v>426</v>
      </c>
      <c r="B22" s="46" t="s">
        <v>24</v>
      </c>
      <c r="C22" s="46" t="s">
        <v>331</v>
      </c>
      <c r="D22" s="84" t="s">
        <v>24</v>
      </c>
      <c r="E22" s="57">
        <f>-SUMIFS('BP 2020 v.I dle HAZ - MAT.'!AY:AY,'BP 2020 v.I dle HAZ - MAT.'!$B:$B,"Léky a léčiva")-K22-W22</f>
        <v>9699417.6200000104</v>
      </c>
      <c r="F22" s="57">
        <v>9405000</v>
      </c>
      <c r="G22" s="342">
        <f>9119300+280000</f>
        <v>9399300</v>
      </c>
      <c r="H22" s="57">
        <f>-SUMIFS('BP 2020 v.I dle HAZ - MAT.'!BA:BA,'BP 2020 v.I dle HAZ - MAT.'!$B:$B,"Léky a léčiva")-N22-Z22</f>
        <v>9392521</v>
      </c>
      <c r="I22" s="94">
        <f t="shared" si="14"/>
        <v>-6779</v>
      </c>
      <c r="J22" s="304">
        <f t="shared" si="7"/>
        <v>0.99927877607906967</v>
      </c>
      <c r="K22" s="322">
        <f>-SUMIFS('BP 2020 v.I dle HAZ - MAT.'!AY:AY,'BP 2020 v.I dle HAZ - MAT.'!$B:$B,"Léky - centra (LEK)")</f>
        <v>56588644.729999997</v>
      </c>
      <c r="L22" s="351">
        <v>56600000</v>
      </c>
      <c r="M22" s="64">
        <v>95000000</v>
      </c>
      <c r="N22" s="64">
        <f>-SUMIFS('BP 2020 v.I dle HAZ - MAT.'!BA:BA,'BP 2020 v.I dle HAZ - MAT.'!$B:$B,"Léky - centra (LEK)")</f>
        <v>140000000</v>
      </c>
      <c r="O22" s="95">
        <f t="shared" si="0"/>
        <v>45000000</v>
      </c>
      <c r="P22" s="96">
        <f t="shared" si="1"/>
        <v>1.4736842105263157</v>
      </c>
      <c r="Q22" s="295">
        <f>SUMIF('CL 2020 PLÁN - SOUHRN '!A:A,A22,'CL 2020 PLÁN - SOUHRN '!I:I)</f>
        <v>81285475.281000003</v>
      </c>
      <c r="R22" s="296">
        <f t="shared" si="8"/>
        <v>-13714524.718999997</v>
      </c>
      <c r="S22" s="300">
        <f t="shared" si="9"/>
        <v>0.85563658190526315</v>
      </c>
      <c r="T22" s="326">
        <f t="shared" si="10"/>
        <v>-58714524.718999997</v>
      </c>
      <c r="U22" s="329">
        <f t="shared" si="11"/>
        <v>0.58061053772142857</v>
      </c>
      <c r="V22" s="331"/>
      <c r="W22" s="315">
        <f>-SUMIFS('BP 2020 v.I dle HAZ - MAT.'!AY:AY,'BP 2020 v.I dle HAZ - MAT.'!$B:$B,"Léky - dle §16 (LEK)")</f>
        <v>6346059.3300000001</v>
      </c>
      <c r="X22" s="358">
        <v>6350000</v>
      </c>
      <c r="Y22" s="70">
        <f>-SUMIFS('BP 2020 v.I dle HAZ - MAT.'!AZ:AZ,'BP 2020 v.I dle HAZ - MAT.'!$B:$B,"Léky - dle §16 (LEK)")</f>
        <v>6350000</v>
      </c>
      <c r="Z22" s="70">
        <f>-SUMIFS('BP 2020 v.I dle HAZ - MAT.'!BA:BA,'BP 2020 v.I dle HAZ - MAT.'!$B:$B,"Léky - dle §16 (LEK)")</f>
        <v>70000000</v>
      </c>
      <c r="AA22" s="97">
        <f t="shared" si="12"/>
        <v>63650000</v>
      </c>
      <c r="AB22" s="316">
        <f t="shared" si="13"/>
        <v>11.023622047244094</v>
      </c>
      <c r="AC22" s="308">
        <f>-SUMIFS('BP 2020 v.I dle HAZ - MAT.'!AY:AY,'BP 2020 v.I dle HAZ - MAT.'!$B:$B,"Zdravotnické prostředky")</f>
        <v>5990975.1000000099</v>
      </c>
      <c r="AD22" s="76">
        <v>5342000</v>
      </c>
      <c r="AE22" s="339">
        <f>5730855+19739+56551</f>
        <v>5807145</v>
      </c>
      <c r="AF22" s="76">
        <f>-SUMIFS('BP 2020 v.I dle HAZ - MAT.'!BA:BA,'BP 2020 v.I dle HAZ - MAT.'!$B:$B,"Zdravotnické prostředky")</f>
        <v>6397950</v>
      </c>
      <c r="AG22" s="98">
        <f t="shared" si="15"/>
        <v>590805</v>
      </c>
      <c r="AH22" s="99">
        <f t="shared" si="16"/>
        <v>1.1017376008348336</v>
      </c>
      <c r="AI22" s="45"/>
    </row>
    <row r="23" spans="1:35" s="46" customFormat="1" ht="30.75" customHeight="1" x14ac:dyDescent="0.25">
      <c r="A23" s="46" t="s">
        <v>427</v>
      </c>
      <c r="B23" s="46" t="s">
        <v>25</v>
      </c>
      <c r="C23" s="46" t="s">
        <v>332</v>
      </c>
      <c r="D23" s="113" t="s">
        <v>25</v>
      </c>
      <c r="E23" s="114">
        <f>-SUMIFS('BP 2020 v.I dle HAZ - MAT.'!BB:BB,'BP 2020 v.I dle HAZ - MAT.'!$B:$B,"Léky a léčiva")-K23-W23</f>
        <v>27898504.360000018</v>
      </c>
      <c r="F23" s="343">
        <v>27450000</v>
      </c>
      <c r="G23" s="341">
        <f>16652988+11570000</f>
        <v>28222988</v>
      </c>
      <c r="H23" s="114">
        <f>-SUMIFS('BP 2020 v.I dle HAZ - MAT.'!BD:BD,'BP 2020 v.I dle HAZ - MAT.'!$B:$B,"Léky a léčiva")-N23-Z23</f>
        <v>30815000</v>
      </c>
      <c r="I23" s="103">
        <f t="shared" si="14"/>
        <v>2592012</v>
      </c>
      <c r="J23" s="303">
        <f t="shared" si="7"/>
        <v>1.0918404528960577</v>
      </c>
      <c r="K23" s="323">
        <f>-SUMIFS('BP 2020 v.I dle HAZ - MAT.'!BB:BB,'BP 2020 v.I dle HAZ - MAT.'!$B:$B,"Léky - centra (LEK)")</f>
        <v>235461407.16</v>
      </c>
      <c r="L23" s="353">
        <v>235500000</v>
      </c>
      <c r="M23" s="115">
        <v>263600000</v>
      </c>
      <c r="N23" s="115">
        <f>-SUMIFS('BP 2020 v.I dle HAZ - MAT.'!BD:BD,'BP 2020 v.I dle HAZ - MAT.'!$B:$B,"Léky - centra (LEK)")</f>
        <v>291500000</v>
      </c>
      <c r="O23" s="105">
        <f t="shared" si="0"/>
        <v>27900000</v>
      </c>
      <c r="P23" s="106">
        <f t="shared" si="1"/>
        <v>1.1058421851289832</v>
      </c>
      <c r="Q23" s="295">
        <f>SUMIF('CL 2020 PLÁN - SOUHRN '!A:A,A23,'CL 2020 PLÁN - SOUHRN '!I:I)</f>
        <v>311586630.32300001</v>
      </c>
      <c r="R23" s="296">
        <f t="shared" si="8"/>
        <v>47986630.323000014</v>
      </c>
      <c r="S23" s="300">
        <f t="shared" si="9"/>
        <v>1.182043362378604</v>
      </c>
      <c r="T23" s="326">
        <f t="shared" si="10"/>
        <v>20086630.323000014</v>
      </c>
      <c r="U23" s="329">
        <f t="shared" si="11"/>
        <v>1.0689078227204116</v>
      </c>
      <c r="V23" s="331"/>
      <c r="W23" s="317">
        <f>-SUMIFS('BP 2020 v.I dle HAZ - MAT.'!BB:BB,'BP 2020 v.I dle HAZ - MAT.'!$B:$B,"Léky - dle §16 (LEK)")</f>
        <v>1750895.09</v>
      </c>
      <c r="X23" s="359">
        <v>1750000</v>
      </c>
      <c r="Y23" s="116">
        <f>-SUMIFS('BP 2020 v.I dle HAZ - MAT.'!BC:BC,'BP 2020 v.I dle HAZ - MAT.'!$B:$B,"Léky - dle §16 (LEK)")</f>
        <v>1750000</v>
      </c>
      <c r="Z23" s="116">
        <f>-SUMIFS('BP 2020 v.I dle HAZ - MAT.'!BD:BD,'BP 2020 v.I dle HAZ - MAT.'!$B:$B,"Léky - dle §16 (LEK)")</f>
        <v>2000000</v>
      </c>
      <c r="AA23" s="108">
        <f t="shared" si="12"/>
        <v>250000</v>
      </c>
      <c r="AB23" s="314">
        <f t="shared" si="13"/>
        <v>1.1428571428571428</v>
      </c>
      <c r="AC23" s="309">
        <f>-SUMIFS('BP 2020 v.I dle HAZ - MAT.'!BB:BB,'BP 2020 v.I dle HAZ - MAT.'!$B:$B,"Zdravotnické prostředky")</f>
        <v>2304770.54</v>
      </c>
      <c r="AD23" s="117">
        <v>2333000</v>
      </c>
      <c r="AE23" s="338">
        <v>2339976</v>
      </c>
      <c r="AF23" s="117">
        <f>-SUMIFS('BP 2020 v.I dle HAZ - MAT.'!BD:BD,'BP 2020 v.I dle HAZ - MAT.'!$B:$B,"Zdravotnické prostředky")</f>
        <v>2414000</v>
      </c>
      <c r="AG23" s="110">
        <f t="shared" si="15"/>
        <v>74024</v>
      </c>
      <c r="AH23" s="111">
        <f t="shared" si="16"/>
        <v>1.0316345124907265</v>
      </c>
      <c r="AI23" s="45"/>
    </row>
    <row r="24" spans="1:35" s="46" customFormat="1" ht="30.75" customHeight="1" x14ac:dyDescent="0.25">
      <c r="A24" s="46" t="s">
        <v>428</v>
      </c>
      <c r="B24" s="46" t="s">
        <v>26</v>
      </c>
      <c r="C24" s="46" t="s">
        <v>333</v>
      </c>
      <c r="D24" s="84" t="s">
        <v>26</v>
      </c>
      <c r="E24" s="57">
        <f>-SUMIFS('BP 2020 v.I dle HAZ - MAT.'!BE:BE,'BP 2020 v.I dle HAZ - MAT.'!$B:$B,"Léky a léčiva")-K24-W24</f>
        <v>3311779.12</v>
      </c>
      <c r="F24" s="345">
        <v>3323000</v>
      </c>
      <c r="G24" s="342">
        <f>3319008+3000</f>
        <v>3322008</v>
      </c>
      <c r="H24" s="57">
        <f>-SUMIFS('BP 2020 v.I dle HAZ - MAT.'!BG:BG,'BP 2020 v.I dle HAZ - MAT.'!$B:$B,"Léky a léčiva")-N24-Z24</f>
        <v>3334000</v>
      </c>
      <c r="I24" s="94">
        <f t="shared" si="14"/>
        <v>11992</v>
      </c>
      <c r="J24" s="304">
        <f t="shared" si="7"/>
        <v>1.0036098648769058</v>
      </c>
      <c r="K24" s="322">
        <f>-SUMIFS('BP 2020 v.I dle HAZ - MAT.'!BE:BE,'BP 2020 v.I dle HAZ - MAT.'!$B:$B,"Léky - centra (LEK)")</f>
        <v>0</v>
      </c>
      <c r="L24" s="351">
        <v>0</v>
      </c>
      <c r="M24" s="64">
        <f>-SUMIFS('BP 2020 v.I dle HAZ - MAT.'!BF:BF,'BP 2020 v.I dle HAZ - MAT.'!$B:$B,"Léky - centra (LEK)")</f>
        <v>0</v>
      </c>
      <c r="N24" s="64">
        <f>-SUMIFS('BP 2020 v.I dle HAZ - MAT.'!BG:BG,'BP 2020 v.I dle HAZ - MAT.'!$B:$B,"Léky - centra (LEK)")</f>
        <v>0</v>
      </c>
      <c r="O24" s="95">
        <f t="shared" si="0"/>
        <v>0</v>
      </c>
      <c r="P24" s="96" t="str">
        <f t="shared" si="1"/>
        <v/>
      </c>
      <c r="Q24" s="295">
        <f>SUMIF('CL 2020 PLÁN - SOUHRN '!A:A,A24,'CL 2020 PLÁN - SOUHRN '!I:I)</f>
        <v>0</v>
      </c>
      <c r="R24" s="296">
        <f t="shared" si="8"/>
        <v>0</v>
      </c>
      <c r="S24" s="300" t="str">
        <f t="shared" si="9"/>
        <v/>
      </c>
      <c r="T24" s="326" t="str">
        <f t="shared" si="10"/>
        <v/>
      </c>
      <c r="U24" s="329" t="str">
        <f t="shared" si="11"/>
        <v/>
      </c>
      <c r="V24" s="331"/>
      <c r="W24" s="315">
        <f>-SUMIFS('BP 2020 v.I dle HAZ - MAT.'!BE:BE,'BP 2020 v.I dle HAZ - MAT.'!$B:$B,"Léky - dle §16 (LEK)")</f>
        <v>0</v>
      </c>
      <c r="X24" s="358">
        <v>0</v>
      </c>
      <c r="Y24" s="70">
        <f>-SUMIFS('BP 2020 v.I dle HAZ - MAT.'!BF:BF,'BP 2020 v.I dle HAZ - MAT.'!$B:$B,"Léky - dle §16 (LEK)")</f>
        <v>0</v>
      </c>
      <c r="Z24" s="70">
        <f>-SUMIFS('BP 2020 v.I dle HAZ - MAT.'!BG:BG,'BP 2020 v.I dle HAZ - MAT.'!$B:$B,"Léky - dle §16 (LEK)")</f>
        <v>0</v>
      </c>
      <c r="AA24" s="97">
        <f t="shared" si="12"/>
        <v>0</v>
      </c>
      <c r="AB24" s="316" t="str">
        <f t="shared" si="13"/>
        <v/>
      </c>
      <c r="AC24" s="308">
        <f>-SUMIFS('BP 2020 v.I dle HAZ - MAT.'!BE:BE,'BP 2020 v.I dle HAZ - MAT.'!$B:$B,"Zdravotnické prostředky")</f>
        <v>95021.440000000002</v>
      </c>
      <c r="AD24" s="308">
        <v>132000</v>
      </c>
      <c r="AE24" s="76">
        <v>135000</v>
      </c>
      <c r="AF24" s="76">
        <f>-SUMIFS('BP 2020 v.I dle HAZ - MAT.'!BG:BG,'BP 2020 v.I dle HAZ - MAT.'!$B:$B,"Zdravotnické prostředky")</f>
        <v>140500</v>
      </c>
      <c r="AG24" s="98">
        <f t="shared" si="15"/>
        <v>5500</v>
      </c>
      <c r="AH24" s="99">
        <f t="shared" si="16"/>
        <v>1.0407407407407407</v>
      </c>
      <c r="AI24" s="45"/>
    </row>
    <row r="25" spans="1:35" s="46" customFormat="1" ht="30.75" customHeight="1" x14ac:dyDescent="0.25">
      <c r="A25" s="46" t="s">
        <v>429</v>
      </c>
      <c r="B25" s="46" t="s">
        <v>27</v>
      </c>
      <c r="C25" s="46" t="s">
        <v>334</v>
      </c>
      <c r="D25" s="113" t="s">
        <v>27</v>
      </c>
      <c r="E25" s="114">
        <f>-SUMIFS('BP 2020 v.I dle HAZ - MAT.'!BH:BH,'BP 2020 v.I dle HAZ - MAT.'!$B:$B,"Léky a léčiva")-K25-W25</f>
        <v>551039.17000000004</v>
      </c>
      <c r="F25" s="346">
        <v>591000</v>
      </c>
      <c r="G25" s="341">
        <f>1117492+1000</f>
        <v>1118492</v>
      </c>
      <c r="H25" s="114">
        <f>-SUMIFS('BP 2020 v.I dle HAZ - MAT.'!BJ:BJ,'BP 2020 v.I dle HAZ - MAT.'!$B:$B,"Léky a léčiva")-N25-Z25</f>
        <v>700000</v>
      </c>
      <c r="I25" s="103">
        <f t="shared" si="14"/>
        <v>-418492</v>
      </c>
      <c r="J25" s="303">
        <f t="shared" si="7"/>
        <v>0.62584265242844828</v>
      </c>
      <c r="K25" s="323">
        <f>-SUMIFS('BP 2020 v.I dle HAZ - MAT.'!BH:BH,'BP 2020 v.I dle HAZ - MAT.'!$B:$B,"Léky - centra (LEK)")</f>
        <v>0</v>
      </c>
      <c r="L25" s="353">
        <v>0</v>
      </c>
      <c r="M25" s="115">
        <f>-SUMIFS('BP 2020 v.I dle HAZ - MAT.'!BI:BI,'BP 2020 v.I dle HAZ - MAT.'!$B:$B,"Léky - centra (LEK)")</f>
        <v>0</v>
      </c>
      <c r="N25" s="115">
        <f>-SUMIFS('BP 2020 v.I dle HAZ - MAT.'!BJ:BJ,'BP 2020 v.I dle HAZ - MAT.'!$B:$B,"Léky - centra (LEK)")</f>
        <v>0</v>
      </c>
      <c r="O25" s="105">
        <f t="shared" si="0"/>
        <v>0</v>
      </c>
      <c r="P25" s="106" t="str">
        <f t="shared" si="1"/>
        <v/>
      </c>
      <c r="Q25" s="295">
        <f>SUMIF('CL 2020 PLÁN - SOUHRN '!A:A,A25,'CL 2020 PLÁN - SOUHRN '!I:I)</f>
        <v>0</v>
      </c>
      <c r="R25" s="296">
        <f t="shared" si="8"/>
        <v>0</v>
      </c>
      <c r="S25" s="300" t="str">
        <f t="shared" si="9"/>
        <v/>
      </c>
      <c r="T25" s="326" t="str">
        <f t="shared" si="10"/>
        <v/>
      </c>
      <c r="U25" s="329" t="str">
        <f t="shared" si="11"/>
        <v/>
      </c>
      <c r="V25" s="331"/>
      <c r="W25" s="317">
        <f>-SUMIFS('BP 2020 v.I dle HAZ - MAT.'!BH:BH,'BP 2020 v.I dle HAZ - MAT.'!$B:$B,"Léky - dle §16 (LEK)")</f>
        <v>0</v>
      </c>
      <c r="X25" s="359">
        <v>0</v>
      </c>
      <c r="Y25" s="116">
        <f>-SUMIFS('BP 2020 v.I dle HAZ - MAT.'!BI:BI,'BP 2020 v.I dle HAZ - MAT.'!$B:$B,"Léky - dle §16 (LEK)")</f>
        <v>0</v>
      </c>
      <c r="Z25" s="116">
        <f>-SUMIFS('BP 2020 v.I dle HAZ - MAT.'!BJ:BJ,'BP 2020 v.I dle HAZ - MAT.'!$B:$B,"Léky - dle §16 (LEK)")</f>
        <v>0</v>
      </c>
      <c r="AA25" s="108">
        <f t="shared" si="12"/>
        <v>0</v>
      </c>
      <c r="AB25" s="314" t="str">
        <f t="shared" si="13"/>
        <v/>
      </c>
      <c r="AC25" s="309">
        <f>-SUMIFS('BP 2020 v.I dle HAZ - MAT.'!BH:BH,'BP 2020 v.I dle HAZ - MAT.'!$B:$B,"Zdravotnické prostředky")</f>
        <v>90680.07</v>
      </c>
      <c r="AD25" s="309">
        <v>93000</v>
      </c>
      <c r="AE25" s="117">
        <v>96710</v>
      </c>
      <c r="AF25" s="117">
        <f>-SUMIFS('BP 2020 v.I dle HAZ - MAT.'!BJ:BJ,'BP 2020 v.I dle HAZ - MAT.'!$B:$B,"Zdravotnické prostředky")</f>
        <v>118000</v>
      </c>
      <c r="AG25" s="110">
        <f t="shared" si="15"/>
        <v>21290</v>
      </c>
      <c r="AH25" s="111">
        <f t="shared" si="16"/>
        <v>1.2201426946541205</v>
      </c>
      <c r="AI25" s="45"/>
    </row>
    <row r="26" spans="1:35" s="46" customFormat="1" ht="30.75" customHeight="1" x14ac:dyDescent="0.25">
      <c r="A26" s="46" t="s">
        <v>430</v>
      </c>
      <c r="B26" s="46" t="s">
        <v>28</v>
      </c>
      <c r="C26" s="46" t="s">
        <v>335</v>
      </c>
      <c r="D26" s="84" t="s">
        <v>28</v>
      </c>
      <c r="E26" s="57">
        <f>-SUMIFS('BP 2020 v.I dle HAZ - MAT.'!BK:BK,'BP 2020 v.I dle HAZ - MAT.'!$B:$B,"Léky a léčiva")-K26-W26</f>
        <v>1360023.2799999975</v>
      </c>
      <c r="F26" s="344">
        <v>1470000</v>
      </c>
      <c r="G26" s="342">
        <f>1492304+20000</f>
        <v>1512304</v>
      </c>
      <c r="H26" s="57">
        <f>-SUMIFS('BP 2020 v.I dle HAZ - MAT.'!BM:BM,'BP 2020 v.I dle HAZ - MAT.'!$B:$B,"Léky a léčiva")-N26-Z26</f>
        <v>1554000</v>
      </c>
      <c r="I26" s="94">
        <f t="shared" si="14"/>
        <v>41696</v>
      </c>
      <c r="J26" s="304">
        <f t="shared" si="7"/>
        <v>1.0275711761656388</v>
      </c>
      <c r="K26" s="322">
        <f>-SUMIFS('BP 2020 v.I dle HAZ - MAT.'!BK:BK,'BP 2020 v.I dle HAZ - MAT.'!$B:$B,"Léky - centra (LEK)")</f>
        <v>30046094.960000001</v>
      </c>
      <c r="L26" s="351">
        <v>30100000</v>
      </c>
      <c r="M26" s="64">
        <v>34000000</v>
      </c>
      <c r="N26" s="64">
        <f>-SUMIFS('BP 2020 v.I dle HAZ - MAT.'!BM:BM,'BP 2020 v.I dle HAZ - MAT.'!$B:$B,"Léky - centra (LEK)")</f>
        <v>40000000</v>
      </c>
      <c r="O26" s="95">
        <f t="shared" si="0"/>
        <v>6000000</v>
      </c>
      <c r="P26" s="96">
        <f t="shared" si="1"/>
        <v>1.1764705882352942</v>
      </c>
      <c r="Q26" s="295">
        <f>SUMIF('CL 2020 PLÁN - SOUHRN '!A:A,A26,'CL 2020 PLÁN - SOUHRN '!I:I)</f>
        <v>36533156.944000006</v>
      </c>
      <c r="R26" s="296">
        <f t="shared" si="8"/>
        <v>2533156.9440000057</v>
      </c>
      <c r="S26" s="300">
        <f t="shared" si="9"/>
        <v>1.0745046160000002</v>
      </c>
      <c r="T26" s="326">
        <f t="shared" si="10"/>
        <v>-3466843.0559999943</v>
      </c>
      <c r="U26" s="329">
        <f t="shared" si="11"/>
        <v>0.91332892360000018</v>
      </c>
      <c r="V26" s="331"/>
      <c r="W26" s="315">
        <f>-SUMIFS('BP 2020 v.I dle HAZ - MAT.'!BK:BK,'BP 2020 v.I dle HAZ - MAT.'!$B:$B,"Léky - dle §16 (LEK)")</f>
        <v>0</v>
      </c>
      <c r="X26" s="358">
        <v>0</v>
      </c>
      <c r="Y26" s="70">
        <f>-SUMIFS('BP 2020 v.I dle HAZ - MAT.'!BL:BL,'BP 2020 v.I dle HAZ - MAT.'!$B:$B,"Léky - dle §16 (LEK)")</f>
        <v>0</v>
      </c>
      <c r="Z26" s="70">
        <f>-SUMIFS('BP 2020 v.I dle HAZ - MAT.'!BM:BM,'BP 2020 v.I dle HAZ - MAT.'!$B:$B,"Léky - dle §16 (LEK)")</f>
        <v>0</v>
      </c>
      <c r="AA26" s="97">
        <f t="shared" si="12"/>
        <v>0</v>
      </c>
      <c r="AB26" s="316" t="str">
        <f t="shared" si="13"/>
        <v/>
      </c>
      <c r="AC26" s="308">
        <f>-SUMIFS('BP 2020 v.I dle HAZ - MAT.'!BK:BK,'BP 2020 v.I dle HAZ - MAT.'!$B:$B,"Zdravotnické prostředky")</f>
        <v>840127.35000000102</v>
      </c>
      <c r="AD26" s="308">
        <v>870000</v>
      </c>
      <c r="AE26" s="76">
        <v>895000</v>
      </c>
      <c r="AF26" s="76">
        <f>-SUMIFS('BP 2020 v.I dle HAZ - MAT.'!BM:BM,'BP 2020 v.I dle HAZ - MAT.'!$B:$B,"Zdravotnické prostředky")</f>
        <v>896000</v>
      </c>
      <c r="AG26" s="98">
        <f t="shared" si="15"/>
        <v>1000</v>
      </c>
      <c r="AH26" s="99">
        <f t="shared" si="16"/>
        <v>1.0011173184357542</v>
      </c>
      <c r="AI26" s="45"/>
    </row>
    <row r="27" spans="1:35" s="46" customFormat="1" ht="30.75" customHeight="1" x14ac:dyDescent="0.25">
      <c r="A27" s="46" t="s">
        <v>431</v>
      </c>
      <c r="B27" s="46" t="s">
        <v>29</v>
      </c>
      <c r="C27" s="46" t="s">
        <v>336</v>
      </c>
      <c r="D27" s="113" t="s">
        <v>29</v>
      </c>
      <c r="E27" s="114">
        <f>-SUMIFS('BP 2020 v.I dle HAZ - MAT.'!BN:BN,'BP 2020 v.I dle HAZ - MAT.'!$B:$B,"Léky a léčiva")-K27-W27</f>
        <v>36923071.669999987</v>
      </c>
      <c r="F27" s="114">
        <v>35695000</v>
      </c>
      <c r="G27" s="341">
        <f>38470004+125000</f>
        <v>38595004</v>
      </c>
      <c r="H27" s="114">
        <f>-SUMIFS('BP 2020 v.I dle HAZ - MAT.'!BP:BP,'BP 2020 v.I dle HAZ - MAT.'!$B:$B,"Léky a léčiva")-N27-Z27</f>
        <v>39230000</v>
      </c>
      <c r="I27" s="103">
        <f t="shared" si="14"/>
        <v>634996</v>
      </c>
      <c r="J27" s="303">
        <f t="shared" si="7"/>
        <v>1.0164528030622824</v>
      </c>
      <c r="K27" s="323">
        <f>-SUMIFS('BP 2020 v.I dle HAZ - MAT.'!BN:BN,'BP 2020 v.I dle HAZ - MAT.'!$B:$B,"Léky - centra (LEK)")</f>
        <v>251134737.66</v>
      </c>
      <c r="L27" s="353">
        <v>243000000</v>
      </c>
      <c r="M27" s="115">
        <v>300000000</v>
      </c>
      <c r="N27" s="115">
        <f>-SUMIFS('BP 2020 v.I dle HAZ - MAT.'!BP:BP,'BP 2020 v.I dle HAZ - MAT.'!$B:$B,"Léky - centra (LEK)")</f>
        <v>320770000</v>
      </c>
      <c r="O27" s="105">
        <f t="shared" si="0"/>
        <v>20770000</v>
      </c>
      <c r="P27" s="106">
        <f t="shared" si="1"/>
        <v>1.0692333333333333</v>
      </c>
      <c r="Q27" s="295">
        <f>SUMIF('CL 2020 PLÁN - SOUHRN '!A:A,A27,'CL 2020 PLÁN - SOUHRN '!I:I)</f>
        <v>318271024.87000006</v>
      </c>
      <c r="R27" s="296">
        <f t="shared" si="8"/>
        <v>18271024.870000064</v>
      </c>
      <c r="S27" s="300">
        <f t="shared" si="9"/>
        <v>1.0609034162333335</v>
      </c>
      <c r="T27" s="326">
        <f t="shared" si="10"/>
        <v>-2498975.1299999356</v>
      </c>
      <c r="U27" s="329">
        <f t="shared" si="11"/>
        <v>0.99220944873273709</v>
      </c>
      <c r="V27" s="331"/>
      <c r="W27" s="317">
        <f>-SUMIFS('BP 2020 v.I dle HAZ - MAT.'!BN:BN,'BP 2020 v.I dle HAZ - MAT.'!$B:$B,"Léky - dle §16 (LEK)")</f>
        <v>8385996.3099999996</v>
      </c>
      <c r="X27" s="359">
        <v>8385000</v>
      </c>
      <c r="Y27" s="116">
        <v>10300000</v>
      </c>
      <c r="Z27" s="116">
        <f>-SUMIFS('BP 2020 v.I dle HAZ - MAT.'!BP:BP,'BP 2020 v.I dle HAZ - MAT.'!$B:$B,"Léky - dle §16 (LEK)")</f>
        <v>8000000</v>
      </c>
      <c r="AA27" s="108">
        <f t="shared" si="12"/>
        <v>-2300000</v>
      </c>
      <c r="AB27" s="314">
        <f t="shared" si="13"/>
        <v>0.77669902912621358</v>
      </c>
      <c r="AC27" s="309">
        <f>-SUMIFS('BP 2020 v.I dle HAZ - MAT.'!BN:BN,'BP 2020 v.I dle HAZ - MAT.'!$B:$B,"Zdravotnické prostředky")</f>
        <v>4525177.3</v>
      </c>
      <c r="AD27" s="361">
        <v>4498000</v>
      </c>
      <c r="AE27" s="338">
        <f>2786981+918292+789864</f>
        <v>4495137</v>
      </c>
      <c r="AF27" s="117">
        <f>-SUMIFS('BP 2020 v.I dle HAZ - MAT.'!BP:BP,'BP 2020 v.I dle HAZ - MAT.'!$B:$B,"Zdravotnické prostředky")</f>
        <v>4510000</v>
      </c>
      <c r="AG27" s="110">
        <f t="shared" si="15"/>
        <v>14863</v>
      </c>
      <c r="AH27" s="111">
        <f t="shared" si="16"/>
        <v>1.003306462072235</v>
      </c>
      <c r="AI27" s="45"/>
    </row>
    <row r="28" spans="1:35" s="46" customFormat="1" ht="30.75" customHeight="1" x14ac:dyDescent="0.25">
      <c r="A28" s="46" t="s">
        <v>432</v>
      </c>
      <c r="B28" s="46" t="s">
        <v>30</v>
      </c>
      <c r="C28" s="46" t="s">
        <v>337</v>
      </c>
      <c r="D28" s="84" t="s">
        <v>30</v>
      </c>
      <c r="E28" s="57">
        <f>-SUMIFS('BP 2020 v.I dle HAZ - MAT.'!BQ:BQ,'BP 2020 v.I dle HAZ - MAT.'!$B:$B,"Léky a léčiva")-K28-W28</f>
        <v>28203396.25</v>
      </c>
      <c r="F28" s="344">
        <v>28105000</v>
      </c>
      <c r="G28" s="342">
        <f>2100000+26005000</f>
        <v>28105000</v>
      </c>
      <c r="H28" s="57">
        <f>-SUMIFS('BP 2020 v.I dle HAZ - MAT.'!BS:BS,'BP 2020 v.I dle HAZ - MAT.'!$B:$B,"Léky a léčiva")-N28-Z28</f>
        <v>30600000</v>
      </c>
      <c r="I28" s="94">
        <f t="shared" si="14"/>
        <v>2495000</v>
      </c>
      <c r="J28" s="304">
        <f t="shared" si="7"/>
        <v>1.0887742394591711</v>
      </c>
      <c r="K28" s="322">
        <f>-SUMIFS('BP 2020 v.I dle HAZ - MAT.'!BQ:BQ,'BP 2020 v.I dle HAZ - MAT.'!$B:$B,"Léky - centra (LEK)")</f>
        <v>3347256.11</v>
      </c>
      <c r="L28" s="351">
        <v>3400000</v>
      </c>
      <c r="M28" s="64">
        <f>-SUMIFS('BP 2020 v.I dle HAZ - MAT.'!BR:BR,'BP 2020 v.I dle HAZ - MAT.'!$B:$B,"Léky - centra (LEK)")</f>
        <v>3400000</v>
      </c>
      <c r="N28" s="64">
        <f>-SUMIFS('BP 2020 v.I dle HAZ - MAT.'!BS:BS,'BP 2020 v.I dle HAZ - MAT.'!$B:$B,"Léky - centra (LEK)")</f>
        <v>7600000</v>
      </c>
      <c r="O28" s="95">
        <f t="shared" si="0"/>
        <v>4200000</v>
      </c>
      <c r="P28" s="96">
        <f t="shared" si="1"/>
        <v>2.2352941176470589</v>
      </c>
      <c r="Q28" s="295">
        <f>SUMIF('CL 2020 PLÁN - SOUHRN '!A:A,A28,'CL 2020 PLÁN - SOUHRN '!I:I)</f>
        <v>3992176.3</v>
      </c>
      <c r="R28" s="296">
        <f t="shared" si="8"/>
        <v>592176.29999999981</v>
      </c>
      <c r="S28" s="300">
        <f t="shared" si="9"/>
        <v>1.1741694999999999</v>
      </c>
      <c r="T28" s="326">
        <f t="shared" si="10"/>
        <v>-3607823.7</v>
      </c>
      <c r="U28" s="329">
        <f t="shared" si="11"/>
        <v>0.52528635526315792</v>
      </c>
      <c r="V28" s="331"/>
      <c r="W28" s="315">
        <f>-SUMIFS('BP 2020 v.I dle HAZ - MAT.'!BQ:BQ,'BP 2020 v.I dle HAZ - MAT.'!$B:$B,"Léky - dle §16 (LEK)")</f>
        <v>0</v>
      </c>
      <c r="X28" s="358">
        <v>0</v>
      </c>
      <c r="Y28" s="70">
        <f>-SUMIFS('BP 2020 v.I dle HAZ - MAT.'!BR:BR,'BP 2020 v.I dle HAZ - MAT.'!$B:$B,"Léky - dle §16 (LEK)")</f>
        <v>0</v>
      </c>
      <c r="Z28" s="70">
        <f>-SUMIFS('BP 2020 v.I dle HAZ - MAT.'!BS:BS,'BP 2020 v.I dle HAZ - MAT.'!$B:$B,"Léky - dle §16 (LEK)")</f>
        <v>0</v>
      </c>
      <c r="AA28" s="97">
        <f t="shared" si="12"/>
        <v>0</v>
      </c>
      <c r="AB28" s="316" t="str">
        <f t="shared" si="13"/>
        <v/>
      </c>
      <c r="AC28" s="308">
        <f>-SUMIFS('BP 2020 v.I dle HAZ - MAT.'!BQ:BQ,'BP 2020 v.I dle HAZ - MAT.'!$B:$B,"Zdravotnické prostředky")</f>
        <v>2996710.59</v>
      </c>
      <c r="AD28" s="308">
        <v>3020000</v>
      </c>
      <c r="AE28" s="76">
        <v>3020004</v>
      </c>
      <c r="AF28" s="76">
        <f>-SUMIFS('BP 2020 v.I dle HAZ - MAT.'!BS:BS,'BP 2020 v.I dle HAZ - MAT.'!$B:$B,"Zdravotnické prostředky")</f>
        <v>3020000</v>
      </c>
      <c r="AG28" s="98">
        <f t="shared" si="15"/>
        <v>-4</v>
      </c>
      <c r="AH28" s="99">
        <f t="shared" si="16"/>
        <v>0.99999867549844301</v>
      </c>
      <c r="AI28" s="45"/>
    </row>
    <row r="29" spans="1:35" s="46" customFormat="1" ht="30.75" customHeight="1" x14ac:dyDescent="0.25">
      <c r="A29" s="46" t="s">
        <v>433</v>
      </c>
      <c r="B29" s="46" t="s">
        <v>31</v>
      </c>
      <c r="C29" s="46" t="s">
        <v>338</v>
      </c>
      <c r="D29" s="113" t="s">
        <v>31</v>
      </c>
      <c r="E29" s="114">
        <f>-SUMIFS('BP 2020 v.I dle HAZ - MAT.'!BT:BT,'BP 2020 v.I dle HAZ - MAT.'!$B:$B,"Léky a léčiva")-K29-W29</f>
        <v>298643.05</v>
      </c>
      <c r="F29" s="114">
        <v>380000</v>
      </c>
      <c r="G29" s="341">
        <f>270000+110000</f>
        <v>380000</v>
      </c>
      <c r="H29" s="114">
        <f>-SUMIFS('BP 2020 v.I dle HAZ - MAT.'!BV:BV,'BP 2020 v.I dle HAZ - MAT.'!$B:$B,"Léky a léčiva")-N29-Z29</f>
        <v>383000</v>
      </c>
      <c r="I29" s="103">
        <f t="shared" si="14"/>
        <v>3000</v>
      </c>
      <c r="J29" s="303">
        <f t="shared" si="7"/>
        <v>1.0078947368421052</v>
      </c>
      <c r="K29" s="323">
        <f>-SUMIFS('BP 2020 v.I dle HAZ - MAT.'!BT:BT,'BP 2020 v.I dle HAZ - MAT.'!$B:$B,"Léky - centra (LEK)")</f>
        <v>0</v>
      </c>
      <c r="L29" s="353">
        <v>0</v>
      </c>
      <c r="M29" s="115">
        <f>-SUMIFS('BP 2020 v.I dle HAZ - MAT.'!BU:BU,'BP 2020 v.I dle HAZ - MAT.'!$B:$B,"Léky - centra (LEK)")</f>
        <v>0</v>
      </c>
      <c r="N29" s="115">
        <f>-SUMIFS('BP 2020 v.I dle HAZ - MAT.'!BV:BV,'BP 2020 v.I dle HAZ - MAT.'!$B:$B,"Léky - centra (LEK)")</f>
        <v>0</v>
      </c>
      <c r="O29" s="105">
        <f t="shared" si="0"/>
        <v>0</v>
      </c>
      <c r="P29" s="106" t="str">
        <f t="shared" si="1"/>
        <v/>
      </c>
      <c r="Q29" s="295">
        <f>SUMIF('CL 2020 PLÁN - SOUHRN '!A:A,A29,'CL 2020 PLÁN - SOUHRN '!I:I)</f>
        <v>0</v>
      </c>
      <c r="R29" s="296">
        <f t="shared" si="8"/>
        <v>0</v>
      </c>
      <c r="S29" s="300" t="str">
        <f t="shared" si="9"/>
        <v/>
      </c>
      <c r="T29" s="326" t="str">
        <f t="shared" si="10"/>
        <v/>
      </c>
      <c r="U29" s="329" t="str">
        <f t="shared" si="11"/>
        <v/>
      </c>
      <c r="V29" s="331"/>
      <c r="W29" s="317">
        <f>-SUMIFS('BP 2020 v.I dle HAZ - MAT.'!BT:BT,'BP 2020 v.I dle HAZ - MAT.'!$B:$B,"Léky - dle §16 (LEK)")</f>
        <v>0</v>
      </c>
      <c r="X29" s="359">
        <v>0</v>
      </c>
      <c r="Y29" s="116">
        <f>-SUMIFS('BP 2020 v.I dle HAZ - MAT.'!BU:BU,'BP 2020 v.I dle HAZ - MAT.'!$B:$B,"Léky - dle §16 (LEK)")</f>
        <v>0</v>
      </c>
      <c r="Z29" s="116">
        <f>-SUMIFS('BP 2020 v.I dle HAZ - MAT.'!BV:BV,'BP 2020 v.I dle HAZ - MAT.'!$B:$B,"Léky - dle §16 (LEK)")</f>
        <v>0</v>
      </c>
      <c r="AA29" s="108">
        <f t="shared" si="12"/>
        <v>0</v>
      </c>
      <c r="AB29" s="314" t="str">
        <f t="shared" si="13"/>
        <v/>
      </c>
      <c r="AC29" s="309">
        <f>-SUMIFS('BP 2020 v.I dle HAZ - MAT.'!BT:BT,'BP 2020 v.I dle HAZ - MAT.'!$B:$B,"Zdravotnické prostředky")</f>
        <v>3616957.77</v>
      </c>
      <c r="AD29" s="309">
        <v>3672000</v>
      </c>
      <c r="AE29" s="338">
        <v>3671988</v>
      </c>
      <c r="AF29" s="117">
        <f>-SUMIFS('BP 2020 v.I dle HAZ - MAT.'!BV:BV,'BP 2020 v.I dle HAZ - MAT.'!$B:$B,"Zdravotnické prostředky")</f>
        <v>3680500</v>
      </c>
      <c r="AG29" s="110">
        <f t="shared" si="15"/>
        <v>8512</v>
      </c>
      <c r="AH29" s="111">
        <f t="shared" si="16"/>
        <v>1.0023180903641298</v>
      </c>
      <c r="AI29" s="45"/>
    </row>
    <row r="30" spans="1:35" s="46" customFormat="1" ht="30.75" customHeight="1" x14ac:dyDescent="0.25">
      <c r="A30" s="46" t="s">
        <v>434</v>
      </c>
      <c r="B30" s="46" t="s">
        <v>32</v>
      </c>
      <c r="C30" s="46" t="s">
        <v>339</v>
      </c>
      <c r="D30" s="84" t="s">
        <v>32</v>
      </c>
      <c r="E30" s="57">
        <f>-SUMIFS('BP 2020 v.I dle HAZ - MAT.'!BW:BW,'BP 2020 v.I dle HAZ - MAT.'!$B:$B,"Léky a léčiva")-K30-W30</f>
        <v>1424770.13</v>
      </c>
      <c r="F30" s="344">
        <v>1375000</v>
      </c>
      <c r="G30" s="342">
        <f>1179996+195000</f>
        <v>1374996</v>
      </c>
      <c r="H30" s="57">
        <f>-SUMIFS('BP 2020 v.I dle HAZ - MAT.'!BY:BY,'BP 2020 v.I dle HAZ - MAT.'!$B:$B,"Léky a léčiva")-N30-Z30</f>
        <v>1550000</v>
      </c>
      <c r="I30" s="94">
        <f t="shared" si="14"/>
        <v>175004</v>
      </c>
      <c r="J30" s="304">
        <f t="shared" si="7"/>
        <v>1.1272760066211103</v>
      </c>
      <c r="K30" s="322">
        <f>-SUMIFS('BP 2020 v.I dle HAZ - MAT.'!BW:BW,'BP 2020 v.I dle HAZ - MAT.'!$B:$B,"Léky - centra (LEK)")</f>
        <v>0</v>
      </c>
      <c r="L30" s="351">
        <v>0</v>
      </c>
      <c r="M30" s="64">
        <f>-SUMIFS('BP 2020 v.I dle HAZ - MAT.'!BX:BX,'BP 2020 v.I dle HAZ - MAT.'!$B:$B,"Léky - centra (LEK)")</f>
        <v>0</v>
      </c>
      <c r="N30" s="64">
        <f>-SUMIFS('BP 2020 v.I dle HAZ - MAT.'!BY:BY,'BP 2020 v.I dle HAZ - MAT.'!$B:$B,"Léky - centra (LEK)")</f>
        <v>0</v>
      </c>
      <c r="O30" s="95">
        <f t="shared" si="0"/>
        <v>0</v>
      </c>
      <c r="P30" s="96" t="str">
        <f t="shared" si="1"/>
        <v/>
      </c>
      <c r="Q30" s="295">
        <f>SUMIF('CL 2020 PLÁN - SOUHRN '!A:A,A30,'CL 2020 PLÁN - SOUHRN '!I:I)</f>
        <v>0</v>
      </c>
      <c r="R30" s="296">
        <f t="shared" si="8"/>
        <v>0</v>
      </c>
      <c r="S30" s="300" t="str">
        <f t="shared" si="9"/>
        <v/>
      </c>
      <c r="T30" s="326" t="str">
        <f t="shared" si="10"/>
        <v/>
      </c>
      <c r="U30" s="329" t="str">
        <f t="shared" si="11"/>
        <v/>
      </c>
      <c r="V30" s="331"/>
      <c r="W30" s="315">
        <f>-SUMIFS('BP 2020 v.I dle HAZ - MAT.'!BW:BW,'BP 2020 v.I dle HAZ - MAT.'!$B:$B,"Léky - dle §16 (LEK)")</f>
        <v>0</v>
      </c>
      <c r="X30" s="358">
        <v>0</v>
      </c>
      <c r="Y30" s="70">
        <f>-SUMIFS('BP 2020 v.I dle HAZ - MAT.'!BX:BX,'BP 2020 v.I dle HAZ - MAT.'!$B:$B,"Léky - dle §16 (LEK)")</f>
        <v>0</v>
      </c>
      <c r="Z30" s="70">
        <f>-SUMIFS('BP 2020 v.I dle HAZ - MAT.'!BY:BY,'BP 2020 v.I dle HAZ - MAT.'!$B:$B,"Léky - dle §16 (LEK)")</f>
        <v>0</v>
      </c>
      <c r="AA30" s="97">
        <f t="shared" si="12"/>
        <v>0</v>
      </c>
      <c r="AB30" s="316" t="str">
        <f t="shared" si="13"/>
        <v/>
      </c>
      <c r="AC30" s="308">
        <f>-SUMIFS('BP 2020 v.I dle HAZ - MAT.'!BW:BW,'BP 2020 v.I dle HAZ - MAT.'!$B:$B,"Zdravotnické prostředky")</f>
        <v>3623727.68</v>
      </c>
      <c r="AD30" s="308">
        <v>3710000</v>
      </c>
      <c r="AE30" s="339">
        <v>3944440</v>
      </c>
      <c r="AF30" s="76">
        <f>-SUMIFS('BP 2020 v.I dle HAZ - MAT.'!BY:BY,'BP 2020 v.I dle HAZ - MAT.'!$B:$B,"Zdravotnické prostředky")</f>
        <v>4000000</v>
      </c>
      <c r="AG30" s="98">
        <f t="shared" si="15"/>
        <v>55560</v>
      </c>
      <c r="AH30" s="99">
        <f t="shared" si="16"/>
        <v>1.0140856496739714</v>
      </c>
      <c r="AI30" s="45"/>
    </row>
    <row r="31" spans="1:35" s="46" customFormat="1" ht="30.75" customHeight="1" x14ac:dyDescent="0.25">
      <c r="A31" s="46" t="s">
        <v>435</v>
      </c>
      <c r="B31" s="46" t="s">
        <v>33</v>
      </c>
      <c r="C31" s="46" t="s">
        <v>340</v>
      </c>
      <c r="D31" s="113" t="s">
        <v>33</v>
      </c>
      <c r="E31" s="114">
        <f>-SUMIFS('BP 2020 v.I dle HAZ - MAT.'!BZ:BZ,'BP 2020 v.I dle HAZ - MAT.'!$B:$B,"Léky a léčiva")-K31-W31</f>
        <v>499949.8</v>
      </c>
      <c r="F31" s="114">
        <f>535000</f>
        <v>535000</v>
      </c>
      <c r="G31" s="341">
        <f>630004+5000</f>
        <v>635004</v>
      </c>
      <c r="H31" s="114">
        <f>-SUMIFS('BP 2020 v.I dle HAZ - MAT.'!CB:CB,'BP 2020 v.I dle HAZ - MAT.'!$B:$B,"Léky a léčiva")-N31-Z31</f>
        <v>660000</v>
      </c>
      <c r="I31" s="103">
        <f t="shared" si="14"/>
        <v>24996</v>
      </c>
      <c r="J31" s="303">
        <f t="shared" si="7"/>
        <v>1.0393635315683052</v>
      </c>
      <c r="K31" s="323">
        <f>-SUMIFS('BP 2020 v.I dle HAZ - MAT.'!BZ:BZ,'BP 2020 v.I dle HAZ - MAT.'!$B:$B,"Léky - centra (LEK)")</f>
        <v>0</v>
      </c>
      <c r="L31" s="353">
        <v>0</v>
      </c>
      <c r="M31" s="115">
        <f>-SUMIFS('BP 2020 v.I dle HAZ - MAT.'!CA:CA,'BP 2020 v.I dle HAZ - MAT.'!$B:$B,"Léky - centra (LEK)")</f>
        <v>0</v>
      </c>
      <c r="N31" s="115">
        <f>-SUMIFS('BP 2020 v.I dle HAZ - MAT.'!CB:CB,'BP 2020 v.I dle HAZ - MAT.'!$B:$B,"Léky - centra (LEK)")</f>
        <v>0</v>
      </c>
      <c r="O31" s="105">
        <f t="shared" si="0"/>
        <v>0</v>
      </c>
      <c r="P31" s="106" t="str">
        <f t="shared" si="1"/>
        <v/>
      </c>
      <c r="Q31" s="295">
        <f>SUMIF('CL 2020 PLÁN - SOUHRN '!A:A,A31,'CL 2020 PLÁN - SOUHRN '!I:I)</f>
        <v>0</v>
      </c>
      <c r="R31" s="296">
        <f t="shared" si="8"/>
        <v>0</v>
      </c>
      <c r="S31" s="300" t="str">
        <f t="shared" si="9"/>
        <v/>
      </c>
      <c r="T31" s="326" t="str">
        <f t="shared" si="10"/>
        <v/>
      </c>
      <c r="U31" s="329" t="str">
        <f t="shared" si="11"/>
        <v/>
      </c>
      <c r="V31" s="331"/>
      <c r="W31" s="317">
        <f>-SUMIFS('BP 2020 v.I dle HAZ - MAT.'!BZ:BZ,'BP 2020 v.I dle HAZ - MAT.'!$B:$B,"Léky - dle §16 (LEK)")</f>
        <v>0</v>
      </c>
      <c r="X31" s="359">
        <v>0</v>
      </c>
      <c r="Y31" s="116">
        <f>-SUMIFS('BP 2020 v.I dle HAZ - MAT.'!CA:CA,'BP 2020 v.I dle HAZ - MAT.'!$B:$B,"Léky - dle §16 (LEK)")</f>
        <v>0</v>
      </c>
      <c r="Z31" s="116">
        <f>-SUMIFS('BP 2020 v.I dle HAZ - MAT.'!CB:CB,'BP 2020 v.I dle HAZ - MAT.'!$B:$B,"Léky - dle §16 (LEK)")</f>
        <v>0</v>
      </c>
      <c r="AA31" s="108">
        <f t="shared" si="12"/>
        <v>0</v>
      </c>
      <c r="AB31" s="314" t="str">
        <f t="shared" si="13"/>
        <v/>
      </c>
      <c r="AC31" s="309">
        <f>-SUMIFS('BP 2020 v.I dle HAZ - MAT.'!BZ:BZ,'BP 2020 v.I dle HAZ - MAT.'!$B:$B,"Zdravotnické prostředky")</f>
        <v>281323.93</v>
      </c>
      <c r="AD31" s="309">
        <v>290000</v>
      </c>
      <c r="AE31" s="117">
        <v>445602</v>
      </c>
      <c r="AF31" s="117">
        <f>-SUMIFS('BP 2020 v.I dle HAZ - MAT.'!CB:CB,'BP 2020 v.I dle HAZ - MAT.'!$B:$B,"Zdravotnické prostředky")</f>
        <v>529000</v>
      </c>
      <c r="AG31" s="110">
        <f t="shared" si="15"/>
        <v>83398</v>
      </c>
      <c r="AH31" s="111">
        <f t="shared" si="16"/>
        <v>1.1871580468669352</v>
      </c>
      <c r="AI31" s="45"/>
    </row>
    <row r="32" spans="1:35" s="46" customFormat="1" ht="30.75" customHeight="1" x14ac:dyDescent="0.25">
      <c r="A32" s="46" t="s">
        <v>436</v>
      </c>
      <c r="B32" s="46" t="s">
        <v>34</v>
      </c>
      <c r="C32" s="46" t="s">
        <v>341</v>
      </c>
      <c r="D32" s="84" t="s">
        <v>34</v>
      </c>
      <c r="E32" s="57">
        <f>-SUMIFS('BP 2020 v.I dle HAZ - MAT.'!CC:CC,'BP 2020 v.I dle HAZ - MAT.'!$B:$B,"Léky a léčiva")-K32-W32</f>
        <v>21633.91</v>
      </c>
      <c r="F32" s="57">
        <v>17000</v>
      </c>
      <c r="G32" s="57">
        <f>9996+7000</f>
        <v>16996</v>
      </c>
      <c r="H32" s="57">
        <f>-SUMIFS('BP 2020 v.I dle HAZ - MAT.'!CE:CE,'BP 2020 v.I dle HAZ - MAT.'!$B:$B,"Léky a léčiva")-N32-Z32</f>
        <v>20500</v>
      </c>
      <c r="I32" s="94">
        <f t="shared" si="14"/>
        <v>3504</v>
      </c>
      <c r="J32" s="304">
        <f t="shared" si="7"/>
        <v>1.2061661567427631</v>
      </c>
      <c r="K32" s="322">
        <f>-SUMIFS('BP 2020 v.I dle HAZ - MAT.'!CC:CC,'BP 2020 v.I dle HAZ - MAT.'!$B:$B,"Léky - centra (LEK)")</f>
        <v>0</v>
      </c>
      <c r="L32" s="351">
        <v>0</v>
      </c>
      <c r="M32" s="64">
        <f>-SUMIFS('BP 2020 v.I dle HAZ - MAT.'!CD:CD,'BP 2020 v.I dle HAZ - MAT.'!$B:$B,"Léky - centra (LEK)")</f>
        <v>0</v>
      </c>
      <c r="N32" s="64">
        <f>-SUMIFS('BP 2020 v.I dle HAZ - MAT.'!CE:CE,'BP 2020 v.I dle HAZ - MAT.'!$B:$B,"Léky - centra (LEK)")</f>
        <v>0</v>
      </c>
      <c r="O32" s="95">
        <f t="shared" si="0"/>
        <v>0</v>
      </c>
      <c r="P32" s="96" t="str">
        <f t="shared" si="1"/>
        <v/>
      </c>
      <c r="Q32" s="295">
        <f>SUMIF('CL 2020 PLÁN - SOUHRN '!A:A,A32,'CL 2020 PLÁN - SOUHRN '!I:I)</f>
        <v>0</v>
      </c>
      <c r="R32" s="296">
        <f t="shared" si="8"/>
        <v>0</v>
      </c>
      <c r="S32" s="300" t="str">
        <f t="shared" si="9"/>
        <v/>
      </c>
      <c r="T32" s="326" t="str">
        <f t="shared" si="10"/>
        <v/>
      </c>
      <c r="U32" s="329" t="str">
        <f t="shared" si="11"/>
        <v/>
      </c>
      <c r="V32" s="331"/>
      <c r="W32" s="315">
        <f>-SUMIFS('BP 2020 v.I dle HAZ - MAT.'!CC:CC,'BP 2020 v.I dle HAZ - MAT.'!$B:$B,"Léky - dle §16 (LEK)")</f>
        <v>0</v>
      </c>
      <c r="X32" s="358">
        <v>0</v>
      </c>
      <c r="Y32" s="70">
        <f>-SUMIFS('BP 2020 v.I dle HAZ - MAT.'!CD:CD,'BP 2020 v.I dle HAZ - MAT.'!$B:$B,"Léky - dle §16 (LEK)")</f>
        <v>0</v>
      </c>
      <c r="Z32" s="70">
        <f>-SUMIFS('BP 2020 v.I dle HAZ - MAT.'!CE:CE,'BP 2020 v.I dle HAZ - MAT.'!$B:$B,"Léky - dle §16 (LEK)")</f>
        <v>0</v>
      </c>
      <c r="AA32" s="97">
        <f t="shared" si="12"/>
        <v>0</v>
      </c>
      <c r="AB32" s="316" t="str">
        <f t="shared" si="13"/>
        <v/>
      </c>
      <c r="AC32" s="308">
        <f>-SUMIFS('BP 2020 v.I dle HAZ - MAT.'!CC:CC,'BP 2020 v.I dle HAZ - MAT.'!$B:$B,"Zdravotnické prostředky")</f>
        <v>88538.18</v>
      </c>
      <c r="AD32" s="308">
        <v>100000</v>
      </c>
      <c r="AE32" s="76">
        <v>151726</v>
      </c>
      <c r="AF32" s="76">
        <f>-SUMIFS('BP 2020 v.I dle HAZ - MAT.'!CE:CE,'BP 2020 v.I dle HAZ - MAT.'!$B:$B,"Zdravotnické prostředky")</f>
        <v>139000</v>
      </c>
      <c r="AG32" s="98">
        <f t="shared" si="15"/>
        <v>-12726</v>
      </c>
      <c r="AH32" s="99">
        <f t="shared" si="16"/>
        <v>0.91612512028261472</v>
      </c>
      <c r="AI32" s="45"/>
    </row>
    <row r="33" spans="1:35" s="46" customFormat="1" ht="30.75" customHeight="1" x14ac:dyDescent="0.25">
      <c r="A33" s="46" t="s">
        <v>437</v>
      </c>
      <c r="B33" s="46" t="s">
        <v>35</v>
      </c>
      <c r="C33" s="46" t="s">
        <v>342</v>
      </c>
      <c r="D33" s="113" t="s">
        <v>35</v>
      </c>
      <c r="E33" s="114">
        <f>-SUMIFS('BP 2020 v.I dle HAZ - MAT.'!CF:CF,'BP 2020 v.I dle HAZ - MAT.'!$B:$B,"Léky a léčiva")-K33-W33</f>
        <v>33463.67</v>
      </c>
      <c r="F33" s="114">
        <v>40000</v>
      </c>
      <c r="G33" s="114">
        <v>39996</v>
      </c>
      <c r="H33" s="114">
        <f>-SUMIFS('BP 2020 v.I dle HAZ - MAT.'!CH:CH,'BP 2020 v.I dle HAZ - MAT.'!$B:$B,"Léky a léčiva")-N33-Z33</f>
        <v>40000</v>
      </c>
      <c r="I33" s="103">
        <f t="shared" si="14"/>
        <v>4</v>
      </c>
      <c r="J33" s="303">
        <f t="shared" si="7"/>
        <v>1.000100010001</v>
      </c>
      <c r="K33" s="323">
        <f>-SUMIFS('BP 2020 v.I dle HAZ - MAT.'!CF:CF,'BP 2020 v.I dle HAZ - MAT.'!$B:$B,"Léky - centra (LEK)")</f>
        <v>0</v>
      </c>
      <c r="L33" s="353">
        <v>0</v>
      </c>
      <c r="M33" s="115">
        <f>-SUMIFS('BP 2020 v.I dle HAZ - MAT.'!CG:CG,'BP 2020 v.I dle HAZ - MAT.'!$B:$B,"Léky - centra (LEK)")</f>
        <v>0</v>
      </c>
      <c r="N33" s="115">
        <f>-SUMIFS('BP 2020 v.I dle HAZ - MAT.'!CH:CH,'BP 2020 v.I dle HAZ - MAT.'!$B:$B,"Léky - centra (LEK)")</f>
        <v>0</v>
      </c>
      <c r="O33" s="105">
        <f t="shared" si="0"/>
        <v>0</v>
      </c>
      <c r="P33" s="106" t="str">
        <f t="shared" si="1"/>
        <v/>
      </c>
      <c r="Q33" s="295">
        <f>SUMIF('CL 2020 PLÁN - SOUHRN '!A:A,A33,'CL 2020 PLÁN - SOUHRN '!I:I)</f>
        <v>0</v>
      </c>
      <c r="R33" s="296">
        <f t="shared" si="8"/>
        <v>0</v>
      </c>
      <c r="S33" s="300" t="str">
        <f t="shared" si="9"/>
        <v/>
      </c>
      <c r="T33" s="326" t="str">
        <f t="shared" si="10"/>
        <v/>
      </c>
      <c r="U33" s="329" t="str">
        <f t="shared" si="11"/>
        <v/>
      </c>
      <c r="V33" s="331"/>
      <c r="W33" s="317">
        <f>-SUMIFS('BP 2020 v.I dle HAZ - MAT.'!CF:CF,'BP 2020 v.I dle HAZ - MAT.'!$B:$B,"Léky - dle §16 (LEK)")</f>
        <v>0</v>
      </c>
      <c r="X33" s="359">
        <v>0</v>
      </c>
      <c r="Y33" s="116">
        <f>-SUMIFS('BP 2020 v.I dle HAZ - MAT.'!CG:CG,'BP 2020 v.I dle HAZ - MAT.'!$B:$B,"Léky - dle §16 (LEK)")</f>
        <v>0</v>
      </c>
      <c r="Z33" s="116">
        <f>-SUMIFS('BP 2020 v.I dle HAZ - MAT.'!CH:CH,'BP 2020 v.I dle HAZ - MAT.'!$B:$B,"Léky - dle §16 (LEK)")</f>
        <v>0</v>
      </c>
      <c r="AA33" s="108">
        <f t="shared" si="12"/>
        <v>0</v>
      </c>
      <c r="AB33" s="314" t="str">
        <f t="shared" si="13"/>
        <v/>
      </c>
      <c r="AC33" s="309">
        <f>-SUMIFS('BP 2020 v.I dle HAZ - MAT.'!CF:CF,'BP 2020 v.I dle HAZ - MAT.'!$B:$B,"Zdravotnické prostředky")</f>
        <v>4818810.4000000004</v>
      </c>
      <c r="AD33" s="361">
        <v>3625000</v>
      </c>
      <c r="AE33" s="338">
        <v>3624984</v>
      </c>
      <c r="AF33" s="117">
        <f>-SUMIFS('BP 2020 v.I dle HAZ - MAT.'!CH:CH,'BP 2020 v.I dle HAZ - MAT.'!$B:$B,"Zdravotnické prostředky")</f>
        <v>4925000</v>
      </c>
      <c r="AG33" s="110">
        <f t="shared" si="15"/>
        <v>1300016</v>
      </c>
      <c r="AH33" s="111">
        <f t="shared" si="16"/>
        <v>1.3586266863522709</v>
      </c>
      <c r="AI33" s="45"/>
    </row>
    <row r="34" spans="1:35" s="46" customFormat="1" ht="30.75" customHeight="1" x14ac:dyDescent="0.25">
      <c r="A34" s="46" t="s">
        <v>438</v>
      </c>
      <c r="B34" s="46" t="s">
        <v>36</v>
      </c>
      <c r="C34" s="46" t="s">
        <v>343</v>
      </c>
      <c r="D34" s="84" t="s">
        <v>36</v>
      </c>
      <c r="E34" s="57">
        <f>-SUMIFS('BP 2020 v.I dle HAZ - MAT.'!CI:CI,'BP 2020 v.I dle HAZ - MAT.'!$B:$B,"Léky a léčiva")-K34-W34</f>
        <v>179839.68</v>
      </c>
      <c r="F34" s="57">
        <f>180000</f>
        <v>180000</v>
      </c>
      <c r="G34" s="57">
        <v>191000</v>
      </c>
      <c r="H34" s="57">
        <f>-SUMIFS('BP 2020 v.I dle HAZ - MAT.'!CK:CK,'BP 2020 v.I dle HAZ - MAT.'!$B:$B,"Léky a léčiva")-N34-Z34</f>
        <v>210000</v>
      </c>
      <c r="I34" s="94">
        <f t="shared" si="14"/>
        <v>19000</v>
      </c>
      <c r="J34" s="304">
        <f t="shared" si="7"/>
        <v>1.0994764397905759</v>
      </c>
      <c r="K34" s="322">
        <f>-SUMIFS('BP 2020 v.I dle HAZ - MAT.'!CI:CI,'BP 2020 v.I dle HAZ - MAT.'!$B:$B,"Léky - centra (LEK)")</f>
        <v>0</v>
      </c>
      <c r="L34" s="351">
        <v>0</v>
      </c>
      <c r="M34" s="64">
        <f>-SUMIFS('BP 2020 v.I dle HAZ - MAT.'!CJ:CJ,'BP 2020 v.I dle HAZ - MAT.'!$B:$B,"Léky - centra (LEK)")</f>
        <v>500000</v>
      </c>
      <c r="N34" s="64">
        <f>-SUMIFS('BP 2020 v.I dle HAZ - MAT.'!CK:CK,'BP 2020 v.I dle HAZ - MAT.'!$B:$B,"Léky - centra (LEK)")</f>
        <v>500000</v>
      </c>
      <c r="O34" s="95">
        <f t="shared" si="0"/>
        <v>0</v>
      </c>
      <c r="P34" s="96">
        <f t="shared" si="1"/>
        <v>1</v>
      </c>
      <c r="Q34" s="295">
        <f>SUMIF('CL 2020 PLÁN - SOUHRN '!A:A,A34,'CL 2020 PLÁN - SOUHRN '!I:I)</f>
        <v>0</v>
      </c>
      <c r="R34" s="296">
        <f t="shared" si="8"/>
        <v>-500000</v>
      </c>
      <c r="S34" s="300">
        <f t="shared" si="9"/>
        <v>0</v>
      </c>
      <c r="T34" s="326">
        <f t="shared" si="10"/>
        <v>-500000</v>
      </c>
      <c r="U34" s="329">
        <f t="shared" si="11"/>
        <v>0</v>
      </c>
      <c r="V34" s="331"/>
      <c r="W34" s="315">
        <f>-SUMIFS('BP 2020 v.I dle HAZ - MAT.'!CI:CI,'BP 2020 v.I dle HAZ - MAT.'!$B:$B,"Léky - dle §16 (LEK)")</f>
        <v>0</v>
      </c>
      <c r="X34" s="358">
        <v>0</v>
      </c>
      <c r="Y34" s="70">
        <f>-SUMIFS('BP 2020 v.I dle HAZ - MAT.'!CJ:CJ,'BP 2020 v.I dle HAZ - MAT.'!$B:$B,"Léky - dle §16 (LEK)")</f>
        <v>0</v>
      </c>
      <c r="Z34" s="70">
        <f>-SUMIFS('BP 2020 v.I dle HAZ - MAT.'!CK:CK,'BP 2020 v.I dle HAZ - MAT.'!$B:$B,"Léky - dle §16 (LEK)")</f>
        <v>0</v>
      </c>
      <c r="AA34" s="97">
        <f t="shared" si="12"/>
        <v>0</v>
      </c>
      <c r="AB34" s="316" t="str">
        <f t="shared" si="13"/>
        <v/>
      </c>
      <c r="AC34" s="308">
        <f>-SUMIFS('BP 2020 v.I dle HAZ - MAT.'!CI:CI,'BP 2020 v.I dle HAZ - MAT.'!$B:$B,"Zdravotnické prostředky")</f>
        <v>2792720.83</v>
      </c>
      <c r="AD34" s="308">
        <f>3046000</f>
        <v>3046000</v>
      </c>
      <c r="AE34" s="76">
        <v>3049012</v>
      </c>
      <c r="AF34" s="76">
        <f>-SUMIFS('BP 2020 v.I dle HAZ - MAT.'!CK:CK,'BP 2020 v.I dle HAZ - MAT.'!$B:$B,"Zdravotnické prostředky")</f>
        <v>3145000</v>
      </c>
      <c r="AG34" s="98">
        <f t="shared" si="15"/>
        <v>95988</v>
      </c>
      <c r="AH34" s="99">
        <f t="shared" si="16"/>
        <v>1.0314816734076482</v>
      </c>
      <c r="AI34" s="45"/>
    </row>
    <row r="35" spans="1:35" s="46" customFormat="1" ht="30.75" customHeight="1" x14ac:dyDescent="0.25">
      <c r="A35" s="46" t="s">
        <v>441</v>
      </c>
      <c r="B35" s="46" t="s">
        <v>442</v>
      </c>
      <c r="C35" s="46" t="s">
        <v>313</v>
      </c>
      <c r="D35" s="113" t="s">
        <v>37</v>
      </c>
      <c r="E35" s="114">
        <f>-SUMIFS('BP 2020 v.I dle HAZ - MAT.'!CL:CL,'BP 2020 v.I dle HAZ - MAT.'!$B:$B,"Léky a léčiva")-K35-W35</f>
        <v>1974187.56</v>
      </c>
      <c r="F35" s="343">
        <v>2210000</v>
      </c>
      <c r="G35" s="341">
        <f>1865008+220000</f>
        <v>2085008</v>
      </c>
      <c r="H35" s="114">
        <f>-SUMIFS('BP 2020 v.I dle HAZ - MAT.'!CN:CN,'BP 2020 v.I dle HAZ - MAT.'!$B:$B,"Léky a léčiva")-N35-Z35</f>
        <v>1939000</v>
      </c>
      <c r="I35" s="103">
        <f t="shared" si="14"/>
        <v>-146008</v>
      </c>
      <c r="J35" s="303">
        <f t="shared" si="7"/>
        <v>0.92997245094503234</v>
      </c>
      <c r="K35" s="323">
        <f>-SUMIFS('BP 2020 v.I dle HAZ - MAT.'!CL:CL,'BP 2020 v.I dle HAZ - MAT.'!$B:$B,"Léky - centra (LEK)")</f>
        <v>0</v>
      </c>
      <c r="L35" s="353">
        <v>0</v>
      </c>
      <c r="M35" s="115">
        <f>-SUMIFS('BP 2020 v.I dle HAZ - MAT.'!CM:CM,'BP 2020 v.I dle HAZ - MAT.'!$B:$B,"Léky - centra (LEK)")</f>
        <v>0</v>
      </c>
      <c r="N35" s="115">
        <f>-SUMIFS('BP 2020 v.I dle HAZ - MAT.'!CN:CN,'BP 2020 v.I dle HAZ - MAT.'!$B:$B,"Léky - centra (LEK)")</f>
        <v>0</v>
      </c>
      <c r="O35" s="105">
        <f t="shared" si="0"/>
        <v>0</v>
      </c>
      <c r="P35" s="106" t="str">
        <f t="shared" si="1"/>
        <v/>
      </c>
      <c r="Q35" s="295">
        <f>SUMIF('CL 2020 PLÁN - SOUHRN '!A:A,A35,'CL 2020 PLÁN - SOUHRN '!I:I)</f>
        <v>0</v>
      </c>
      <c r="R35" s="296">
        <f t="shared" si="8"/>
        <v>0</v>
      </c>
      <c r="S35" s="300" t="str">
        <f t="shared" si="9"/>
        <v/>
      </c>
      <c r="T35" s="326" t="str">
        <f t="shared" si="10"/>
        <v/>
      </c>
      <c r="U35" s="329" t="str">
        <f t="shared" si="11"/>
        <v/>
      </c>
      <c r="V35" s="331"/>
      <c r="W35" s="317">
        <f>-SUMIFS('BP 2020 v.I dle HAZ - MAT.'!CL:CL,'BP 2020 v.I dle HAZ - MAT.'!$B:$B,"Léky - dle §16 (LEK)")</f>
        <v>0</v>
      </c>
      <c r="X35" s="359">
        <v>0</v>
      </c>
      <c r="Y35" s="116">
        <f>-SUMIFS('BP 2020 v.I dle HAZ - MAT.'!CM:CM,'BP 2020 v.I dle HAZ - MAT.'!$B:$B,"Léky - dle §16 (LEK)")</f>
        <v>0</v>
      </c>
      <c r="Z35" s="116">
        <f>-SUMIFS('BP 2020 v.I dle HAZ - MAT.'!CN:CN,'BP 2020 v.I dle HAZ - MAT.'!$B:$B,"Léky - dle §16 (LEK)")</f>
        <v>0</v>
      </c>
      <c r="AA35" s="108">
        <f t="shared" si="12"/>
        <v>0</v>
      </c>
      <c r="AB35" s="314" t="str">
        <f t="shared" si="13"/>
        <v/>
      </c>
      <c r="AC35" s="309">
        <f>-SUMIFS('BP 2020 v.I dle HAZ - MAT.'!CL:CL,'BP 2020 v.I dle HAZ - MAT.'!$B:$B,"Zdravotnické prostředky")</f>
        <v>15697876.869999999</v>
      </c>
      <c r="AD35" s="309">
        <v>15819000</v>
      </c>
      <c r="AE35" s="117">
        <v>15954702</v>
      </c>
      <c r="AF35" s="117">
        <f>-SUMIFS('BP 2020 v.I dle HAZ - MAT.'!CN:CN,'BP 2020 v.I dle HAZ - MAT.'!$B:$B,"Zdravotnické prostředky")</f>
        <v>15698250</v>
      </c>
      <c r="AG35" s="110">
        <f t="shared" si="15"/>
        <v>-256452</v>
      </c>
      <c r="AH35" s="111">
        <f t="shared" si="16"/>
        <v>0.9839262431852378</v>
      </c>
      <c r="AI35" s="45"/>
    </row>
    <row r="36" spans="1:35" s="46" customFormat="1" ht="30.75" customHeight="1" x14ac:dyDescent="0.25">
      <c r="A36" s="46" t="s">
        <v>443</v>
      </c>
      <c r="B36" s="46" t="s">
        <v>38</v>
      </c>
      <c r="C36" s="46" t="s">
        <v>344</v>
      </c>
      <c r="D36" s="84" t="s">
        <v>38</v>
      </c>
      <c r="E36" s="57">
        <f>-SUMIFS('BP 2020 v.I dle HAZ - MAT.'!CO:CO,'BP 2020 v.I dle HAZ - MAT.'!$B:$B,"Léky a léčiva")-K36-W36</f>
        <v>79569271.439999998</v>
      </c>
      <c r="F36" s="345">
        <v>76180000</v>
      </c>
      <c r="G36" s="342">
        <f>42563988+32065000</f>
        <v>74628988</v>
      </c>
      <c r="H36" s="57">
        <f>-SUMIFS('BP 2020 v.I dle HAZ - MAT.'!CQ:CQ,'BP 2020 v.I dle HAZ - MAT.'!$B:$B,"Léky a léčiva")-N36-Z36</f>
        <v>97835000</v>
      </c>
      <c r="I36" s="94">
        <f t="shared" si="14"/>
        <v>23206012</v>
      </c>
      <c r="J36" s="304">
        <f t="shared" si="7"/>
        <v>1.3109517175819134</v>
      </c>
      <c r="K36" s="322">
        <f>-SUMIFS('BP 2020 v.I dle HAZ - MAT.'!CO:CO,'BP 2020 v.I dle HAZ - MAT.'!$B:$B,"Léky - centra (LEK)")</f>
        <v>206153890.78</v>
      </c>
      <c r="L36" s="351">
        <v>206200000</v>
      </c>
      <c r="M36" s="340">
        <v>252000000</v>
      </c>
      <c r="N36" s="64">
        <f>-SUMIFS('BP 2020 v.I dle HAZ - MAT.'!CQ:CQ,'BP 2020 v.I dle HAZ - MAT.'!$B:$B,"Léky - centra (LEK)")</f>
        <v>300000000</v>
      </c>
      <c r="O36" s="95">
        <f t="shared" si="0"/>
        <v>48000000</v>
      </c>
      <c r="P36" s="96">
        <f t="shared" si="1"/>
        <v>1.1904761904761905</v>
      </c>
      <c r="Q36" s="295">
        <f>SUMIF('CL 2020 PLÁN - SOUHRN '!A:A,A36,'CL 2020 PLÁN - SOUHRN '!I:I)</f>
        <v>260058672.053</v>
      </c>
      <c r="R36" s="296">
        <f t="shared" si="8"/>
        <v>8058672.0530000031</v>
      </c>
      <c r="S36" s="300">
        <f t="shared" si="9"/>
        <v>1.0319788573531745</v>
      </c>
      <c r="T36" s="326">
        <f t="shared" si="10"/>
        <v>-39941327.946999997</v>
      </c>
      <c r="U36" s="329">
        <f t="shared" si="11"/>
        <v>0.86686224017666669</v>
      </c>
      <c r="V36" s="331"/>
      <c r="W36" s="315">
        <f>-SUMIFS('BP 2020 v.I dle HAZ - MAT.'!CO:CO,'BP 2020 v.I dle HAZ - MAT.'!$B:$B,"Léky - dle §16 (LEK)")</f>
        <v>50744368.340000004</v>
      </c>
      <c r="X36" s="358">
        <v>50700000</v>
      </c>
      <c r="Y36" s="70">
        <v>28645896</v>
      </c>
      <c r="Z36" s="70">
        <f>-SUMIFS('BP 2020 v.I dle HAZ - MAT.'!CQ:CQ,'BP 2020 v.I dle HAZ - MAT.'!$B:$B,"Léky - dle §16 (LEK)")</f>
        <v>40000000</v>
      </c>
      <c r="AA36" s="97">
        <f t="shared" si="12"/>
        <v>11354104</v>
      </c>
      <c r="AB36" s="316">
        <f t="shared" si="13"/>
        <v>1.3963605816344513</v>
      </c>
      <c r="AC36" s="308">
        <f>-SUMIFS('BP 2020 v.I dle HAZ - MAT.'!CO:CO,'BP 2020 v.I dle HAZ - MAT.'!$B:$B,"Zdravotnické prostředky")</f>
        <v>36813631.859999999</v>
      </c>
      <c r="AD36" s="308">
        <v>36933000</v>
      </c>
      <c r="AE36" s="76">
        <f>38191952+5622</f>
        <v>38197574</v>
      </c>
      <c r="AF36" s="76">
        <f>-SUMIFS('BP 2020 v.I dle HAZ - MAT.'!CQ:CQ,'BP 2020 v.I dle HAZ - MAT.'!$B:$B,"Zdravotnické prostředky")</f>
        <v>42946320.999999903</v>
      </c>
      <c r="AG36" s="98">
        <f t="shared" si="15"/>
        <v>4748746.9999999031</v>
      </c>
      <c r="AH36" s="99">
        <f t="shared" si="16"/>
        <v>1.1243206440283329</v>
      </c>
      <c r="AI36" s="45"/>
    </row>
    <row r="37" spans="1:35" s="46" customFormat="1" ht="30.75" customHeight="1" x14ac:dyDescent="0.25">
      <c r="A37" s="46" t="s">
        <v>444</v>
      </c>
      <c r="B37" s="46" t="s">
        <v>39</v>
      </c>
      <c r="C37" s="46" t="s">
        <v>345</v>
      </c>
      <c r="D37" s="113" t="s">
        <v>39</v>
      </c>
      <c r="E37" s="114">
        <f>-SUMIFS('BP 2020 v.I dle HAZ - MAT.'!CR:CR,'BP 2020 v.I dle HAZ - MAT.'!$B:$B,"Léky a léčiva")-K37-W37</f>
        <v>9920.4599999999991</v>
      </c>
      <c r="F37" s="346">
        <v>15000</v>
      </c>
      <c r="G37" s="114">
        <v>15000</v>
      </c>
      <c r="H37" s="114">
        <f>-SUMIFS('BP 2020 v.I dle HAZ - MAT.'!CT:CT,'BP 2020 v.I dle HAZ - MAT.'!$B:$B,"Léky a léčiva")-N37-Z37</f>
        <v>10000</v>
      </c>
      <c r="I37" s="103">
        <f t="shared" si="14"/>
        <v>-5000</v>
      </c>
      <c r="J37" s="303">
        <f t="shared" si="7"/>
        <v>0.66666666666666663</v>
      </c>
      <c r="K37" s="323">
        <f>-SUMIFS('BP 2020 v.I dle HAZ - MAT.'!CR:CR,'BP 2020 v.I dle HAZ - MAT.'!$B:$B,"Léky - centra (LEK)")</f>
        <v>0</v>
      </c>
      <c r="L37" s="353">
        <v>0</v>
      </c>
      <c r="M37" s="115">
        <f>-SUMIFS('BP 2020 v.I dle HAZ - MAT.'!CS:CS,'BP 2020 v.I dle HAZ - MAT.'!$B:$B,"Léky - centra (LEK)")</f>
        <v>0</v>
      </c>
      <c r="N37" s="115">
        <f>-SUMIFS('BP 2020 v.I dle HAZ - MAT.'!CT:CT,'BP 2020 v.I dle HAZ - MAT.'!$B:$B,"Léky - centra (LEK)")</f>
        <v>0</v>
      </c>
      <c r="O37" s="105">
        <f t="shared" si="0"/>
        <v>0</v>
      </c>
      <c r="P37" s="106" t="str">
        <f t="shared" si="1"/>
        <v/>
      </c>
      <c r="Q37" s="295">
        <f>SUMIF('CL 2020 PLÁN - SOUHRN '!A:A,A37,'CL 2020 PLÁN - SOUHRN '!I:I)</f>
        <v>0</v>
      </c>
      <c r="R37" s="296">
        <f t="shared" si="8"/>
        <v>0</v>
      </c>
      <c r="S37" s="300" t="str">
        <f t="shared" si="9"/>
        <v/>
      </c>
      <c r="T37" s="326" t="str">
        <f t="shared" si="10"/>
        <v/>
      </c>
      <c r="U37" s="329" t="str">
        <f t="shared" si="11"/>
        <v/>
      </c>
      <c r="V37" s="331"/>
      <c r="W37" s="317">
        <f>-SUMIFS('BP 2020 v.I dle HAZ - MAT.'!CR:CR,'BP 2020 v.I dle HAZ - MAT.'!$B:$B,"Léky - dle §16 (LEK)")</f>
        <v>0</v>
      </c>
      <c r="X37" s="359">
        <v>0</v>
      </c>
      <c r="Y37" s="116">
        <f>-SUMIFS('BP 2020 v.I dle HAZ - MAT.'!CS:CS,'BP 2020 v.I dle HAZ - MAT.'!$B:$B,"Léky - dle §16 (LEK)")</f>
        <v>0</v>
      </c>
      <c r="Z37" s="116">
        <f>-SUMIFS('BP 2020 v.I dle HAZ - MAT.'!CT:CT,'BP 2020 v.I dle HAZ - MAT.'!$B:$B,"Léky - dle §16 (LEK)")</f>
        <v>0</v>
      </c>
      <c r="AA37" s="108">
        <f t="shared" si="12"/>
        <v>0</v>
      </c>
      <c r="AB37" s="314" t="str">
        <f t="shared" si="13"/>
        <v/>
      </c>
      <c r="AC37" s="309">
        <f>-SUMIFS('BP 2020 v.I dle HAZ - MAT.'!CR:CR,'BP 2020 v.I dle HAZ - MAT.'!$B:$B,"Zdravotnické prostředky")</f>
        <v>67008474.32</v>
      </c>
      <c r="AD37" s="309">
        <f>65313000</f>
        <v>65313000</v>
      </c>
      <c r="AE37" s="117">
        <v>70763012</v>
      </c>
      <c r="AF37" s="117">
        <f>-SUMIFS('BP 2020 v.I dle HAZ - MAT.'!CT:CT,'BP 2020 v.I dle HAZ - MAT.'!$B:$B,"Zdravotnické prostředky")</f>
        <v>71713000</v>
      </c>
      <c r="AG37" s="110">
        <f t="shared" si="15"/>
        <v>949988</v>
      </c>
      <c r="AH37" s="111">
        <f t="shared" si="16"/>
        <v>1.0134249231787928</v>
      </c>
      <c r="AI37" s="45"/>
    </row>
    <row r="38" spans="1:35" s="46" customFormat="1" ht="30.75" customHeight="1" x14ac:dyDescent="0.25">
      <c r="A38" s="46" t="s">
        <v>445</v>
      </c>
      <c r="B38" s="46" t="s">
        <v>40</v>
      </c>
      <c r="C38" s="46" t="s">
        <v>346</v>
      </c>
      <c r="D38" s="84" t="s">
        <v>40</v>
      </c>
      <c r="E38" s="57">
        <f>-SUMIFS('BP 2020 v.I dle HAZ - MAT.'!CU:CU,'BP 2020 v.I dle HAZ - MAT.'!$B:$B,"Léky a léčiva")-K38-W38</f>
        <v>7290948.29</v>
      </c>
      <c r="F38" s="344">
        <v>7483000</v>
      </c>
      <c r="G38" s="342">
        <f>7407988+25000</f>
        <v>7432988</v>
      </c>
      <c r="H38" s="57">
        <f>-SUMIFS('BP 2020 v.I dle HAZ - MAT.'!CW:CW,'BP 2020 v.I dle HAZ - MAT.'!$B:$B,"Léky a léčiva")-N38-Z38</f>
        <v>7617000</v>
      </c>
      <c r="I38" s="94">
        <f t="shared" si="14"/>
        <v>184012</v>
      </c>
      <c r="J38" s="304">
        <f t="shared" si="7"/>
        <v>1.0247561276837793</v>
      </c>
      <c r="K38" s="322">
        <f>-SUMIFS('BP 2020 v.I dle HAZ - MAT.'!CU:CU,'BP 2020 v.I dle HAZ - MAT.'!$B:$B,"Léky - centra (LEK)")</f>
        <v>0</v>
      </c>
      <c r="L38" s="351">
        <v>0</v>
      </c>
      <c r="M38" s="64">
        <f>-SUMIFS('BP 2020 v.I dle HAZ - MAT.'!CV:CV,'BP 2020 v.I dle HAZ - MAT.'!$B:$B,"Léky - centra (LEK)")</f>
        <v>0</v>
      </c>
      <c r="N38" s="64">
        <f>-SUMIFS('BP 2020 v.I dle HAZ - MAT.'!CW:CW,'BP 2020 v.I dle HAZ - MAT.'!$B:$B,"Léky - centra (LEK)")</f>
        <v>0</v>
      </c>
      <c r="O38" s="95">
        <f t="shared" si="0"/>
        <v>0</v>
      </c>
      <c r="P38" s="96" t="str">
        <f t="shared" si="1"/>
        <v/>
      </c>
      <c r="Q38" s="295">
        <f>SUMIF('CL 2020 PLÁN - SOUHRN '!A:A,A38,'CL 2020 PLÁN - SOUHRN '!I:I)</f>
        <v>0</v>
      </c>
      <c r="R38" s="296">
        <f t="shared" si="8"/>
        <v>0</v>
      </c>
      <c r="S38" s="300" t="str">
        <f t="shared" si="9"/>
        <v/>
      </c>
      <c r="T38" s="326" t="str">
        <f t="shared" si="10"/>
        <v/>
      </c>
      <c r="U38" s="329" t="str">
        <f t="shared" si="11"/>
        <v/>
      </c>
      <c r="V38" s="331"/>
      <c r="W38" s="315">
        <f>-SUMIFS('BP 2020 v.I dle HAZ - MAT.'!CU:CU,'BP 2020 v.I dle HAZ - MAT.'!$B:$B,"Léky - dle §16 (LEK)")</f>
        <v>0</v>
      </c>
      <c r="X38" s="358">
        <v>0</v>
      </c>
      <c r="Y38" s="70">
        <f>-SUMIFS('BP 2020 v.I dle HAZ - MAT.'!CV:CV,'BP 2020 v.I dle HAZ - MAT.'!$B:$B,"Léky - dle §16 (LEK)")</f>
        <v>0</v>
      </c>
      <c r="Z38" s="70">
        <f>-SUMIFS('BP 2020 v.I dle HAZ - MAT.'!CW:CW,'BP 2020 v.I dle HAZ - MAT.'!$B:$B,"Léky - dle §16 (LEK)")</f>
        <v>0</v>
      </c>
      <c r="AA38" s="97">
        <f t="shared" si="12"/>
        <v>0</v>
      </c>
      <c r="AB38" s="316" t="str">
        <f t="shared" si="13"/>
        <v/>
      </c>
      <c r="AC38" s="308">
        <f>-SUMIFS('BP 2020 v.I dle HAZ - MAT.'!CU:CU,'BP 2020 v.I dle HAZ - MAT.'!$B:$B,"Zdravotnické prostředky")</f>
        <v>52193499.25</v>
      </c>
      <c r="AD38" s="308">
        <v>51596000</v>
      </c>
      <c r="AE38" s="76">
        <v>53098996</v>
      </c>
      <c r="AF38" s="76">
        <f>-SUMIFS('BP 2020 v.I dle HAZ - MAT.'!CW:CW,'BP 2020 v.I dle HAZ - MAT.'!$B:$B,"Zdravotnické prostředky")</f>
        <v>58533000</v>
      </c>
      <c r="AG38" s="98">
        <f t="shared" si="15"/>
        <v>5434004</v>
      </c>
      <c r="AH38" s="99">
        <f t="shared" si="16"/>
        <v>1.1023372268658338</v>
      </c>
      <c r="AI38" s="45"/>
    </row>
    <row r="39" spans="1:35" s="46" customFormat="1" ht="30.75" customHeight="1" x14ac:dyDescent="0.25">
      <c r="A39" s="46" t="s">
        <v>446</v>
      </c>
      <c r="B39" s="46" t="s">
        <v>41</v>
      </c>
      <c r="C39" s="46" t="s">
        <v>347</v>
      </c>
      <c r="D39" s="113" t="s">
        <v>41</v>
      </c>
      <c r="E39" s="114">
        <f>-SUMIFS('BP 2020 v.I dle HAZ - MAT.'!CX:CX,'BP 2020 v.I dle HAZ - MAT.'!$B:$B,"Léky a léčiva")-K39-W39</f>
        <v>129407</v>
      </c>
      <c r="F39" s="114">
        <v>120000</v>
      </c>
      <c r="G39" s="114">
        <f>90000+30000</f>
        <v>120000</v>
      </c>
      <c r="H39" s="114">
        <f>-SUMIFS('BP 2020 v.I dle HAZ - MAT.'!CZ:CZ,'BP 2020 v.I dle HAZ - MAT.'!$B:$B,"Léky a léčiva")-N39-Z39</f>
        <v>100000</v>
      </c>
      <c r="I39" s="103">
        <f t="shared" si="14"/>
        <v>-20000</v>
      </c>
      <c r="J39" s="303">
        <f t="shared" si="7"/>
        <v>0.83333333333333337</v>
      </c>
      <c r="K39" s="323">
        <f>-SUMIFS('BP 2020 v.I dle HAZ - MAT.'!CX:CX,'BP 2020 v.I dle HAZ - MAT.'!$B:$B,"Léky - centra (LEK)")</f>
        <v>0</v>
      </c>
      <c r="L39" s="353">
        <v>0</v>
      </c>
      <c r="M39" s="115">
        <f>-SUMIFS('BP 2020 v.I dle HAZ - MAT.'!CY:CY,'BP 2020 v.I dle HAZ - MAT.'!$B:$B,"Léky - centra (LEK)")</f>
        <v>0</v>
      </c>
      <c r="N39" s="115">
        <f>-SUMIFS('BP 2020 v.I dle HAZ - MAT.'!CZ:CZ,'BP 2020 v.I dle HAZ - MAT.'!$B:$B,"Léky - centra (LEK)")</f>
        <v>0</v>
      </c>
      <c r="O39" s="105">
        <f t="shared" ref="O39:O70" si="17">N39-M39</f>
        <v>0</v>
      </c>
      <c r="P39" s="106" t="str">
        <f t="shared" ref="P39:P70" si="18">IF(M39=0,"",N39/M39)</f>
        <v/>
      </c>
      <c r="Q39" s="295">
        <f>SUMIF('CL 2020 PLÁN - SOUHRN '!A:A,A39,'CL 2020 PLÁN - SOUHRN '!I:I)</f>
        <v>0</v>
      </c>
      <c r="R39" s="296">
        <f t="shared" si="8"/>
        <v>0</v>
      </c>
      <c r="S39" s="300" t="str">
        <f t="shared" si="9"/>
        <v/>
      </c>
      <c r="T39" s="326" t="str">
        <f t="shared" si="10"/>
        <v/>
      </c>
      <c r="U39" s="329" t="str">
        <f t="shared" si="11"/>
        <v/>
      </c>
      <c r="V39" s="331"/>
      <c r="W39" s="317">
        <f>-SUMIFS('BP 2020 v.I dle HAZ - MAT.'!CX:CX,'BP 2020 v.I dle HAZ - MAT.'!$B:$B,"Léky - dle §16 (LEK)")</f>
        <v>0</v>
      </c>
      <c r="X39" s="359">
        <v>0</v>
      </c>
      <c r="Y39" s="116">
        <f>-SUMIFS('BP 2020 v.I dle HAZ - MAT.'!CY:CY,'BP 2020 v.I dle HAZ - MAT.'!$B:$B,"Léky - dle §16 (LEK)")</f>
        <v>0</v>
      </c>
      <c r="Z39" s="116">
        <f>-SUMIFS('BP 2020 v.I dle HAZ - MAT.'!CZ:CZ,'BP 2020 v.I dle HAZ - MAT.'!$B:$B,"Léky - dle §16 (LEK)")</f>
        <v>0</v>
      </c>
      <c r="AA39" s="108">
        <f t="shared" si="12"/>
        <v>0</v>
      </c>
      <c r="AB39" s="314" t="str">
        <f t="shared" si="13"/>
        <v/>
      </c>
      <c r="AC39" s="309">
        <f>-SUMIFS('BP 2020 v.I dle HAZ - MAT.'!CX:CX,'BP 2020 v.I dle HAZ - MAT.'!$B:$B,"Zdravotnické prostředky")</f>
        <v>41296856.369999997</v>
      </c>
      <c r="AD39" s="309">
        <f>43185000</f>
        <v>43185000</v>
      </c>
      <c r="AE39" s="117">
        <v>41746159</v>
      </c>
      <c r="AF39" s="117">
        <f>-SUMIFS('BP 2020 v.I dle HAZ - MAT.'!CZ:CZ,'BP 2020 v.I dle HAZ - MAT.'!$B:$B,"Zdravotnické prostředky")</f>
        <v>41500000</v>
      </c>
      <c r="AG39" s="110">
        <f t="shared" si="15"/>
        <v>-246159</v>
      </c>
      <c r="AH39" s="111">
        <f t="shared" si="16"/>
        <v>0.99410343356379205</v>
      </c>
      <c r="AI39" s="45"/>
    </row>
    <row r="40" spans="1:35" s="46" customFormat="1" ht="30.75" customHeight="1" x14ac:dyDescent="0.25">
      <c r="A40" s="46" t="s">
        <v>447</v>
      </c>
      <c r="B40" s="46" t="s">
        <v>42</v>
      </c>
      <c r="C40" s="46" t="s">
        <v>348</v>
      </c>
      <c r="D40" s="84" t="s">
        <v>42</v>
      </c>
      <c r="E40" s="57">
        <f>-SUMIFS('BP 2020 v.I dle HAZ - MAT.'!DA:DA,'BP 2020 v.I dle HAZ - MAT.'!$B:$B,"Léky a léčiva")-K40-W40</f>
        <v>0</v>
      </c>
      <c r="F40" s="57">
        <v>0</v>
      </c>
      <c r="G40" s="57">
        <v>0</v>
      </c>
      <c r="H40" s="57">
        <f>-SUMIFS('BP 2020 v.I dle HAZ - MAT.'!DC:DC,'BP 2020 v.I dle HAZ - MAT.'!$B:$B,"Léky a léčiva")-N40-Z40</f>
        <v>0</v>
      </c>
      <c r="I40" s="94">
        <f t="shared" si="14"/>
        <v>0</v>
      </c>
      <c r="J40" s="304" t="str">
        <f t="shared" si="7"/>
        <v/>
      </c>
      <c r="K40" s="322">
        <f>-SUMIFS('BP 2020 v.I dle HAZ - MAT.'!DA:DA,'BP 2020 v.I dle HAZ - MAT.'!$B:$B,"Léky - centra (LEK)")</f>
        <v>0</v>
      </c>
      <c r="L40" s="351">
        <v>0</v>
      </c>
      <c r="M40" s="64">
        <f>-SUMIFS('BP 2020 v.I dle HAZ - MAT.'!DB:DB,'BP 2020 v.I dle HAZ - MAT.'!$B:$B,"Léky - centra (LEK)")</f>
        <v>0</v>
      </c>
      <c r="N40" s="64">
        <f>-SUMIFS('BP 2020 v.I dle HAZ - MAT.'!DC:DC,'BP 2020 v.I dle HAZ - MAT.'!$B:$B,"Léky - centra (LEK)")</f>
        <v>0</v>
      </c>
      <c r="O40" s="95">
        <f t="shared" si="17"/>
        <v>0</v>
      </c>
      <c r="P40" s="96" t="str">
        <f t="shared" si="18"/>
        <v/>
      </c>
      <c r="Q40" s="295">
        <f>SUMIF('CL 2020 PLÁN - SOUHRN '!A:A,A40,'CL 2020 PLÁN - SOUHRN '!I:I)</f>
        <v>0</v>
      </c>
      <c r="R40" s="296">
        <f t="shared" si="8"/>
        <v>0</v>
      </c>
      <c r="S40" s="300" t="str">
        <f t="shared" si="9"/>
        <v/>
      </c>
      <c r="T40" s="326" t="str">
        <f t="shared" si="10"/>
        <v/>
      </c>
      <c r="U40" s="329" t="str">
        <f t="shared" si="11"/>
        <v/>
      </c>
      <c r="V40" s="331"/>
      <c r="W40" s="315">
        <f>-SUMIFS('BP 2020 v.I dle HAZ - MAT.'!DA:DA,'BP 2020 v.I dle HAZ - MAT.'!$B:$B,"Léky - dle §16 (LEK)")</f>
        <v>0</v>
      </c>
      <c r="X40" s="358">
        <v>0</v>
      </c>
      <c r="Y40" s="70">
        <f>-SUMIFS('BP 2020 v.I dle HAZ - MAT.'!DB:DB,'BP 2020 v.I dle HAZ - MAT.'!$B:$B,"Léky - dle §16 (LEK)")</f>
        <v>0</v>
      </c>
      <c r="Z40" s="70">
        <f>-SUMIFS('BP 2020 v.I dle HAZ - MAT.'!DC:DC,'BP 2020 v.I dle HAZ - MAT.'!$B:$B,"Léky - dle §16 (LEK)")</f>
        <v>0</v>
      </c>
      <c r="AA40" s="97">
        <f t="shared" si="12"/>
        <v>0</v>
      </c>
      <c r="AB40" s="316" t="str">
        <f t="shared" si="13"/>
        <v/>
      </c>
      <c r="AC40" s="308">
        <f>-SUMIFS('BP 2020 v.I dle HAZ - MAT.'!DA:DA,'BP 2020 v.I dle HAZ - MAT.'!$B:$B,"Zdravotnické prostředky")</f>
        <v>0</v>
      </c>
      <c r="AD40" s="308">
        <v>0</v>
      </c>
      <c r="AE40" s="76">
        <f>-SUMIFS('BP 2020 v.I dle HAZ - MAT.'!DB:DB,'BP 2020 v.I dle HAZ - MAT.'!$B:$B,"Zdravotnické prostředky")</f>
        <v>0</v>
      </c>
      <c r="AF40" s="76">
        <f>-SUMIFS('BP 2020 v.I dle HAZ - MAT.'!DC:DC,'BP 2020 v.I dle HAZ - MAT.'!$B:$B,"Zdravotnické prostředky")</f>
        <v>0</v>
      </c>
      <c r="AG40" s="98">
        <f t="shared" si="15"/>
        <v>0</v>
      </c>
      <c r="AH40" s="99" t="str">
        <f t="shared" si="16"/>
        <v/>
      </c>
      <c r="AI40" s="45"/>
    </row>
    <row r="41" spans="1:35" s="46" customFormat="1" ht="30.75" customHeight="1" x14ac:dyDescent="0.25">
      <c r="A41" s="46" t="s">
        <v>448</v>
      </c>
      <c r="B41" s="46" t="s">
        <v>43</v>
      </c>
      <c r="C41" s="46" t="s">
        <v>349</v>
      </c>
      <c r="D41" s="113" t="s">
        <v>43</v>
      </c>
      <c r="E41" s="114">
        <f>-SUMIFS('BP 2020 v.I dle HAZ - MAT.'!DD:DD,'BP 2020 v.I dle HAZ - MAT.'!$B:$B,"Léky a léčiva")-K41-W41</f>
        <v>172026.81</v>
      </c>
      <c r="F41" s="114">
        <v>180000</v>
      </c>
      <c r="G41" s="114">
        <v>180000</v>
      </c>
      <c r="H41" s="114">
        <f>-SUMIFS('BP 2020 v.I dle HAZ - MAT.'!DF:DF,'BP 2020 v.I dle HAZ - MAT.'!$B:$B,"Léky a léčiva")-N41-Z41</f>
        <v>180000</v>
      </c>
      <c r="I41" s="103">
        <f t="shared" si="14"/>
        <v>0</v>
      </c>
      <c r="J41" s="303">
        <f t="shared" si="7"/>
        <v>1</v>
      </c>
      <c r="K41" s="323">
        <f>-SUMIFS('BP 2020 v.I dle HAZ - MAT.'!DD:DD,'BP 2020 v.I dle HAZ - MAT.'!$B:$B,"Léky - centra (LEK)")</f>
        <v>0</v>
      </c>
      <c r="L41" s="353">
        <v>0</v>
      </c>
      <c r="M41" s="115">
        <f>-SUMIFS('BP 2020 v.I dle HAZ - MAT.'!DE:DE,'BP 2020 v.I dle HAZ - MAT.'!$B:$B,"Léky - centra (LEK)")</f>
        <v>0</v>
      </c>
      <c r="N41" s="115">
        <f>-SUMIFS('BP 2020 v.I dle HAZ - MAT.'!DF:DF,'BP 2020 v.I dle HAZ - MAT.'!$B:$B,"Léky - centra (LEK)")</f>
        <v>0</v>
      </c>
      <c r="O41" s="105">
        <f t="shared" si="17"/>
        <v>0</v>
      </c>
      <c r="P41" s="106" t="str">
        <f t="shared" si="18"/>
        <v/>
      </c>
      <c r="Q41" s="295">
        <f>SUMIF('CL 2020 PLÁN - SOUHRN '!A:A,A41,'CL 2020 PLÁN - SOUHRN '!I:I)</f>
        <v>0</v>
      </c>
      <c r="R41" s="296">
        <f t="shared" si="8"/>
        <v>0</v>
      </c>
      <c r="S41" s="300" t="str">
        <f t="shared" si="9"/>
        <v/>
      </c>
      <c r="T41" s="326" t="str">
        <f t="shared" si="10"/>
        <v/>
      </c>
      <c r="U41" s="329" t="str">
        <f t="shared" si="11"/>
        <v/>
      </c>
      <c r="V41" s="331"/>
      <c r="W41" s="317">
        <f>-SUMIFS('BP 2020 v.I dle HAZ - MAT.'!DD:DD,'BP 2020 v.I dle HAZ - MAT.'!$B:$B,"Léky - dle §16 (LEK)")</f>
        <v>0</v>
      </c>
      <c r="X41" s="359">
        <v>0</v>
      </c>
      <c r="Y41" s="116">
        <f>-SUMIFS('BP 2020 v.I dle HAZ - MAT.'!DE:DE,'BP 2020 v.I dle HAZ - MAT.'!$B:$B,"Léky - dle §16 (LEK)")</f>
        <v>0</v>
      </c>
      <c r="Z41" s="116">
        <f>-SUMIFS('BP 2020 v.I dle HAZ - MAT.'!DF:DF,'BP 2020 v.I dle HAZ - MAT.'!$B:$B,"Léky - dle §16 (LEK)")</f>
        <v>0</v>
      </c>
      <c r="AA41" s="108">
        <f t="shared" si="12"/>
        <v>0</v>
      </c>
      <c r="AB41" s="314" t="str">
        <f t="shared" si="13"/>
        <v/>
      </c>
      <c r="AC41" s="309">
        <f>-SUMIFS('BP 2020 v.I dle HAZ - MAT.'!DD:DD,'BP 2020 v.I dle HAZ - MAT.'!$B:$B,"Zdravotnické prostředky")</f>
        <v>5337711.82</v>
      </c>
      <c r="AD41" s="309">
        <v>5495000</v>
      </c>
      <c r="AE41" s="117">
        <v>5845304</v>
      </c>
      <c r="AF41" s="117">
        <f>-SUMIFS('BP 2020 v.I dle HAZ - MAT.'!DF:DF,'BP 2020 v.I dle HAZ - MAT.'!$B:$B,"Zdravotnické prostředky")</f>
        <v>7390000</v>
      </c>
      <c r="AG41" s="110">
        <f t="shared" si="15"/>
        <v>1544696</v>
      </c>
      <c r="AH41" s="111">
        <f t="shared" si="16"/>
        <v>1.264262731245458</v>
      </c>
      <c r="AI41" s="45"/>
    </row>
    <row r="42" spans="1:35" s="46" customFormat="1" ht="30.75" customHeight="1" x14ac:dyDescent="0.25">
      <c r="A42" s="46" t="s">
        <v>449</v>
      </c>
      <c r="B42" s="46" t="s">
        <v>44</v>
      </c>
      <c r="C42" s="46" t="s">
        <v>350</v>
      </c>
      <c r="D42" s="84" t="s">
        <v>44</v>
      </c>
      <c r="E42" s="57">
        <f>-SUMIFS('BP 2020 v.I dle HAZ - MAT.'!DG:DG,'BP 2020 v.I dle HAZ - MAT.'!$B:$B,"Léky a léčiva")-K42-W42</f>
        <v>9772.33</v>
      </c>
      <c r="F42" s="57">
        <v>20000</v>
      </c>
      <c r="G42" s="57">
        <f>9996+10000</f>
        <v>19996</v>
      </c>
      <c r="H42" s="57">
        <f>-SUMIFS('BP 2020 v.I dle HAZ - MAT.'!DI:DI,'BP 2020 v.I dle HAZ - MAT.'!$B:$B,"Léky a léčiva")-N42-Z42</f>
        <v>12000</v>
      </c>
      <c r="I42" s="94">
        <f t="shared" si="14"/>
        <v>-7996</v>
      </c>
      <c r="J42" s="304">
        <f t="shared" si="7"/>
        <v>0.60012002400480091</v>
      </c>
      <c r="K42" s="322">
        <f>-SUMIFS('BP 2020 v.I dle HAZ - MAT.'!DG:DG,'BP 2020 v.I dle HAZ - MAT.'!$B:$B,"Léky - centra (LEK)")</f>
        <v>0</v>
      </c>
      <c r="L42" s="351">
        <v>0</v>
      </c>
      <c r="M42" s="64">
        <f>-SUMIFS('BP 2020 v.I dle HAZ - MAT.'!DH:DH,'BP 2020 v.I dle HAZ - MAT.'!$B:$B,"Léky - centra (LEK)")</f>
        <v>0</v>
      </c>
      <c r="N42" s="64">
        <f>-SUMIFS('BP 2020 v.I dle HAZ - MAT.'!DI:DI,'BP 2020 v.I dle HAZ - MAT.'!$B:$B,"Léky - centra (LEK)")</f>
        <v>0</v>
      </c>
      <c r="O42" s="95">
        <f t="shared" si="17"/>
        <v>0</v>
      </c>
      <c r="P42" s="96" t="str">
        <f t="shared" si="18"/>
        <v/>
      </c>
      <c r="Q42" s="295">
        <f>SUMIF('CL 2020 PLÁN - SOUHRN '!A:A,A42,'CL 2020 PLÁN - SOUHRN '!I:I)</f>
        <v>0</v>
      </c>
      <c r="R42" s="296">
        <f t="shared" si="8"/>
        <v>0</v>
      </c>
      <c r="S42" s="300" t="str">
        <f t="shared" si="9"/>
        <v/>
      </c>
      <c r="T42" s="326" t="str">
        <f t="shared" si="10"/>
        <v/>
      </c>
      <c r="U42" s="329" t="str">
        <f t="shared" si="11"/>
        <v/>
      </c>
      <c r="V42" s="331"/>
      <c r="W42" s="315">
        <f>-SUMIFS('BP 2020 v.I dle HAZ - MAT.'!DG:DG,'BP 2020 v.I dle HAZ - MAT.'!$B:$B,"Léky - dle §16 (LEK)")</f>
        <v>0</v>
      </c>
      <c r="X42" s="358">
        <v>0</v>
      </c>
      <c r="Y42" s="70">
        <f>-SUMIFS('BP 2020 v.I dle HAZ - MAT.'!DH:DH,'BP 2020 v.I dle HAZ - MAT.'!$B:$B,"Léky - dle §16 (LEK)")</f>
        <v>0</v>
      </c>
      <c r="Z42" s="70">
        <f>-SUMIFS('BP 2020 v.I dle HAZ - MAT.'!DI:DI,'BP 2020 v.I dle HAZ - MAT.'!$B:$B,"Léky - dle §16 (LEK)")</f>
        <v>0</v>
      </c>
      <c r="AA42" s="97">
        <f t="shared" si="12"/>
        <v>0</v>
      </c>
      <c r="AB42" s="316" t="str">
        <f t="shared" si="13"/>
        <v/>
      </c>
      <c r="AC42" s="308">
        <f>-SUMIFS('BP 2020 v.I dle HAZ - MAT.'!DG:DG,'BP 2020 v.I dle HAZ - MAT.'!$B:$B,"Zdravotnické prostředky")</f>
        <v>1045869.46</v>
      </c>
      <c r="AD42" s="308">
        <v>1061000</v>
      </c>
      <c r="AE42" s="76">
        <v>1060992</v>
      </c>
      <c r="AF42" s="76">
        <f>-SUMIFS('BP 2020 v.I dle HAZ - MAT.'!DI:DI,'BP 2020 v.I dle HAZ - MAT.'!$B:$B,"Zdravotnické prostředky")</f>
        <v>1175500</v>
      </c>
      <c r="AG42" s="98">
        <f t="shared" si="15"/>
        <v>114508</v>
      </c>
      <c r="AH42" s="99">
        <f t="shared" si="16"/>
        <v>1.1079254131982146</v>
      </c>
      <c r="AI42" s="45"/>
    </row>
    <row r="43" spans="1:35" s="46" customFormat="1" ht="30.75" customHeight="1" x14ac:dyDescent="0.25">
      <c r="A43" s="46" t="s">
        <v>450</v>
      </c>
      <c r="B43" s="46" t="s">
        <v>45</v>
      </c>
      <c r="C43" s="46" t="s">
        <v>351</v>
      </c>
      <c r="D43" s="113" t="s">
        <v>45</v>
      </c>
      <c r="E43" s="114">
        <f>-SUMIFS('BP 2020 v.I dle HAZ - MAT.'!DJ:DJ,'BP 2020 v.I dle HAZ - MAT.'!$B:$B,"Léky a léčiva")-K43-W43</f>
        <v>964.04</v>
      </c>
      <c r="F43" s="114">
        <v>1000</v>
      </c>
      <c r="G43" s="114">
        <v>996</v>
      </c>
      <c r="H43" s="114">
        <f>-SUMIFS('BP 2020 v.I dle HAZ - MAT.'!DL:DL,'BP 2020 v.I dle HAZ - MAT.'!$B:$B,"Léky a léčiva")-N43-Z43</f>
        <v>1000</v>
      </c>
      <c r="I43" s="103">
        <f t="shared" si="14"/>
        <v>4</v>
      </c>
      <c r="J43" s="303">
        <f t="shared" si="7"/>
        <v>1.0040160642570282</v>
      </c>
      <c r="K43" s="323">
        <f>-SUMIFS('BP 2020 v.I dle HAZ - MAT.'!DJ:DJ,'BP 2020 v.I dle HAZ - MAT.'!$B:$B,"Léky - centra (LEK)")</f>
        <v>0</v>
      </c>
      <c r="L43" s="353">
        <v>0</v>
      </c>
      <c r="M43" s="115">
        <f>-SUMIFS('BP 2020 v.I dle HAZ - MAT.'!DK:DK,'BP 2020 v.I dle HAZ - MAT.'!$B:$B,"Léky - centra (LEK)")</f>
        <v>0</v>
      </c>
      <c r="N43" s="115">
        <f>-SUMIFS('BP 2020 v.I dle HAZ - MAT.'!DL:DL,'BP 2020 v.I dle HAZ - MAT.'!$B:$B,"Léky - centra (LEK)")</f>
        <v>0</v>
      </c>
      <c r="O43" s="105">
        <f t="shared" si="17"/>
        <v>0</v>
      </c>
      <c r="P43" s="106" t="str">
        <f t="shared" si="18"/>
        <v/>
      </c>
      <c r="Q43" s="295">
        <f>SUMIF('CL 2020 PLÁN - SOUHRN '!A:A,A43,'CL 2020 PLÁN - SOUHRN '!I:I)</f>
        <v>0</v>
      </c>
      <c r="R43" s="296">
        <f t="shared" si="8"/>
        <v>0</v>
      </c>
      <c r="S43" s="300" t="str">
        <f t="shared" si="9"/>
        <v/>
      </c>
      <c r="T43" s="326" t="str">
        <f t="shared" si="10"/>
        <v/>
      </c>
      <c r="U43" s="329" t="str">
        <f t="shared" si="11"/>
        <v/>
      </c>
      <c r="V43" s="331"/>
      <c r="W43" s="317">
        <f>-SUMIFS('BP 2020 v.I dle HAZ - MAT.'!DJ:DJ,'BP 2020 v.I dle HAZ - MAT.'!$B:$B,"Léky - dle §16 (LEK)")</f>
        <v>0</v>
      </c>
      <c r="X43" s="359">
        <v>0</v>
      </c>
      <c r="Y43" s="116">
        <f>-SUMIFS('BP 2020 v.I dle HAZ - MAT.'!DK:DK,'BP 2020 v.I dle HAZ - MAT.'!$B:$B,"Léky - dle §16 (LEK)")</f>
        <v>0</v>
      </c>
      <c r="Z43" s="116">
        <f>-SUMIFS('BP 2020 v.I dle HAZ - MAT.'!DL:DL,'BP 2020 v.I dle HAZ - MAT.'!$B:$B,"Léky - dle §16 (LEK)")</f>
        <v>0</v>
      </c>
      <c r="AA43" s="108">
        <f t="shared" si="12"/>
        <v>0</v>
      </c>
      <c r="AB43" s="314" t="str">
        <f t="shared" si="13"/>
        <v/>
      </c>
      <c r="AC43" s="309">
        <f>-SUMIFS('BP 2020 v.I dle HAZ - MAT.'!DJ:DJ,'BP 2020 v.I dle HAZ - MAT.'!$B:$B,"Zdravotnické prostředky")</f>
        <v>47.94</v>
      </c>
      <c r="AD43" s="309">
        <v>0</v>
      </c>
      <c r="AE43" s="117">
        <v>30</v>
      </c>
      <c r="AF43" s="117">
        <f>-SUMIFS('BP 2020 v.I dle HAZ - MAT.'!DL:DL,'BP 2020 v.I dle HAZ - MAT.'!$B:$B,"Zdravotnické prostředky")</f>
        <v>0</v>
      </c>
      <c r="AG43" s="110">
        <f t="shared" si="15"/>
        <v>-30</v>
      </c>
      <c r="AH43" s="111">
        <f t="shared" si="16"/>
        <v>0</v>
      </c>
      <c r="AI43" s="45"/>
    </row>
    <row r="44" spans="1:35" s="46" customFormat="1" ht="30.75" customHeight="1" x14ac:dyDescent="0.25">
      <c r="A44" s="46" t="s">
        <v>451</v>
      </c>
      <c r="B44" s="46" t="s">
        <v>46</v>
      </c>
      <c r="C44" s="46" t="s">
        <v>352</v>
      </c>
      <c r="D44" s="84" t="s">
        <v>46</v>
      </c>
      <c r="E44" s="57">
        <f>-SUMIFS('BP 2020 v.I dle HAZ - MAT.'!DM:DM,'BP 2020 v.I dle HAZ - MAT.'!$B:$B,"Léky a léčiva")-K44-W44</f>
        <v>33180.980000000003</v>
      </c>
      <c r="F44" s="57">
        <v>40000</v>
      </c>
      <c r="G44" s="57">
        <v>40008</v>
      </c>
      <c r="H44" s="57">
        <f>-SUMIFS('BP 2020 v.I dle HAZ - MAT.'!DO:DO,'BP 2020 v.I dle HAZ - MAT.'!$B:$B,"Léky a léčiva")-N44-Z44</f>
        <v>34300</v>
      </c>
      <c r="I44" s="94">
        <f t="shared" si="14"/>
        <v>-5708</v>
      </c>
      <c r="J44" s="304">
        <f t="shared" si="7"/>
        <v>0.85732853429314138</v>
      </c>
      <c r="K44" s="322">
        <f>-SUMIFS('BP 2020 v.I dle HAZ - MAT.'!DM:DM,'BP 2020 v.I dle HAZ - MAT.'!$B:$B,"Léky - centra (LEK)")</f>
        <v>0</v>
      </c>
      <c r="L44" s="351">
        <v>0</v>
      </c>
      <c r="M44" s="64">
        <f>-SUMIFS('BP 2020 v.I dle HAZ - MAT.'!DN:DN,'BP 2020 v.I dle HAZ - MAT.'!$B:$B,"Léky - centra (LEK)")</f>
        <v>0</v>
      </c>
      <c r="N44" s="64">
        <f>-SUMIFS('BP 2020 v.I dle HAZ - MAT.'!DO:DO,'BP 2020 v.I dle HAZ - MAT.'!$B:$B,"Léky - centra (LEK)")</f>
        <v>0</v>
      </c>
      <c r="O44" s="95">
        <f t="shared" si="17"/>
        <v>0</v>
      </c>
      <c r="P44" s="96" t="str">
        <f t="shared" si="18"/>
        <v/>
      </c>
      <c r="Q44" s="295">
        <f>SUMIF('CL 2020 PLÁN - SOUHRN '!A:A,A44,'CL 2020 PLÁN - SOUHRN '!I:I)</f>
        <v>0</v>
      </c>
      <c r="R44" s="296">
        <f t="shared" si="8"/>
        <v>0</v>
      </c>
      <c r="S44" s="300" t="str">
        <f t="shared" si="9"/>
        <v/>
      </c>
      <c r="T44" s="326" t="str">
        <f t="shared" si="10"/>
        <v/>
      </c>
      <c r="U44" s="329" t="str">
        <f t="shared" si="11"/>
        <v/>
      </c>
      <c r="V44" s="331"/>
      <c r="W44" s="315">
        <f>-SUMIFS('BP 2020 v.I dle HAZ - MAT.'!DM:DM,'BP 2020 v.I dle HAZ - MAT.'!$B:$B,"Léky - dle §16 (LEK)")</f>
        <v>0</v>
      </c>
      <c r="X44" s="358">
        <v>0</v>
      </c>
      <c r="Y44" s="70">
        <f>-SUMIFS('BP 2020 v.I dle HAZ - MAT.'!DN:DN,'BP 2020 v.I dle HAZ - MAT.'!$B:$B,"Léky - dle §16 (LEK)")</f>
        <v>0</v>
      </c>
      <c r="Z44" s="70">
        <f>-SUMIFS('BP 2020 v.I dle HAZ - MAT.'!DO:DO,'BP 2020 v.I dle HAZ - MAT.'!$B:$B,"Léky - dle §16 (LEK)")</f>
        <v>0</v>
      </c>
      <c r="AA44" s="97">
        <f t="shared" si="12"/>
        <v>0</v>
      </c>
      <c r="AB44" s="316" t="str">
        <f t="shared" si="13"/>
        <v/>
      </c>
      <c r="AC44" s="308">
        <f>-SUMIFS('BP 2020 v.I dle HAZ - MAT.'!DM:DM,'BP 2020 v.I dle HAZ - MAT.'!$B:$B,"Zdravotnické prostředky")</f>
        <v>28949655.390000001</v>
      </c>
      <c r="AD44" s="308">
        <v>29439000</v>
      </c>
      <c r="AE44" s="76">
        <f>29689000+450000</f>
        <v>30139000</v>
      </c>
      <c r="AF44" s="76">
        <f>-SUMIFS('BP 2020 v.I dle HAZ - MAT.'!DO:DO,'BP 2020 v.I dle HAZ - MAT.'!$B:$B,"Zdravotnické prostředky")</f>
        <v>30388500</v>
      </c>
      <c r="AG44" s="98">
        <f t="shared" si="15"/>
        <v>249500</v>
      </c>
      <c r="AH44" s="99">
        <f t="shared" si="16"/>
        <v>1.008278310494708</v>
      </c>
      <c r="AI44" s="45"/>
    </row>
    <row r="45" spans="1:35" s="46" customFormat="1" ht="30.75" customHeight="1" x14ac:dyDescent="0.25">
      <c r="A45" s="46" t="s">
        <v>452</v>
      </c>
      <c r="B45" s="46" t="s">
        <v>47</v>
      </c>
      <c r="C45" s="46" t="s">
        <v>353</v>
      </c>
      <c r="D45" s="113" t="s">
        <v>47</v>
      </c>
      <c r="E45" s="114">
        <f>-SUMIFS('BP 2020 v.I dle HAZ - MAT.'!DP:DP,'BP 2020 v.I dle HAZ - MAT.'!$B:$B,"Léky a léčiva")-K45-W45</f>
        <v>21815.19</v>
      </c>
      <c r="F45" s="114">
        <v>22000</v>
      </c>
      <c r="G45" s="114">
        <v>21996</v>
      </c>
      <c r="H45" s="114">
        <f>-SUMIFS('BP 2020 v.I dle HAZ - MAT.'!DR:DR,'BP 2020 v.I dle HAZ - MAT.'!$B:$B,"Léky a léčiva")-N45-Z45</f>
        <v>22000</v>
      </c>
      <c r="I45" s="103">
        <f t="shared" si="14"/>
        <v>4</v>
      </c>
      <c r="J45" s="303">
        <f t="shared" si="7"/>
        <v>1.000181851245681</v>
      </c>
      <c r="K45" s="323">
        <f>-SUMIFS('BP 2020 v.I dle HAZ - MAT.'!DP:DP,'BP 2020 v.I dle HAZ - MAT.'!$B:$B,"Léky - centra (LEK)")</f>
        <v>0</v>
      </c>
      <c r="L45" s="353">
        <v>0</v>
      </c>
      <c r="M45" s="115">
        <f>-SUMIFS('BP 2020 v.I dle HAZ - MAT.'!DQ:DQ,'BP 2020 v.I dle HAZ - MAT.'!$B:$B,"Léky - centra (LEK)")</f>
        <v>0</v>
      </c>
      <c r="N45" s="115">
        <f>-SUMIFS('BP 2020 v.I dle HAZ - MAT.'!DR:DR,'BP 2020 v.I dle HAZ - MAT.'!$B:$B,"Léky - centra (LEK)")</f>
        <v>0</v>
      </c>
      <c r="O45" s="105">
        <f t="shared" si="17"/>
        <v>0</v>
      </c>
      <c r="P45" s="106" t="str">
        <f t="shared" si="18"/>
        <v/>
      </c>
      <c r="Q45" s="295">
        <f>SUMIF('CL 2020 PLÁN - SOUHRN '!A:A,A45,'CL 2020 PLÁN - SOUHRN '!I:I)</f>
        <v>0</v>
      </c>
      <c r="R45" s="296">
        <f t="shared" si="8"/>
        <v>0</v>
      </c>
      <c r="S45" s="300" t="str">
        <f t="shared" si="9"/>
        <v/>
      </c>
      <c r="T45" s="326" t="str">
        <f t="shared" si="10"/>
        <v/>
      </c>
      <c r="U45" s="329" t="str">
        <f t="shared" si="11"/>
        <v/>
      </c>
      <c r="V45" s="331"/>
      <c r="W45" s="317">
        <f>-SUMIFS('BP 2020 v.I dle HAZ - MAT.'!DP:DP,'BP 2020 v.I dle HAZ - MAT.'!$B:$B,"Léky - dle §16 (LEK)")</f>
        <v>0</v>
      </c>
      <c r="X45" s="359">
        <v>0</v>
      </c>
      <c r="Y45" s="116">
        <f>-SUMIFS('BP 2020 v.I dle HAZ - MAT.'!DQ:DQ,'BP 2020 v.I dle HAZ - MAT.'!$B:$B,"Léky - dle §16 (LEK)")</f>
        <v>0</v>
      </c>
      <c r="Z45" s="116">
        <f>-SUMIFS('BP 2020 v.I dle HAZ - MAT.'!DR:DR,'BP 2020 v.I dle HAZ - MAT.'!$B:$B,"Léky - dle §16 (LEK)")</f>
        <v>0</v>
      </c>
      <c r="AA45" s="108">
        <f t="shared" si="12"/>
        <v>0</v>
      </c>
      <c r="AB45" s="314" t="str">
        <f t="shared" si="13"/>
        <v/>
      </c>
      <c r="AC45" s="309">
        <f>-SUMIFS('BP 2020 v.I dle HAZ - MAT.'!DP:DP,'BP 2020 v.I dle HAZ - MAT.'!$B:$B,"Zdravotnické prostředky")</f>
        <v>27672354.140000001</v>
      </c>
      <c r="AD45" s="309">
        <v>28307000</v>
      </c>
      <c r="AE45" s="117">
        <v>28557004</v>
      </c>
      <c r="AF45" s="117">
        <f>-SUMIFS('BP 2020 v.I dle HAZ - MAT.'!DR:DR,'BP 2020 v.I dle HAZ - MAT.'!$B:$B,"Zdravotnické prostředky")</f>
        <v>29060000</v>
      </c>
      <c r="AG45" s="110">
        <f t="shared" si="15"/>
        <v>502996</v>
      </c>
      <c r="AH45" s="111">
        <f t="shared" si="16"/>
        <v>1.0176137524790765</v>
      </c>
      <c r="AI45" s="45"/>
    </row>
    <row r="46" spans="1:35" s="46" customFormat="1" ht="30.75" customHeight="1" x14ac:dyDescent="0.25">
      <c r="A46" s="46" t="s">
        <v>453</v>
      </c>
      <c r="B46" s="46" t="s">
        <v>48</v>
      </c>
      <c r="C46" s="46" t="s">
        <v>354</v>
      </c>
      <c r="D46" s="84" t="s">
        <v>48</v>
      </c>
      <c r="E46" s="57">
        <f>-SUMIFS('BP 2020 v.I dle HAZ - MAT.'!DS:DS,'BP 2020 v.I dle HAZ - MAT.'!$B:$B,"Léky a léčiva")-K46-W46</f>
        <v>0</v>
      </c>
      <c r="F46" s="57">
        <v>0</v>
      </c>
      <c r="G46" s="57">
        <v>0</v>
      </c>
      <c r="H46" s="57">
        <f>-SUMIFS('BP 2020 v.I dle HAZ - MAT.'!DU:DU,'BP 2020 v.I dle HAZ - MAT.'!$B:$B,"Léky a léčiva")-N46-Z46</f>
        <v>0</v>
      </c>
      <c r="I46" s="94">
        <f t="shared" si="14"/>
        <v>0</v>
      </c>
      <c r="J46" s="304" t="str">
        <f t="shared" si="7"/>
        <v/>
      </c>
      <c r="K46" s="322">
        <f>-SUMIFS('BP 2020 v.I dle HAZ - MAT.'!DS:DS,'BP 2020 v.I dle HAZ - MAT.'!$B:$B,"Léky - centra (LEK)")</f>
        <v>0</v>
      </c>
      <c r="L46" s="351">
        <v>0</v>
      </c>
      <c r="M46" s="64">
        <f>-SUMIFS('BP 2020 v.I dle HAZ - MAT.'!DT:DT,'BP 2020 v.I dle HAZ - MAT.'!$B:$B,"Léky - centra (LEK)")</f>
        <v>0</v>
      </c>
      <c r="N46" s="64">
        <f>-SUMIFS('BP 2020 v.I dle HAZ - MAT.'!DU:DU,'BP 2020 v.I dle HAZ - MAT.'!$B:$B,"Léky - centra (LEK)")</f>
        <v>0</v>
      </c>
      <c r="O46" s="95">
        <f t="shared" si="17"/>
        <v>0</v>
      </c>
      <c r="P46" s="96" t="str">
        <f t="shared" si="18"/>
        <v/>
      </c>
      <c r="Q46" s="295">
        <f>SUMIF('CL 2020 PLÁN - SOUHRN '!A:A,A46,'CL 2020 PLÁN - SOUHRN '!I:I)</f>
        <v>0</v>
      </c>
      <c r="R46" s="296">
        <f t="shared" si="8"/>
        <v>0</v>
      </c>
      <c r="S46" s="300" t="str">
        <f t="shared" si="9"/>
        <v/>
      </c>
      <c r="T46" s="326" t="str">
        <f t="shared" si="10"/>
        <v/>
      </c>
      <c r="U46" s="329" t="str">
        <f t="shared" si="11"/>
        <v/>
      </c>
      <c r="V46" s="331"/>
      <c r="W46" s="315">
        <f>-SUMIFS('BP 2020 v.I dle HAZ - MAT.'!DS:DS,'BP 2020 v.I dle HAZ - MAT.'!$B:$B,"Léky - dle §16 (LEK)")</f>
        <v>0</v>
      </c>
      <c r="X46" s="358">
        <v>0</v>
      </c>
      <c r="Y46" s="70">
        <f>-SUMIFS('BP 2020 v.I dle HAZ - MAT.'!DT:DT,'BP 2020 v.I dle HAZ - MAT.'!$B:$B,"Léky - dle §16 (LEK)")</f>
        <v>0</v>
      </c>
      <c r="Z46" s="70">
        <f>-SUMIFS('BP 2020 v.I dle HAZ - MAT.'!DU:DU,'BP 2020 v.I dle HAZ - MAT.'!$B:$B,"Léky - dle §16 (LEK)")</f>
        <v>0</v>
      </c>
      <c r="AA46" s="97">
        <f t="shared" si="12"/>
        <v>0</v>
      </c>
      <c r="AB46" s="316" t="str">
        <f t="shared" si="13"/>
        <v/>
      </c>
      <c r="AC46" s="308">
        <f>-SUMIFS('BP 2020 v.I dle HAZ - MAT.'!DS:DS,'BP 2020 v.I dle HAZ - MAT.'!$B:$B,"Zdravotnické prostředky")</f>
        <v>0</v>
      </c>
      <c r="AD46" s="308">
        <v>0</v>
      </c>
      <c r="AE46" s="76">
        <f>-SUMIFS('BP 2020 v.I dle HAZ - MAT.'!DT:DT,'BP 2020 v.I dle HAZ - MAT.'!$B:$B,"Zdravotnické prostředky")</f>
        <v>0</v>
      </c>
      <c r="AF46" s="76">
        <f>-SUMIFS('BP 2020 v.I dle HAZ - MAT.'!DU:DU,'BP 2020 v.I dle HAZ - MAT.'!$B:$B,"Zdravotnické prostředky")</f>
        <v>0</v>
      </c>
      <c r="AG46" s="98">
        <f t="shared" si="15"/>
        <v>0</v>
      </c>
      <c r="AH46" s="99" t="str">
        <f t="shared" si="16"/>
        <v/>
      </c>
      <c r="AI46" s="45"/>
    </row>
    <row r="47" spans="1:35" s="46" customFormat="1" ht="30.75" customHeight="1" x14ac:dyDescent="0.25">
      <c r="A47" s="46" t="s">
        <v>454</v>
      </c>
      <c r="B47" s="46" t="s">
        <v>455</v>
      </c>
      <c r="C47" s="46" t="s">
        <v>355</v>
      </c>
      <c r="D47" s="113" t="s">
        <v>49</v>
      </c>
      <c r="E47" s="114">
        <f>-SUMIFS('BP 2020 v.I dle HAZ - MAT.'!DV:DV,'BP 2020 v.I dle HAZ - MAT.'!$B:$B,"Léky a léčiva")-K47-W47</f>
        <v>29167.57</v>
      </c>
      <c r="F47" s="114">
        <v>30000</v>
      </c>
      <c r="G47" s="114">
        <f>27000+3000</f>
        <v>30000</v>
      </c>
      <c r="H47" s="114">
        <f>-SUMIFS('BP 2020 v.I dle HAZ - MAT.'!DX:DX,'BP 2020 v.I dle HAZ - MAT.'!$B:$B,"Léky a léčiva")-N47-Z47</f>
        <v>125000</v>
      </c>
      <c r="I47" s="103">
        <f t="shared" si="14"/>
        <v>95000</v>
      </c>
      <c r="J47" s="303">
        <f t="shared" si="7"/>
        <v>4.166666666666667</v>
      </c>
      <c r="K47" s="323">
        <f>-SUMIFS('BP 2020 v.I dle HAZ - MAT.'!DV:DV,'BP 2020 v.I dle HAZ - MAT.'!$B:$B,"Léky - centra (LEK)")</f>
        <v>0</v>
      </c>
      <c r="L47" s="353">
        <v>0</v>
      </c>
      <c r="M47" s="115">
        <f>-SUMIFS('BP 2020 v.I dle HAZ - MAT.'!DW:DW,'BP 2020 v.I dle HAZ - MAT.'!$B:$B,"Léky - centra (LEK)")</f>
        <v>0</v>
      </c>
      <c r="N47" s="115">
        <f>-SUMIFS('BP 2020 v.I dle HAZ - MAT.'!DX:DX,'BP 2020 v.I dle HAZ - MAT.'!$B:$B,"Léky - centra (LEK)")</f>
        <v>0</v>
      </c>
      <c r="O47" s="105">
        <f t="shared" si="17"/>
        <v>0</v>
      </c>
      <c r="P47" s="106" t="str">
        <f t="shared" si="18"/>
        <v/>
      </c>
      <c r="Q47" s="295">
        <f>SUMIF('CL 2020 PLÁN - SOUHRN '!A:A,A47,'CL 2020 PLÁN - SOUHRN '!I:I)</f>
        <v>0</v>
      </c>
      <c r="R47" s="296">
        <f t="shared" si="8"/>
        <v>0</v>
      </c>
      <c r="S47" s="300" t="str">
        <f t="shared" si="9"/>
        <v/>
      </c>
      <c r="T47" s="326" t="str">
        <f t="shared" si="10"/>
        <v/>
      </c>
      <c r="U47" s="329" t="str">
        <f t="shared" si="11"/>
        <v/>
      </c>
      <c r="V47" s="331"/>
      <c r="W47" s="317">
        <f>-SUMIFS('BP 2020 v.I dle HAZ - MAT.'!DV:DV,'BP 2020 v.I dle HAZ - MAT.'!$B:$B,"Léky - dle §16 (LEK)")</f>
        <v>0</v>
      </c>
      <c r="X47" s="359">
        <v>0</v>
      </c>
      <c r="Y47" s="116">
        <f>-SUMIFS('BP 2020 v.I dle HAZ - MAT.'!DW:DW,'BP 2020 v.I dle HAZ - MAT.'!$B:$B,"Léky - dle §16 (LEK)")</f>
        <v>0</v>
      </c>
      <c r="Z47" s="116">
        <f>-SUMIFS('BP 2020 v.I dle HAZ - MAT.'!DX:DX,'BP 2020 v.I dle HAZ - MAT.'!$B:$B,"Léky - dle §16 (LEK)")</f>
        <v>0</v>
      </c>
      <c r="AA47" s="108">
        <f t="shared" si="12"/>
        <v>0</v>
      </c>
      <c r="AB47" s="314" t="str">
        <f t="shared" si="13"/>
        <v/>
      </c>
      <c r="AC47" s="309">
        <f>-SUMIFS('BP 2020 v.I dle HAZ - MAT.'!DV:DV,'BP 2020 v.I dle HAZ - MAT.'!$B:$B,"Zdravotnické prostředky")</f>
        <v>7221688.7300000004</v>
      </c>
      <c r="AD47" s="309">
        <v>7275000</v>
      </c>
      <c r="AE47" s="117">
        <v>7314412</v>
      </c>
      <c r="AF47" s="117">
        <f>-SUMIFS('BP 2020 v.I dle HAZ - MAT.'!DX:DX,'BP 2020 v.I dle HAZ - MAT.'!$B:$B,"Zdravotnické prostředky")</f>
        <v>8045000</v>
      </c>
      <c r="AG47" s="110">
        <f t="shared" si="15"/>
        <v>730588</v>
      </c>
      <c r="AH47" s="111">
        <f t="shared" si="16"/>
        <v>1.0998833535764734</v>
      </c>
      <c r="AI47" s="45"/>
    </row>
    <row r="48" spans="1:35" s="46" customFormat="1" ht="30.75" customHeight="1" x14ac:dyDescent="0.25">
      <c r="A48" s="46" t="s">
        <v>456</v>
      </c>
      <c r="B48" s="46" t="s">
        <v>50</v>
      </c>
      <c r="C48" s="46" t="s">
        <v>356</v>
      </c>
      <c r="D48" s="84" t="s">
        <v>50</v>
      </c>
      <c r="E48" s="57">
        <f>-SUMIFS('BP 2020 v.I dle HAZ - MAT.'!DY:DY,'BP 2020 v.I dle HAZ - MAT.'!$B:$B,"Léky a léčiva")-K48-W48</f>
        <v>46.1</v>
      </c>
      <c r="F48" s="57">
        <v>0</v>
      </c>
      <c r="G48" s="57">
        <v>0</v>
      </c>
      <c r="H48" s="57">
        <f>-SUMIFS('BP 2020 v.I dle HAZ - MAT.'!EA:EA,'BP 2020 v.I dle HAZ - MAT.'!$B:$B,"Léky a léčiva")-N48-Z48</f>
        <v>0</v>
      </c>
      <c r="I48" s="94">
        <f t="shared" si="14"/>
        <v>0</v>
      </c>
      <c r="J48" s="304" t="str">
        <f t="shared" si="7"/>
        <v/>
      </c>
      <c r="K48" s="322">
        <f>-SUMIFS('BP 2020 v.I dle HAZ - MAT.'!DY:DY,'BP 2020 v.I dle HAZ - MAT.'!$B:$B,"Léky - centra (LEK)")</f>
        <v>0</v>
      </c>
      <c r="L48" s="351">
        <v>0</v>
      </c>
      <c r="M48" s="64">
        <f>-SUMIFS('BP 2020 v.I dle HAZ - MAT.'!DZ:DZ,'BP 2020 v.I dle HAZ - MAT.'!$B:$B,"Léky - centra (LEK)")</f>
        <v>0</v>
      </c>
      <c r="N48" s="64">
        <f>-SUMIFS('BP 2020 v.I dle HAZ - MAT.'!EA:EA,'BP 2020 v.I dle HAZ - MAT.'!$B:$B,"Léky - centra (LEK)")</f>
        <v>0</v>
      </c>
      <c r="O48" s="95">
        <f t="shared" si="17"/>
        <v>0</v>
      </c>
      <c r="P48" s="96" t="str">
        <f t="shared" si="18"/>
        <v/>
      </c>
      <c r="Q48" s="295">
        <f>SUMIF('CL 2020 PLÁN - SOUHRN '!A:A,A48,'CL 2020 PLÁN - SOUHRN '!I:I)</f>
        <v>0</v>
      </c>
      <c r="R48" s="296">
        <f t="shared" si="8"/>
        <v>0</v>
      </c>
      <c r="S48" s="300" t="str">
        <f t="shared" si="9"/>
        <v/>
      </c>
      <c r="T48" s="326" t="str">
        <f t="shared" si="10"/>
        <v/>
      </c>
      <c r="U48" s="329" t="str">
        <f t="shared" si="11"/>
        <v/>
      </c>
      <c r="V48" s="331"/>
      <c r="W48" s="315">
        <f>-SUMIFS('BP 2020 v.I dle HAZ - MAT.'!DY:DY,'BP 2020 v.I dle HAZ - MAT.'!$B:$B,"Léky - dle §16 (LEK)")</f>
        <v>0</v>
      </c>
      <c r="X48" s="358">
        <v>0</v>
      </c>
      <c r="Y48" s="70">
        <f>-SUMIFS('BP 2020 v.I dle HAZ - MAT.'!DZ:DZ,'BP 2020 v.I dle HAZ - MAT.'!$B:$B,"Léky - dle §16 (LEK)")</f>
        <v>0</v>
      </c>
      <c r="Z48" s="70">
        <f>-SUMIFS('BP 2020 v.I dle HAZ - MAT.'!EA:EA,'BP 2020 v.I dle HAZ - MAT.'!$B:$B,"Léky - dle §16 (LEK)")</f>
        <v>0</v>
      </c>
      <c r="AA48" s="97">
        <f t="shared" si="12"/>
        <v>0</v>
      </c>
      <c r="AB48" s="316" t="str">
        <f t="shared" si="13"/>
        <v/>
      </c>
      <c r="AC48" s="308">
        <f>-SUMIFS('BP 2020 v.I dle HAZ - MAT.'!DY:DY,'BP 2020 v.I dle HAZ - MAT.'!$B:$B,"Zdravotnické prostředky")</f>
        <v>9.9499999999999993</v>
      </c>
      <c r="AD48" s="308">
        <v>0</v>
      </c>
      <c r="AE48" s="76">
        <f>-SUMIFS('BP 2020 v.I dle HAZ - MAT.'!DZ:DZ,'BP 2020 v.I dle HAZ - MAT.'!$B:$B,"Zdravotnické prostředky")</f>
        <v>0</v>
      </c>
      <c r="AF48" s="76">
        <f>-SUMIFS('BP 2020 v.I dle HAZ - MAT.'!EA:EA,'BP 2020 v.I dle HAZ - MAT.'!$B:$B,"Zdravotnické prostředky")</f>
        <v>0</v>
      </c>
      <c r="AG48" s="98">
        <f t="shared" si="15"/>
        <v>0</v>
      </c>
      <c r="AH48" s="99" t="str">
        <f t="shared" si="16"/>
        <v/>
      </c>
      <c r="AI48" s="45"/>
    </row>
    <row r="49" spans="1:35" s="46" customFormat="1" ht="30.75" customHeight="1" x14ac:dyDescent="0.25">
      <c r="A49" s="46" t="s">
        <v>457</v>
      </c>
      <c r="B49" s="46" t="s">
        <v>51</v>
      </c>
      <c r="C49" s="46" t="s">
        <v>357</v>
      </c>
      <c r="D49" s="113" t="s">
        <v>51</v>
      </c>
      <c r="E49" s="114">
        <f>-SUMIFS('BP 2020 v.I dle HAZ - MAT.'!EB:EB,'BP 2020 v.I dle HAZ - MAT.'!$B:$B,"Léky a léčiva")-K49-W49</f>
        <v>0</v>
      </c>
      <c r="F49" s="114">
        <v>0</v>
      </c>
      <c r="G49" s="114">
        <v>0</v>
      </c>
      <c r="H49" s="114">
        <f>-SUMIFS('BP 2020 v.I dle HAZ - MAT.'!ED:ED,'BP 2020 v.I dle HAZ - MAT.'!$B:$B,"Léky a léčiva")-N49-Z49</f>
        <v>0</v>
      </c>
      <c r="I49" s="103">
        <f t="shared" si="14"/>
        <v>0</v>
      </c>
      <c r="J49" s="303" t="str">
        <f t="shared" si="7"/>
        <v/>
      </c>
      <c r="K49" s="323">
        <f>-SUMIFS('BP 2020 v.I dle HAZ - MAT.'!EB:EB,'BP 2020 v.I dle HAZ - MAT.'!$B:$B,"Léky - centra (LEK)")</f>
        <v>0</v>
      </c>
      <c r="L49" s="353">
        <v>0</v>
      </c>
      <c r="M49" s="115">
        <f>-SUMIFS('BP 2020 v.I dle HAZ - MAT.'!EC:EC,'BP 2020 v.I dle HAZ - MAT.'!$B:$B,"Léky - centra (LEK)")</f>
        <v>0</v>
      </c>
      <c r="N49" s="115">
        <f>-SUMIFS('BP 2020 v.I dle HAZ - MAT.'!ED:ED,'BP 2020 v.I dle HAZ - MAT.'!$B:$B,"Léky - centra (LEK)")</f>
        <v>0</v>
      </c>
      <c r="O49" s="105">
        <f t="shared" si="17"/>
        <v>0</v>
      </c>
      <c r="P49" s="106" t="str">
        <f t="shared" si="18"/>
        <v/>
      </c>
      <c r="Q49" s="295">
        <f>SUMIF('CL 2020 PLÁN - SOUHRN '!A:A,A49,'CL 2020 PLÁN - SOUHRN '!I:I)</f>
        <v>0</v>
      </c>
      <c r="R49" s="296">
        <f t="shared" si="8"/>
        <v>0</v>
      </c>
      <c r="S49" s="300" t="str">
        <f t="shared" si="9"/>
        <v/>
      </c>
      <c r="T49" s="326" t="str">
        <f t="shared" si="10"/>
        <v/>
      </c>
      <c r="U49" s="329" t="str">
        <f t="shared" si="11"/>
        <v/>
      </c>
      <c r="V49" s="331"/>
      <c r="W49" s="317">
        <f>-SUMIFS('BP 2020 v.I dle HAZ - MAT.'!EB:EB,'BP 2020 v.I dle HAZ - MAT.'!$B:$B,"Léky - dle §16 (LEK)")</f>
        <v>0</v>
      </c>
      <c r="X49" s="359">
        <v>0</v>
      </c>
      <c r="Y49" s="116">
        <f>-SUMIFS('BP 2020 v.I dle HAZ - MAT.'!EC:EC,'BP 2020 v.I dle HAZ - MAT.'!$B:$B,"Léky - dle §16 (LEK)")</f>
        <v>0</v>
      </c>
      <c r="Z49" s="116">
        <f>-SUMIFS('BP 2020 v.I dle HAZ - MAT.'!ED:ED,'BP 2020 v.I dle HAZ - MAT.'!$B:$B,"Léky - dle §16 (LEK)")</f>
        <v>0</v>
      </c>
      <c r="AA49" s="108">
        <f t="shared" si="12"/>
        <v>0</v>
      </c>
      <c r="AB49" s="314" t="str">
        <f t="shared" si="13"/>
        <v/>
      </c>
      <c r="AC49" s="309">
        <f>-SUMIFS('BP 2020 v.I dle HAZ - MAT.'!EB:EB,'BP 2020 v.I dle HAZ - MAT.'!$B:$B,"Zdravotnické prostředky")</f>
        <v>92905.05</v>
      </c>
      <c r="AD49" s="309">
        <v>105000</v>
      </c>
      <c r="AE49" s="117">
        <v>105000</v>
      </c>
      <c r="AF49" s="117">
        <f>-SUMIFS('BP 2020 v.I dle HAZ - MAT.'!ED:ED,'BP 2020 v.I dle HAZ - MAT.'!$B:$B,"Zdravotnické prostředky")</f>
        <v>110000</v>
      </c>
      <c r="AG49" s="110">
        <f t="shared" si="15"/>
        <v>5000</v>
      </c>
      <c r="AH49" s="111">
        <f t="shared" si="16"/>
        <v>1.0476190476190477</v>
      </c>
      <c r="AI49" s="45"/>
    </row>
    <row r="50" spans="1:35" s="46" customFormat="1" ht="30.75" customHeight="1" x14ac:dyDescent="0.25">
      <c r="A50" s="46" t="s">
        <v>458</v>
      </c>
      <c r="B50" s="46" t="s">
        <v>52</v>
      </c>
      <c r="C50" s="46" t="s">
        <v>388</v>
      </c>
      <c r="D50" s="84" t="s">
        <v>52</v>
      </c>
      <c r="E50" s="57">
        <f>-SUMIFS('BP 2020 v.I dle HAZ - MAT.'!EE:EE,'BP 2020 v.I dle HAZ - MAT.'!$B:$B,"Léky a léčiva")-K50-W50</f>
        <v>938873.99</v>
      </c>
      <c r="F50" s="344">
        <v>950000</v>
      </c>
      <c r="G50" s="342">
        <f>854800+170000</f>
        <v>1024800</v>
      </c>
      <c r="H50" s="57">
        <f>-SUMIFS('BP 2020 v.I dle HAZ - MAT.'!EG:EG,'BP 2020 v.I dle HAZ - MAT.'!$B:$B,"Léky a léčiva")-N50-Z50</f>
        <v>1040000</v>
      </c>
      <c r="I50" s="94">
        <f t="shared" si="14"/>
        <v>15200</v>
      </c>
      <c r="J50" s="304">
        <f t="shared" si="7"/>
        <v>1.014832162373146</v>
      </c>
      <c r="K50" s="322">
        <f>-SUMIFS('BP 2020 v.I dle HAZ - MAT.'!EE:EE,'BP 2020 v.I dle HAZ - MAT.'!$B:$B,"Léky - centra (LEK)")</f>
        <v>0</v>
      </c>
      <c r="L50" s="351">
        <v>0</v>
      </c>
      <c r="M50" s="64">
        <f>-SUMIFS('BP 2020 v.I dle HAZ - MAT.'!EF:EF,'BP 2020 v.I dle HAZ - MAT.'!$B:$B,"Léky - centra (LEK)")</f>
        <v>0</v>
      </c>
      <c r="N50" s="64">
        <f>-SUMIFS('BP 2020 v.I dle HAZ - MAT.'!EG:EG,'BP 2020 v.I dle HAZ - MAT.'!$B:$B,"Léky - centra (LEK)")</f>
        <v>0</v>
      </c>
      <c r="O50" s="95">
        <f t="shared" si="17"/>
        <v>0</v>
      </c>
      <c r="P50" s="96" t="str">
        <f t="shared" si="18"/>
        <v/>
      </c>
      <c r="Q50" s="295">
        <f>SUMIF('CL 2020 PLÁN - SOUHRN '!A:A,A50,'CL 2020 PLÁN - SOUHRN '!I:I)</f>
        <v>0</v>
      </c>
      <c r="R50" s="296">
        <f t="shared" si="8"/>
        <v>0</v>
      </c>
      <c r="S50" s="300" t="str">
        <f t="shared" si="9"/>
        <v/>
      </c>
      <c r="T50" s="326" t="str">
        <f t="shared" si="10"/>
        <v/>
      </c>
      <c r="U50" s="329" t="str">
        <f t="shared" si="11"/>
        <v/>
      </c>
      <c r="V50" s="331"/>
      <c r="W50" s="315">
        <f>-SUMIFS('BP 2020 v.I dle HAZ - MAT.'!EE:EE,'BP 2020 v.I dle HAZ - MAT.'!$B:$B,"Léky - dle §16 (LEK)")</f>
        <v>0</v>
      </c>
      <c r="X50" s="358">
        <v>0</v>
      </c>
      <c r="Y50" s="70">
        <f>-SUMIFS('BP 2020 v.I dle HAZ - MAT.'!EF:EF,'BP 2020 v.I dle HAZ - MAT.'!$B:$B,"Léky - dle §16 (LEK)")</f>
        <v>0</v>
      </c>
      <c r="Z50" s="70">
        <f>-SUMIFS('BP 2020 v.I dle HAZ - MAT.'!EG:EG,'BP 2020 v.I dle HAZ - MAT.'!$B:$B,"Léky - dle §16 (LEK)")</f>
        <v>0</v>
      </c>
      <c r="AA50" s="97">
        <f t="shared" si="12"/>
        <v>0</v>
      </c>
      <c r="AB50" s="316" t="str">
        <f t="shared" si="13"/>
        <v/>
      </c>
      <c r="AC50" s="308">
        <f>-SUMIFS('BP 2020 v.I dle HAZ - MAT.'!EE:EE,'BP 2020 v.I dle HAZ - MAT.'!$B:$B,"Zdravotnické prostředky")</f>
        <v>13524953.91</v>
      </c>
      <c r="AD50" s="308">
        <v>10329000</v>
      </c>
      <c r="AE50" s="76">
        <f>34917473-2897000-17560000-235000</f>
        <v>14225473</v>
      </c>
      <c r="AF50" s="76">
        <f>-SUMIFS('BP 2020 v.I dle HAZ - MAT.'!EG:EG,'BP 2020 v.I dle HAZ - MAT.'!$B:$B,"Zdravotnické prostředky")</f>
        <v>13489000</v>
      </c>
      <c r="AG50" s="98">
        <f t="shared" si="15"/>
        <v>-736473</v>
      </c>
      <c r="AH50" s="99">
        <f t="shared" si="16"/>
        <v>0.9482285755981541</v>
      </c>
      <c r="AI50" s="45"/>
    </row>
    <row r="51" spans="1:35" s="46" customFormat="1" ht="30.75" customHeight="1" x14ac:dyDescent="0.25">
      <c r="A51" s="46" t="s">
        <v>459</v>
      </c>
      <c r="B51" s="46" t="s">
        <v>53</v>
      </c>
      <c r="C51" s="46" t="s">
        <v>358</v>
      </c>
      <c r="D51" s="113" t="s">
        <v>53</v>
      </c>
      <c r="E51" s="114">
        <f>-SUMIFS('BP 2020 v.I dle HAZ - MAT.'!EH:EH,'BP 2020 v.I dle HAZ - MAT.'!$B:$B,"Léky a léčiva")-K51-W51</f>
        <v>72835.490000000005</v>
      </c>
      <c r="F51" s="346">
        <v>80000</v>
      </c>
      <c r="G51" s="114">
        <v>79992</v>
      </c>
      <c r="H51" s="114">
        <f>-SUMIFS('BP 2020 v.I dle HAZ - MAT.'!EJ:EJ,'BP 2020 v.I dle HAZ - MAT.'!$B:$B,"Léky a léčiva")-N51-Z51</f>
        <v>50834</v>
      </c>
      <c r="I51" s="103">
        <f t="shared" si="14"/>
        <v>-29158</v>
      </c>
      <c r="J51" s="303">
        <f t="shared" si="7"/>
        <v>0.63548854885488548</v>
      </c>
      <c r="K51" s="323">
        <f>-SUMIFS('BP 2020 v.I dle HAZ - MAT.'!EH:EH,'BP 2020 v.I dle HAZ - MAT.'!$B:$B,"Léky - centra (LEK)")</f>
        <v>0</v>
      </c>
      <c r="L51" s="353">
        <v>0</v>
      </c>
      <c r="M51" s="115">
        <f>-SUMIFS('BP 2020 v.I dle HAZ - MAT.'!EI:EI,'BP 2020 v.I dle HAZ - MAT.'!$B:$B,"Léky - centra (LEK)")</f>
        <v>0</v>
      </c>
      <c r="N51" s="115">
        <f>-SUMIFS('BP 2020 v.I dle HAZ - MAT.'!EJ:EJ,'BP 2020 v.I dle HAZ - MAT.'!$B:$B,"Léky - centra (LEK)")</f>
        <v>0</v>
      </c>
      <c r="O51" s="105">
        <f t="shared" si="17"/>
        <v>0</v>
      </c>
      <c r="P51" s="106" t="str">
        <f t="shared" si="18"/>
        <v/>
      </c>
      <c r="Q51" s="295">
        <f>SUMIF('CL 2020 PLÁN - SOUHRN '!A:A,A51,'CL 2020 PLÁN - SOUHRN '!I:I)</f>
        <v>0</v>
      </c>
      <c r="R51" s="296">
        <f t="shared" si="8"/>
        <v>0</v>
      </c>
      <c r="S51" s="300" t="str">
        <f t="shared" si="9"/>
        <v/>
      </c>
      <c r="T51" s="326" t="str">
        <f t="shared" si="10"/>
        <v/>
      </c>
      <c r="U51" s="329" t="str">
        <f t="shared" si="11"/>
        <v/>
      </c>
      <c r="V51" s="331"/>
      <c r="W51" s="317">
        <f>-SUMIFS('BP 2020 v.I dle HAZ - MAT.'!EH:EH,'BP 2020 v.I dle HAZ - MAT.'!$B:$B,"Léky - dle §16 (LEK)")</f>
        <v>0</v>
      </c>
      <c r="X51" s="359">
        <v>0</v>
      </c>
      <c r="Y51" s="116">
        <f>-SUMIFS('BP 2020 v.I dle HAZ - MAT.'!EI:EI,'BP 2020 v.I dle HAZ - MAT.'!$B:$B,"Léky - dle §16 (LEK)")</f>
        <v>0</v>
      </c>
      <c r="Z51" s="116">
        <f>-SUMIFS('BP 2020 v.I dle HAZ - MAT.'!EJ:EJ,'BP 2020 v.I dle HAZ - MAT.'!$B:$B,"Léky - dle §16 (LEK)")</f>
        <v>0</v>
      </c>
      <c r="AA51" s="108">
        <f t="shared" si="12"/>
        <v>0</v>
      </c>
      <c r="AB51" s="314" t="str">
        <f t="shared" si="13"/>
        <v/>
      </c>
      <c r="AC51" s="309">
        <f>-SUMIFS('BP 2020 v.I dle HAZ - MAT.'!EH:EH,'BP 2020 v.I dle HAZ - MAT.'!$B:$B,"Zdravotnické prostředky")</f>
        <v>1929192.42</v>
      </c>
      <c r="AD51" s="309">
        <v>2165000</v>
      </c>
      <c r="AE51" s="117">
        <f>4265898-918292-789864-19739-56551-5622</f>
        <v>2475830</v>
      </c>
      <c r="AF51" s="117">
        <f>-SUMIFS('BP 2020 v.I dle HAZ - MAT.'!EJ:EJ,'BP 2020 v.I dle HAZ - MAT.'!$B:$B,"Zdravotnické prostředky")</f>
        <v>3620298</v>
      </c>
      <c r="AG51" s="110">
        <f t="shared" si="15"/>
        <v>1144468</v>
      </c>
      <c r="AH51" s="111">
        <f t="shared" si="16"/>
        <v>1.4622562938489314</v>
      </c>
      <c r="AI51" s="45"/>
    </row>
    <row r="52" spans="1:35" s="46" customFormat="1" ht="30.75" customHeight="1" x14ac:dyDescent="0.25">
      <c r="A52" s="46" t="s">
        <v>460</v>
      </c>
      <c r="B52" s="46" t="s">
        <v>54</v>
      </c>
      <c r="C52" s="46" t="s">
        <v>359</v>
      </c>
      <c r="D52" s="84" t="s">
        <v>54</v>
      </c>
      <c r="E52" s="57">
        <f>-SUMIFS('BP 2020 v.I dle HAZ - MAT.'!EK:EK,'BP 2020 v.I dle HAZ - MAT.'!$B:$B,"Léky a léčiva")-K52-W52</f>
        <v>10937515.859999999</v>
      </c>
      <c r="F52" s="344">
        <v>10815000</v>
      </c>
      <c r="G52" s="342">
        <f>8879009+2215000</f>
        <v>11094009</v>
      </c>
      <c r="H52" s="57">
        <f>-SUMIFS('BP 2020 v.I dle HAZ - MAT.'!EM:EM,'BP 2020 v.I dle HAZ - MAT.'!$B:$B,"Léky a léčiva")-N52-Z52</f>
        <v>11442000</v>
      </c>
      <c r="I52" s="94">
        <f t="shared" si="14"/>
        <v>347991</v>
      </c>
      <c r="J52" s="304">
        <f t="shared" si="7"/>
        <v>1.0313674704969142</v>
      </c>
      <c r="K52" s="322">
        <f>-SUMIFS('BP 2020 v.I dle HAZ - MAT.'!EK:EK,'BP 2020 v.I dle HAZ - MAT.'!$B:$B,"Léky - centra (LEK)")</f>
        <v>0</v>
      </c>
      <c r="L52" s="351">
        <v>0</v>
      </c>
      <c r="M52" s="64">
        <f>-SUMIFS('BP 2020 v.I dle HAZ - MAT.'!EL:EL,'BP 2020 v.I dle HAZ - MAT.'!$B:$B,"Léky - centra (LEK)")</f>
        <v>0</v>
      </c>
      <c r="N52" s="64">
        <f>-SUMIFS('BP 2020 v.I dle HAZ - MAT.'!EM:EM,'BP 2020 v.I dle HAZ - MAT.'!$B:$B,"Léky - centra (LEK)")</f>
        <v>0</v>
      </c>
      <c r="O52" s="95">
        <f t="shared" si="17"/>
        <v>0</v>
      </c>
      <c r="P52" s="96" t="str">
        <f t="shared" si="18"/>
        <v/>
      </c>
      <c r="Q52" s="295">
        <f>SUMIF('CL 2020 PLÁN - SOUHRN '!A:A,A52,'CL 2020 PLÁN - SOUHRN '!I:I)</f>
        <v>0</v>
      </c>
      <c r="R52" s="296">
        <f t="shared" si="8"/>
        <v>0</v>
      </c>
      <c r="S52" s="300" t="str">
        <f t="shared" si="9"/>
        <v/>
      </c>
      <c r="T52" s="326" t="str">
        <f t="shared" si="10"/>
        <v/>
      </c>
      <c r="U52" s="329" t="str">
        <f t="shared" si="11"/>
        <v/>
      </c>
      <c r="V52" s="331"/>
      <c r="W52" s="315">
        <f>-SUMIFS('BP 2020 v.I dle HAZ - MAT.'!EK:EK,'BP 2020 v.I dle HAZ - MAT.'!$B:$B,"Léky - dle §16 (LEK)")</f>
        <v>0</v>
      </c>
      <c r="X52" s="358">
        <v>0</v>
      </c>
      <c r="Y52" s="70">
        <f>-SUMIFS('BP 2020 v.I dle HAZ - MAT.'!EL:EL,'BP 2020 v.I dle HAZ - MAT.'!$B:$B,"Léky - dle §16 (LEK)")</f>
        <v>0</v>
      </c>
      <c r="Z52" s="70">
        <f>-SUMIFS('BP 2020 v.I dle HAZ - MAT.'!EM:EM,'BP 2020 v.I dle HAZ - MAT.'!$B:$B,"Léky - dle §16 (LEK)")</f>
        <v>0</v>
      </c>
      <c r="AA52" s="97">
        <f t="shared" si="12"/>
        <v>0</v>
      </c>
      <c r="AB52" s="316" t="str">
        <f t="shared" si="13"/>
        <v/>
      </c>
      <c r="AC52" s="308">
        <f>-SUMIFS('BP 2020 v.I dle HAZ - MAT.'!EK:EK,'BP 2020 v.I dle HAZ - MAT.'!$B:$B,"Zdravotnické prostředky")</f>
        <v>36356426.390000001</v>
      </c>
      <c r="AD52" s="308">
        <v>36240000</v>
      </c>
      <c r="AE52" s="76">
        <f>39489514</f>
        <v>39489514</v>
      </c>
      <c r="AF52" s="76">
        <f>-SUMIFS('BP 2020 v.I dle HAZ - MAT.'!EM:EM,'BP 2020 v.I dle HAZ - MAT.'!$B:$B,"Zdravotnické prostředky")</f>
        <v>43080000</v>
      </c>
      <c r="AG52" s="98">
        <f t="shared" si="15"/>
        <v>3590486</v>
      </c>
      <c r="AH52" s="99">
        <f t="shared" si="16"/>
        <v>1.0909225167977503</v>
      </c>
      <c r="AI52" s="45"/>
    </row>
    <row r="53" spans="1:35" s="46" customFormat="1" ht="30.75" customHeight="1" x14ac:dyDescent="0.25">
      <c r="A53" s="46" t="s">
        <v>461</v>
      </c>
      <c r="B53" s="46" t="s">
        <v>55</v>
      </c>
      <c r="C53" s="46" t="s">
        <v>360</v>
      </c>
      <c r="D53" s="113" t="s">
        <v>55</v>
      </c>
      <c r="E53" s="114">
        <f>-SUMIFS('BP 2020 v.I dle HAZ - MAT.'!EN:EN,'BP 2020 v.I dle HAZ - MAT.'!$B:$B,"Léky a léčiva")-K53-W53</f>
        <v>0</v>
      </c>
      <c r="F53" s="346">
        <v>0</v>
      </c>
      <c r="G53" s="114">
        <v>0</v>
      </c>
      <c r="H53" s="114">
        <f>-SUMIFS('BP 2020 v.I dle HAZ - MAT.'!EP:EP,'BP 2020 v.I dle HAZ - MAT.'!$B:$B,"Léky a léčiva")-N53-Z53</f>
        <v>0</v>
      </c>
      <c r="I53" s="103">
        <f t="shared" si="14"/>
        <v>0</v>
      </c>
      <c r="J53" s="303" t="str">
        <f t="shared" si="7"/>
        <v/>
      </c>
      <c r="K53" s="323">
        <f>-SUMIFS('BP 2020 v.I dle HAZ - MAT.'!EN:EN,'BP 2020 v.I dle HAZ - MAT.'!$B:$B,"Léky - centra (LEK)")</f>
        <v>0</v>
      </c>
      <c r="L53" s="353">
        <v>0</v>
      </c>
      <c r="M53" s="115">
        <f>-SUMIFS('BP 2020 v.I dle HAZ - MAT.'!EO:EO,'BP 2020 v.I dle HAZ - MAT.'!$B:$B,"Léky - centra (LEK)")</f>
        <v>0</v>
      </c>
      <c r="N53" s="115">
        <f>-SUMIFS('BP 2020 v.I dle HAZ - MAT.'!EP:EP,'BP 2020 v.I dle HAZ - MAT.'!$B:$B,"Léky - centra (LEK)")</f>
        <v>0</v>
      </c>
      <c r="O53" s="105">
        <f t="shared" si="17"/>
        <v>0</v>
      </c>
      <c r="P53" s="106" t="str">
        <f t="shared" si="18"/>
        <v/>
      </c>
      <c r="Q53" s="295">
        <f>SUMIF('CL 2020 PLÁN - SOUHRN '!A:A,A53,'CL 2020 PLÁN - SOUHRN '!I:I)</f>
        <v>0</v>
      </c>
      <c r="R53" s="296">
        <f t="shared" si="8"/>
        <v>0</v>
      </c>
      <c r="S53" s="300" t="str">
        <f t="shared" si="9"/>
        <v/>
      </c>
      <c r="T53" s="326" t="str">
        <f t="shared" si="10"/>
        <v/>
      </c>
      <c r="U53" s="329" t="str">
        <f t="shared" si="11"/>
        <v/>
      </c>
      <c r="V53" s="331"/>
      <c r="W53" s="317">
        <f>-SUMIFS('BP 2020 v.I dle HAZ - MAT.'!EN:EN,'BP 2020 v.I dle HAZ - MAT.'!$B:$B,"Léky - dle §16 (LEK)")</f>
        <v>0</v>
      </c>
      <c r="X53" s="359">
        <v>0</v>
      </c>
      <c r="Y53" s="116">
        <f>-SUMIFS('BP 2020 v.I dle HAZ - MAT.'!EO:EO,'BP 2020 v.I dle HAZ - MAT.'!$B:$B,"Léky - dle §16 (LEK)")</f>
        <v>0</v>
      </c>
      <c r="Z53" s="116">
        <f>-SUMIFS('BP 2020 v.I dle HAZ - MAT.'!EP:EP,'BP 2020 v.I dle HAZ - MAT.'!$B:$B,"Léky - dle §16 (LEK)")</f>
        <v>0</v>
      </c>
      <c r="AA53" s="108">
        <f t="shared" si="12"/>
        <v>0</v>
      </c>
      <c r="AB53" s="314" t="str">
        <f t="shared" si="13"/>
        <v/>
      </c>
      <c r="AC53" s="309">
        <f>-SUMIFS('BP 2020 v.I dle HAZ - MAT.'!EN:EN,'BP 2020 v.I dle HAZ - MAT.'!$B:$B,"Zdravotnické prostředky")</f>
        <v>0</v>
      </c>
      <c r="AD53" s="309">
        <v>0</v>
      </c>
      <c r="AE53" s="117">
        <f>-SUMIFS('BP 2020 v.I dle HAZ - MAT.'!EO:EO,'BP 2020 v.I dle HAZ - MAT.'!$B:$B,"Zdravotnické prostředky")</f>
        <v>0</v>
      </c>
      <c r="AF53" s="117">
        <f>-SUMIFS('BP 2020 v.I dle HAZ - MAT.'!EP:EP,'BP 2020 v.I dle HAZ - MAT.'!$B:$B,"Zdravotnické prostředky")</f>
        <v>0</v>
      </c>
      <c r="AG53" s="110">
        <f t="shared" si="15"/>
        <v>0</v>
      </c>
      <c r="AH53" s="111" t="str">
        <f t="shared" si="16"/>
        <v/>
      </c>
      <c r="AI53" s="45"/>
    </row>
    <row r="54" spans="1:35" s="46" customFormat="1" ht="30.75" customHeight="1" x14ac:dyDescent="0.25">
      <c r="A54" s="46" t="s">
        <v>462</v>
      </c>
      <c r="B54" s="46" t="s">
        <v>56</v>
      </c>
      <c r="C54" s="46" t="s">
        <v>361</v>
      </c>
      <c r="D54" s="84" t="s">
        <v>56</v>
      </c>
      <c r="E54" s="57">
        <f>-SUMIFS('BP 2020 v.I dle HAZ - MAT.'!EQ:EQ,'BP 2020 v.I dle HAZ - MAT.'!$B:$B,"Léky a léčiva")-K54-W54</f>
        <v>0</v>
      </c>
      <c r="F54" s="345">
        <v>0</v>
      </c>
      <c r="G54" s="57">
        <v>0</v>
      </c>
      <c r="H54" s="57">
        <f>-SUMIFS('BP 2020 v.I dle HAZ - MAT.'!ES:ES,'BP 2020 v.I dle HAZ - MAT.'!$B:$B,"Léky a léčiva")-N54-Z54</f>
        <v>0</v>
      </c>
      <c r="I54" s="94">
        <f t="shared" si="14"/>
        <v>0</v>
      </c>
      <c r="J54" s="304" t="str">
        <f t="shared" si="7"/>
        <v/>
      </c>
      <c r="K54" s="322">
        <f>-SUMIFS('BP 2020 v.I dle HAZ - MAT.'!EQ:EQ,'BP 2020 v.I dle HAZ - MAT.'!$B:$B,"Léky - centra (LEK)")</f>
        <v>0</v>
      </c>
      <c r="L54" s="351">
        <v>0</v>
      </c>
      <c r="M54" s="64">
        <f>-SUMIFS('BP 2020 v.I dle HAZ - MAT.'!ER:ER,'BP 2020 v.I dle HAZ - MAT.'!$B:$B,"Léky - centra (LEK)")</f>
        <v>0</v>
      </c>
      <c r="N54" s="64">
        <f>-SUMIFS('BP 2020 v.I dle HAZ - MAT.'!ES:ES,'BP 2020 v.I dle HAZ - MAT.'!$B:$B,"Léky - centra (LEK)")</f>
        <v>0</v>
      </c>
      <c r="O54" s="95">
        <f t="shared" si="17"/>
        <v>0</v>
      </c>
      <c r="P54" s="96" t="str">
        <f t="shared" si="18"/>
        <v/>
      </c>
      <c r="Q54" s="295">
        <f>SUMIF('CL 2020 PLÁN - SOUHRN '!A:A,A54,'CL 2020 PLÁN - SOUHRN '!I:I)</f>
        <v>0</v>
      </c>
      <c r="R54" s="296">
        <f t="shared" si="8"/>
        <v>0</v>
      </c>
      <c r="S54" s="300" t="str">
        <f t="shared" si="9"/>
        <v/>
      </c>
      <c r="T54" s="326" t="str">
        <f t="shared" si="10"/>
        <v/>
      </c>
      <c r="U54" s="329" t="str">
        <f t="shared" si="11"/>
        <v/>
      </c>
      <c r="V54" s="331"/>
      <c r="W54" s="315">
        <f>-SUMIFS('BP 2020 v.I dle HAZ - MAT.'!EQ:EQ,'BP 2020 v.I dle HAZ - MAT.'!$B:$B,"Léky - dle §16 (LEK)")</f>
        <v>0</v>
      </c>
      <c r="X54" s="358">
        <v>0</v>
      </c>
      <c r="Y54" s="70">
        <f>-SUMIFS('BP 2020 v.I dle HAZ - MAT.'!ER:ER,'BP 2020 v.I dle HAZ - MAT.'!$B:$B,"Léky - dle §16 (LEK)")</f>
        <v>0</v>
      </c>
      <c r="Z54" s="70">
        <f>-SUMIFS('BP 2020 v.I dle HAZ - MAT.'!ES:ES,'BP 2020 v.I dle HAZ - MAT.'!$B:$B,"Léky - dle §16 (LEK)")</f>
        <v>0</v>
      </c>
      <c r="AA54" s="97">
        <f t="shared" si="12"/>
        <v>0</v>
      </c>
      <c r="AB54" s="316" t="str">
        <f t="shared" si="13"/>
        <v/>
      </c>
      <c r="AC54" s="308">
        <f>-SUMIFS('BP 2020 v.I dle HAZ - MAT.'!EQ:EQ,'BP 2020 v.I dle HAZ - MAT.'!$B:$B,"Zdravotnické prostředky")</f>
        <v>0</v>
      </c>
      <c r="AD54" s="308">
        <v>0</v>
      </c>
      <c r="AE54" s="76">
        <f>-SUMIFS('BP 2020 v.I dle HAZ - MAT.'!ER:ER,'BP 2020 v.I dle HAZ - MAT.'!$B:$B,"Zdravotnické prostředky")</f>
        <v>0</v>
      </c>
      <c r="AF54" s="76">
        <f>-SUMIFS('BP 2020 v.I dle HAZ - MAT.'!ES:ES,'BP 2020 v.I dle HAZ - MAT.'!$B:$B,"Zdravotnické prostředky")</f>
        <v>0</v>
      </c>
      <c r="AG54" s="98">
        <f t="shared" si="15"/>
        <v>0</v>
      </c>
      <c r="AH54" s="99" t="str">
        <f t="shared" si="16"/>
        <v/>
      </c>
      <c r="AI54" s="45"/>
    </row>
    <row r="55" spans="1:35" s="46" customFormat="1" ht="30.75" customHeight="1" x14ac:dyDescent="0.25">
      <c r="A55" s="292"/>
      <c r="B55" s="292"/>
      <c r="C55" s="46" t="s">
        <v>362</v>
      </c>
      <c r="D55" s="113" t="s">
        <v>57</v>
      </c>
      <c r="E55" s="114">
        <f>-SUMIFS('BP 2020 v.I dle HAZ - MAT.'!ET:ET,'BP 2020 v.I dle HAZ - MAT.'!$B:$B,"Léky a léčiva")-K55-W55</f>
        <v>701.21</v>
      </c>
      <c r="F55" s="346">
        <v>0</v>
      </c>
      <c r="G55" s="114">
        <v>0</v>
      </c>
      <c r="H55" s="114">
        <f>-SUMIFS('BP 2020 v.I dle HAZ - MAT.'!EV:EV,'BP 2020 v.I dle HAZ - MAT.'!$B:$B,"Léky a léčiva")-N55-Z55</f>
        <v>0</v>
      </c>
      <c r="I55" s="103">
        <f t="shared" si="14"/>
        <v>0</v>
      </c>
      <c r="J55" s="303" t="str">
        <f t="shared" si="7"/>
        <v/>
      </c>
      <c r="K55" s="323">
        <f>-SUMIFS('BP 2020 v.I dle HAZ - MAT.'!ET:ET,'BP 2020 v.I dle HAZ - MAT.'!$B:$B,"Léky - centra (LEK)")</f>
        <v>0</v>
      </c>
      <c r="L55" s="353">
        <v>0</v>
      </c>
      <c r="M55" s="115">
        <f>-SUMIFS('BP 2020 v.I dle HAZ - MAT.'!EU:EU,'BP 2020 v.I dle HAZ - MAT.'!$B:$B,"Léky - centra (LEK)")</f>
        <v>0</v>
      </c>
      <c r="N55" s="115">
        <f>-SUMIFS('BP 2020 v.I dle HAZ - MAT.'!EV:EV,'BP 2020 v.I dle HAZ - MAT.'!$B:$B,"Léky - centra (LEK)")</f>
        <v>0</v>
      </c>
      <c r="O55" s="105">
        <f t="shared" si="17"/>
        <v>0</v>
      </c>
      <c r="P55" s="106" t="str">
        <f t="shared" si="18"/>
        <v/>
      </c>
      <c r="Q55" s="295">
        <f>SUMIF('CL 2020 PLÁN - SOUHRN '!A:A,A55,'CL 2020 PLÁN - SOUHRN '!I:I)</f>
        <v>0</v>
      </c>
      <c r="R55" s="296">
        <f t="shared" si="8"/>
        <v>0</v>
      </c>
      <c r="S55" s="300" t="str">
        <f t="shared" si="9"/>
        <v/>
      </c>
      <c r="T55" s="326" t="str">
        <f t="shared" si="10"/>
        <v/>
      </c>
      <c r="U55" s="329" t="str">
        <f t="shared" si="11"/>
        <v/>
      </c>
      <c r="V55" s="331"/>
      <c r="W55" s="317">
        <f>-SUMIFS('BP 2020 v.I dle HAZ - MAT.'!ET:ET,'BP 2020 v.I dle HAZ - MAT.'!$B:$B,"Léky - dle §16 (LEK)")</f>
        <v>0</v>
      </c>
      <c r="X55" s="359">
        <v>0</v>
      </c>
      <c r="Y55" s="116">
        <f>-SUMIFS('BP 2020 v.I dle HAZ - MAT.'!EU:EU,'BP 2020 v.I dle HAZ - MAT.'!$B:$B,"Léky - dle §16 (LEK)")</f>
        <v>0</v>
      </c>
      <c r="Z55" s="116">
        <f>-SUMIFS('BP 2020 v.I dle HAZ - MAT.'!EV:EV,'BP 2020 v.I dle HAZ - MAT.'!$B:$B,"Léky - dle §16 (LEK)")</f>
        <v>0</v>
      </c>
      <c r="AA55" s="108">
        <f t="shared" si="12"/>
        <v>0</v>
      </c>
      <c r="AB55" s="314" t="str">
        <f t="shared" si="13"/>
        <v/>
      </c>
      <c r="AC55" s="309">
        <f>-SUMIFS('BP 2020 v.I dle HAZ - MAT.'!ET:ET,'BP 2020 v.I dle HAZ - MAT.'!$B:$B,"Zdravotnické prostředky")</f>
        <v>55231.57</v>
      </c>
      <c r="AD55" s="309">
        <v>65000</v>
      </c>
      <c r="AE55" s="117">
        <v>65004</v>
      </c>
      <c r="AF55" s="117">
        <f>-SUMIFS('BP 2020 v.I dle HAZ - MAT.'!EV:EV,'BP 2020 v.I dle HAZ - MAT.'!$B:$B,"Zdravotnické prostředky")</f>
        <v>0</v>
      </c>
      <c r="AG55" s="110">
        <f t="shared" si="15"/>
        <v>-65004</v>
      </c>
      <c r="AH55" s="111">
        <f t="shared" si="16"/>
        <v>0</v>
      </c>
      <c r="AI55" s="45"/>
    </row>
    <row r="56" spans="1:35" s="46" customFormat="1" ht="30.75" customHeight="1" x14ac:dyDescent="0.25">
      <c r="A56" s="46" t="s">
        <v>464</v>
      </c>
      <c r="B56" s="46" t="s">
        <v>58</v>
      </c>
      <c r="C56" s="46" t="s">
        <v>363</v>
      </c>
      <c r="D56" s="84" t="s">
        <v>58</v>
      </c>
      <c r="E56" s="57">
        <f>-SUMIFS('BP 2020 v.I dle HAZ - MAT.'!EW:EW,'BP 2020 v.I dle HAZ - MAT.'!$B:$B,"Léky a léčiva")-K56-W56</f>
        <v>37228.910000000003</v>
      </c>
      <c r="F56" s="344">
        <v>70000</v>
      </c>
      <c r="G56" s="342">
        <v>69996</v>
      </c>
      <c r="H56" s="57">
        <f>-SUMIFS('BP 2020 v.I dle HAZ - MAT.'!EY:EY,'BP 2020 v.I dle HAZ - MAT.'!$B:$B,"Léky a léčiva")-N56-Z56</f>
        <v>50000</v>
      </c>
      <c r="I56" s="94">
        <f t="shared" si="14"/>
        <v>-19996</v>
      </c>
      <c r="J56" s="304">
        <f t="shared" si="7"/>
        <v>0.71432653294473969</v>
      </c>
      <c r="K56" s="322">
        <f>-SUMIFS('BP 2020 v.I dle HAZ - MAT.'!EW:EW,'BP 2020 v.I dle HAZ - MAT.'!$B:$B,"Léky - centra (LEK)")</f>
        <v>0</v>
      </c>
      <c r="L56" s="351">
        <v>0</v>
      </c>
      <c r="M56" s="64">
        <f>-SUMIFS('BP 2020 v.I dle HAZ - MAT.'!EX:EX,'BP 2020 v.I dle HAZ - MAT.'!$B:$B,"Léky - centra (LEK)")</f>
        <v>0</v>
      </c>
      <c r="N56" s="64">
        <f>-SUMIFS('BP 2020 v.I dle HAZ - MAT.'!EY:EY,'BP 2020 v.I dle HAZ - MAT.'!$B:$B,"Léky - centra (LEK)")</f>
        <v>0</v>
      </c>
      <c r="O56" s="95">
        <f t="shared" si="17"/>
        <v>0</v>
      </c>
      <c r="P56" s="96" t="str">
        <f t="shared" si="18"/>
        <v/>
      </c>
      <c r="Q56" s="295">
        <f>SUMIF('CL 2020 PLÁN - SOUHRN '!A:A,A56,'CL 2020 PLÁN - SOUHRN '!I:I)</f>
        <v>0</v>
      </c>
      <c r="R56" s="296">
        <f t="shared" si="8"/>
        <v>0</v>
      </c>
      <c r="S56" s="300" t="str">
        <f t="shared" si="9"/>
        <v/>
      </c>
      <c r="T56" s="326" t="str">
        <f t="shared" si="10"/>
        <v/>
      </c>
      <c r="U56" s="329" t="str">
        <f t="shared" si="11"/>
        <v/>
      </c>
      <c r="V56" s="331"/>
      <c r="W56" s="315">
        <f>-SUMIFS('BP 2020 v.I dle HAZ - MAT.'!EW:EW,'BP 2020 v.I dle HAZ - MAT.'!$B:$B,"Léky - dle §16 (LEK)")</f>
        <v>0</v>
      </c>
      <c r="X56" s="358">
        <v>0</v>
      </c>
      <c r="Y56" s="70">
        <f>-SUMIFS('BP 2020 v.I dle HAZ - MAT.'!EX:EX,'BP 2020 v.I dle HAZ - MAT.'!$B:$B,"Léky - dle §16 (LEK)")</f>
        <v>0</v>
      </c>
      <c r="Z56" s="70">
        <f>-SUMIFS('BP 2020 v.I dle HAZ - MAT.'!EY:EY,'BP 2020 v.I dle HAZ - MAT.'!$B:$B,"Léky - dle §16 (LEK)")</f>
        <v>0</v>
      </c>
      <c r="AA56" s="97">
        <f t="shared" si="12"/>
        <v>0</v>
      </c>
      <c r="AB56" s="316" t="str">
        <f t="shared" si="13"/>
        <v/>
      </c>
      <c r="AC56" s="308">
        <f>-SUMIFS('BP 2020 v.I dle HAZ - MAT.'!EW:EW,'BP 2020 v.I dle HAZ - MAT.'!$B:$B,"Zdravotnické prostředky")</f>
        <v>24941.13</v>
      </c>
      <c r="AD56" s="308">
        <v>25000</v>
      </c>
      <c r="AE56" s="76">
        <v>50596</v>
      </c>
      <c r="AF56" s="76">
        <f>-SUMIFS('BP 2020 v.I dle HAZ - MAT.'!EY:EY,'BP 2020 v.I dle HAZ - MAT.'!$B:$B,"Zdravotnické prostředky")</f>
        <v>47000</v>
      </c>
      <c r="AG56" s="98">
        <f t="shared" si="15"/>
        <v>-3596</v>
      </c>
      <c r="AH56" s="99">
        <f t="shared" si="16"/>
        <v>0.92892718791999362</v>
      </c>
      <c r="AI56" s="45"/>
    </row>
    <row r="57" spans="1:35" s="46" customFormat="1" ht="30.75" customHeight="1" x14ac:dyDescent="0.25">
      <c r="A57" s="46" t="s">
        <v>465</v>
      </c>
      <c r="B57" s="46" t="s">
        <v>59</v>
      </c>
      <c r="C57" s="46" t="s">
        <v>364</v>
      </c>
      <c r="D57" s="113" t="s">
        <v>59</v>
      </c>
      <c r="E57" s="114">
        <f>-SUMIFS('BP 2020 v.I dle HAZ - MAT.'!EZ:EZ,'BP 2020 v.I dle HAZ - MAT.'!$B:$B,"Léky a léčiva")-K57-W57</f>
        <v>0</v>
      </c>
      <c r="F57" s="346">
        <v>0</v>
      </c>
      <c r="G57" s="114">
        <v>0</v>
      </c>
      <c r="H57" s="114">
        <f>-SUMIFS('BP 2020 v.I dle HAZ - MAT.'!FB:FB,'BP 2020 v.I dle HAZ - MAT.'!$B:$B,"Léky a léčiva")-N57-Z57</f>
        <v>0</v>
      </c>
      <c r="I57" s="103">
        <f t="shared" si="14"/>
        <v>0</v>
      </c>
      <c r="J57" s="303" t="str">
        <f t="shared" si="7"/>
        <v/>
      </c>
      <c r="K57" s="323">
        <f>-SUMIFS('BP 2020 v.I dle HAZ - MAT.'!EZ:EZ,'BP 2020 v.I dle HAZ - MAT.'!$B:$B,"Léky - centra (LEK)")</f>
        <v>0</v>
      </c>
      <c r="L57" s="353">
        <v>0</v>
      </c>
      <c r="M57" s="115">
        <f>-SUMIFS('BP 2020 v.I dle HAZ - MAT.'!FA:FA,'BP 2020 v.I dle HAZ - MAT.'!$B:$B,"Léky - centra (LEK)")</f>
        <v>0</v>
      </c>
      <c r="N57" s="115">
        <f>-SUMIFS('BP 2020 v.I dle HAZ - MAT.'!FB:FB,'BP 2020 v.I dle HAZ - MAT.'!$B:$B,"Léky - centra (LEK)")</f>
        <v>0</v>
      </c>
      <c r="O57" s="105">
        <f t="shared" si="17"/>
        <v>0</v>
      </c>
      <c r="P57" s="106" t="str">
        <f t="shared" si="18"/>
        <v/>
      </c>
      <c r="Q57" s="295">
        <f>SUMIF('CL 2020 PLÁN - SOUHRN '!A:A,A57,'CL 2020 PLÁN - SOUHRN '!I:I)</f>
        <v>0</v>
      </c>
      <c r="R57" s="296">
        <f t="shared" si="8"/>
        <v>0</v>
      </c>
      <c r="S57" s="300" t="str">
        <f t="shared" si="9"/>
        <v/>
      </c>
      <c r="T57" s="326" t="str">
        <f t="shared" si="10"/>
        <v/>
      </c>
      <c r="U57" s="329" t="str">
        <f t="shared" si="11"/>
        <v/>
      </c>
      <c r="V57" s="331"/>
      <c r="W57" s="317">
        <f>-SUMIFS('BP 2020 v.I dle HAZ - MAT.'!EZ:EZ,'BP 2020 v.I dle HAZ - MAT.'!$B:$B,"Léky - dle §16 (LEK)")</f>
        <v>0</v>
      </c>
      <c r="X57" s="359">
        <v>0</v>
      </c>
      <c r="Y57" s="116">
        <f>-SUMIFS('BP 2020 v.I dle HAZ - MAT.'!FA:FA,'BP 2020 v.I dle HAZ - MAT.'!$B:$B,"Léky - dle §16 (LEK)")</f>
        <v>0</v>
      </c>
      <c r="Z57" s="116">
        <f>-SUMIFS('BP 2020 v.I dle HAZ - MAT.'!FB:FB,'BP 2020 v.I dle HAZ - MAT.'!$B:$B,"Léky - dle §16 (LEK)")</f>
        <v>0</v>
      </c>
      <c r="AA57" s="108">
        <f t="shared" si="12"/>
        <v>0</v>
      </c>
      <c r="AB57" s="314" t="str">
        <f t="shared" si="13"/>
        <v/>
      </c>
      <c r="AC57" s="309">
        <f>-SUMIFS('BP 2020 v.I dle HAZ - MAT.'!EZ:EZ,'BP 2020 v.I dle HAZ - MAT.'!$B:$B,"Zdravotnické prostředky")</f>
        <v>1223106.1200000001</v>
      </c>
      <c r="AD57" s="309">
        <v>1186000</v>
      </c>
      <c r="AE57" s="117">
        <v>1496000</v>
      </c>
      <c r="AF57" s="117">
        <f>-SUMIFS('BP 2020 v.I dle HAZ - MAT.'!FB:FB,'BP 2020 v.I dle HAZ - MAT.'!$B:$B,"Zdravotnické prostředky")</f>
        <v>2980000</v>
      </c>
      <c r="AG57" s="110">
        <f t="shared" si="15"/>
        <v>1484000</v>
      </c>
      <c r="AH57" s="111">
        <f t="shared" si="16"/>
        <v>1.9919786096256684</v>
      </c>
      <c r="AI57" s="45"/>
    </row>
    <row r="58" spans="1:35" s="46" customFormat="1" ht="30.75" customHeight="1" x14ac:dyDescent="0.25">
      <c r="A58" s="46" t="s">
        <v>466</v>
      </c>
      <c r="B58" s="46" t="s">
        <v>60</v>
      </c>
      <c r="C58" s="46" t="s">
        <v>365</v>
      </c>
      <c r="D58" s="84" t="s">
        <v>60</v>
      </c>
      <c r="E58" s="57">
        <f>-SUMIFS('BP 2020 v.I dle HAZ - MAT.'!FC:FC,'BP 2020 v.I dle HAZ - MAT.'!$B:$B,"Léky a léčiva")-K58-W58</f>
        <v>10967659.52</v>
      </c>
      <c r="F58" s="344">
        <v>10750000</v>
      </c>
      <c r="G58" s="342">
        <f>8560100+1690000</f>
        <v>10250100</v>
      </c>
      <c r="H58" s="57">
        <f>-SUMIFS('BP 2020 v.I dle HAZ - MAT.'!FE:FE,'BP 2020 v.I dle HAZ - MAT.'!$B:$B,"Léky a léčiva")-N58-Z58</f>
        <v>10000000</v>
      </c>
      <c r="I58" s="94">
        <f t="shared" si="14"/>
        <v>-250100</v>
      </c>
      <c r="J58" s="304">
        <f t="shared" si="7"/>
        <v>0.97560023804645812</v>
      </c>
      <c r="K58" s="322">
        <f>-SUMIFS('BP 2020 v.I dle HAZ - MAT.'!FC:FC,'BP 2020 v.I dle HAZ - MAT.'!$B:$B,"Léky - centra (LEK)")</f>
        <v>0</v>
      </c>
      <c r="L58" s="351">
        <v>0</v>
      </c>
      <c r="M58" s="64">
        <f>-SUMIFS('BP 2020 v.I dle HAZ - MAT.'!FD:FD,'BP 2020 v.I dle HAZ - MAT.'!$B:$B,"Léky - centra (LEK)")</f>
        <v>0</v>
      </c>
      <c r="N58" s="64">
        <f>-SUMIFS('BP 2020 v.I dle HAZ - MAT.'!FE:FE,'BP 2020 v.I dle HAZ - MAT.'!$B:$B,"Léky - centra (LEK)")</f>
        <v>0</v>
      </c>
      <c r="O58" s="95">
        <f t="shared" si="17"/>
        <v>0</v>
      </c>
      <c r="P58" s="96" t="str">
        <f t="shared" si="18"/>
        <v/>
      </c>
      <c r="Q58" s="295">
        <f>SUMIF('CL 2020 PLÁN - SOUHRN '!A:A,A58,'CL 2020 PLÁN - SOUHRN '!I:I)</f>
        <v>824990.11</v>
      </c>
      <c r="R58" s="296">
        <f t="shared" si="8"/>
        <v>0</v>
      </c>
      <c r="S58" s="300" t="str">
        <f t="shared" si="9"/>
        <v/>
      </c>
      <c r="T58" s="326" t="str">
        <f t="shared" si="10"/>
        <v/>
      </c>
      <c r="U58" s="329" t="str">
        <f t="shared" si="11"/>
        <v/>
      </c>
      <c r="V58" s="331"/>
      <c r="W58" s="315">
        <f>-SUMIFS('BP 2020 v.I dle HAZ - MAT.'!FC:FC,'BP 2020 v.I dle HAZ - MAT.'!$B:$B,"Léky - dle §16 (LEK)")</f>
        <v>0</v>
      </c>
      <c r="X58" s="358">
        <v>0</v>
      </c>
      <c r="Y58" s="70">
        <f>-SUMIFS('BP 2020 v.I dle HAZ - MAT.'!FD:FD,'BP 2020 v.I dle HAZ - MAT.'!$B:$B,"Léky - dle §16 (LEK)")</f>
        <v>0</v>
      </c>
      <c r="Z58" s="70">
        <f>-SUMIFS('BP 2020 v.I dle HAZ - MAT.'!FE:FE,'BP 2020 v.I dle HAZ - MAT.'!$B:$B,"Léky - dle §16 (LEK)")</f>
        <v>0</v>
      </c>
      <c r="AA58" s="97">
        <f t="shared" si="12"/>
        <v>0</v>
      </c>
      <c r="AB58" s="316" t="str">
        <f t="shared" si="13"/>
        <v/>
      </c>
      <c r="AC58" s="308">
        <f>-SUMIFS('BP 2020 v.I dle HAZ - MAT.'!FC:FC,'BP 2020 v.I dle HAZ - MAT.'!$B:$B,"Zdravotnické prostředky")</f>
        <v>4667755.97</v>
      </c>
      <c r="AD58" s="308">
        <v>4747000</v>
      </c>
      <c r="AE58" s="76">
        <v>4740488</v>
      </c>
      <c r="AF58" s="76">
        <f>-SUMIFS('BP 2020 v.I dle HAZ - MAT.'!FE:FE,'BP 2020 v.I dle HAZ - MAT.'!$B:$B,"Zdravotnické prostředky")</f>
        <v>4700000</v>
      </c>
      <c r="AG58" s="98">
        <f t="shared" si="15"/>
        <v>-40488</v>
      </c>
      <c r="AH58" s="99">
        <f t="shared" si="16"/>
        <v>0.99145910716365071</v>
      </c>
      <c r="AI58" s="45"/>
    </row>
    <row r="59" spans="1:35" s="46" customFormat="1" ht="30.75" customHeight="1" x14ac:dyDescent="0.25">
      <c r="A59" s="46" t="s">
        <v>467</v>
      </c>
      <c r="B59" s="46" t="s">
        <v>61</v>
      </c>
      <c r="C59" s="46" t="s">
        <v>366</v>
      </c>
      <c r="D59" s="113" t="s">
        <v>61</v>
      </c>
      <c r="E59" s="114">
        <f>-SUMIFS('BP 2020 v.I dle HAZ - MAT.'!FF:FF,'BP 2020 v.I dle HAZ - MAT.'!$B:$B,"Léky a léčiva")-K59-W59</f>
        <v>2213296.36</v>
      </c>
      <c r="F59" s="346">
        <v>2268000</v>
      </c>
      <c r="G59" s="341">
        <f>1896996+370000</f>
        <v>2266996</v>
      </c>
      <c r="H59" s="114">
        <f>-SUMIFS('BP 2020 v.I dle HAZ - MAT.'!FH:FH,'BP 2020 v.I dle HAZ - MAT.'!$B:$B,"Léky a léčiva")-N59-Z59</f>
        <v>2291441</v>
      </c>
      <c r="I59" s="103">
        <f t="shared" si="14"/>
        <v>24445</v>
      </c>
      <c r="J59" s="303">
        <f t="shared" ref="J59:J71" si="19">IF(G59=0,"",H59/G59)</f>
        <v>1.0107829921182041</v>
      </c>
      <c r="K59" s="323">
        <f>-SUMIFS('BP 2020 v.I dle HAZ - MAT.'!FF:FF,'BP 2020 v.I dle HAZ - MAT.'!$B:$B,"Léky - centra (LEK)")</f>
        <v>0</v>
      </c>
      <c r="L59" s="353">
        <v>0</v>
      </c>
      <c r="M59" s="115">
        <f>-SUMIFS('BP 2020 v.I dle HAZ - MAT.'!FG:FG,'BP 2020 v.I dle HAZ - MAT.'!$B:$B,"Léky - centra (LEK)")</f>
        <v>0</v>
      </c>
      <c r="N59" s="115">
        <f>-SUMIFS('BP 2020 v.I dle HAZ - MAT.'!FH:FH,'BP 2020 v.I dle HAZ - MAT.'!$B:$B,"Léky - centra (LEK)")</f>
        <v>0</v>
      </c>
      <c r="O59" s="105">
        <f t="shared" si="17"/>
        <v>0</v>
      </c>
      <c r="P59" s="106" t="str">
        <f t="shared" si="18"/>
        <v/>
      </c>
      <c r="Q59" s="295">
        <f>SUMIF('CL 2020 PLÁN - SOUHRN '!A:A,A59,'CL 2020 PLÁN - SOUHRN '!I:I)</f>
        <v>0</v>
      </c>
      <c r="R59" s="296">
        <f t="shared" si="8"/>
        <v>0</v>
      </c>
      <c r="S59" s="300" t="str">
        <f t="shared" si="9"/>
        <v/>
      </c>
      <c r="T59" s="326" t="str">
        <f t="shared" si="10"/>
        <v/>
      </c>
      <c r="U59" s="329" t="str">
        <f t="shared" si="11"/>
        <v/>
      </c>
      <c r="V59" s="331"/>
      <c r="W59" s="317">
        <f>-SUMIFS('BP 2020 v.I dle HAZ - MAT.'!FF:FF,'BP 2020 v.I dle HAZ - MAT.'!$B:$B,"Léky - dle §16 (LEK)")</f>
        <v>0</v>
      </c>
      <c r="X59" s="359">
        <v>0</v>
      </c>
      <c r="Y59" s="116">
        <f>-SUMIFS('BP 2020 v.I dle HAZ - MAT.'!FG:FG,'BP 2020 v.I dle HAZ - MAT.'!$B:$B,"Léky - dle §16 (LEK)")</f>
        <v>0</v>
      </c>
      <c r="Z59" s="116">
        <f>-SUMIFS('BP 2020 v.I dle HAZ - MAT.'!FH:FH,'BP 2020 v.I dle HAZ - MAT.'!$B:$B,"Léky - dle §16 (LEK)")</f>
        <v>0</v>
      </c>
      <c r="AA59" s="108">
        <f t="shared" si="12"/>
        <v>0</v>
      </c>
      <c r="AB59" s="314" t="str">
        <f t="shared" si="13"/>
        <v/>
      </c>
      <c r="AC59" s="309">
        <f>-SUMIFS('BP 2020 v.I dle HAZ - MAT.'!FF:FF,'BP 2020 v.I dle HAZ - MAT.'!$B:$B,"Zdravotnické prostředky")</f>
        <v>4165642.61</v>
      </c>
      <c r="AD59" s="309">
        <v>4201000</v>
      </c>
      <c r="AE59" s="117">
        <v>4255000</v>
      </c>
      <c r="AF59" s="117">
        <f>-SUMIFS('BP 2020 v.I dle HAZ - MAT.'!FH:FH,'BP 2020 v.I dle HAZ - MAT.'!$B:$B,"Zdravotnické prostředky")</f>
        <v>4265476</v>
      </c>
      <c r="AG59" s="110">
        <f t="shared" si="15"/>
        <v>10476</v>
      </c>
      <c r="AH59" s="111">
        <f t="shared" si="16"/>
        <v>1.002462044653349</v>
      </c>
      <c r="AI59" s="45"/>
    </row>
    <row r="60" spans="1:35" s="46" customFormat="1" ht="30.75" customHeight="1" x14ac:dyDescent="0.25">
      <c r="C60" s="46" t="s">
        <v>367</v>
      </c>
      <c r="D60" s="84" t="s">
        <v>62</v>
      </c>
      <c r="E60" s="57">
        <f>-SUMIFS('BP 2020 v.I dle HAZ - MAT.'!FI:FI,'BP 2020 v.I dle HAZ - MAT.'!$B:$B,"Léky a léčiva")-K60-W60</f>
        <v>0</v>
      </c>
      <c r="F60" s="57"/>
      <c r="G60" s="57">
        <f>-SUMIFS('BP 2020 v.I dle HAZ - MAT.'!FJ:FJ,'BP 2020 v.I dle HAZ - MAT.'!$B:$B,"Léky a léčiva")-M60-Y60</f>
        <v>0</v>
      </c>
      <c r="H60" s="57">
        <f>-SUMIFS('BP 2020 v.I dle HAZ - MAT.'!FK:FK,'BP 2020 v.I dle HAZ - MAT.'!$B:$B,"Léky a léčiva")-N60-Z60</f>
        <v>0</v>
      </c>
      <c r="I60" s="94">
        <f t="shared" si="14"/>
        <v>0</v>
      </c>
      <c r="J60" s="304" t="str">
        <f t="shared" si="19"/>
        <v/>
      </c>
      <c r="K60" s="322">
        <f>-SUMIFS('BP 2020 v.I dle HAZ - MAT.'!FI:FI,'BP 2020 v.I dle HAZ - MAT.'!$B:$B,"Léky - centra (LEK)")</f>
        <v>0</v>
      </c>
      <c r="L60" s="351"/>
      <c r="M60" s="64">
        <f>-SUMIFS('BP 2020 v.I dle HAZ - MAT.'!FJ:FJ,'BP 2020 v.I dle HAZ - MAT.'!$B:$B,"Léky - centra (LEK)")</f>
        <v>0</v>
      </c>
      <c r="N60" s="64">
        <f>-SUMIFS('BP 2020 v.I dle HAZ - MAT.'!FK:FK,'BP 2020 v.I dle HAZ - MAT.'!$B:$B,"Léky - centra (LEK)")</f>
        <v>0</v>
      </c>
      <c r="O60" s="95">
        <f t="shared" si="17"/>
        <v>0</v>
      </c>
      <c r="P60" s="96" t="str">
        <f t="shared" si="18"/>
        <v/>
      </c>
      <c r="Q60" s="295">
        <f>SUMIF('CL 2020 PLÁN - SOUHRN '!A:A,A60,'CL 2020 PLÁN - SOUHRN '!I:I)</f>
        <v>0</v>
      </c>
      <c r="R60" s="296">
        <f t="shared" si="8"/>
        <v>0</v>
      </c>
      <c r="S60" s="300" t="str">
        <f t="shared" si="9"/>
        <v/>
      </c>
      <c r="T60" s="326" t="str">
        <f t="shared" si="10"/>
        <v/>
      </c>
      <c r="U60" s="329" t="str">
        <f t="shared" si="11"/>
        <v/>
      </c>
      <c r="V60" s="331"/>
      <c r="W60" s="315">
        <f>-SUMIFS('BP 2020 v.I dle HAZ - MAT.'!FI:FI,'BP 2020 v.I dle HAZ - MAT.'!$B:$B,"Léky - dle §16 (LEK)")</f>
        <v>0</v>
      </c>
      <c r="X60" s="358"/>
      <c r="Y60" s="70">
        <f>-SUMIFS('BP 2020 v.I dle HAZ - MAT.'!FJ:FJ,'BP 2020 v.I dle HAZ - MAT.'!$B:$B,"Léky - dle §16 (LEK)")</f>
        <v>0</v>
      </c>
      <c r="Z60" s="70">
        <f>-SUMIFS('BP 2020 v.I dle HAZ - MAT.'!FK:FK,'BP 2020 v.I dle HAZ - MAT.'!$B:$B,"Léky - dle §16 (LEK)")</f>
        <v>0</v>
      </c>
      <c r="AA60" s="97">
        <f t="shared" si="12"/>
        <v>0</v>
      </c>
      <c r="AB60" s="316" t="str">
        <f t="shared" si="13"/>
        <v/>
      </c>
      <c r="AC60" s="308">
        <f>-SUMIFS('BP 2020 v.I dle HAZ - MAT.'!FI:FI,'BP 2020 v.I dle HAZ - MAT.'!$B:$B,"Zdravotnické prostředky")</f>
        <v>0</v>
      </c>
      <c r="AD60" s="308"/>
      <c r="AE60" s="76">
        <f>-SUMIFS('BP 2020 v.I dle HAZ - MAT.'!FJ:FJ,'BP 2020 v.I dle HAZ - MAT.'!$B:$B,"Zdravotnické prostředky")</f>
        <v>0</v>
      </c>
      <c r="AF60" s="76">
        <f>-SUMIFS('BP 2020 v.I dle HAZ - MAT.'!FK:FK,'BP 2020 v.I dle HAZ - MAT.'!$B:$B,"Zdravotnické prostředky")</f>
        <v>0</v>
      </c>
      <c r="AG60" s="98">
        <f t="shared" si="15"/>
        <v>0</v>
      </c>
      <c r="AH60" s="99" t="str">
        <f t="shared" si="16"/>
        <v/>
      </c>
      <c r="AI60" s="45"/>
    </row>
    <row r="61" spans="1:35" s="46" customFormat="1" ht="30.75" customHeight="1" x14ac:dyDescent="0.25">
      <c r="C61" s="46" t="s">
        <v>368</v>
      </c>
      <c r="D61" s="113" t="s">
        <v>63</v>
      </c>
      <c r="E61" s="114">
        <f>-SUMIFS('BP 2020 v.I dle HAZ - MAT.'!FL:FL,'BP 2020 v.I dle HAZ - MAT.'!$B:$B,"Léky a léčiva")-K61-W61</f>
        <v>0</v>
      </c>
      <c r="F61" s="114"/>
      <c r="G61" s="114">
        <f>-SUMIFS('BP 2020 v.I dle HAZ - MAT.'!FM:FM,'BP 2020 v.I dle HAZ - MAT.'!$B:$B,"Léky a léčiva")-M61-Y61</f>
        <v>0</v>
      </c>
      <c r="H61" s="114">
        <f>-SUMIFS('BP 2020 v.I dle HAZ - MAT.'!FN:FN,'BP 2020 v.I dle HAZ - MAT.'!$B:$B,"Léky a léčiva")-N61-Z61</f>
        <v>0</v>
      </c>
      <c r="I61" s="103">
        <f t="shared" si="14"/>
        <v>0</v>
      </c>
      <c r="J61" s="303" t="str">
        <f t="shared" si="19"/>
        <v/>
      </c>
      <c r="K61" s="323">
        <f>-SUMIFS('BP 2020 v.I dle HAZ - MAT.'!FL:FL,'BP 2020 v.I dle HAZ - MAT.'!$B:$B,"Léky - centra (LEK)")</f>
        <v>0</v>
      </c>
      <c r="L61" s="353"/>
      <c r="M61" s="115">
        <f>-SUMIFS('BP 2020 v.I dle HAZ - MAT.'!FM:FM,'BP 2020 v.I dle HAZ - MAT.'!$B:$B,"Léky - centra (LEK)")</f>
        <v>0</v>
      </c>
      <c r="N61" s="115">
        <f>-SUMIFS('BP 2020 v.I dle HAZ - MAT.'!FN:FN,'BP 2020 v.I dle HAZ - MAT.'!$B:$B,"Léky - centra (LEK)")</f>
        <v>0</v>
      </c>
      <c r="O61" s="105">
        <f t="shared" si="17"/>
        <v>0</v>
      </c>
      <c r="P61" s="106" t="str">
        <f t="shared" si="18"/>
        <v/>
      </c>
      <c r="Q61" s="295">
        <f>SUMIF('CL 2020 PLÁN - SOUHRN '!A:A,A61,'CL 2020 PLÁN - SOUHRN '!I:I)</f>
        <v>0</v>
      </c>
      <c r="R61" s="296">
        <f t="shared" si="8"/>
        <v>0</v>
      </c>
      <c r="S61" s="300" t="str">
        <f t="shared" si="9"/>
        <v/>
      </c>
      <c r="T61" s="326" t="str">
        <f t="shared" si="10"/>
        <v/>
      </c>
      <c r="U61" s="329" t="str">
        <f t="shared" si="11"/>
        <v/>
      </c>
      <c r="V61" s="331"/>
      <c r="W61" s="317">
        <f>-SUMIFS('BP 2020 v.I dle HAZ - MAT.'!FL:FL,'BP 2020 v.I dle HAZ - MAT.'!$B:$B,"Léky - dle §16 (LEK)")</f>
        <v>0</v>
      </c>
      <c r="X61" s="359"/>
      <c r="Y61" s="116">
        <f>-SUMIFS('BP 2020 v.I dle HAZ - MAT.'!FM:FM,'BP 2020 v.I dle HAZ - MAT.'!$B:$B,"Léky - dle §16 (LEK)")</f>
        <v>0</v>
      </c>
      <c r="Z61" s="116">
        <f>-SUMIFS('BP 2020 v.I dle HAZ - MAT.'!FN:FN,'BP 2020 v.I dle HAZ - MAT.'!$B:$B,"Léky - dle §16 (LEK)")</f>
        <v>0</v>
      </c>
      <c r="AA61" s="108">
        <f t="shared" si="12"/>
        <v>0</v>
      </c>
      <c r="AB61" s="314" t="str">
        <f t="shared" si="13"/>
        <v/>
      </c>
      <c r="AC61" s="309">
        <f>-SUMIFS('BP 2020 v.I dle HAZ - MAT.'!FL:FL,'BP 2020 v.I dle HAZ - MAT.'!$B:$B,"Zdravotnické prostředky")</f>
        <v>780537.76</v>
      </c>
      <c r="AD61" s="309"/>
      <c r="AE61" s="117">
        <f>-SUMIFS('BP 2020 v.I dle HAZ - MAT.'!FM:FM,'BP 2020 v.I dle HAZ - MAT.'!$B:$B,"Zdravotnické prostředky")</f>
        <v>0</v>
      </c>
      <c r="AF61" s="117">
        <f>-SUMIFS('BP 2020 v.I dle HAZ - MAT.'!FN:FN,'BP 2020 v.I dle HAZ - MAT.'!$B:$B,"Zdravotnické prostředky")</f>
        <v>0</v>
      </c>
      <c r="AG61" s="110">
        <f t="shared" si="15"/>
        <v>0</v>
      </c>
      <c r="AH61" s="111" t="str">
        <f t="shared" si="16"/>
        <v/>
      </c>
      <c r="AI61" s="45"/>
    </row>
    <row r="62" spans="1:35" s="46" customFormat="1" ht="30.75" customHeight="1" x14ac:dyDescent="0.25">
      <c r="C62" s="46" t="s">
        <v>369</v>
      </c>
      <c r="D62" s="84" t="s">
        <v>64</v>
      </c>
      <c r="E62" s="57">
        <f>-SUMIFS('BP 2020 v.I dle HAZ - MAT.'!FO:FO,'BP 2020 v.I dle HAZ - MAT.'!$B:$B,"Léky a léčiva")-K62-W62</f>
        <v>10648.76</v>
      </c>
      <c r="F62" s="57"/>
      <c r="G62" s="57">
        <f>-SUMIFS('BP 2020 v.I dle HAZ - MAT.'!FP:FP,'BP 2020 v.I dle HAZ - MAT.'!$B:$B,"Léky a léčiva")-M62-Y62</f>
        <v>0</v>
      </c>
      <c r="H62" s="57">
        <f>-SUMIFS('BP 2020 v.I dle HAZ - MAT.'!FQ:FQ,'BP 2020 v.I dle HAZ - MAT.'!$B:$B,"Léky a léčiva")-N62-Z62</f>
        <v>0</v>
      </c>
      <c r="I62" s="94">
        <f t="shared" si="14"/>
        <v>0</v>
      </c>
      <c r="J62" s="304" t="str">
        <f t="shared" si="19"/>
        <v/>
      </c>
      <c r="K62" s="322">
        <f>-SUMIFS('BP 2020 v.I dle HAZ - MAT.'!FO:FO,'BP 2020 v.I dle HAZ - MAT.'!$B:$B,"Léky - centra (LEK)")</f>
        <v>0</v>
      </c>
      <c r="L62" s="351"/>
      <c r="M62" s="64">
        <f>-SUMIFS('BP 2020 v.I dle HAZ - MAT.'!FP:FP,'BP 2020 v.I dle HAZ - MAT.'!$B:$B,"Léky - centra (LEK)")</f>
        <v>0</v>
      </c>
      <c r="N62" s="64">
        <f>-SUMIFS('BP 2020 v.I dle HAZ - MAT.'!FQ:FQ,'BP 2020 v.I dle HAZ - MAT.'!$B:$B,"Léky - centra (LEK)")</f>
        <v>0</v>
      </c>
      <c r="O62" s="95">
        <f t="shared" si="17"/>
        <v>0</v>
      </c>
      <c r="P62" s="96" t="str">
        <f t="shared" si="18"/>
        <v/>
      </c>
      <c r="Q62" s="295">
        <f>SUMIF('CL 2020 PLÁN - SOUHRN '!A:A,A62,'CL 2020 PLÁN - SOUHRN '!I:I)</f>
        <v>0</v>
      </c>
      <c r="R62" s="296">
        <f t="shared" si="8"/>
        <v>0</v>
      </c>
      <c r="S62" s="300" t="str">
        <f t="shared" si="9"/>
        <v/>
      </c>
      <c r="T62" s="326" t="str">
        <f t="shared" si="10"/>
        <v/>
      </c>
      <c r="U62" s="329" t="str">
        <f t="shared" si="11"/>
        <v/>
      </c>
      <c r="V62" s="331"/>
      <c r="W62" s="315">
        <f>-SUMIFS('BP 2020 v.I dle HAZ - MAT.'!FO:FO,'BP 2020 v.I dle HAZ - MAT.'!$B:$B,"Léky - dle §16 (LEK)")</f>
        <v>0</v>
      </c>
      <c r="X62" s="358"/>
      <c r="Y62" s="70">
        <f>-SUMIFS('BP 2020 v.I dle HAZ - MAT.'!FP:FP,'BP 2020 v.I dle HAZ - MAT.'!$B:$B,"Léky - dle §16 (LEK)")</f>
        <v>0</v>
      </c>
      <c r="Z62" s="70">
        <f>-SUMIFS('BP 2020 v.I dle HAZ - MAT.'!FQ:FQ,'BP 2020 v.I dle HAZ - MAT.'!$B:$B,"Léky - dle §16 (LEK)")</f>
        <v>0</v>
      </c>
      <c r="AA62" s="97">
        <f t="shared" si="12"/>
        <v>0</v>
      </c>
      <c r="AB62" s="316" t="str">
        <f t="shared" si="13"/>
        <v/>
      </c>
      <c r="AC62" s="308">
        <f>-SUMIFS('BP 2020 v.I dle HAZ - MAT.'!FO:FO,'BP 2020 v.I dle HAZ - MAT.'!$B:$B,"Zdravotnické prostředky")</f>
        <v>4743512.9800000004</v>
      </c>
      <c r="AD62" s="308">
        <v>4761000</v>
      </c>
      <c r="AE62" s="76">
        <f>-SUMIFS('BP 2020 v.I dle HAZ - MAT.'!FP:FP,'BP 2020 v.I dle HAZ - MAT.'!$B:$B,"Zdravotnické prostředky")</f>
        <v>4761000</v>
      </c>
      <c r="AF62" s="76">
        <f>-SUMIFS('BP 2020 v.I dle HAZ - MAT.'!FQ:FQ,'BP 2020 v.I dle HAZ - MAT.'!$B:$B,"Zdravotnické prostředky")</f>
        <v>0</v>
      </c>
      <c r="AG62" s="98">
        <f t="shared" si="15"/>
        <v>-4761000</v>
      </c>
      <c r="AH62" s="99">
        <f t="shared" si="16"/>
        <v>0</v>
      </c>
      <c r="AI62" s="45"/>
    </row>
    <row r="63" spans="1:35" s="46" customFormat="1" ht="30.75" customHeight="1" x14ac:dyDescent="0.25">
      <c r="C63" s="46" t="s">
        <v>370</v>
      </c>
      <c r="D63" s="113" t="s">
        <v>64</v>
      </c>
      <c r="E63" s="114">
        <f>-SUMIFS('BP 2020 v.I dle HAZ - MAT.'!FR:FR,'BP 2020 v.I dle HAZ - MAT.'!$B:$B,"Léky a léčiva")-K63-W63</f>
        <v>0</v>
      </c>
      <c r="F63" s="114"/>
      <c r="G63" s="114">
        <f>-SUMIFS('BP 2020 v.I dle HAZ - MAT.'!FS:FS,'BP 2020 v.I dle HAZ - MAT.'!$B:$B,"Léky a léčiva")-M63-Y63</f>
        <v>0</v>
      </c>
      <c r="H63" s="114">
        <f>-SUMIFS('BP 2020 v.I dle HAZ - MAT.'!FT:FT,'BP 2020 v.I dle HAZ - MAT.'!$B:$B,"Léky a léčiva")-N63-Z63</f>
        <v>0</v>
      </c>
      <c r="I63" s="103">
        <f t="shared" si="14"/>
        <v>0</v>
      </c>
      <c r="J63" s="303" t="str">
        <f t="shared" si="19"/>
        <v/>
      </c>
      <c r="K63" s="323">
        <f>-SUMIFS('BP 2020 v.I dle HAZ - MAT.'!FR:FR,'BP 2020 v.I dle HAZ - MAT.'!$B:$B,"Léky - centra (LEK)")</f>
        <v>0</v>
      </c>
      <c r="L63" s="353"/>
      <c r="M63" s="115">
        <f>-SUMIFS('BP 2020 v.I dle HAZ - MAT.'!FS:FS,'BP 2020 v.I dle HAZ - MAT.'!$B:$B,"Léky - centra (LEK)")</f>
        <v>0</v>
      </c>
      <c r="N63" s="115">
        <f>-SUMIFS('BP 2020 v.I dle HAZ - MAT.'!FT:FT,'BP 2020 v.I dle HAZ - MAT.'!$B:$B,"Léky - centra (LEK)")</f>
        <v>0</v>
      </c>
      <c r="O63" s="105">
        <f t="shared" si="17"/>
        <v>0</v>
      </c>
      <c r="P63" s="106" t="str">
        <f t="shared" si="18"/>
        <v/>
      </c>
      <c r="Q63" s="295">
        <f>SUMIF('CL 2020 PLÁN - SOUHRN '!A:A,A63,'CL 2020 PLÁN - SOUHRN '!I:I)</f>
        <v>0</v>
      </c>
      <c r="R63" s="296">
        <f t="shared" si="8"/>
        <v>0</v>
      </c>
      <c r="S63" s="300" t="str">
        <f t="shared" si="9"/>
        <v/>
      </c>
      <c r="T63" s="326" t="str">
        <f t="shared" si="10"/>
        <v/>
      </c>
      <c r="U63" s="329" t="str">
        <f t="shared" si="11"/>
        <v/>
      </c>
      <c r="V63" s="331"/>
      <c r="W63" s="317">
        <f>-SUMIFS('BP 2020 v.I dle HAZ - MAT.'!FR:FR,'BP 2020 v.I dle HAZ - MAT.'!$B:$B,"Léky - dle §16 (LEK)")</f>
        <v>0</v>
      </c>
      <c r="X63" s="359"/>
      <c r="Y63" s="116">
        <f>-SUMIFS('BP 2020 v.I dle HAZ - MAT.'!FS:FS,'BP 2020 v.I dle HAZ - MAT.'!$B:$B,"Léky - dle §16 (LEK)")</f>
        <v>0</v>
      </c>
      <c r="Z63" s="116">
        <f>-SUMIFS('BP 2020 v.I dle HAZ - MAT.'!FT:FT,'BP 2020 v.I dle HAZ - MAT.'!$B:$B,"Léky - dle §16 (LEK)")</f>
        <v>0</v>
      </c>
      <c r="AA63" s="108">
        <f t="shared" si="12"/>
        <v>0</v>
      </c>
      <c r="AB63" s="314" t="str">
        <f t="shared" si="13"/>
        <v/>
      </c>
      <c r="AC63" s="309">
        <f>-SUMIFS('BP 2020 v.I dle HAZ - MAT.'!FR:FR,'BP 2020 v.I dle HAZ - MAT.'!$B:$B,"Zdravotnické prostředky")</f>
        <v>367265.46</v>
      </c>
      <c r="AD63" s="309"/>
      <c r="AE63" s="117">
        <f>-SUMIFS('BP 2020 v.I dle HAZ - MAT.'!FS:FS,'BP 2020 v.I dle HAZ - MAT.'!$B:$B,"Zdravotnické prostředky")</f>
        <v>0</v>
      </c>
      <c r="AF63" s="117">
        <v>5727000</v>
      </c>
      <c r="AG63" s="110">
        <f t="shared" si="15"/>
        <v>5727000</v>
      </c>
      <c r="AH63" s="111" t="str">
        <f t="shared" si="16"/>
        <v/>
      </c>
      <c r="AI63" s="45"/>
    </row>
    <row r="64" spans="1:35" s="46" customFormat="1" ht="30.75" customHeight="1" x14ac:dyDescent="0.25">
      <c r="C64" s="46" t="s">
        <v>371</v>
      </c>
      <c r="D64" s="84" t="s">
        <v>65</v>
      </c>
      <c r="E64" s="57">
        <f>-SUMIFS('BP 2020 v.I dle HAZ - MAT.'!FU:FU,'BP 2020 v.I dle HAZ - MAT.'!$B:$B,"Léky a léčiva")-K64-W64</f>
        <v>0</v>
      </c>
      <c r="F64" s="57"/>
      <c r="G64" s="57">
        <f>-SUMIFS('BP 2020 v.I dle HAZ - MAT.'!FV:FV,'BP 2020 v.I dle HAZ - MAT.'!$B:$B,"Léky a léčiva")-M64-Y64</f>
        <v>0</v>
      </c>
      <c r="H64" s="57">
        <f>-SUMIFS('BP 2020 v.I dle HAZ - MAT.'!FW:FW,'BP 2020 v.I dle HAZ - MAT.'!$B:$B,"Léky a léčiva")-N64-Z64</f>
        <v>0</v>
      </c>
      <c r="I64" s="94">
        <f t="shared" si="14"/>
        <v>0</v>
      </c>
      <c r="J64" s="304" t="str">
        <f t="shared" si="19"/>
        <v/>
      </c>
      <c r="K64" s="322">
        <f>-SUMIFS('BP 2020 v.I dle HAZ - MAT.'!FU:FU,'BP 2020 v.I dle HAZ - MAT.'!$B:$B,"Léky - centra (LEK)")</f>
        <v>0</v>
      </c>
      <c r="L64" s="351"/>
      <c r="M64" s="64">
        <f>-SUMIFS('BP 2020 v.I dle HAZ - MAT.'!FV:FV,'BP 2020 v.I dle HAZ - MAT.'!$B:$B,"Léky - centra (LEK)")</f>
        <v>0</v>
      </c>
      <c r="N64" s="64">
        <f>-SUMIFS('BP 2020 v.I dle HAZ - MAT.'!FW:FW,'BP 2020 v.I dle HAZ - MAT.'!$B:$B,"Léky - centra (LEK)")</f>
        <v>0</v>
      </c>
      <c r="O64" s="95">
        <f t="shared" si="17"/>
        <v>0</v>
      </c>
      <c r="P64" s="96" t="str">
        <f t="shared" si="18"/>
        <v/>
      </c>
      <c r="Q64" s="295">
        <f>SUMIF('CL 2020 PLÁN - SOUHRN '!A:A,A64,'CL 2020 PLÁN - SOUHRN '!I:I)</f>
        <v>0</v>
      </c>
      <c r="R64" s="296">
        <f t="shared" si="8"/>
        <v>0</v>
      </c>
      <c r="S64" s="300" t="str">
        <f t="shared" si="9"/>
        <v/>
      </c>
      <c r="T64" s="326" t="str">
        <f t="shared" si="10"/>
        <v/>
      </c>
      <c r="U64" s="329" t="str">
        <f t="shared" si="11"/>
        <v/>
      </c>
      <c r="V64" s="331"/>
      <c r="W64" s="315">
        <f>-SUMIFS('BP 2020 v.I dle HAZ - MAT.'!FU:FU,'BP 2020 v.I dle HAZ - MAT.'!$B:$B,"Léky - dle §16 (LEK)")</f>
        <v>0</v>
      </c>
      <c r="X64" s="358"/>
      <c r="Y64" s="70">
        <f>-SUMIFS('BP 2020 v.I dle HAZ - MAT.'!FV:FV,'BP 2020 v.I dle HAZ - MAT.'!$B:$B,"Léky - dle §16 (LEK)")</f>
        <v>0</v>
      </c>
      <c r="Z64" s="70">
        <f>-SUMIFS('BP 2020 v.I dle HAZ - MAT.'!FW:FW,'BP 2020 v.I dle HAZ - MAT.'!$B:$B,"Léky - dle §16 (LEK)")</f>
        <v>0</v>
      </c>
      <c r="AA64" s="97">
        <f t="shared" si="12"/>
        <v>0</v>
      </c>
      <c r="AB64" s="316" t="str">
        <f t="shared" si="13"/>
        <v/>
      </c>
      <c r="AC64" s="308">
        <f>-SUMIFS('BP 2020 v.I dle HAZ - MAT.'!FU:FU,'BP 2020 v.I dle HAZ - MAT.'!$B:$B,"Zdravotnické prostředky")</f>
        <v>0</v>
      </c>
      <c r="AD64" s="308"/>
      <c r="AE64" s="76">
        <f>-SUMIFS('BP 2020 v.I dle HAZ - MAT.'!FV:FV,'BP 2020 v.I dle HAZ - MAT.'!$B:$B,"Zdravotnické prostředky")</f>
        <v>0</v>
      </c>
      <c r="AF64" s="76">
        <f>-SUMIFS('BP 2020 v.I dle HAZ - MAT.'!FW:FW,'BP 2020 v.I dle HAZ - MAT.'!$B:$B,"Zdravotnické prostředky")</f>
        <v>0</v>
      </c>
      <c r="AG64" s="98">
        <f t="shared" si="15"/>
        <v>0</v>
      </c>
      <c r="AH64" s="99" t="str">
        <f t="shared" si="16"/>
        <v/>
      </c>
      <c r="AI64" s="45"/>
    </row>
    <row r="65" spans="3:38" s="46" customFormat="1" ht="30.75" customHeight="1" x14ac:dyDescent="0.25">
      <c r="C65" s="46" t="s">
        <v>372</v>
      </c>
      <c r="D65" s="113" t="s">
        <v>66</v>
      </c>
      <c r="E65" s="114">
        <v>0</v>
      </c>
      <c r="F65" s="114"/>
      <c r="G65" s="114">
        <v>0</v>
      </c>
      <c r="H65" s="114">
        <f>-SUMIFS('BP 2020 v.I dle HAZ - MAT.'!FZ:FZ,'BP 2020 v.I dle HAZ - MAT.'!$B:$B,"Léky a léčiva")-N65-Z65</f>
        <v>0</v>
      </c>
      <c r="I65" s="103">
        <f t="shared" si="14"/>
        <v>0</v>
      </c>
      <c r="J65" s="303" t="str">
        <f t="shared" si="19"/>
        <v/>
      </c>
      <c r="K65" s="323">
        <f>-SUMIFS('BP 2020 v.I dle HAZ - MAT.'!FX:FX,'BP 2020 v.I dle HAZ - MAT.'!$B:$B,"Léky - centra (LEK)")</f>
        <v>0</v>
      </c>
      <c r="L65" s="353"/>
      <c r="M65" s="115"/>
      <c r="N65" s="115">
        <f>-SUMIFS('BP 2020 v.I dle HAZ - MAT.'!FZ:FZ,'BP 2020 v.I dle HAZ - MAT.'!$B:$B,"Léky - centra (LEK)")</f>
        <v>0</v>
      </c>
      <c r="O65" s="105">
        <f t="shared" si="17"/>
        <v>0</v>
      </c>
      <c r="P65" s="106" t="str">
        <f t="shared" si="18"/>
        <v/>
      </c>
      <c r="Q65" s="295">
        <f>SUMIF('CL 2020 PLÁN - SOUHRN '!A:A,A65,'CL 2020 PLÁN - SOUHRN '!I:I)</f>
        <v>0</v>
      </c>
      <c r="R65" s="296">
        <f t="shared" si="8"/>
        <v>0</v>
      </c>
      <c r="S65" s="300" t="str">
        <f t="shared" si="9"/>
        <v/>
      </c>
      <c r="T65" s="326" t="str">
        <f t="shared" si="10"/>
        <v/>
      </c>
      <c r="U65" s="329" t="str">
        <f t="shared" si="11"/>
        <v/>
      </c>
      <c r="V65" s="331"/>
      <c r="W65" s="317">
        <f>-SUMIFS('BP 2020 v.I dle HAZ - MAT.'!FX:FX,'BP 2020 v.I dle HAZ - MAT.'!$B:$B,"Léky - dle §16 (LEK)")</f>
        <v>0</v>
      </c>
      <c r="X65" s="359"/>
      <c r="Y65" s="116"/>
      <c r="Z65" s="116">
        <f>-SUMIFS('BP 2020 v.I dle HAZ - MAT.'!FZ:FZ,'BP 2020 v.I dle HAZ - MAT.'!$B:$B,"Léky - dle §16 (LEK)")</f>
        <v>0</v>
      </c>
      <c r="AA65" s="108">
        <f t="shared" si="12"/>
        <v>0</v>
      </c>
      <c r="AB65" s="314" t="str">
        <f t="shared" si="13"/>
        <v/>
      </c>
      <c r="AC65" s="309">
        <f>-SUMIFS('BP 2020 v.I dle HAZ - MAT.'!FX:FX,'BP 2020 v.I dle HAZ - MAT.'!$B:$B,"Zdravotnické prostředky")</f>
        <v>0</v>
      </c>
      <c r="AD65" s="309"/>
      <c r="AE65" s="117"/>
      <c r="AF65" s="117">
        <f>-SUMIFS('BP 2020 v.I dle HAZ - MAT.'!FZ:FZ,'BP 2020 v.I dle HAZ - MAT.'!$B:$B,"Zdravotnické prostředky")</f>
        <v>0</v>
      </c>
      <c r="AG65" s="110">
        <f t="shared" si="15"/>
        <v>0</v>
      </c>
      <c r="AH65" s="111" t="str">
        <f t="shared" si="16"/>
        <v/>
      </c>
      <c r="AI65" s="45"/>
    </row>
    <row r="66" spans="3:38" s="46" customFormat="1" ht="30.75" customHeight="1" x14ac:dyDescent="0.25">
      <c r="C66" s="46" t="s">
        <v>373</v>
      </c>
      <c r="D66" s="84" t="s">
        <v>67</v>
      </c>
      <c r="E66" s="57">
        <f>-SUMIFS('BP 2020 v.I dle HAZ - MAT.'!GA:GA,'BP 2020 v.I dle HAZ - MAT.'!$B:$B,"Léky a léčiva")-K66-W66</f>
        <v>0</v>
      </c>
      <c r="F66" s="57"/>
      <c r="G66" s="57">
        <f>-SUMIFS('BP 2020 v.I dle HAZ - MAT.'!GB:GB,'BP 2020 v.I dle HAZ - MAT.'!$B:$B,"Léky a léčiva")-M66-Y66</f>
        <v>0</v>
      </c>
      <c r="H66" s="57">
        <f>-SUMIFS('BP 2020 v.I dle HAZ - MAT.'!GC:GC,'BP 2020 v.I dle HAZ - MAT.'!$B:$B,"Léky a léčiva")-N66-Z66</f>
        <v>0</v>
      </c>
      <c r="I66" s="94">
        <f t="shared" si="14"/>
        <v>0</v>
      </c>
      <c r="J66" s="304" t="str">
        <f t="shared" si="19"/>
        <v/>
      </c>
      <c r="K66" s="322">
        <f>-SUMIFS('BP 2020 v.I dle HAZ - MAT.'!GA:GA,'BP 2020 v.I dle HAZ - MAT.'!$B:$B,"Léky - centra (LEK)")</f>
        <v>0</v>
      </c>
      <c r="L66" s="351"/>
      <c r="M66" s="64">
        <f>-SUMIFS('BP 2020 v.I dle HAZ - MAT.'!GB:GB,'BP 2020 v.I dle HAZ - MAT.'!$B:$B,"Léky - centra (LEK)")</f>
        <v>0</v>
      </c>
      <c r="N66" s="64">
        <f>-SUMIFS('BP 2020 v.I dle HAZ - MAT.'!GC:GC,'BP 2020 v.I dle HAZ - MAT.'!$B:$B,"Léky - centra (LEK)")</f>
        <v>0</v>
      </c>
      <c r="O66" s="95">
        <f t="shared" si="17"/>
        <v>0</v>
      </c>
      <c r="P66" s="96" t="str">
        <f t="shared" si="18"/>
        <v/>
      </c>
      <c r="Q66" s="295">
        <f>SUMIF('CL 2020 PLÁN - SOUHRN '!A:A,A66,'CL 2020 PLÁN - SOUHRN '!I:I)</f>
        <v>0</v>
      </c>
      <c r="R66" s="296">
        <f t="shared" si="8"/>
        <v>0</v>
      </c>
      <c r="S66" s="300" t="str">
        <f t="shared" si="9"/>
        <v/>
      </c>
      <c r="T66" s="326" t="str">
        <f t="shared" si="10"/>
        <v/>
      </c>
      <c r="U66" s="329" t="str">
        <f t="shared" si="11"/>
        <v/>
      </c>
      <c r="V66" s="331"/>
      <c r="W66" s="315">
        <f>-SUMIFS('BP 2020 v.I dle HAZ - MAT.'!GA:GA,'BP 2020 v.I dle HAZ - MAT.'!$B:$B,"Léky - dle §16 (LEK)")</f>
        <v>0</v>
      </c>
      <c r="X66" s="358"/>
      <c r="Y66" s="70">
        <f>-SUMIFS('BP 2020 v.I dle HAZ - MAT.'!GB:GB,'BP 2020 v.I dle HAZ - MAT.'!$B:$B,"Léky - dle §16 (LEK)")</f>
        <v>0</v>
      </c>
      <c r="Z66" s="70">
        <f>-SUMIFS('BP 2020 v.I dle HAZ - MAT.'!GC:GC,'BP 2020 v.I dle HAZ - MAT.'!$B:$B,"Léky - dle §16 (LEK)")</f>
        <v>0</v>
      </c>
      <c r="AA66" s="97">
        <f t="shared" si="12"/>
        <v>0</v>
      </c>
      <c r="AB66" s="316" t="str">
        <f t="shared" si="13"/>
        <v/>
      </c>
      <c r="AC66" s="308">
        <f>-SUMIFS('BP 2020 v.I dle HAZ - MAT.'!GA:GA,'BP 2020 v.I dle HAZ - MAT.'!$B:$B,"Zdravotnické prostředky")</f>
        <v>0</v>
      </c>
      <c r="AD66" s="308"/>
      <c r="AE66" s="76">
        <f>-SUMIFS('BP 2020 v.I dle HAZ - MAT.'!GB:GB,'BP 2020 v.I dle HAZ - MAT.'!$B:$B,"Zdravotnické prostředky")</f>
        <v>0</v>
      </c>
      <c r="AF66" s="76">
        <f>-SUMIFS('BP 2020 v.I dle HAZ - MAT.'!GC:GC,'BP 2020 v.I dle HAZ - MAT.'!$B:$B,"Zdravotnické prostředky")</f>
        <v>0</v>
      </c>
      <c r="AG66" s="98">
        <f t="shared" si="15"/>
        <v>0</v>
      </c>
      <c r="AH66" s="99" t="str">
        <f t="shared" si="16"/>
        <v/>
      </c>
      <c r="AI66" s="45"/>
    </row>
    <row r="67" spans="3:38" s="46" customFormat="1" ht="30.75" customHeight="1" x14ac:dyDescent="0.25">
      <c r="C67" s="46" t="s">
        <v>374</v>
      </c>
      <c r="D67" s="113" t="s">
        <v>68</v>
      </c>
      <c r="E67" s="114">
        <f>-SUMIFS('BP 2020 v.I dle HAZ - MAT.'!GD:GD,'BP 2020 v.I dle HAZ - MAT.'!$B:$B,"Léky a léčiva")-K67-W67</f>
        <v>0</v>
      </c>
      <c r="F67" s="114"/>
      <c r="G67" s="114">
        <f>-SUMIFS('BP 2020 v.I dle HAZ - MAT.'!GE:GE,'BP 2020 v.I dle HAZ - MAT.'!$B:$B,"Léky a léčiva")-M67-Y67</f>
        <v>0</v>
      </c>
      <c r="H67" s="114">
        <f>-SUMIFS('BP 2020 v.I dle HAZ - MAT.'!GF:GF,'BP 2020 v.I dle HAZ - MAT.'!$B:$B,"Léky a léčiva")-N67-Z67</f>
        <v>0</v>
      </c>
      <c r="I67" s="103">
        <f t="shared" si="14"/>
        <v>0</v>
      </c>
      <c r="J67" s="303" t="str">
        <f t="shared" si="19"/>
        <v/>
      </c>
      <c r="K67" s="323">
        <f>-SUMIFS('BP 2020 v.I dle HAZ - MAT.'!GD:GD,'BP 2020 v.I dle HAZ - MAT.'!$B:$B,"Léky - centra (LEK)")</f>
        <v>0</v>
      </c>
      <c r="L67" s="353"/>
      <c r="M67" s="115">
        <f>-SUMIFS('BP 2020 v.I dle HAZ - MAT.'!GE:GE,'BP 2020 v.I dle HAZ - MAT.'!$B:$B,"Léky - centra (LEK)")</f>
        <v>0</v>
      </c>
      <c r="N67" s="115">
        <f>-SUMIFS('BP 2020 v.I dle HAZ - MAT.'!GF:GF,'BP 2020 v.I dle HAZ - MAT.'!$B:$B,"Léky - centra (LEK)")</f>
        <v>0</v>
      </c>
      <c r="O67" s="105">
        <f t="shared" si="17"/>
        <v>0</v>
      </c>
      <c r="P67" s="106" t="str">
        <f t="shared" si="18"/>
        <v/>
      </c>
      <c r="Q67" s="295">
        <f>SUMIF('CL 2020 PLÁN - SOUHRN '!A:A,A67,'CL 2020 PLÁN - SOUHRN '!I:I)</f>
        <v>0</v>
      </c>
      <c r="R67" s="296">
        <f t="shared" si="8"/>
        <v>0</v>
      </c>
      <c r="S67" s="300" t="str">
        <f t="shared" si="9"/>
        <v/>
      </c>
      <c r="T67" s="326" t="str">
        <f t="shared" si="10"/>
        <v/>
      </c>
      <c r="U67" s="329" t="str">
        <f t="shared" si="11"/>
        <v/>
      </c>
      <c r="V67" s="331"/>
      <c r="W67" s="317">
        <f>-SUMIFS('BP 2020 v.I dle HAZ - MAT.'!GD:GD,'BP 2020 v.I dle HAZ - MAT.'!$B:$B,"Léky - dle §16 (LEK)")</f>
        <v>0</v>
      </c>
      <c r="X67" s="359"/>
      <c r="Y67" s="116">
        <f>-SUMIFS('BP 2020 v.I dle HAZ - MAT.'!GE:GE,'BP 2020 v.I dle HAZ - MAT.'!$B:$B,"Léky - dle §16 (LEK)")</f>
        <v>0</v>
      </c>
      <c r="Z67" s="116">
        <f>-SUMIFS('BP 2020 v.I dle HAZ - MAT.'!GF:GF,'BP 2020 v.I dle HAZ - MAT.'!$B:$B,"Léky - dle §16 (LEK)")</f>
        <v>0</v>
      </c>
      <c r="AA67" s="108">
        <f t="shared" si="12"/>
        <v>0</v>
      </c>
      <c r="AB67" s="314" t="str">
        <f t="shared" si="13"/>
        <v/>
      </c>
      <c r="AC67" s="309">
        <f>-SUMIFS('BP 2020 v.I dle HAZ - MAT.'!GD:GD,'BP 2020 v.I dle HAZ - MAT.'!$B:$B,"Zdravotnické prostředky")</f>
        <v>0</v>
      </c>
      <c r="AD67" s="309"/>
      <c r="AE67" s="117">
        <f>-SUMIFS('BP 2020 v.I dle HAZ - MAT.'!GE:GE,'BP 2020 v.I dle HAZ - MAT.'!$B:$B,"Zdravotnické prostředky")</f>
        <v>0</v>
      </c>
      <c r="AF67" s="117">
        <f>-SUMIFS('BP 2020 v.I dle HAZ - MAT.'!GF:GF,'BP 2020 v.I dle HAZ - MAT.'!$B:$B,"Zdravotnické prostředky")</f>
        <v>0</v>
      </c>
      <c r="AG67" s="110">
        <f t="shared" si="15"/>
        <v>0</v>
      </c>
      <c r="AH67" s="111" t="str">
        <f t="shared" si="16"/>
        <v/>
      </c>
      <c r="AI67" s="45"/>
    </row>
    <row r="68" spans="3:38" s="46" customFormat="1" ht="30.75" customHeight="1" x14ac:dyDescent="0.25">
      <c r="C68" s="46" t="s">
        <v>375</v>
      </c>
      <c r="D68" s="84" t="s">
        <v>69</v>
      </c>
      <c r="E68" s="57">
        <f>-SUMIFS('BP 2020 v.I dle HAZ - MAT.'!GG:GG,'BP 2020 v.I dle HAZ - MAT.'!$B:$B,"Léky a léčiva")-K68-W68</f>
        <v>0</v>
      </c>
      <c r="F68" s="57"/>
      <c r="G68" s="57">
        <f>-SUMIFS('BP 2020 v.I dle HAZ - MAT.'!GH:GH,'BP 2020 v.I dle HAZ - MAT.'!$B:$B,"Léky a léčiva")-M68-Y68</f>
        <v>0</v>
      </c>
      <c r="H68" s="57">
        <f>-SUMIFS('BP 2020 v.I dle HAZ - MAT.'!GI:GI,'BP 2020 v.I dle HAZ - MAT.'!$B:$B,"Léky a léčiva")-N68-Z68</f>
        <v>0</v>
      </c>
      <c r="I68" s="94">
        <f t="shared" si="14"/>
        <v>0</v>
      </c>
      <c r="J68" s="304" t="str">
        <f t="shared" si="19"/>
        <v/>
      </c>
      <c r="K68" s="322">
        <f>-SUMIFS('BP 2020 v.I dle HAZ - MAT.'!GG:GG,'BP 2020 v.I dle HAZ - MAT.'!$B:$B,"Léky - centra (LEK)")</f>
        <v>0</v>
      </c>
      <c r="L68" s="351"/>
      <c r="M68" s="64">
        <f>-SUMIFS('BP 2020 v.I dle HAZ - MAT.'!GH:GH,'BP 2020 v.I dle HAZ - MAT.'!$B:$B,"Léky - centra (LEK)")</f>
        <v>0</v>
      </c>
      <c r="N68" s="64">
        <f>-SUMIFS('BP 2020 v.I dle HAZ - MAT.'!GI:GI,'BP 2020 v.I dle HAZ - MAT.'!$B:$B,"Léky - centra (LEK)")</f>
        <v>0</v>
      </c>
      <c r="O68" s="95">
        <f t="shared" si="17"/>
        <v>0</v>
      </c>
      <c r="P68" s="96" t="str">
        <f t="shared" si="18"/>
        <v/>
      </c>
      <c r="Q68" s="295">
        <f>SUMIF('CL 2020 PLÁN - SOUHRN '!A:A,A68,'CL 2020 PLÁN - SOUHRN '!I:I)</f>
        <v>0</v>
      </c>
      <c r="R68" s="296">
        <f t="shared" si="8"/>
        <v>0</v>
      </c>
      <c r="S68" s="300" t="str">
        <f t="shared" si="9"/>
        <v/>
      </c>
      <c r="T68" s="326" t="str">
        <f t="shared" si="10"/>
        <v/>
      </c>
      <c r="U68" s="329" t="str">
        <f t="shared" si="11"/>
        <v/>
      </c>
      <c r="V68" s="331"/>
      <c r="W68" s="315">
        <f>-SUMIFS('BP 2020 v.I dle HAZ - MAT.'!GG:GG,'BP 2020 v.I dle HAZ - MAT.'!$B:$B,"Léky - dle §16 (LEK)")</f>
        <v>0</v>
      </c>
      <c r="X68" s="358"/>
      <c r="Y68" s="70">
        <f>-SUMIFS('BP 2020 v.I dle HAZ - MAT.'!GH:GH,'BP 2020 v.I dle HAZ - MAT.'!$B:$B,"Léky - dle §16 (LEK)")</f>
        <v>0</v>
      </c>
      <c r="Z68" s="70">
        <f>-SUMIFS('BP 2020 v.I dle HAZ - MAT.'!GI:GI,'BP 2020 v.I dle HAZ - MAT.'!$B:$B,"Léky - dle §16 (LEK)")</f>
        <v>0</v>
      </c>
      <c r="AA68" s="97">
        <f t="shared" si="12"/>
        <v>0</v>
      </c>
      <c r="AB68" s="316" t="str">
        <f t="shared" si="13"/>
        <v/>
      </c>
      <c r="AC68" s="308">
        <f>-SUMIFS('BP 2020 v.I dle HAZ - MAT.'!GG:GG,'BP 2020 v.I dle HAZ - MAT.'!$B:$B,"Zdravotnické prostředky")</f>
        <v>0</v>
      </c>
      <c r="AD68" s="308"/>
      <c r="AE68" s="76">
        <f>-SUMIFS('BP 2020 v.I dle HAZ - MAT.'!GH:GH,'BP 2020 v.I dle HAZ - MAT.'!$B:$B,"Zdravotnické prostředky")</f>
        <v>0</v>
      </c>
      <c r="AF68" s="76">
        <f>-SUMIFS('BP 2020 v.I dle HAZ - MAT.'!GI:GI,'BP 2020 v.I dle HAZ - MAT.'!$B:$B,"Zdravotnické prostředky")</f>
        <v>0</v>
      </c>
      <c r="AG68" s="98">
        <f t="shared" si="15"/>
        <v>0</v>
      </c>
      <c r="AH68" s="99" t="str">
        <f t="shared" si="16"/>
        <v/>
      </c>
      <c r="AI68" s="45"/>
    </row>
    <row r="69" spans="3:38" s="46" customFormat="1" ht="30.75" customHeight="1" x14ac:dyDescent="0.25">
      <c r="C69" s="46" t="s">
        <v>376</v>
      </c>
      <c r="D69" s="113" t="s">
        <v>70</v>
      </c>
      <c r="E69" s="114">
        <f>-SUMIFS('BP 2020 v.I dle HAZ - MAT.'!GJ:GJ,'BP 2020 v.I dle HAZ - MAT.'!$B:$B,"Léky a léčiva")-K69-W69</f>
        <v>0</v>
      </c>
      <c r="F69" s="114"/>
      <c r="G69" s="114">
        <f>-SUMIFS('BP 2020 v.I dle HAZ - MAT.'!GK:GK,'BP 2020 v.I dle HAZ - MAT.'!$B:$B,"Léky a léčiva")-M69-Y69</f>
        <v>0</v>
      </c>
      <c r="H69" s="114">
        <f>-SUMIFS('BP 2020 v.I dle HAZ - MAT.'!GL:GL,'BP 2020 v.I dle HAZ - MAT.'!$B:$B,"Léky a léčiva")-N69-Z69</f>
        <v>0</v>
      </c>
      <c r="I69" s="103">
        <f t="shared" si="14"/>
        <v>0</v>
      </c>
      <c r="J69" s="303" t="str">
        <f t="shared" si="19"/>
        <v/>
      </c>
      <c r="K69" s="323">
        <f>-SUMIFS('BP 2020 v.I dle HAZ - MAT.'!GJ:GJ,'BP 2020 v.I dle HAZ - MAT.'!$B:$B,"Léky - centra (LEK)")</f>
        <v>0</v>
      </c>
      <c r="L69" s="353"/>
      <c r="M69" s="115">
        <f>-SUMIFS('BP 2020 v.I dle HAZ - MAT.'!GK:GK,'BP 2020 v.I dle HAZ - MAT.'!$B:$B,"Léky - centra (LEK)")</f>
        <v>0</v>
      </c>
      <c r="N69" s="115">
        <f>-SUMIFS('BP 2020 v.I dle HAZ - MAT.'!GL:GL,'BP 2020 v.I dle HAZ - MAT.'!$B:$B,"Léky - centra (LEK)")</f>
        <v>0</v>
      </c>
      <c r="O69" s="105">
        <f t="shared" si="17"/>
        <v>0</v>
      </c>
      <c r="P69" s="106" t="str">
        <f t="shared" si="18"/>
        <v/>
      </c>
      <c r="Q69" s="295">
        <f>SUMIF('CL 2020 PLÁN - SOUHRN '!A:A,A69,'CL 2020 PLÁN - SOUHRN '!I:I)</f>
        <v>0</v>
      </c>
      <c r="R69" s="296">
        <f t="shared" si="8"/>
        <v>0</v>
      </c>
      <c r="S69" s="300" t="str">
        <f t="shared" si="9"/>
        <v/>
      </c>
      <c r="T69" s="326" t="str">
        <f t="shared" si="10"/>
        <v/>
      </c>
      <c r="U69" s="329" t="str">
        <f t="shared" si="11"/>
        <v/>
      </c>
      <c r="V69" s="331"/>
      <c r="W69" s="317">
        <f>-SUMIFS('BP 2020 v.I dle HAZ - MAT.'!GJ:GJ,'BP 2020 v.I dle HAZ - MAT.'!$B:$B,"Léky - dle §16 (LEK)")</f>
        <v>0</v>
      </c>
      <c r="X69" s="359"/>
      <c r="Y69" s="116">
        <f>-SUMIFS('BP 2020 v.I dle HAZ - MAT.'!GK:GK,'BP 2020 v.I dle HAZ - MAT.'!$B:$B,"Léky - dle §16 (LEK)")</f>
        <v>0</v>
      </c>
      <c r="Z69" s="116">
        <f>-SUMIFS('BP 2020 v.I dle HAZ - MAT.'!GL:GL,'BP 2020 v.I dle HAZ - MAT.'!$B:$B,"Léky - dle §16 (LEK)")</f>
        <v>0</v>
      </c>
      <c r="AA69" s="108">
        <f t="shared" si="12"/>
        <v>0</v>
      </c>
      <c r="AB69" s="314" t="str">
        <f t="shared" si="13"/>
        <v/>
      </c>
      <c r="AC69" s="309">
        <f>-SUMIFS('BP 2020 v.I dle HAZ - MAT.'!GJ:GJ,'BP 2020 v.I dle HAZ - MAT.'!$B:$B,"Zdravotnické prostředky")</f>
        <v>0</v>
      </c>
      <c r="AD69" s="309"/>
      <c r="AE69" s="117">
        <f>-SUMIFS('BP 2020 v.I dle HAZ - MAT.'!GK:GK,'BP 2020 v.I dle HAZ - MAT.'!$B:$B,"Zdravotnické prostředky")</f>
        <v>53000</v>
      </c>
      <c r="AF69" s="117">
        <f>-SUMIFS('BP 2020 v.I dle HAZ - MAT.'!GL:GL,'BP 2020 v.I dle HAZ - MAT.'!$B:$B,"Zdravotnické prostředky")</f>
        <v>49500</v>
      </c>
      <c r="AG69" s="110">
        <f t="shared" si="15"/>
        <v>-3500</v>
      </c>
      <c r="AH69" s="111">
        <f t="shared" si="16"/>
        <v>0.93396226415094341</v>
      </c>
      <c r="AI69" s="45"/>
    </row>
    <row r="70" spans="3:38" s="46" customFormat="1" ht="30.75" customHeight="1" x14ac:dyDescent="0.25">
      <c r="C70" s="46" t="s">
        <v>377</v>
      </c>
      <c r="D70" s="84" t="s">
        <v>71</v>
      </c>
      <c r="E70" s="57">
        <f>-SUMIFS('BP 2020 v.I dle HAZ - MAT.'!GM:GM,'BP 2020 v.I dle HAZ - MAT.'!$B:$B,"Léky a léčiva")-K70-W70</f>
        <v>0</v>
      </c>
      <c r="F70" s="57"/>
      <c r="G70" s="57">
        <f>-SUMIFS('BP 2020 v.I dle HAZ - MAT.'!GN:GN,'BP 2020 v.I dle HAZ - MAT.'!$B:$B,"Léky a léčiva")-M70-Y70</f>
        <v>0</v>
      </c>
      <c r="H70" s="57">
        <f>-SUMIFS('BP 2020 v.I dle HAZ - MAT.'!GO:GO,'BP 2020 v.I dle HAZ - MAT.'!$B:$B,"Léky a léčiva")-N70-Z70</f>
        <v>0</v>
      </c>
      <c r="I70" s="94">
        <f t="shared" si="14"/>
        <v>0</v>
      </c>
      <c r="J70" s="304" t="str">
        <f t="shared" si="19"/>
        <v/>
      </c>
      <c r="K70" s="322">
        <f>-SUMIFS('BP 2020 v.I dle HAZ - MAT.'!GM:GM,'BP 2020 v.I dle HAZ - MAT.'!$B:$B,"Léky - centra (LEK)")</f>
        <v>0</v>
      </c>
      <c r="L70" s="351"/>
      <c r="M70" s="64">
        <f>-SUMIFS('BP 2020 v.I dle HAZ - MAT.'!GN:GN,'BP 2020 v.I dle HAZ - MAT.'!$B:$B,"Léky - centra (LEK)")</f>
        <v>0</v>
      </c>
      <c r="N70" s="64">
        <f>-SUMIFS('BP 2020 v.I dle HAZ - MAT.'!GO:GO,'BP 2020 v.I dle HAZ - MAT.'!$B:$B,"Léky - centra (LEK)")</f>
        <v>0</v>
      </c>
      <c r="O70" s="95">
        <f t="shared" si="17"/>
        <v>0</v>
      </c>
      <c r="P70" s="96" t="str">
        <f t="shared" si="18"/>
        <v/>
      </c>
      <c r="Q70" s="295">
        <f>SUMIF('CL 2020 PLÁN - SOUHRN '!A:A,A70,'CL 2020 PLÁN - SOUHRN '!I:I)</f>
        <v>0</v>
      </c>
      <c r="R70" s="296">
        <f t="shared" si="8"/>
        <v>0</v>
      </c>
      <c r="S70" s="300" t="str">
        <f t="shared" si="9"/>
        <v/>
      </c>
      <c r="T70" s="326" t="str">
        <f t="shared" si="10"/>
        <v/>
      </c>
      <c r="U70" s="329" t="str">
        <f t="shared" si="11"/>
        <v/>
      </c>
      <c r="V70" s="331"/>
      <c r="W70" s="315">
        <f>-SUMIFS('BP 2020 v.I dle HAZ - MAT.'!GM:GM,'BP 2020 v.I dle HAZ - MAT.'!$B:$B,"Léky - dle §16 (LEK)")</f>
        <v>0</v>
      </c>
      <c r="X70" s="358"/>
      <c r="Y70" s="70">
        <f>-SUMIFS('BP 2020 v.I dle HAZ - MAT.'!GN:GN,'BP 2020 v.I dle HAZ - MAT.'!$B:$B,"Léky - dle §16 (LEK)")</f>
        <v>0</v>
      </c>
      <c r="Z70" s="70">
        <f>-SUMIFS('BP 2020 v.I dle HAZ - MAT.'!GO:GO,'BP 2020 v.I dle HAZ - MAT.'!$B:$B,"Léky - dle §16 (LEK)")</f>
        <v>0</v>
      </c>
      <c r="AA70" s="97">
        <f t="shared" si="12"/>
        <v>0</v>
      </c>
      <c r="AB70" s="316" t="str">
        <f t="shared" si="13"/>
        <v/>
      </c>
      <c r="AC70" s="308">
        <f>-SUMIFS('BP 2020 v.I dle HAZ - MAT.'!GM:GM,'BP 2020 v.I dle HAZ - MAT.'!$B:$B,"Zdravotnické prostředky")</f>
        <v>0</v>
      </c>
      <c r="AD70" s="308"/>
      <c r="AE70" s="76">
        <f>-SUMIFS('BP 2020 v.I dle HAZ - MAT.'!GN:GN,'BP 2020 v.I dle HAZ - MAT.'!$B:$B,"Zdravotnické prostředky")</f>
        <v>0</v>
      </c>
      <c r="AF70" s="76">
        <f>-SUMIFS('BP 2020 v.I dle HAZ - MAT.'!GO:GO,'BP 2020 v.I dle HAZ - MAT.'!$B:$B,"Zdravotnické prostředky")</f>
        <v>0</v>
      </c>
      <c r="AG70" s="98">
        <f t="shared" si="15"/>
        <v>0</v>
      </c>
      <c r="AH70" s="99" t="str">
        <f t="shared" si="16"/>
        <v/>
      </c>
      <c r="AI70" s="45"/>
    </row>
    <row r="71" spans="3:38" s="46" customFormat="1" ht="30.75" customHeight="1" x14ac:dyDescent="0.25">
      <c r="C71" s="46" t="s">
        <v>378</v>
      </c>
      <c r="D71" s="113" t="s">
        <v>72</v>
      </c>
      <c r="E71" s="114">
        <f>-SUMIFS('BP 2020 v.I dle HAZ - MAT.'!GP:GP,'BP 2020 v.I dle HAZ - MAT.'!$B:$B,"Léky a léčiva")-K71-W71</f>
        <v>0</v>
      </c>
      <c r="F71" s="114"/>
      <c r="G71" s="114">
        <f>-SUMIFS('BP 2020 v.I dle HAZ - MAT.'!GQ:GQ,'BP 2020 v.I dle HAZ - MAT.'!$B:$B,"Léky a léčiva")-M71-Y71</f>
        <v>0</v>
      </c>
      <c r="H71" s="114">
        <f>-SUMIFS('BP 2020 v.I dle HAZ - MAT.'!GR:GR,'BP 2020 v.I dle HAZ - MAT.'!$B:$B,"Léky a léčiva")-N71-Z71</f>
        <v>0</v>
      </c>
      <c r="I71" s="103">
        <f t="shared" si="14"/>
        <v>0</v>
      </c>
      <c r="J71" s="303" t="str">
        <f t="shared" si="19"/>
        <v/>
      </c>
      <c r="K71" s="323">
        <f>-SUMIFS('BP 2020 v.I dle HAZ - MAT.'!GP:GP,'BP 2020 v.I dle HAZ - MAT.'!$B:$B,"Léky - centra (LEK)")</f>
        <v>0</v>
      </c>
      <c r="L71" s="353"/>
      <c r="M71" s="115">
        <f>-SUMIFS('BP 2020 v.I dle HAZ - MAT.'!GQ:GQ,'BP 2020 v.I dle HAZ - MAT.'!$B:$B,"Léky - centra (LEK)")</f>
        <v>0</v>
      </c>
      <c r="N71" s="115">
        <f>-SUMIFS('BP 2020 v.I dle HAZ - MAT.'!GR:GR,'BP 2020 v.I dle HAZ - MAT.'!$B:$B,"Léky - centra (LEK)")</f>
        <v>0</v>
      </c>
      <c r="O71" s="105">
        <f t="shared" ref="O71:O79" si="20">N71-M71</f>
        <v>0</v>
      </c>
      <c r="P71" s="106" t="str">
        <f t="shared" ref="P71:P79" si="21">IF(M71=0,"",N71/M71)</f>
        <v/>
      </c>
      <c r="Q71" s="295">
        <f>SUMIF('CL 2020 PLÁN - SOUHRN '!A:A,A71,'CL 2020 PLÁN - SOUHRN '!I:I)</f>
        <v>0</v>
      </c>
      <c r="R71" s="296">
        <f t="shared" si="8"/>
        <v>0</v>
      </c>
      <c r="S71" s="300" t="str">
        <f t="shared" si="9"/>
        <v/>
      </c>
      <c r="T71" s="326" t="str">
        <f t="shared" si="10"/>
        <v/>
      </c>
      <c r="U71" s="329" t="str">
        <f t="shared" si="11"/>
        <v/>
      </c>
      <c r="V71" s="331"/>
      <c r="W71" s="317">
        <f>-SUMIFS('BP 2020 v.I dle HAZ - MAT.'!GP:GP,'BP 2020 v.I dle HAZ - MAT.'!$B:$B,"Léky - dle §16 (LEK)")</f>
        <v>0</v>
      </c>
      <c r="X71" s="359"/>
      <c r="Y71" s="116">
        <f>-SUMIFS('BP 2020 v.I dle HAZ - MAT.'!GQ:GQ,'BP 2020 v.I dle HAZ - MAT.'!$B:$B,"Léky - dle §16 (LEK)")</f>
        <v>0</v>
      </c>
      <c r="Z71" s="116">
        <f>-SUMIFS('BP 2020 v.I dle HAZ - MAT.'!GR:GR,'BP 2020 v.I dle HAZ - MAT.'!$B:$B,"Léky - dle §16 (LEK)")</f>
        <v>0</v>
      </c>
      <c r="AA71" s="108">
        <f t="shared" si="12"/>
        <v>0</v>
      </c>
      <c r="AB71" s="314" t="str">
        <f t="shared" si="13"/>
        <v/>
      </c>
      <c r="AC71" s="309">
        <f>-SUMIFS('BP 2020 v.I dle HAZ - MAT.'!GP:GP,'BP 2020 v.I dle HAZ - MAT.'!$B:$B,"Zdravotnické prostředky")</f>
        <v>0</v>
      </c>
      <c r="AD71" s="309"/>
      <c r="AE71" s="117">
        <f>-SUMIFS('BP 2020 v.I dle HAZ - MAT.'!GQ:GQ,'BP 2020 v.I dle HAZ - MAT.'!$B:$B,"Zdravotnické prostředky")</f>
        <v>0</v>
      </c>
      <c r="AF71" s="117">
        <f>-SUMIFS('BP 2020 v.I dle HAZ - MAT.'!GR:GR,'BP 2020 v.I dle HAZ - MAT.'!$B:$B,"Zdravotnické prostředky")</f>
        <v>0</v>
      </c>
      <c r="AG71" s="110">
        <f t="shared" si="15"/>
        <v>0</v>
      </c>
      <c r="AH71" s="111" t="str">
        <f t="shared" si="16"/>
        <v/>
      </c>
      <c r="AI71" s="45"/>
    </row>
    <row r="72" spans="3:38" s="46" customFormat="1" ht="30.75" customHeight="1" x14ac:dyDescent="0.25">
      <c r="C72" s="46" t="s">
        <v>379</v>
      </c>
      <c r="D72" s="84" t="s">
        <v>73</v>
      </c>
      <c r="E72" s="57">
        <f>-SUMIFS('BP 2020 v.I dle HAZ - MAT.'!GS:GS,'BP 2020 v.I dle HAZ - MAT.'!$B:$B,"Léky a léčiva")-K72-W72</f>
        <v>290.60000000000002</v>
      </c>
      <c r="F72" s="57"/>
      <c r="G72" s="57">
        <v>0</v>
      </c>
      <c r="H72" s="57">
        <f>-SUMIFS('BP 2020 v.I dle HAZ - MAT.'!GU:GU,'BP 2020 v.I dle HAZ - MAT.'!$B:$B,"Léky a léčiva")-N72-Z72</f>
        <v>0</v>
      </c>
      <c r="I72" s="94">
        <f t="shared" ref="I72:I77" si="22">H72-G72</f>
        <v>0</v>
      </c>
      <c r="J72" s="304" t="str">
        <f t="shared" ref="J72:J79" si="23">IF(G72=0,"",H72/G72)</f>
        <v/>
      </c>
      <c r="K72" s="322">
        <f>-SUMIFS('BP 2020 v.I dle HAZ - MAT.'!GS:GS,'BP 2020 v.I dle HAZ - MAT.'!$B:$B,"Léky - centra (LEK)")</f>
        <v>0</v>
      </c>
      <c r="L72" s="351"/>
      <c r="M72" s="64">
        <f>-SUMIFS('BP 2020 v.I dle HAZ - MAT.'!GT:GT,'BP 2020 v.I dle HAZ - MAT.'!$B:$B,"Léky - centra (LEK)")</f>
        <v>0</v>
      </c>
      <c r="N72" s="64">
        <f>-SUMIFS('BP 2020 v.I dle HAZ - MAT.'!GU:GU,'BP 2020 v.I dle HAZ - MAT.'!$B:$B,"Léky - centra (LEK)")</f>
        <v>0</v>
      </c>
      <c r="O72" s="95">
        <f t="shared" si="20"/>
        <v>0</v>
      </c>
      <c r="P72" s="96" t="str">
        <f t="shared" si="21"/>
        <v/>
      </c>
      <c r="Q72" s="295">
        <f>SUMIF('CL 2020 PLÁN - SOUHRN '!A:A,A72,'CL 2020 PLÁN - SOUHRN '!I:I)</f>
        <v>0</v>
      </c>
      <c r="R72" s="296">
        <f t="shared" ref="R72:R79" si="24">IF(M72=0,0,Q72-M72)</f>
        <v>0</v>
      </c>
      <c r="S72" s="300" t="str">
        <f t="shared" ref="S72:S79" si="25">IF(M72=0,"",Q72/M72)</f>
        <v/>
      </c>
      <c r="T72" s="326" t="str">
        <f t="shared" ref="T72:T79" si="26">IF(M72=0,"",Q72-N72)</f>
        <v/>
      </c>
      <c r="U72" s="329" t="str">
        <f t="shared" ref="U72:U80" si="27">IF(N72=0,"",Q72/N72)</f>
        <v/>
      </c>
      <c r="V72" s="331"/>
      <c r="W72" s="315">
        <f>-SUMIFS('BP 2020 v.I dle HAZ - MAT.'!GS:GS,'BP 2020 v.I dle HAZ - MAT.'!$B:$B,"Léky - dle §16 (LEK)")</f>
        <v>0</v>
      </c>
      <c r="X72" s="358"/>
      <c r="Y72" s="70">
        <f>-SUMIFS('BP 2020 v.I dle HAZ - MAT.'!GT:GT,'BP 2020 v.I dle HAZ - MAT.'!$B:$B,"Léky - dle §16 (LEK)")</f>
        <v>0</v>
      </c>
      <c r="Z72" s="70">
        <f>-SUMIFS('BP 2020 v.I dle HAZ - MAT.'!GU:GU,'BP 2020 v.I dle HAZ - MAT.'!$B:$B,"Léky - dle §16 (LEK)")</f>
        <v>0</v>
      </c>
      <c r="AA72" s="97">
        <f t="shared" ref="AA72:AA77" si="28">Z72-Y72</f>
        <v>0</v>
      </c>
      <c r="AB72" s="316" t="str">
        <f t="shared" ref="AB72:AB79" si="29">IF(Y72=0,"",Z72/Y72)</f>
        <v/>
      </c>
      <c r="AC72" s="308">
        <f>-SUMIFS('BP 2020 v.I dle HAZ - MAT.'!GS:GS,'BP 2020 v.I dle HAZ - MAT.'!$B:$B,"Zdravotnické prostředky")</f>
        <v>0</v>
      </c>
      <c r="AD72" s="308"/>
      <c r="AE72" s="76">
        <f>-SUMIFS('BP 2020 v.I dle HAZ - MAT.'!GT:GT,'BP 2020 v.I dle HAZ - MAT.'!$B:$B,"Zdravotnické prostředky")</f>
        <v>0</v>
      </c>
      <c r="AF72" s="76">
        <f>-SUMIFS('BP 2020 v.I dle HAZ - MAT.'!GU:GU,'BP 2020 v.I dle HAZ - MAT.'!$B:$B,"Zdravotnické prostředky")</f>
        <v>0</v>
      </c>
      <c r="AG72" s="98">
        <f t="shared" ref="AG72:AG77" si="30">AF72-AE72</f>
        <v>0</v>
      </c>
      <c r="AH72" s="99" t="str">
        <f t="shared" ref="AH72:AH79" si="31">IF(AE72=0,"",AF72/AE72)</f>
        <v/>
      </c>
      <c r="AI72" s="45"/>
    </row>
    <row r="73" spans="3:38" s="46" customFormat="1" ht="30.75" customHeight="1" x14ac:dyDescent="0.25">
      <c r="C73" s="46" t="s">
        <v>380</v>
      </c>
      <c r="D73" s="113" t="s">
        <v>74</v>
      </c>
      <c r="E73" s="114">
        <f>-SUMIFS('BP 2020 v.I dle HAZ - MAT.'!GV:GV,'BP 2020 v.I dle HAZ - MAT.'!$B:$B,"Léky a léčiva")-K73-W73</f>
        <v>0</v>
      </c>
      <c r="F73" s="114"/>
      <c r="G73" s="114">
        <f>-SUMIFS('BP 2020 v.I dle HAZ - MAT.'!GW:GW,'BP 2020 v.I dle HAZ - MAT.'!$B:$B,"Léky a léčiva")-M73-Y73</f>
        <v>0</v>
      </c>
      <c r="H73" s="114">
        <f>-SUMIFS('BP 2020 v.I dle HAZ - MAT.'!GX:GX,'BP 2020 v.I dle HAZ - MAT.'!$B:$B,"Léky a léčiva")-N73-Z73</f>
        <v>0</v>
      </c>
      <c r="I73" s="103">
        <f t="shared" si="22"/>
        <v>0</v>
      </c>
      <c r="J73" s="303" t="str">
        <f t="shared" si="23"/>
        <v/>
      </c>
      <c r="K73" s="323">
        <f>-SUMIFS('BP 2020 v.I dle HAZ - MAT.'!GV:GV,'BP 2020 v.I dle HAZ - MAT.'!$B:$B,"Léky - centra (LEK)")</f>
        <v>0</v>
      </c>
      <c r="L73" s="353"/>
      <c r="M73" s="115">
        <f>-SUMIFS('BP 2020 v.I dle HAZ - MAT.'!GW:GW,'BP 2020 v.I dle HAZ - MAT.'!$B:$B,"Léky - centra (LEK)")</f>
        <v>0</v>
      </c>
      <c r="N73" s="115">
        <f>-SUMIFS('BP 2020 v.I dle HAZ - MAT.'!GX:GX,'BP 2020 v.I dle HAZ - MAT.'!$B:$B,"Léky - centra (LEK)")</f>
        <v>0</v>
      </c>
      <c r="O73" s="105">
        <f t="shared" si="20"/>
        <v>0</v>
      </c>
      <c r="P73" s="106" t="str">
        <f t="shared" si="21"/>
        <v/>
      </c>
      <c r="Q73" s="295">
        <f>SUMIF('CL 2020 PLÁN - SOUHRN '!A:A,A73,'CL 2020 PLÁN - SOUHRN '!I:I)</f>
        <v>0</v>
      </c>
      <c r="R73" s="296">
        <f t="shared" si="24"/>
        <v>0</v>
      </c>
      <c r="S73" s="300" t="str">
        <f t="shared" si="25"/>
        <v/>
      </c>
      <c r="T73" s="326" t="str">
        <f t="shared" si="26"/>
        <v/>
      </c>
      <c r="U73" s="329" t="str">
        <f t="shared" si="27"/>
        <v/>
      </c>
      <c r="V73" s="331"/>
      <c r="W73" s="317">
        <f>-SUMIFS('BP 2020 v.I dle HAZ - MAT.'!GV:GV,'BP 2020 v.I dle HAZ - MAT.'!$B:$B,"Léky - dle §16 (LEK)")</f>
        <v>0</v>
      </c>
      <c r="X73" s="359"/>
      <c r="Y73" s="116">
        <f>-SUMIFS('BP 2020 v.I dle HAZ - MAT.'!GW:GW,'BP 2020 v.I dle HAZ - MAT.'!$B:$B,"Léky - dle §16 (LEK)")</f>
        <v>0</v>
      </c>
      <c r="Z73" s="116">
        <f>-SUMIFS('BP 2020 v.I dle HAZ - MAT.'!GX:GX,'BP 2020 v.I dle HAZ - MAT.'!$B:$B,"Léky - dle §16 (LEK)")</f>
        <v>0</v>
      </c>
      <c r="AA73" s="108">
        <f t="shared" si="28"/>
        <v>0</v>
      </c>
      <c r="AB73" s="314" t="str">
        <f t="shared" si="29"/>
        <v/>
      </c>
      <c r="AC73" s="309">
        <f>-SUMIFS('BP 2020 v.I dle HAZ - MAT.'!GV:GV,'BP 2020 v.I dle HAZ - MAT.'!$B:$B,"Zdravotnické prostředky")</f>
        <v>0</v>
      </c>
      <c r="AD73" s="309"/>
      <c r="AE73" s="117">
        <f>-SUMIFS('BP 2020 v.I dle HAZ - MAT.'!GW:GW,'BP 2020 v.I dle HAZ - MAT.'!$B:$B,"Zdravotnické prostředky")</f>
        <v>0</v>
      </c>
      <c r="AF73" s="117">
        <f>-SUMIFS('BP 2020 v.I dle HAZ - MAT.'!GX:GX,'BP 2020 v.I dle HAZ - MAT.'!$B:$B,"Zdravotnické prostředky")</f>
        <v>0</v>
      </c>
      <c r="AG73" s="110">
        <f t="shared" si="30"/>
        <v>0</v>
      </c>
      <c r="AH73" s="111" t="str">
        <f t="shared" si="31"/>
        <v/>
      </c>
      <c r="AI73" s="45"/>
    </row>
    <row r="74" spans="3:38" s="46" customFormat="1" ht="30.75" customHeight="1" x14ac:dyDescent="0.25">
      <c r="C74" s="46" t="s">
        <v>381</v>
      </c>
      <c r="D74" s="84" t="s">
        <v>75</v>
      </c>
      <c r="E74" s="57">
        <f>-SUMIFS('BP 2020 v.I dle HAZ - MAT.'!GY:GY,'BP 2020 v.I dle HAZ - MAT.'!$B:$B,"Léky a léčiva")-K74-W74</f>
        <v>0</v>
      </c>
      <c r="F74" s="57"/>
      <c r="G74" s="57">
        <f>-SUMIFS('BP 2020 v.I dle HAZ - MAT.'!GZ:GZ,'BP 2020 v.I dle HAZ - MAT.'!$B:$B,"Léky a léčiva")-M74-Y74</f>
        <v>0</v>
      </c>
      <c r="H74" s="57">
        <f>-SUMIFS('BP 2020 v.I dle HAZ - MAT.'!HA:HA,'BP 2020 v.I dle HAZ - MAT.'!$B:$B,"Léky a léčiva")-N74-Z74</f>
        <v>0</v>
      </c>
      <c r="I74" s="94">
        <f t="shared" si="22"/>
        <v>0</v>
      </c>
      <c r="J74" s="304" t="str">
        <f t="shared" si="23"/>
        <v/>
      </c>
      <c r="K74" s="322">
        <f>-SUMIFS('BP 2020 v.I dle HAZ - MAT.'!GY:GY,'BP 2020 v.I dle HAZ - MAT.'!$B:$B,"Léky - centra (LEK)")</f>
        <v>0</v>
      </c>
      <c r="L74" s="351"/>
      <c r="M74" s="64">
        <f>-SUMIFS('BP 2020 v.I dle HAZ - MAT.'!GZ:GZ,'BP 2020 v.I dle HAZ - MAT.'!$B:$B,"Léky - centra (LEK)")</f>
        <v>0</v>
      </c>
      <c r="N74" s="64">
        <f>-SUMIFS('BP 2020 v.I dle HAZ - MAT.'!HA:HA,'BP 2020 v.I dle HAZ - MAT.'!$B:$B,"Léky - centra (LEK)")</f>
        <v>0</v>
      </c>
      <c r="O74" s="95">
        <f t="shared" si="20"/>
        <v>0</v>
      </c>
      <c r="P74" s="96" t="str">
        <f t="shared" si="21"/>
        <v/>
      </c>
      <c r="Q74" s="295">
        <f>SUMIF('CL 2020 PLÁN - SOUHRN '!A:A,A74,'CL 2020 PLÁN - SOUHRN '!I:I)</f>
        <v>0</v>
      </c>
      <c r="R74" s="296">
        <f t="shared" si="24"/>
        <v>0</v>
      </c>
      <c r="S74" s="300" t="str">
        <f t="shared" si="25"/>
        <v/>
      </c>
      <c r="T74" s="326" t="str">
        <f t="shared" si="26"/>
        <v/>
      </c>
      <c r="U74" s="329" t="str">
        <f t="shared" si="27"/>
        <v/>
      </c>
      <c r="V74" s="331"/>
      <c r="W74" s="315">
        <f>-SUMIFS('BP 2020 v.I dle HAZ - MAT.'!GY:GY,'BP 2020 v.I dle HAZ - MAT.'!$B:$B,"Léky - dle §16 (LEK)")</f>
        <v>0</v>
      </c>
      <c r="X74" s="358"/>
      <c r="Y74" s="70">
        <f>-SUMIFS('BP 2020 v.I dle HAZ - MAT.'!GZ:GZ,'BP 2020 v.I dle HAZ - MAT.'!$B:$B,"Léky - dle §16 (LEK)")</f>
        <v>0</v>
      </c>
      <c r="Z74" s="70">
        <f>-SUMIFS('BP 2020 v.I dle HAZ - MAT.'!HA:HA,'BP 2020 v.I dle HAZ - MAT.'!$B:$B,"Léky - dle §16 (LEK)")</f>
        <v>0</v>
      </c>
      <c r="AA74" s="97">
        <f t="shared" si="28"/>
        <v>0</v>
      </c>
      <c r="AB74" s="316" t="str">
        <f t="shared" si="29"/>
        <v/>
      </c>
      <c r="AC74" s="308">
        <f>-SUMIFS('BP 2020 v.I dle HAZ - MAT.'!GY:GY,'BP 2020 v.I dle HAZ - MAT.'!$B:$B,"Zdravotnické prostředky")</f>
        <v>0</v>
      </c>
      <c r="AD74" s="308"/>
      <c r="AE74" s="76">
        <f>-SUMIFS('BP 2020 v.I dle HAZ - MAT.'!GZ:GZ,'BP 2020 v.I dle HAZ - MAT.'!$B:$B,"Zdravotnické prostředky")</f>
        <v>0</v>
      </c>
      <c r="AF74" s="76">
        <f>-SUMIFS('BP 2020 v.I dle HAZ - MAT.'!HA:HA,'BP 2020 v.I dle HAZ - MAT.'!$B:$B,"Zdravotnické prostředky")</f>
        <v>0</v>
      </c>
      <c r="AG74" s="98">
        <f t="shared" si="30"/>
        <v>0</v>
      </c>
      <c r="AH74" s="99" t="str">
        <f t="shared" si="31"/>
        <v/>
      </c>
      <c r="AI74" s="45"/>
    </row>
    <row r="75" spans="3:38" s="46" customFormat="1" ht="30.75" customHeight="1" x14ac:dyDescent="0.25">
      <c r="C75" s="46" t="s">
        <v>382</v>
      </c>
      <c r="D75" s="113" t="s">
        <v>76</v>
      </c>
      <c r="E75" s="114">
        <f>-SUMIFS('BP 2020 v.I dle HAZ - MAT.'!HB:HB,'BP 2020 v.I dle HAZ - MAT.'!$B:$B,"Léky a léčiva")-K75-W75</f>
        <v>0</v>
      </c>
      <c r="F75" s="114"/>
      <c r="G75" s="114">
        <f>-SUMIFS('BP 2020 v.I dle HAZ - MAT.'!HC:HC,'BP 2020 v.I dle HAZ - MAT.'!$B:$B,"Léky a léčiva")-M75-Y75</f>
        <v>0</v>
      </c>
      <c r="H75" s="114">
        <f>-SUMIFS('BP 2020 v.I dle HAZ - MAT.'!HD:HD,'BP 2020 v.I dle HAZ - MAT.'!$B:$B,"Léky a léčiva")-N75-Z75</f>
        <v>0</v>
      </c>
      <c r="I75" s="103">
        <f t="shared" si="22"/>
        <v>0</v>
      </c>
      <c r="J75" s="303" t="str">
        <f t="shared" si="23"/>
        <v/>
      </c>
      <c r="K75" s="323">
        <f>-SUMIFS('BP 2020 v.I dle HAZ - MAT.'!HB:HB,'BP 2020 v.I dle HAZ - MAT.'!$B:$B,"Léky - centra (LEK)")</f>
        <v>0</v>
      </c>
      <c r="L75" s="353"/>
      <c r="M75" s="115">
        <f>-SUMIFS('BP 2020 v.I dle HAZ - MAT.'!HC:HC,'BP 2020 v.I dle HAZ - MAT.'!$B:$B,"Léky - centra (LEK)")</f>
        <v>0</v>
      </c>
      <c r="N75" s="115">
        <f>-SUMIFS('BP 2020 v.I dle HAZ - MAT.'!HD:HD,'BP 2020 v.I dle HAZ - MAT.'!$B:$B,"Léky - centra (LEK)")</f>
        <v>0</v>
      </c>
      <c r="O75" s="105">
        <f t="shared" si="20"/>
        <v>0</v>
      </c>
      <c r="P75" s="106" t="str">
        <f t="shared" si="21"/>
        <v/>
      </c>
      <c r="Q75" s="295">
        <f>SUMIF('CL 2020 PLÁN - SOUHRN '!A:A,A75,'CL 2020 PLÁN - SOUHRN '!I:I)</f>
        <v>0</v>
      </c>
      <c r="R75" s="296">
        <f t="shared" si="24"/>
        <v>0</v>
      </c>
      <c r="S75" s="300" t="str">
        <f t="shared" si="25"/>
        <v/>
      </c>
      <c r="T75" s="326" t="str">
        <f t="shared" si="26"/>
        <v/>
      </c>
      <c r="U75" s="329" t="str">
        <f t="shared" si="27"/>
        <v/>
      </c>
      <c r="V75" s="331"/>
      <c r="W75" s="317">
        <f>-SUMIFS('BP 2020 v.I dle HAZ - MAT.'!HB:HB,'BP 2020 v.I dle HAZ - MAT.'!$B:$B,"Léky - dle §16 (LEK)")</f>
        <v>0</v>
      </c>
      <c r="X75" s="359"/>
      <c r="Y75" s="116">
        <f>-SUMIFS('BP 2020 v.I dle HAZ - MAT.'!HC:HC,'BP 2020 v.I dle HAZ - MAT.'!$B:$B,"Léky - dle §16 (LEK)")</f>
        <v>0</v>
      </c>
      <c r="Z75" s="116">
        <f>-SUMIFS('BP 2020 v.I dle HAZ - MAT.'!HD:HD,'BP 2020 v.I dle HAZ - MAT.'!$B:$B,"Léky - dle §16 (LEK)")</f>
        <v>0</v>
      </c>
      <c r="AA75" s="108">
        <f t="shared" si="28"/>
        <v>0</v>
      </c>
      <c r="AB75" s="314" t="str">
        <f t="shared" si="29"/>
        <v/>
      </c>
      <c r="AC75" s="309">
        <f>-SUMIFS('BP 2020 v.I dle HAZ - MAT.'!HB:HB,'BP 2020 v.I dle HAZ - MAT.'!$B:$B,"Zdravotnické prostředky")</f>
        <v>0</v>
      </c>
      <c r="AD75" s="309">
        <f>1000+12000+40000</f>
        <v>53000</v>
      </c>
      <c r="AE75" s="117">
        <f>-SUMIFS('BP 2020 v.I dle HAZ - MAT.'!HC:HC,'BP 2020 v.I dle HAZ - MAT.'!$B:$B,"Zdravotnické prostředky")</f>
        <v>0</v>
      </c>
      <c r="AF75" s="117">
        <f>-SUMIFS('BP 2020 v.I dle HAZ - MAT.'!HD:HD,'BP 2020 v.I dle HAZ - MAT.'!$B:$B,"Zdravotnické prostředky")</f>
        <v>0</v>
      </c>
      <c r="AG75" s="110">
        <f t="shared" si="30"/>
        <v>0</v>
      </c>
      <c r="AH75" s="111" t="str">
        <f t="shared" si="31"/>
        <v/>
      </c>
      <c r="AI75" s="45"/>
    </row>
    <row r="76" spans="3:38" s="46" customFormat="1" ht="30.75" customHeight="1" x14ac:dyDescent="0.25">
      <c r="C76" s="46" t="s">
        <v>386</v>
      </c>
      <c r="D76" s="84" t="s">
        <v>77</v>
      </c>
      <c r="E76" s="57">
        <f>-SUMIFS('BP 2020 v.I dle HAZ - MAT.'!HE:HE,'BP 2020 v.I dle HAZ - MAT.'!$B:$B,"Léky a léčiva")-K76-W76</f>
        <v>0</v>
      </c>
      <c r="F76" s="57"/>
      <c r="G76" s="57">
        <f>-SUMIFS('BP 2020 v.I dle HAZ - MAT.'!HF:HF,'BP 2020 v.I dle HAZ - MAT.'!$B:$B,"Léky a léčiva")-M76-Y76</f>
        <v>0</v>
      </c>
      <c r="H76" s="57">
        <f>-SUMIFS('BP 2020 v.I dle HAZ - MAT.'!HG:HG,'BP 2020 v.I dle HAZ - MAT.'!$B:$B,"Léky a léčiva")-N76-Z76</f>
        <v>0</v>
      </c>
      <c r="I76" s="94">
        <f t="shared" si="22"/>
        <v>0</v>
      </c>
      <c r="J76" s="304" t="str">
        <f t="shared" si="23"/>
        <v/>
      </c>
      <c r="K76" s="322">
        <f>-SUMIFS('BP 2020 v.I dle HAZ - MAT.'!HE:HE,'BP 2020 v.I dle HAZ - MAT.'!$B:$B,"Léky - centra (LEK)")</f>
        <v>0</v>
      </c>
      <c r="L76" s="351"/>
      <c r="M76" s="64">
        <f>-SUMIFS('BP 2020 v.I dle HAZ - MAT.'!HF:HF,'BP 2020 v.I dle HAZ - MAT.'!$B:$B,"Léky - centra (LEK)")</f>
        <v>0</v>
      </c>
      <c r="N76" s="64">
        <f>-SUMIFS('BP 2020 v.I dle HAZ - MAT.'!HG:HG,'BP 2020 v.I dle HAZ - MAT.'!$B:$B,"Léky - centra (LEK)")</f>
        <v>0</v>
      </c>
      <c r="O76" s="95">
        <f t="shared" si="20"/>
        <v>0</v>
      </c>
      <c r="P76" s="96" t="str">
        <f t="shared" si="21"/>
        <v/>
      </c>
      <c r="Q76" s="295">
        <f>SUMIF('CL 2020 PLÁN - SOUHRN '!A:A,A76,'CL 2020 PLÁN - SOUHRN '!I:I)</f>
        <v>0</v>
      </c>
      <c r="R76" s="296">
        <f t="shared" si="24"/>
        <v>0</v>
      </c>
      <c r="S76" s="300" t="str">
        <f t="shared" si="25"/>
        <v/>
      </c>
      <c r="T76" s="326" t="str">
        <f t="shared" si="26"/>
        <v/>
      </c>
      <c r="U76" s="329" t="str">
        <f t="shared" si="27"/>
        <v/>
      </c>
      <c r="V76" s="331"/>
      <c r="W76" s="315">
        <f>-SUMIFS('BP 2020 v.I dle HAZ - MAT.'!HE:HE,'BP 2020 v.I dle HAZ - MAT.'!$B:$B,"Léky - dle §16 (LEK)")</f>
        <v>0</v>
      </c>
      <c r="X76" s="358"/>
      <c r="Y76" s="70">
        <f>-SUMIFS('BP 2020 v.I dle HAZ - MAT.'!HF:HF,'BP 2020 v.I dle HAZ - MAT.'!$B:$B,"Léky - dle §16 (LEK)")</f>
        <v>0</v>
      </c>
      <c r="Z76" s="70">
        <f>-SUMIFS('BP 2020 v.I dle HAZ - MAT.'!HG:HG,'BP 2020 v.I dle HAZ - MAT.'!$B:$B,"Léky - dle §16 (LEK)")</f>
        <v>0</v>
      </c>
      <c r="AA76" s="97">
        <f t="shared" si="28"/>
        <v>0</v>
      </c>
      <c r="AB76" s="316" t="str">
        <f t="shared" si="29"/>
        <v/>
      </c>
      <c r="AC76" s="308">
        <f>-SUMIFS('BP 2020 v.I dle HAZ - MAT.'!HE:HE,'BP 2020 v.I dle HAZ - MAT.'!$B:$B,"Zdravotnické prostředky")</f>
        <v>0</v>
      </c>
      <c r="AD76" s="308"/>
      <c r="AE76" s="76">
        <f>-SUMIFS('BP 2020 v.I dle HAZ - MAT.'!HF:HF,'BP 2020 v.I dle HAZ - MAT.'!$B:$B,"Zdravotnické prostředky")</f>
        <v>0</v>
      </c>
      <c r="AF76" s="76">
        <f>-SUMIFS('BP 2020 v.I dle HAZ - MAT.'!HG:HG,'BP 2020 v.I dle HAZ - MAT.'!$B:$B,"Zdravotnické prostředky")</f>
        <v>0</v>
      </c>
      <c r="AG76" s="98">
        <f t="shared" si="30"/>
        <v>0</v>
      </c>
      <c r="AH76" s="99" t="str">
        <f t="shared" si="31"/>
        <v/>
      </c>
      <c r="AI76" s="45"/>
    </row>
    <row r="77" spans="3:38" s="46" customFormat="1" ht="30.75" customHeight="1" x14ac:dyDescent="0.25">
      <c r="C77" s="46" t="s">
        <v>383</v>
      </c>
      <c r="D77" s="113" t="s">
        <v>78</v>
      </c>
      <c r="E77" s="114">
        <f>-SUMIFS('BP 2020 v.I dle HAZ - MAT.'!HH:HH,'BP 2020 v.I dle HAZ - MAT.'!$B:$B,"Léky a léčiva")-K77-W77</f>
        <v>69333.460000000006</v>
      </c>
      <c r="F77" s="114"/>
      <c r="G77" s="114">
        <f>-SUMIFS('BP 2020 v.I dle HAZ - MAT.'!HI:HI,'BP 2020 v.I dle HAZ - MAT.'!$B:$B,"Léky a léčiva")-M77-Y77</f>
        <v>0</v>
      </c>
      <c r="H77" s="114">
        <f>-SUMIFS('BP 2020 v.I dle HAZ - MAT.'!HJ:HJ,'BP 2020 v.I dle HAZ - MAT.'!$B:$B,"Léky a léčiva")-N77-Z77</f>
        <v>0</v>
      </c>
      <c r="I77" s="103">
        <f t="shared" si="22"/>
        <v>0</v>
      </c>
      <c r="J77" s="303" t="str">
        <f t="shared" si="23"/>
        <v/>
      </c>
      <c r="K77" s="323">
        <f>-SUMIFS('BP 2020 v.I dle HAZ - MAT.'!HH:HH,'BP 2020 v.I dle HAZ - MAT.'!$B:$B,"Léky - centra (LEK)")</f>
        <v>0</v>
      </c>
      <c r="L77" s="353"/>
      <c r="M77" s="115">
        <f>-SUMIFS('BP 2020 v.I dle HAZ - MAT.'!HI:HI,'BP 2020 v.I dle HAZ - MAT.'!$B:$B,"Léky - centra (LEK)")</f>
        <v>0</v>
      </c>
      <c r="N77" s="115">
        <f>-SUMIFS('BP 2020 v.I dle HAZ - MAT.'!HJ:HJ,'BP 2020 v.I dle HAZ - MAT.'!$B:$B,"Léky - centra (LEK)")</f>
        <v>0</v>
      </c>
      <c r="O77" s="105">
        <f t="shared" si="20"/>
        <v>0</v>
      </c>
      <c r="P77" s="106" t="str">
        <f t="shared" si="21"/>
        <v/>
      </c>
      <c r="Q77" s="295">
        <f>SUMIF('CL 2020 PLÁN - SOUHRN '!A:A,A77,'CL 2020 PLÁN - SOUHRN '!I:I)</f>
        <v>0</v>
      </c>
      <c r="R77" s="296">
        <f t="shared" si="24"/>
        <v>0</v>
      </c>
      <c r="S77" s="300" t="str">
        <f t="shared" si="25"/>
        <v/>
      </c>
      <c r="T77" s="326" t="str">
        <f t="shared" si="26"/>
        <v/>
      </c>
      <c r="U77" s="329" t="str">
        <f t="shared" si="27"/>
        <v/>
      </c>
      <c r="V77" s="331"/>
      <c r="W77" s="317">
        <f>-SUMIFS('BP 2020 v.I dle HAZ - MAT.'!HH:HH,'BP 2020 v.I dle HAZ - MAT.'!$B:$B,"Léky - dle §16 (LEK)")</f>
        <v>0</v>
      </c>
      <c r="X77" s="359"/>
      <c r="Y77" s="116">
        <f>-SUMIFS('BP 2020 v.I dle HAZ - MAT.'!HI:HI,'BP 2020 v.I dle HAZ - MAT.'!$B:$B,"Léky - dle §16 (LEK)")</f>
        <v>0</v>
      </c>
      <c r="Z77" s="116">
        <f>-SUMIFS('BP 2020 v.I dle HAZ - MAT.'!HJ:HJ,'BP 2020 v.I dle HAZ - MAT.'!$B:$B,"Léky - dle §16 (LEK)")</f>
        <v>0</v>
      </c>
      <c r="AA77" s="108">
        <f t="shared" si="28"/>
        <v>0</v>
      </c>
      <c r="AB77" s="314" t="str">
        <f t="shared" si="29"/>
        <v/>
      </c>
      <c r="AC77" s="309">
        <f>-SUMIFS('BP 2020 v.I dle HAZ - MAT.'!HH:HH,'BP 2020 v.I dle HAZ - MAT.'!$B:$B,"Zdravotnické prostředky")</f>
        <v>0</v>
      </c>
      <c r="AD77" s="309"/>
      <c r="AE77" s="117">
        <f>-SUMIFS('BP 2020 v.I dle HAZ - MAT.'!HI:HI,'BP 2020 v.I dle HAZ - MAT.'!$B:$B,"Zdravotnické prostředky")</f>
        <v>0</v>
      </c>
      <c r="AF77" s="117">
        <f>-SUMIFS('BP 2020 v.I dle HAZ - MAT.'!HJ:HJ,'BP 2020 v.I dle HAZ - MAT.'!$B:$B,"Zdravotnické prostředky")</f>
        <v>0</v>
      </c>
      <c r="AG77" s="110">
        <f t="shared" si="30"/>
        <v>0</v>
      </c>
      <c r="AH77" s="111" t="str">
        <f t="shared" si="31"/>
        <v/>
      </c>
      <c r="AI77" s="45"/>
    </row>
    <row r="78" spans="3:38" s="46" customFormat="1" ht="30.75" customHeight="1" x14ac:dyDescent="0.25">
      <c r="C78" s="46" t="s">
        <v>384</v>
      </c>
      <c r="D78" s="84" t="s">
        <v>79</v>
      </c>
      <c r="E78" s="57">
        <f>-SUMIFS('BP 2020 v.I dle HAZ - MAT.'!HK:HK,'BP 2020 v.I dle HAZ - MAT.'!$B:$B,"Léky a léčiva")-K78-W78</f>
        <v>0</v>
      </c>
      <c r="F78" s="57"/>
      <c r="G78" s="57">
        <f>-SUMIFS('BP 2020 v.I dle HAZ - MAT.'!HL:HL,'BP 2020 v.I dle HAZ - MAT.'!$B:$B,"Léky a léčiva")-M78-Y78</f>
        <v>0</v>
      </c>
      <c r="H78" s="57">
        <f>-SUMIFS('BP 2020 v.I dle HAZ - MAT.'!HM:HM,'BP 2020 v.I dle HAZ - MAT.'!$B:$B,"Léky a léčiva")-N78-Z78</f>
        <v>0</v>
      </c>
      <c r="I78" s="94">
        <f>H78-G78</f>
        <v>0</v>
      </c>
      <c r="J78" s="304" t="str">
        <f t="shared" si="23"/>
        <v/>
      </c>
      <c r="K78" s="322">
        <f>-SUMIFS('BP 2020 v.I dle HAZ - MAT.'!HK:HK,'BP 2020 v.I dle HAZ - MAT.'!$B:$B,"Léky - centra (LEK)")</f>
        <v>0</v>
      </c>
      <c r="L78" s="351"/>
      <c r="M78" s="64">
        <f>-SUMIFS('BP 2020 v.I dle HAZ - MAT.'!HL:HL,'BP 2020 v.I dle HAZ - MAT.'!$B:$B,"Léky - centra (LEK)")</f>
        <v>0</v>
      </c>
      <c r="N78" s="64">
        <f>-SUMIFS('BP 2020 v.I dle HAZ - MAT.'!HM:HM,'BP 2020 v.I dle HAZ - MAT.'!$B:$B,"Léky - centra (LEK)")</f>
        <v>0</v>
      </c>
      <c r="O78" s="95">
        <f t="shared" si="20"/>
        <v>0</v>
      </c>
      <c r="P78" s="96" t="str">
        <f t="shared" si="21"/>
        <v/>
      </c>
      <c r="Q78" s="295">
        <f>SUMIF('CL 2020 PLÁN - SOUHRN '!A:A,A78,'CL 2020 PLÁN - SOUHRN '!I:I)</f>
        <v>0</v>
      </c>
      <c r="R78" s="296">
        <f t="shared" si="24"/>
        <v>0</v>
      </c>
      <c r="S78" s="300" t="str">
        <f t="shared" si="25"/>
        <v/>
      </c>
      <c r="T78" s="326" t="str">
        <f t="shared" si="26"/>
        <v/>
      </c>
      <c r="U78" s="329" t="str">
        <f t="shared" si="27"/>
        <v/>
      </c>
      <c r="V78" s="331"/>
      <c r="W78" s="315">
        <f>-SUMIFS('BP 2020 v.I dle HAZ - MAT.'!HK:HK,'BP 2020 v.I dle HAZ - MAT.'!$B:$B,"Léky - dle §16 (LEK)")</f>
        <v>0</v>
      </c>
      <c r="X78" s="358"/>
      <c r="Y78" s="70">
        <f>-SUMIFS('BP 2020 v.I dle HAZ - MAT.'!HL:HL,'BP 2020 v.I dle HAZ - MAT.'!$B:$B,"Léky - dle §16 (LEK)")</f>
        <v>0</v>
      </c>
      <c r="Z78" s="70">
        <f>-SUMIFS('BP 2020 v.I dle HAZ - MAT.'!HM:HM,'BP 2020 v.I dle HAZ - MAT.'!$B:$B,"Léky - dle §16 (LEK)")</f>
        <v>0</v>
      </c>
      <c r="AA78" s="97">
        <f>Z78-Y78</f>
        <v>0</v>
      </c>
      <c r="AB78" s="316" t="str">
        <f t="shared" si="29"/>
        <v/>
      </c>
      <c r="AC78" s="308">
        <f>-SUMIFS('BP 2020 v.I dle HAZ - MAT.'!HK:HK,'BP 2020 v.I dle HAZ - MAT.'!$B:$B,"Zdravotnické prostředky")</f>
        <v>0</v>
      </c>
      <c r="AD78" s="308"/>
      <c r="AE78" s="76">
        <f>-SUMIFS('BP 2020 v.I dle HAZ - MAT.'!HL:HL,'BP 2020 v.I dle HAZ - MAT.'!$B:$B,"Zdravotnické prostředky")</f>
        <v>0</v>
      </c>
      <c r="AF78" s="76">
        <f>-SUMIFS('BP 2020 v.I dle HAZ - MAT.'!HM:HM,'BP 2020 v.I dle HAZ - MAT.'!$B:$B,"Zdravotnické prostředky")</f>
        <v>0</v>
      </c>
      <c r="AG78" s="98">
        <f>AF78-AE78</f>
        <v>0</v>
      </c>
      <c r="AH78" s="99" t="str">
        <f t="shared" si="31"/>
        <v/>
      </c>
      <c r="AI78" s="45"/>
    </row>
    <row r="79" spans="3:38" s="46" customFormat="1" ht="30.75" customHeight="1" x14ac:dyDescent="0.25">
      <c r="C79" s="46" t="s">
        <v>385</v>
      </c>
      <c r="D79" s="113" t="s">
        <v>80</v>
      </c>
      <c r="E79" s="114">
        <f>-SUMIFS('BP 2020 v.I dle HAZ - MAT.'!HN:HN,'BP 2020 v.I dle HAZ - MAT.'!$B:$B,"Léky a léčiva")-K79-W79</f>
        <v>0</v>
      </c>
      <c r="F79" s="114"/>
      <c r="G79" s="114">
        <f>-SUMIFS('BP 2020 v.I dle HAZ - MAT.'!HO:HO,'BP 2020 v.I dle HAZ - MAT.'!$B:$B,"Léky a léčiva")-M79-Y79</f>
        <v>0</v>
      </c>
      <c r="H79" s="114">
        <f>-SUMIFS('BP 2020 v.I dle HAZ - MAT.'!HP:HP,'BP 2020 v.I dle HAZ - MAT.'!$B:$B,"Léky a léčiva")-N79-Z79</f>
        <v>0</v>
      </c>
      <c r="I79" s="103">
        <f t="shared" ref="I79" si="32">H79-G79</f>
        <v>0</v>
      </c>
      <c r="J79" s="303" t="str">
        <f t="shared" si="23"/>
        <v/>
      </c>
      <c r="K79" s="323">
        <f>-SUMIFS('BP 2020 v.I dle HAZ - MAT.'!HN:HN,'BP 2020 v.I dle HAZ - MAT.'!$B:$B,"Léky - centra (LEK)")</f>
        <v>0</v>
      </c>
      <c r="L79" s="353"/>
      <c r="M79" s="115">
        <f>-SUMIFS('BP 2020 v.I dle HAZ - MAT.'!HO:HO,'BP 2020 v.I dle HAZ - MAT.'!$B:$B,"Léky - centra (LEK)")</f>
        <v>0</v>
      </c>
      <c r="N79" s="115">
        <f>-SUMIFS('BP 2020 v.I dle HAZ - MAT.'!HP:HP,'BP 2020 v.I dle HAZ - MAT.'!$B:$B,"Léky - centra (LEK)")</f>
        <v>0</v>
      </c>
      <c r="O79" s="105">
        <f t="shared" si="20"/>
        <v>0</v>
      </c>
      <c r="P79" s="106" t="str">
        <f t="shared" si="21"/>
        <v/>
      </c>
      <c r="Q79" s="295">
        <f>SUMIF('CL 2020 PLÁN - SOUHRN '!A:A,A79,'CL 2020 PLÁN - SOUHRN '!I:I)</f>
        <v>0</v>
      </c>
      <c r="R79" s="296">
        <f t="shared" si="24"/>
        <v>0</v>
      </c>
      <c r="S79" s="300" t="str">
        <f t="shared" si="25"/>
        <v/>
      </c>
      <c r="T79" s="326" t="str">
        <f t="shared" si="26"/>
        <v/>
      </c>
      <c r="U79" s="329" t="str">
        <f t="shared" si="27"/>
        <v/>
      </c>
      <c r="V79" s="331"/>
      <c r="W79" s="317">
        <f>-SUMIFS('BP 2020 v.I dle HAZ - MAT.'!HN:HN,'BP 2020 v.I dle HAZ - MAT.'!$B:$B,"Léky - dle §16 (LEK)")</f>
        <v>0</v>
      </c>
      <c r="X79" s="359"/>
      <c r="Y79" s="116">
        <f>-SUMIFS('BP 2020 v.I dle HAZ - MAT.'!HO:HO,'BP 2020 v.I dle HAZ - MAT.'!$B:$B,"Léky - dle §16 (LEK)")</f>
        <v>0</v>
      </c>
      <c r="Z79" s="116">
        <f>-SUMIFS('BP 2020 v.I dle HAZ - MAT.'!HP:HP,'BP 2020 v.I dle HAZ - MAT.'!$B:$B,"Léky - dle §16 (LEK)")</f>
        <v>0</v>
      </c>
      <c r="AA79" s="108">
        <f t="shared" ref="AA79" si="33">Z79-Y79</f>
        <v>0</v>
      </c>
      <c r="AB79" s="314" t="str">
        <f t="shared" si="29"/>
        <v/>
      </c>
      <c r="AC79" s="309">
        <f>-SUMIFS('BP 2020 v.I dle HAZ - MAT.'!HN:HN,'BP 2020 v.I dle HAZ - MAT.'!$B:$B,"Zdravotnické prostředky")</f>
        <v>0</v>
      </c>
      <c r="AD79" s="309"/>
      <c r="AE79" s="117">
        <f>-SUMIFS('BP 2020 v.I dle HAZ - MAT.'!HO:HO,'BP 2020 v.I dle HAZ - MAT.'!$B:$B,"Zdravotnické prostředky")</f>
        <v>0</v>
      </c>
      <c r="AF79" s="117">
        <f>-SUMIFS('BP 2020 v.I dle HAZ - MAT.'!HP:HP,'BP 2020 v.I dle HAZ - MAT.'!$B:$B,"Zdravotnické prostředky")</f>
        <v>0</v>
      </c>
      <c r="AG79" s="110">
        <f t="shared" ref="AG79" si="34">AF79-AE79</f>
        <v>0</v>
      </c>
      <c r="AH79" s="111" t="str">
        <f t="shared" si="31"/>
        <v/>
      </c>
      <c r="AI79" s="45"/>
    </row>
    <row r="80" spans="3:38" s="52" customFormat="1" ht="30.75" customHeight="1" thickBot="1" x14ac:dyDescent="0.3">
      <c r="D80" s="85" t="s">
        <v>387</v>
      </c>
      <c r="E80" s="86">
        <f>SUM(E7:E79)</f>
        <v>352878387.1400001</v>
      </c>
      <c r="F80" s="86">
        <f>SUM(F7:F79)</f>
        <v>350048000</v>
      </c>
      <c r="G80" s="86">
        <f t="shared" ref="G80:I80" si="35">SUM(G7:G79)</f>
        <v>353995852</v>
      </c>
      <c r="H80" s="86">
        <f t="shared" si="35"/>
        <v>387039419.00000012</v>
      </c>
      <c r="I80" s="87">
        <f t="shared" si="35"/>
        <v>33043567.000000108</v>
      </c>
      <c r="J80" s="305">
        <f t="shared" ref="J80" si="36">H80/G80</f>
        <v>1.0933445033700568</v>
      </c>
      <c r="K80" s="324">
        <f>SUM(K7:K79)</f>
        <v>1045394322.41</v>
      </c>
      <c r="L80" s="354">
        <f>SUM(L7:L79)</f>
        <v>1029500000</v>
      </c>
      <c r="M80" s="88">
        <f t="shared" ref="M80" si="37">SUM(M7:M79)</f>
        <v>1210499992</v>
      </c>
      <c r="N80" s="88">
        <f t="shared" ref="N80" si="38">SUM(N7:N79)</f>
        <v>1397870000</v>
      </c>
      <c r="O80" s="89">
        <f t="shared" ref="O80:R80" si="39">SUM(O7:O79)</f>
        <v>187370008</v>
      </c>
      <c r="P80" s="90">
        <f>N80/M80</f>
        <v>1.1547872856161077</v>
      </c>
      <c r="Q80" s="297">
        <f t="shared" ref="Q80" si="40">SUM(Q7:Q79)</f>
        <v>1317139578.75</v>
      </c>
      <c r="R80" s="298">
        <f t="shared" si="39"/>
        <v>105362658.13000008</v>
      </c>
      <c r="S80" s="301">
        <f>Q80/M80</f>
        <v>1.0880954873645303</v>
      </c>
      <c r="T80" s="327">
        <f t="shared" ref="T80" si="41">SUM(T7:T79)</f>
        <v>-82007349.869999915</v>
      </c>
      <c r="U80" s="330">
        <f t="shared" si="27"/>
        <v>0.94224754716103787</v>
      </c>
      <c r="V80" s="332"/>
      <c r="W80" s="318">
        <f>SUM(W7:W79)</f>
        <v>75085327.530000001</v>
      </c>
      <c r="X80" s="360">
        <f>SUM(X7:X79)</f>
        <v>73502000</v>
      </c>
      <c r="Y80" s="91">
        <f t="shared" ref="Y80" si="42">SUM(Y7:Y79)</f>
        <v>61683292</v>
      </c>
      <c r="Z80" s="91">
        <f t="shared" ref="Z80" si="43">SUM(Z7:Z79)</f>
        <v>155914800</v>
      </c>
      <c r="AA80" s="92">
        <f t="shared" ref="AA80" si="44">SUM(AA7:AA79)</f>
        <v>94231508</v>
      </c>
      <c r="AB80" s="319">
        <f t="shared" ref="AB80" si="45">Z80/Y80</f>
        <v>2.5276666491794892</v>
      </c>
      <c r="AC80" s="310">
        <f>SUM(AC7:AC79)</f>
        <v>926475101.1700002</v>
      </c>
      <c r="AD80" s="310">
        <f>SUM(AD7:AD79)</f>
        <v>936842000</v>
      </c>
      <c r="AE80" s="86">
        <f t="shared" ref="AE80" si="46">SUM(AE7:AE79)</f>
        <v>993060499</v>
      </c>
      <c r="AF80" s="86">
        <f t="shared" ref="AF80" si="47">SUM(AF7:AF79)</f>
        <v>1051431262.0000007</v>
      </c>
      <c r="AG80" s="87">
        <f t="shared" ref="AG80" si="48">SUM(AG7:AG79)</f>
        <v>58370763.000000715</v>
      </c>
      <c r="AH80" s="93">
        <f t="shared" ref="AH80" si="49">AF80/AE80</f>
        <v>1.0587786575528675</v>
      </c>
      <c r="AI80" s="56"/>
      <c r="AK80" s="46"/>
      <c r="AL80" s="46"/>
    </row>
    <row r="81" spans="5:38" x14ac:dyDescent="0.25">
      <c r="E81" s="39">
        <f>-('BP 2020 v.I dle HAZ - MAT.'!C9-'BP 2020 v.I dle HAZ - MAT.'!C24-'BP 2020 v.I dle HAZ - MAT.'!C25)</f>
        <v>352878673.71001017</v>
      </c>
      <c r="F81" s="39"/>
      <c r="G81" s="39">
        <f>-('BP 2020 v.I dle HAZ - MAT.'!D9-'BP 2020 v.I dle HAZ - MAT.'!D24-'BP 2020 v.I dle HAZ - MAT.'!D25)</f>
        <v>359707315.08536518</v>
      </c>
      <c r="H81" s="39">
        <f>-('BP 2020 v.I dle HAZ - MAT.'!E9-'BP 2020 v.I dle HAZ - MAT.'!E24-'BP 2020 v.I dle HAZ - MAT.'!E25)</f>
        <v>387039419</v>
      </c>
      <c r="K81" s="65">
        <f>-'BP 2020 v.I dle HAZ - MAT.'!C24</f>
        <v>1045394322.41</v>
      </c>
      <c r="L81" s="65"/>
      <c r="M81" s="65">
        <f>-'BP 2020 v.I dle HAZ - MAT.'!D24</f>
        <v>1100000466.2351799</v>
      </c>
      <c r="N81" s="65">
        <f>-'BP 2020 v.I dle HAZ - MAT.'!E24</f>
        <v>1397870000</v>
      </c>
      <c r="W81" s="71">
        <f>-'BP 2020 v.I dle HAZ - MAT.'!C25</f>
        <v>75085327.530000001</v>
      </c>
      <c r="X81" s="71"/>
      <c r="Y81" s="71">
        <f>-'BP 2020 v.I dle HAZ - MAT.'!D25</f>
        <v>75000430.045834899</v>
      </c>
      <c r="Z81" s="71">
        <f>-'BP 2020 v.I dle HAZ - MAT.'!E25</f>
        <v>155914800</v>
      </c>
      <c r="AA81" s="71"/>
      <c r="AC81" s="77">
        <f>-'BP 2020 v.I dle HAZ - MAT.'!C28</f>
        <v>926475101.17000401</v>
      </c>
      <c r="AD81" s="77"/>
      <c r="AE81" s="77">
        <f>-'BP 2020 v.I dle HAZ - MAT.'!D28</f>
        <v>965611525.17287397</v>
      </c>
      <c r="AF81" s="77">
        <f>-'BP 2020 v.I dle HAZ - MAT.'!E28</f>
        <v>1045704262.00001</v>
      </c>
      <c r="AK81" s="46"/>
      <c r="AL81" s="46"/>
    </row>
    <row r="82" spans="5:38" x14ac:dyDescent="0.25">
      <c r="AC82" s="77"/>
      <c r="AD82" s="77"/>
      <c r="AE82" s="77"/>
      <c r="AF82" s="77"/>
      <c r="AK82" s="46"/>
      <c r="AL82" s="46"/>
    </row>
    <row r="84" spans="5:38" x14ac:dyDescent="0.25">
      <c r="AE84" s="365">
        <f>SUM(AE7:AE59)</f>
        <v>988246499</v>
      </c>
    </row>
  </sheetData>
  <autoFilter ref="D6:D79"/>
  <mergeCells count="4">
    <mergeCell ref="AC5:AH5"/>
    <mergeCell ref="E5:J5"/>
    <mergeCell ref="W5:AB5"/>
    <mergeCell ref="K5:V5"/>
  </mergeCells>
  <conditionalFormatting sqref="I7">
    <cfRule type="expression" dxfId="18" priority="23">
      <formula>I7&gt;250000</formula>
    </cfRule>
  </conditionalFormatting>
  <conditionalFormatting sqref="I8:I9">
    <cfRule type="expression" dxfId="17" priority="22">
      <formula>I8&gt;250000</formula>
    </cfRule>
  </conditionalFormatting>
  <conditionalFormatting sqref="J7:J9">
    <cfRule type="expression" dxfId="16" priority="21">
      <formula>AND(J7&lt;&gt;"",J7&gt;1.25)</formula>
    </cfRule>
  </conditionalFormatting>
  <conditionalFormatting sqref="O7:O9">
    <cfRule type="expression" dxfId="15" priority="20">
      <formula>O7&gt;250000</formula>
    </cfRule>
  </conditionalFormatting>
  <conditionalFormatting sqref="P7:P9">
    <cfRule type="expression" dxfId="14" priority="19">
      <formula>AND(P7&lt;&gt;"",P7&gt;1.25)</formula>
    </cfRule>
  </conditionalFormatting>
  <conditionalFormatting sqref="AA7:AA9">
    <cfRule type="expression" dxfId="13" priority="18">
      <formula>AA7&gt;250000</formula>
    </cfRule>
  </conditionalFormatting>
  <conditionalFormatting sqref="AB7:AB9">
    <cfRule type="expression" dxfId="12" priority="17">
      <formula>AND(AB7&lt;&gt;"",AB7&gt;1.25)</formula>
    </cfRule>
  </conditionalFormatting>
  <conditionalFormatting sqref="AG7:AG9">
    <cfRule type="expression" dxfId="11" priority="16">
      <formula>AG7&gt;250000</formula>
    </cfRule>
  </conditionalFormatting>
  <conditionalFormatting sqref="AH7:AH9">
    <cfRule type="expression" dxfId="10" priority="15">
      <formula>AND(AH7&lt;&gt;"",AH7&gt;1.25)</formula>
    </cfRule>
  </conditionalFormatting>
  <conditionalFormatting sqref="I10:I79">
    <cfRule type="expression" dxfId="9" priority="14">
      <formula>I10&gt;250000</formula>
    </cfRule>
  </conditionalFormatting>
  <conditionalFormatting sqref="J10:J79">
    <cfRule type="expression" dxfId="8" priority="13">
      <formula>AND(J10&lt;&gt;"",J10&gt;1.25)</formula>
    </cfRule>
  </conditionalFormatting>
  <conditionalFormatting sqref="O10:O79">
    <cfRule type="expression" dxfId="7" priority="12">
      <formula>O10&gt;250000</formula>
    </cfRule>
  </conditionalFormatting>
  <conditionalFormatting sqref="P10:P79">
    <cfRule type="expression" dxfId="6" priority="11">
      <formula>AND(P10&lt;&gt;"",P10&gt;1.25)</formula>
    </cfRule>
  </conditionalFormatting>
  <conditionalFormatting sqref="AA10:AA79">
    <cfRule type="expression" dxfId="5" priority="10">
      <formula>AA10&gt;250000</formula>
    </cfRule>
  </conditionalFormatting>
  <conditionalFormatting sqref="AB10:AB79">
    <cfRule type="expression" dxfId="4" priority="9">
      <formula>AND(AB10&lt;&gt;"",AB10&gt;1.25)</formula>
    </cfRule>
  </conditionalFormatting>
  <conditionalFormatting sqref="AG10:AG79">
    <cfRule type="expression" dxfId="3" priority="8">
      <formula>AG10&gt;250000</formula>
    </cfRule>
  </conditionalFormatting>
  <conditionalFormatting sqref="AH10:AH79">
    <cfRule type="expression" dxfId="2" priority="7">
      <formula>AND(AH10&lt;&gt;"",AH10&gt;1.25)</formula>
    </cfRule>
  </conditionalFormatting>
  <conditionalFormatting sqref="R7:R79">
    <cfRule type="expression" dxfId="1" priority="6">
      <formula>R7&gt;250000</formula>
    </cfRule>
  </conditionalFormatting>
  <conditionalFormatting sqref="S7:S79">
    <cfRule type="expression" dxfId="0" priority="5">
      <formula>AND(S7&lt;&gt;"",S7&gt;1.25)</formula>
    </cfRule>
  </conditionalFormatting>
  <pageMargins left="0.26" right="0.19685039370078741" top="0.19685039370078741" bottom="0.15748031496062992" header="3.937007874015748E-2" footer="3.937007874015748E-2"/>
  <pageSetup paperSize="9" scale="26" fitToHeight="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C00000"/>
  </sheetPr>
  <dimension ref="A1:AL167"/>
  <sheetViews>
    <sheetView showGridLines="0" topLeftCell="L1" zoomScale="81" zoomScaleNormal="81" workbookViewId="0">
      <pane ySplit="7" topLeftCell="A8" activePane="bottomLeft" state="frozen"/>
      <selection activeCell="B25" sqref="B25"/>
      <selection pane="bottomLeft" activeCell="E5" sqref="E5"/>
    </sheetView>
  </sheetViews>
  <sheetFormatPr defaultColWidth="8.85546875" defaultRowHeight="12.75" x14ac:dyDescent="0.2"/>
  <cols>
    <col min="1" max="1" width="17.28515625" style="119" customWidth="1"/>
    <col min="2" max="2" width="62.42578125" style="119" customWidth="1"/>
    <col min="3" max="3" width="7.28515625" style="119" customWidth="1"/>
    <col min="4" max="4" width="23.85546875" style="121" customWidth="1"/>
    <col min="5" max="5" width="23.85546875" style="122" customWidth="1"/>
    <col min="6" max="8" width="23.85546875" style="119" customWidth="1"/>
    <col min="9" max="9" width="25.5703125" style="119" customWidth="1"/>
    <col min="10" max="10" width="1.7109375" style="119" customWidth="1"/>
    <col min="11" max="11" width="14.140625" style="119" customWidth="1"/>
    <col min="12" max="12" width="13.140625" style="119" customWidth="1"/>
    <col min="13" max="13" width="14.28515625" style="122" customWidth="1"/>
    <col min="14" max="14" width="13.140625" style="122" customWidth="1"/>
    <col min="15" max="15" width="14" style="235" customWidth="1"/>
    <col min="16" max="16" width="13.140625" style="235" customWidth="1"/>
    <col min="17" max="17" width="1.5703125" style="235" customWidth="1"/>
    <col min="18" max="21" width="13.140625" style="235" customWidth="1"/>
    <col min="22" max="22" width="12.28515625" style="119" customWidth="1"/>
    <col min="23" max="23" width="20.28515625" style="119" customWidth="1"/>
    <col min="24" max="16384" width="8.85546875" style="119"/>
  </cols>
  <sheetData>
    <row r="1" spans="1:23" s="118" customFormat="1" ht="22.5" x14ac:dyDescent="0.3">
      <c r="A1" s="395" t="s">
        <v>566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7"/>
    </row>
    <row r="3" spans="1:23" ht="18" x14ac:dyDescent="0.25">
      <c r="A3" s="398" t="s">
        <v>389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</row>
    <row r="4" spans="1:23" ht="18.75" thickBot="1" x14ac:dyDescent="0.3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</row>
    <row r="5" spans="1:23" ht="19.5" thickBot="1" x14ac:dyDescent="0.35">
      <c r="G5" s="123"/>
      <c r="J5" s="124"/>
      <c r="K5" s="399" t="s">
        <v>390</v>
      </c>
      <c r="L5" s="400"/>
      <c r="M5" s="400"/>
      <c r="N5" s="400"/>
      <c r="O5" s="400"/>
      <c r="P5" s="401"/>
      <c r="Q5" s="125"/>
      <c r="R5" s="402" t="s">
        <v>391</v>
      </c>
      <c r="S5" s="402"/>
      <c r="T5" s="402"/>
      <c r="U5" s="403"/>
    </row>
    <row r="6" spans="1:23" s="133" customFormat="1" ht="28.5" customHeight="1" thickTop="1" thickBot="1" x14ac:dyDescent="0.3">
      <c r="A6" s="404" t="s">
        <v>389</v>
      </c>
      <c r="B6" s="405"/>
      <c r="C6" s="126"/>
      <c r="D6" s="127" t="s">
        <v>392</v>
      </c>
      <c r="E6" s="128" t="s">
        <v>393</v>
      </c>
      <c r="F6" s="129" t="s">
        <v>394</v>
      </c>
      <c r="G6" s="408" t="s">
        <v>395</v>
      </c>
      <c r="H6" s="410" t="s">
        <v>396</v>
      </c>
      <c r="I6" s="130" t="s">
        <v>397</v>
      </c>
      <c r="J6" s="131"/>
      <c r="K6" s="412" t="s">
        <v>398</v>
      </c>
      <c r="L6" s="413"/>
      <c r="M6" s="414" t="s">
        <v>399</v>
      </c>
      <c r="N6" s="414"/>
      <c r="O6" s="415" t="s">
        <v>400</v>
      </c>
      <c r="P6" s="416"/>
      <c r="Q6" s="132"/>
      <c r="R6" s="414" t="s">
        <v>401</v>
      </c>
      <c r="S6" s="414"/>
      <c r="T6" s="415" t="s">
        <v>402</v>
      </c>
      <c r="U6" s="416"/>
      <c r="W6" s="417" t="s">
        <v>403</v>
      </c>
    </row>
    <row r="7" spans="1:23" ht="33.75" hidden="1" customHeight="1" thickBot="1" x14ac:dyDescent="0.25">
      <c r="A7" s="406"/>
      <c r="B7" s="407"/>
      <c r="C7" s="134"/>
      <c r="D7" s="135" t="s">
        <v>404</v>
      </c>
      <c r="E7" s="136" t="s">
        <v>405</v>
      </c>
      <c r="F7" s="137"/>
      <c r="G7" s="409"/>
      <c r="H7" s="411"/>
      <c r="I7" s="138"/>
      <c r="J7" s="139"/>
      <c r="K7" s="140" t="s">
        <v>406</v>
      </c>
      <c r="L7" s="141" t="s">
        <v>407</v>
      </c>
      <c r="M7" s="142" t="s">
        <v>406</v>
      </c>
      <c r="N7" s="143" t="s">
        <v>407</v>
      </c>
      <c r="O7" s="144" t="s">
        <v>406</v>
      </c>
      <c r="P7" s="145" t="s">
        <v>407</v>
      </c>
      <c r="Q7" s="146"/>
      <c r="R7" s="147" t="s">
        <v>406</v>
      </c>
      <c r="S7" s="143" t="s">
        <v>407</v>
      </c>
      <c r="T7" s="144" t="s">
        <v>406</v>
      </c>
      <c r="U7" s="145" t="s">
        <v>407</v>
      </c>
      <c r="W7" s="417"/>
    </row>
    <row r="8" spans="1:23" ht="16.5" thickTop="1" x14ac:dyDescent="0.25">
      <c r="A8" s="148" t="s">
        <v>408</v>
      </c>
      <c r="B8" s="149" t="s">
        <v>9</v>
      </c>
      <c r="C8" s="150">
        <v>1.1533736914634709</v>
      </c>
      <c r="D8" s="151">
        <v>73009026.600000024</v>
      </c>
      <c r="E8" s="152">
        <v>81214202</v>
      </c>
      <c r="F8" s="153">
        <v>95433582</v>
      </c>
      <c r="G8" s="154"/>
      <c r="H8" s="155"/>
      <c r="I8" s="156">
        <v>93670323.960000008</v>
      </c>
      <c r="J8" s="157"/>
      <c r="K8" s="158"/>
      <c r="L8" s="159"/>
      <c r="M8" s="160"/>
      <c r="N8" s="161"/>
      <c r="O8" s="162"/>
      <c r="P8" s="163"/>
      <c r="Q8" s="164"/>
      <c r="R8" s="160">
        <v>-1763258.0399999917</v>
      </c>
      <c r="S8" s="161">
        <v>0.9815237152054086</v>
      </c>
      <c r="T8" s="162">
        <v>12456121.960000008</v>
      </c>
      <c r="U8" s="163">
        <v>1.1533736914634709</v>
      </c>
      <c r="W8" s="165" t="s">
        <v>556</v>
      </c>
    </row>
    <row r="9" spans="1:23" ht="15.75" x14ac:dyDescent="0.25">
      <c r="A9" s="166" t="s">
        <v>409</v>
      </c>
      <c r="B9" s="167" t="s">
        <v>410</v>
      </c>
      <c r="C9" s="150">
        <v>1.1574308659014525</v>
      </c>
      <c r="D9" s="168">
        <v>30070346.68000013</v>
      </c>
      <c r="E9" s="169">
        <v>43166217</v>
      </c>
      <c r="F9" s="170">
        <v>39864848.399999999</v>
      </c>
      <c r="G9" s="154"/>
      <c r="H9" s="171"/>
      <c r="I9" s="172">
        <v>49961911.920000002</v>
      </c>
      <c r="J9" s="157"/>
      <c r="K9" s="173"/>
      <c r="L9" s="174"/>
      <c r="M9" s="175"/>
      <c r="N9" s="176"/>
      <c r="O9" s="177"/>
      <c r="P9" s="178"/>
      <c r="Q9" s="164"/>
      <c r="R9" s="175">
        <v>10097063.520000003</v>
      </c>
      <c r="S9" s="176">
        <v>1.2532823759590668</v>
      </c>
      <c r="T9" s="177">
        <v>6795694.9200000018</v>
      </c>
      <c r="U9" s="178">
        <v>1.1574308659014525</v>
      </c>
      <c r="W9" s="165" t="s">
        <v>556</v>
      </c>
    </row>
    <row r="10" spans="1:23" ht="15.75" x14ac:dyDescent="0.25">
      <c r="A10" s="179" t="s">
        <v>411</v>
      </c>
      <c r="B10" s="167" t="s">
        <v>412</v>
      </c>
      <c r="C10" s="150">
        <v>1.1284035092717606</v>
      </c>
      <c r="D10" s="168">
        <v>57788076.479999408</v>
      </c>
      <c r="E10" s="169">
        <v>67215712</v>
      </c>
      <c r="F10" s="170">
        <v>61690353.600000001</v>
      </c>
      <c r="G10" s="154"/>
      <c r="H10" s="171"/>
      <c r="I10" s="172">
        <v>75846445.298999995</v>
      </c>
      <c r="J10" s="180"/>
      <c r="K10" s="181"/>
      <c r="L10" s="182"/>
      <c r="M10" s="183"/>
      <c r="N10" s="184"/>
      <c r="O10" s="185"/>
      <c r="P10" s="186"/>
      <c r="Q10" s="187"/>
      <c r="R10" s="183">
        <v>14156091.698999994</v>
      </c>
      <c r="S10" s="184">
        <v>1.2294701014487295</v>
      </c>
      <c r="T10" s="185">
        <v>8630733.298999995</v>
      </c>
      <c r="U10" s="186">
        <v>1.1284035092717606</v>
      </c>
      <c r="W10" s="165" t="s">
        <v>556</v>
      </c>
    </row>
    <row r="11" spans="1:23" ht="15.75" x14ac:dyDescent="0.25">
      <c r="A11" s="166" t="s">
        <v>413</v>
      </c>
      <c r="B11" s="167" t="s">
        <v>414</v>
      </c>
      <c r="C11" s="150">
        <v>1.19</v>
      </c>
      <c r="D11" s="168">
        <v>20784.7</v>
      </c>
      <c r="E11" s="169">
        <v>119369</v>
      </c>
      <c r="F11" s="170">
        <v>28359.599999999999</v>
      </c>
      <c r="G11" s="154"/>
      <c r="H11" s="171"/>
      <c r="I11" s="172">
        <v>142049.10999999999</v>
      </c>
      <c r="J11" s="157"/>
      <c r="K11" s="173"/>
      <c r="L11" s="174"/>
      <c r="M11" s="175"/>
      <c r="N11" s="176"/>
      <c r="O11" s="177"/>
      <c r="P11" s="178"/>
      <c r="Q11" s="164"/>
      <c r="R11" s="175">
        <v>113689.50999999998</v>
      </c>
      <c r="S11" s="176">
        <v>5.0088544972425559</v>
      </c>
      <c r="T11" s="177">
        <v>22680.109999999986</v>
      </c>
      <c r="U11" s="178">
        <v>1.19</v>
      </c>
      <c r="W11" s="165" t="s">
        <v>556</v>
      </c>
    </row>
    <row r="12" spans="1:23" ht="15.75" hidden="1" x14ac:dyDescent="0.25">
      <c r="A12" s="166" t="s">
        <v>415</v>
      </c>
      <c r="B12" s="167" t="s">
        <v>13</v>
      </c>
      <c r="C12" s="167"/>
      <c r="D12" s="168">
        <v>0</v>
      </c>
      <c r="E12" s="169">
        <v>0</v>
      </c>
      <c r="F12" s="170">
        <v>0</v>
      </c>
      <c r="G12" s="188"/>
      <c r="H12" s="171"/>
      <c r="I12" s="172">
        <v>0</v>
      </c>
      <c r="J12" s="157"/>
      <c r="K12" s="173"/>
      <c r="L12" s="174"/>
      <c r="M12" s="189"/>
      <c r="N12" s="190"/>
      <c r="O12" s="177"/>
      <c r="P12" s="178"/>
      <c r="Q12" s="164"/>
      <c r="R12" s="189">
        <v>0</v>
      </c>
      <c r="S12" s="190" t="s">
        <v>282</v>
      </c>
      <c r="T12" s="177">
        <v>0</v>
      </c>
      <c r="U12" s="178" t="s">
        <v>282</v>
      </c>
      <c r="W12" s="165" t="s">
        <v>557</v>
      </c>
    </row>
    <row r="13" spans="1:23" ht="15.75" hidden="1" x14ac:dyDescent="0.25">
      <c r="A13" s="166" t="s">
        <v>416</v>
      </c>
      <c r="B13" s="167" t="s">
        <v>14</v>
      </c>
      <c r="C13" s="167"/>
      <c r="D13" s="168">
        <v>0</v>
      </c>
      <c r="E13" s="169">
        <v>0</v>
      </c>
      <c r="F13" s="170">
        <v>0</v>
      </c>
      <c r="G13" s="188"/>
      <c r="H13" s="171"/>
      <c r="I13" s="172">
        <v>0</v>
      </c>
      <c r="J13" s="157"/>
      <c r="K13" s="173"/>
      <c r="L13" s="174"/>
      <c r="M13" s="189"/>
      <c r="N13" s="190"/>
      <c r="O13" s="177"/>
      <c r="P13" s="178"/>
      <c r="Q13" s="164"/>
      <c r="R13" s="189">
        <v>0</v>
      </c>
      <c r="S13" s="190" t="s">
        <v>282</v>
      </c>
      <c r="T13" s="177">
        <v>0</v>
      </c>
      <c r="U13" s="178" t="s">
        <v>282</v>
      </c>
      <c r="W13" s="165" t="s">
        <v>557</v>
      </c>
    </row>
    <row r="14" spans="1:23" ht="15.75" x14ac:dyDescent="0.25">
      <c r="A14" s="166" t="s">
        <v>417</v>
      </c>
      <c r="B14" s="167" t="s">
        <v>15</v>
      </c>
      <c r="C14" s="150">
        <v>1.1919703655983249</v>
      </c>
      <c r="D14" s="168">
        <v>20784.7</v>
      </c>
      <c r="E14" s="169">
        <v>223524</v>
      </c>
      <c r="F14" s="170">
        <v>18805.2</v>
      </c>
      <c r="G14" s="154"/>
      <c r="H14" s="171"/>
      <c r="I14" s="172">
        <v>266433.984</v>
      </c>
      <c r="J14" s="157"/>
      <c r="K14" s="173"/>
      <c r="L14" s="174"/>
      <c r="M14" s="175"/>
      <c r="N14" s="176"/>
      <c r="O14" s="177"/>
      <c r="P14" s="178"/>
      <c r="Q14" s="164"/>
      <c r="R14" s="175">
        <v>247628.78399999999</v>
      </c>
      <c r="S14" s="176">
        <v>14.168101588922212</v>
      </c>
      <c r="T14" s="177">
        <v>42909.983999999997</v>
      </c>
      <c r="U14" s="178">
        <v>1.1919703655983249</v>
      </c>
      <c r="W14" s="165" t="s">
        <v>556</v>
      </c>
    </row>
    <row r="15" spans="1:23" ht="15.75" hidden="1" x14ac:dyDescent="0.25">
      <c r="A15" s="166" t="s">
        <v>418</v>
      </c>
      <c r="B15" s="167" t="s">
        <v>16</v>
      </c>
      <c r="C15" s="167"/>
      <c r="D15" s="168">
        <v>0</v>
      </c>
      <c r="E15" s="169">
        <v>0</v>
      </c>
      <c r="F15" s="170">
        <v>0</v>
      </c>
      <c r="G15" s="188"/>
      <c r="H15" s="171"/>
      <c r="I15" s="172">
        <v>0</v>
      </c>
      <c r="J15" s="157"/>
      <c r="K15" s="173"/>
      <c r="L15" s="174"/>
      <c r="M15" s="189"/>
      <c r="N15" s="190"/>
      <c r="O15" s="177"/>
      <c r="P15" s="178"/>
      <c r="Q15" s="164"/>
      <c r="R15" s="189">
        <v>0</v>
      </c>
      <c r="S15" s="190" t="s">
        <v>282</v>
      </c>
      <c r="T15" s="177">
        <v>0</v>
      </c>
      <c r="U15" s="178" t="s">
        <v>282</v>
      </c>
      <c r="W15" s="165" t="s">
        <v>557</v>
      </c>
    </row>
    <row r="16" spans="1:23" ht="15.75" x14ac:dyDescent="0.25">
      <c r="A16" s="166" t="s">
        <v>419</v>
      </c>
      <c r="B16" s="167" t="s">
        <v>17</v>
      </c>
      <c r="C16" s="150">
        <v>1</v>
      </c>
      <c r="D16" s="168">
        <v>4534262.129999999</v>
      </c>
      <c r="E16" s="169">
        <v>3815581</v>
      </c>
      <c r="F16" s="170">
        <v>2743678.8</v>
      </c>
      <c r="G16" s="154"/>
      <c r="H16" s="171"/>
      <c r="I16" s="172">
        <v>3815581</v>
      </c>
      <c r="J16" s="157"/>
      <c r="K16" s="173"/>
      <c r="L16" s="174"/>
      <c r="M16" s="175"/>
      <c r="N16" s="176"/>
      <c r="O16" s="177"/>
      <c r="P16" s="178"/>
      <c r="Q16" s="164"/>
      <c r="R16" s="175">
        <v>1071902.2000000002</v>
      </c>
      <c r="S16" s="176">
        <v>1.3906806438129713</v>
      </c>
      <c r="T16" s="177">
        <v>0</v>
      </c>
      <c r="U16" s="178">
        <v>1</v>
      </c>
      <c r="W16" s="165" t="s">
        <v>556</v>
      </c>
    </row>
    <row r="17" spans="1:23" s="191" customFormat="1" ht="15.75" x14ac:dyDescent="0.25">
      <c r="A17" s="179" t="s">
        <v>420</v>
      </c>
      <c r="B17" s="167" t="s">
        <v>18</v>
      </c>
      <c r="C17" s="150">
        <v>1.0445487257638297</v>
      </c>
      <c r="D17" s="168">
        <v>9930630.4399999771</v>
      </c>
      <c r="E17" s="169">
        <v>19662760</v>
      </c>
      <c r="F17" s="170">
        <v>15365874</v>
      </c>
      <c r="G17" s="154"/>
      <c r="H17" s="171"/>
      <c r="I17" s="172">
        <v>20538710.903000001</v>
      </c>
      <c r="J17" s="180"/>
      <c r="K17" s="181"/>
      <c r="L17" s="182"/>
      <c r="M17" s="183"/>
      <c r="N17" s="184"/>
      <c r="O17" s="185"/>
      <c r="P17" s="186"/>
      <c r="Q17" s="187"/>
      <c r="R17" s="183">
        <v>5172836.9030000009</v>
      </c>
      <c r="S17" s="184">
        <v>1.3366444956531598</v>
      </c>
      <c r="T17" s="185">
        <v>875950.90300000086</v>
      </c>
      <c r="U17" s="186">
        <v>1.0445487257638297</v>
      </c>
      <c r="W17" s="165" t="s">
        <v>556</v>
      </c>
    </row>
    <row r="18" spans="1:23" ht="15.75" x14ac:dyDescent="0.25">
      <c r="A18" s="166" t="s">
        <v>421</v>
      </c>
      <c r="B18" s="167" t="s">
        <v>19</v>
      </c>
      <c r="C18" s="150">
        <v>1.2170000000000001</v>
      </c>
      <c r="D18" s="168">
        <v>0</v>
      </c>
      <c r="E18" s="169">
        <v>6618</v>
      </c>
      <c r="F18" s="170">
        <v>0</v>
      </c>
      <c r="G18" s="188"/>
      <c r="H18" s="171"/>
      <c r="I18" s="172">
        <v>8054.1060000000007</v>
      </c>
      <c r="J18" s="157"/>
      <c r="K18" s="173"/>
      <c r="L18" s="174"/>
      <c r="M18" s="189"/>
      <c r="N18" s="190"/>
      <c r="O18" s="177"/>
      <c r="P18" s="178"/>
      <c r="Q18" s="164"/>
      <c r="R18" s="189">
        <v>8054.1060000000007</v>
      </c>
      <c r="S18" s="190" t="s">
        <v>282</v>
      </c>
      <c r="T18" s="177">
        <v>1436.1060000000007</v>
      </c>
      <c r="U18" s="178">
        <v>1.2170000000000001</v>
      </c>
      <c r="W18" s="165" t="s">
        <v>556</v>
      </c>
    </row>
    <row r="19" spans="1:23" ht="15.75" x14ac:dyDescent="0.25">
      <c r="A19" s="166" t="s">
        <v>422</v>
      </c>
      <c r="B19" s="167" t="s">
        <v>20</v>
      </c>
      <c r="C19" s="150">
        <v>1.19</v>
      </c>
      <c r="D19" s="168">
        <v>24468.36</v>
      </c>
      <c r="E19" s="169">
        <v>29749</v>
      </c>
      <c r="F19" s="170">
        <v>0</v>
      </c>
      <c r="G19" s="154"/>
      <c r="H19" s="171"/>
      <c r="I19" s="172">
        <v>35401.31</v>
      </c>
      <c r="J19" s="157"/>
      <c r="K19" s="173"/>
      <c r="L19" s="174"/>
      <c r="M19" s="175"/>
      <c r="N19" s="176"/>
      <c r="O19" s="177"/>
      <c r="P19" s="178"/>
      <c r="Q19" s="164"/>
      <c r="R19" s="175">
        <v>35401.31</v>
      </c>
      <c r="S19" s="176" t="s">
        <v>282</v>
      </c>
      <c r="T19" s="177">
        <v>5652.3099999999977</v>
      </c>
      <c r="U19" s="178">
        <v>1.19</v>
      </c>
      <c r="W19" s="165" t="s">
        <v>556</v>
      </c>
    </row>
    <row r="20" spans="1:23" ht="15.75" hidden="1" x14ac:dyDescent="0.25">
      <c r="A20" s="166" t="s">
        <v>423</v>
      </c>
      <c r="B20" s="167" t="s">
        <v>21</v>
      </c>
      <c r="C20" s="167"/>
      <c r="D20" s="168">
        <v>0</v>
      </c>
      <c r="E20" s="169">
        <v>0</v>
      </c>
      <c r="F20" s="170">
        <v>0</v>
      </c>
      <c r="G20" s="188"/>
      <c r="H20" s="171"/>
      <c r="I20" s="172">
        <v>0</v>
      </c>
      <c r="J20" s="157"/>
      <c r="K20" s="173"/>
      <c r="L20" s="174"/>
      <c r="M20" s="189"/>
      <c r="N20" s="190"/>
      <c r="O20" s="177"/>
      <c r="P20" s="178"/>
      <c r="Q20" s="164"/>
      <c r="R20" s="189">
        <v>0</v>
      </c>
      <c r="S20" s="190" t="s">
        <v>282</v>
      </c>
      <c r="T20" s="177">
        <v>0</v>
      </c>
      <c r="U20" s="178" t="s">
        <v>282</v>
      </c>
      <c r="W20" s="165" t="s">
        <v>557</v>
      </c>
    </row>
    <row r="21" spans="1:23" ht="15.75" x14ac:dyDescent="0.25">
      <c r="A21" s="166" t="s">
        <v>424</v>
      </c>
      <c r="B21" s="167" t="s">
        <v>22</v>
      </c>
      <c r="C21" s="150">
        <v>1.2989452356062385</v>
      </c>
      <c r="D21" s="168">
        <v>45046057.479999788</v>
      </c>
      <c r="E21" s="169">
        <v>42093792</v>
      </c>
      <c r="F21" s="170">
        <v>48592592.399999999</v>
      </c>
      <c r="G21" s="154"/>
      <c r="H21" s="171"/>
      <c r="I21" s="172">
        <v>54677530.566999994</v>
      </c>
      <c r="J21" s="157"/>
      <c r="K21" s="173"/>
      <c r="L21" s="174"/>
      <c r="M21" s="175"/>
      <c r="N21" s="176"/>
      <c r="O21" s="177"/>
      <c r="P21" s="178"/>
      <c r="Q21" s="164"/>
      <c r="R21" s="175">
        <v>6084938.1669999957</v>
      </c>
      <c r="S21" s="176">
        <v>1.1252235755793922</v>
      </c>
      <c r="T21" s="177">
        <v>12583738.566999994</v>
      </c>
      <c r="U21" s="178">
        <v>1.2989452356062385</v>
      </c>
      <c r="W21" s="165" t="s">
        <v>556</v>
      </c>
    </row>
    <row r="22" spans="1:23" s="191" customFormat="1" ht="15.75" x14ac:dyDescent="0.25">
      <c r="A22" s="179" t="s">
        <v>425</v>
      </c>
      <c r="B22" s="167" t="s">
        <v>23</v>
      </c>
      <c r="C22" s="150">
        <v>1.4610000000000001</v>
      </c>
      <c r="D22" s="168">
        <v>3014629.1999999979</v>
      </c>
      <c r="E22" s="169">
        <v>3850110</v>
      </c>
      <c r="F22" s="170">
        <v>7319624.4000000004</v>
      </c>
      <c r="G22" s="154"/>
      <c r="H22" s="171">
        <v>9000000</v>
      </c>
      <c r="I22" s="172">
        <v>5625010.71</v>
      </c>
      <c r="J22" s="180"/>
      <c r="K22" s="181"/>
      <c r="L22" s="182"/>
      <c r="M22" s="183"/>
      <c r="N22" s="184"/>
      <c r="O22" s="185"/>
      <c r="P22" s="186"/>
      <c r="Q22" s="187"/>
      <c r="R22" s="183">
        <v>-1694613.6900000004</v>
      </c>
      <c r="S22" s="184">
        <v>0.76848351808871496</v>
      </c>
      <c r="T22" s="185">
        <v>1774900.71</v>
      </c>
      <c r="U22" s="186">
        <v>1.4610000000000001</v>
      </c>
      <c r="W22" s="165" t="s">
        <v>556</v>
      </c>
    </row>
    <row r="23" spans="1:23" s="191" customFormat="1" ht="15.75" x14ac:dyDescent="0.25">
      <c r="A23" s="179" t="s">
        <v>426</v>
      </c>
      <c r="B23" s="167" t="s">
        <v>24</v>
      </c>
      <c r="C23" s="150">
        <v>1.2809383212067103</v>
      </c>
      <c r="D23" s="168">
        <v>49231114.789999776</v>
      </c>
      <c r="E23" s="169">
        <v>63457759</v>
      </c>
      <c r="F23" s="170">
        <v>92863099.200000003</v>
      </c>
      <c r="G23" s="154"/>
      <c r="H23" s="171"/>
      <c r="I23" s="172">
        <v>81285475.281000003</v>
      </c>
      <c r="J23" s="180"/>
      <c r="K23" s="181"/>
      <c r="L23" s="182"/>
      <c r="M23" s="183"/>
      <c r="N23" s="184"/>
      <c r="O23" s="185"/>
      <c r="P23" s="186"/>
      <c r="Q23" s="187"/>
      <c r="R23" s="183">
        <v>-11577623.919</v>
      </c>
      <c r="S23" s="184">
        <v>0.87532589350625511</v>
      </c>
      <c r="T23" s="185">
        <v>17827716.281000003</v>
      </c>
      <c r="U23" s="186">
        <v>1.2809383212067103</v>
      </c>
      <c r="W23" s="165" t="s">
        <v>556</v>
      </c>
    </row>
    <row r="24" spans="1:23" s="191" customFormat="1" ht="15.75" x14ac:dyDescent="0.25">
      <c r="A24" s="179" t="s">
        <v>427</v>
      </c>
      <c r="B24" s="167" t="s">
        <v>25</v>
      </c>
      <c r="C24" s="150">
        <v>1.3324741770006698</v>
      </c>
      <c r="D24" s="168">
        <v>204364532.31999847</v>
      </c>
      <c r="E24" s="169">
        <v>233840652</v>
      </c>
      <c r="F24" s="170">
        <v>262917452.40000001</v>
      </c>
      <c r="G24" s="154"/>
      <c r="H24" s="171"/>
      <c r="I24" s="172">
        <v>311586630.32300001</v>
      </c>
      <c r="J24" s="180"/>
      <c r="K24" s="181"/>
      <c r="L24" s="182"/>
      <c r="M24" s="183"/>
      <c r="N24" s="184"/>
      <c r="O24" s="185"/>
      <c r="P24" s="186"/>
      <c r="Q24" s="187"/>
      <c r="R24" s="183">
        <v>48669177.923000008</v>
      </c>
      <c r="S24" s="184">
        <v>1.1851120094110572</v>
      </c>
      <c r="T24" s="185">
        <v>77745978.323000014</v>
      </c>
      <c r="U24" s="186">
        <v>1.3324741770006698</v>
      </c>
      <c r="W24" s="165" t="s">
        <v>556</v>
      </c>
    </row>
    <row r="25" spans="1:23" ht="15.75" hidden="1" x14ac:dyDescent="0.25">
      <c r="A25" s="166" t="s">
        <v>428</v>
      </c>
      <c r="B25" s="167" t="s">
        <v>26</v>
      </c>
      <c r="C25" s="167"/>
      <c r="D25" s="168">
        <v>0</v>
      </c>
      <c r="E25" s="169">
        <v>0</v>
      </c>
      <c r="F25" s="170">
        <v>0</v>
      </c>
      <c r="G25" s="188"/>
      <c r="H25" s="171"/>
      <c r="I25" s="172">
        <v>0</v>
      </c>
      <c r="J25" s="157"/>
      <c r="K25" s="173"/>
      <c r="L25" s="174"/>
      <c r="M25" s="189"/>
      <c r="N25" s="190"/>
      <c r="O25" s="177"/>
      <c r="P25" s="178"/>
      <c r="Q25" s="164"/>
      <c r="R25" s="189">
        <v>0</v>
      </c>
      <c r="S25" s="190" t="s">
        <v>282</v>
      </c>
      <c r="T25" s="177">
        <v>0</v>
      </c>
      <c r="U25" s="178" t="s">
        <v>282</v>
      </c>
      <c r="W25" s="165" t="s">
        <v>557</v>
      </c>
    </row>
    <row r="26" spans="1:23" ht="15.75" hidden="1" x14ac:dyDescent="0.25">
      <c r="A26" s="166" t="s">
        <v>429</v>
      </c>
      <c r="B26" s="167" t="s">
        <v>27</v>
      </c>
      <c r="C26" s="167"/>
      <c r="D26" s="168">
        <v>0</v>
      </c>
      <c r="E26" s="169">
        <v>0</v>
      </c>
      <c r="F26" s="170">
        <v>0</v>
      </c>
      <c r="G26" s="188"/>
      <c r="H26" s="171"/>
      <c r="I26" s="172">
        <v>0</v>
      </c>
      <c r="J26" s="157"/>
      <c r="K26" s="173"/>
      <c r="L26" s="174"/>
      <c r="M26" s="189"/>
      <c r="N26" s="190"/>
      <c r="O26" s="177"/>
      <c r="P26" s="178"/>
      <c r="Q26" s="164"/>
      <c r="R26" s="189">
        <v>0</v>
      </c>
      <c r="S26" s="190" t="s">
        <v>282</v>
      </c>
      <c r="T26" s="177">
        <v>0</v>
      </c>
      <c r="U26" s="178" t="s">
        <v>282</v>
      </c>
      <c r="W26" s="165" t="s">
        <v>557</v>
      </c>
    </row>
    <row r="27" spans="1:23" ht="15.75" x14ac:dyDescent="0.25">
      <c r="A27" s="166" t="s">
        <v>430</v>
      </c>
      <c r="B27" s="167" t="s">
        <v>28</v>
      </c>
      <c r="C27" s="150">
        <v>1.2190000000000001</v>
      </c>
      <c r="D27" s="168">
        <v>24348667.679999981</v>
      </c>
      <c r="E27" s="169">
        <v>29969776</v>
      </c>
      <c r="F27" s="170">
        <v>36245170.799999997</v>
      </c>
      <c r="G27" s="154"/>
      <c r="H27" s="171"/>
      <c r="I27" s="172">
        <v>36533156.944000006</v>
      </c>
      <c r="J27" s="157"/>
      <c r="K27" s="173"/>
      <c r="L27" s="174"/>
      <c r="M27" s="175"/>
      <c r="N27" s="176"/>
      <c r="O27" s="177"/>
      <c r="P27" s="178"/>
      <c r="Q27" s="164"/>
      <c r="R27" s="175">
        <v>287986.1440000087</v>
      </c>
      <c r="S27" s="176">
        <v>1.007945503846267</v>
      </c>
      <c r="T27" s="177">
        <v>6563380.9440000057</v>
      </c>
      <c r="U27" s="178">
        <v>1.2190000000000001</v>
      </c>
      <c r="W27" s="165" t="s">
        <v>556</v>
      </c>
    </row>
    <row r="28" spans="1:23" s="191" customFormat="1" ht="15.75" x14ac:dyDescent="0.25">
      <c r="A28" s="179" t="s">
        <v>431</v>
      </c>
      <c r="B28" s="167" t="s">
        <v>29</v>
      </c>
      <c r="C28" s="150">
        <v>1.2658740908019974</v>
      </c>
      <c r="D28" s="168">
        <v>181367376.89999893</v>
      </c>
      <c r="E28" s="169">
        <v>251423919</v>
      </c>
      <c r="F28" s="170">
        <v>305152089.60000002</v>
      </c>
      <c r="G28" s="154"/>
      <c r="H28" s="171"/>
      <c r="I28" s="172">
        <v>318271024.87000006</v>
      </c>
      <c r="J28" s="180"/>
      <c r="K28" s="181"/>
      <c r="L28" s="182"/>
      <c r="M28" s="183"/>
      <c r="N28" s="184"/>
      <c r="O28" s="185"/>
      <c r="P28" s="186"/>
      <c r="Q28" s="187"/>
      <c r="R28" s="183">
        <v>13118935.270000041</v>
      </c>
      <c r="S28" s="184">
        <v>1.0429914646404572</v>
      </c>
      <c r="T28" s="185">
        <v>66847105.870000064</v>
      </c>
      <c r="U28" s="186">
        <v>1.2658740908019974</v>
      </c>
      <c r="W28" s="165" t="s">
        <v>556</v>
      </c>
    </row>
    <row r="29" spans="1:23" ht="15.75" x14ac:dyDescent="0.25">
      <c r="A29" s="166" t="s">
        <v>432</v>
      </c>
      <c r="B29" s="167" t="s">
        <v>30</v>
      </c>
      <c r="C29" s="150">
        <v>1.19</v>
      </c>
      <c r="D29" s="168">
        <v>2679145.7499999953</v>
      </c>
      <c r="E29" s="169">
        <v>3354770</v>
      </c>
      <c r="F29" s="170">
        <v>599326.80000000005</v>
      </c>
      <c r="G29" s="154"/>
      <c r="H29" s="171"/>
      <c r="I29" s="172">
        <v>3992176.3</v>
      </c>
      <c r="J29" s="157"/>
      <c r="K29" s="173"/>
      <c r="L29" s="174"/>
      <c r="M29" s="175"/>
      <c r="N29" s="176"/>
      <c r="O29" s="177"/>
      <c r="P29" s="178"/>
      <c r="Q29" s="164"/>
      <c r="R29" s="175">
        <v>3392849.5</v>
      </c>
      <c r="S29" s="176">
        <v>6.6611009219010384</v>
      </c>
      <c r="T29" s="177">
        <v>637406.29999999981</v>
      </c>
      <c r="U29" s="178">
        <v>1.19</v>
      </c>
      <c r="W29" s="165" t="s">
        <v>556</v>
      </c>
    </row>
    <row r="30" spans="1:23" ht="15.75" hidden="1" x14ac:dyDescent="0.25">
      <c r="A30" s="166" t="s">
        <v>433</v>
      </c>
      <c r="B30" s="167" t="s">
        <v>31</v>
      </c>
      <c r="C30" s="167"/>
      <c r="D30" s="168">
        <v>0</v>
      </c>
      <c r="E30" s="169">
        <v>0</v>
      </c>
      <c r="F30" s="170">
        <v>0</v>
      </c>
      <c r="G30" s="188"/>
      <c r="H30" s="171"/>
      <c r="I30" s="172">
        <v>0</v>
      </c>
      <c r="J30" s="157"/>
      <c r="K30" s="173"/>
      <c r="L30" s="174"/>
      <c r="M30" s="189"/>
      <c r="N30" s="190"/>
      <c r="O30" s="177"/>
      <c r="P30" s="178"/>
      <c r="Q30" s="164"/>
      <c r="R30" s="189">
        <v>0</v>
      </c>
      <c r="S30" s="190" t="s">
        <v>282</v>
      </c>
      <c r="T30" s="177">
        <v>0</v>
      </c>
      <c r="U30" s="178" t="s">
        <v>282</v>
      </c>
      <c r="W30" s="165" t="s">
        <v>557</v>
      </c>
    </row>
    <row r="31" spans="1:23" ht="15.75" x14ac:dyDescent="0.25">
      <c r="A31" s="166" t="s">
        <v>434</v>
      </c>
      <c r="B31" s="167" t="s">
        <v>32</v>
      </c>
      <c r="C31" s="167"/>
      <c r="D31" s="168">
        <v>0</v>
      </c>
      <c r="E31" s="169">
        <v>0</v>
      </c>
      <c r="F31" s="170">
        <v>9249.6</v>
      </c>
      <c r="G31" s="188"/>
      <c r="H31" s="171"/>
      <c r="I31" s="172">
        <v>0</v>
      </c>
      <c r="J31" s="157"/>
      <c r="K31" s="173"/>
      <c r="L31" s="174"/>
      <c r="M31" s="189"/>
      <c r="N31" s="190"/>
      <c r="O31" s="177"/>
      <c r="P31" s="178"/>
      <c r="Q31" s="164"/>
      <c r="R31" s="189">
        <v>-9249.6</v>
      </c>
      <c r="S31" s="190">
        <v>0</v>
      </c>
      <c r="T31" s="177">
        <v>0</v>
      </c>
      <c r="U31" s="178" t="s">
        <v>282</v>
      </c>
      <c r="W31" s="165" t="s">
        <v>556</v>
      </c>
    </row>
    <row r="32" spans="1:23" ht="15.75" hidden="1" x14ac:dyDescent="0.25">
      <c r="A32" s="166" t="s">
        <v>435</v>
      </c>
      <c r="B32" s="167" t="s">
        <v>33</v>
      </c>
      <c r="C32" s="167"/>
      <c r="D32" s="168">
        <v>0</v>
      </c>
      <c r="E32" s="169">
        <v>0</v>
      </c>
      <c r="F32" s="170">
        <v>0</v>
      </c>
      <c r="G32" s="188"/>
      <c r="H32" s="171"/>
      <c r="I32" s="172">
        <v>0</v>
      </c>
      <c r="J32" s="157"/>
      <c r="K32" s="173"/>
      <c r="L32" s="174"/>
      <c r="M32" s="189"/>
      <c r="N32" s="190"/>
      <c r="O32" s="177"/>
      <c r="P32" s="178"/>
      <c r="Q32" s="164"/>
      <c r="R32" s="189">
        <v>0</v>
      </c>
      <c r="S32" s="190" t="s">
        <v>282</v>
      </c>
      <c r="T32" s="177">
        <v>0</v>
      </c>
      <c r="U32" s="178" t="s">
        <v>282</v>
      </c>
      <c r="W32" s="165" t="s">
        <v>557</v>
      </c>
    </row>
    <row r="33" spans="1:23" ht="15.75" hidden="1" x14ac:dyDescent="0.25">
      <c r="A33" s="166" t="s">
        <v>436</v>
      </c>
      <c r="B33" s="167" t="s">
        <v>34</v>
      </c>
      <c r="C33" s="167"/>
      <c r="D33" s="168">
        <v>0</v>
      </c>
      <c r="E33" s="169">
        <v>0</v>
      </c>
      <c r="F33" s="170">
        <v>0</v>
      </c>
      <c r="G33" s="188"/>
      <c r="H33" s="171"/>
      <c r="I33" s="172">
        <v>0</v>
      </c>
      <c r="J33" s="157"/>
      <c r="K33" s="173"/>
      <c r="L33" s="174"/>
      <c r="M33" s="189"/>
      <c r="N33" s="190"/>
      <c r="O33" s="177"/>
      <c r="P33" s="178"/>
      <c r="Q33" s="164"/>
      <c r="R33" s="189">
        <v>0</v>
      </c>
      <c r="S33" s="190" t="s">
        <v>282</v>
      </c>
      <c r="T33" s="177">
        <v>0</v>
      </c>
      <c r="U33" s="178" t="s">
        <v>282</v>
      </c>
      <c r="W33" s="165" t="s">
        <v>557</v>
      </c>
    </row>
    <row r="34" spans="1:23" ht="15.75" hidden="1" x14ac:dyDescent="0.25">
      <c r="A34" s="166" t="s">
        <v>437</v>
      </c>
      <c r="B34" s="167" t="s">
        <v>35</v>
      </c>
      <c r="C34" s="167"/>
      <c r="D34" s="168">
        <v>0</v>
      </c>
      <c r="E34" s="169">
        <v>0</v>
      </c>
      <c r="F34" s="170">
        <v>0</v>
      </c>
      <c r="G34" s="188"/>
      <c r="H34" s="171"/>
      <c r="I34" s="172">
        <v>0</v>
      </c>
      <c r="J34" s="157"/>
      <c r="K34" s="173"/>
      <c r="L34" s="174"/>
      <c r="M34" s="189"/>
      <c r="N34" s="190"/>
      <c r="O34" s="177"/>
      <c r="P34" s="178"/>
      <c r="Q34" s="164"/>
      <c r="R34" s="189">
        <v>0</v>
      </c>
      <c r="S34" s="190" t="s">
        <v>282</v>
      </c>
      <c r="T34" s="177">
        <v>0</v>
      </c>
      <c r="U34" s="178" t="s">
        <v>282</v>
      </c>
      <c r="W34" s="165" t="s">
        <v>557</v>
      </c>
    </row>
    <row r="35" spans="1:23" ht="15.75" x14ac:dyDescent="0.25">
      <c r="A35" s="166" t="s">
        <v>438</v>
      </c>
      <c r="B35" s="167" t="s">
        <v>36</v>
      </c>
      <c r="C35" s="167"/>
      <c r="D35" s="168">
        <v>0</v>
      </c>
      <c r="E35" s="169">
        <v>0</v>
      </c>
      <c r="F35" s="170">
        <v>185433.60000000001</v>
      </c>
      <c r="G35" s="188"/>
      <c r="H35" s="171"/>
      <c r="I35" s="172">
        <v>0</v>
      </c>
      <c r="J35" s="157"/>
      <c r="K35" s="173"/>
      <c r="L35" s="174"/>
      <c r="M35" s="189"/>
      <c r="N35" s="190"/>
      <c r="O35" s="177"/>
      <c r="P35" s="178"/>
      <c r="Q35" s="164"/>
      <c r="R35" s="189">
        <v>-185433.60000000001</v>
      </c>
      <c r="S35" s="190">
        <v>0</v>
      </c>
      <c r="T35" s="177">
        <v>0</v>
      </c>
      <c r="U35" s="178" t="s">
        <v>282</v>
      </c>
      <c r="W35" s="165" t="s">
        <v>556</v>
      </c>
    </row>
    <row r="36" spans="1:23" ht="15.75" hidden="1" x14ac:dyDescent="0.25">
      <c r="A36" s="166" t="s">
        <v>439</v>
      </c>
      <c r="B36" s="167" t="s">
        <v>440</v>
      </c>
      <c r="C36" s="167"/>
      <c r="D36" s="168">
        <v>0</v>
      </c>
      <c r="E36" s="169">
        <v>0</v>
      </c>
      <c r="F36" s="170">
        <v>0</v>
      </c>
      <c r="G36" s="188"/>
      <c r="H36" s="171"/>
      <c r="I36" s="172">
        <v>0</v>
      </c>
      <c r="J36" s="157"/>
      <c r="K36" s="173"/>
      <c r="L36" s="174"/>
      <c r="M36" s="189"/>
      <c r="N36" s="190"/>
      <c r="O36" s="177"/>
      <c r="P36" s="178"/>
      <c r="Q36" s="164"/>
      <c r="R36" s="189">
        <v>0</v>
      </c>
      <c r="S36" s="190" t="s">
        <v>282</v>
      </c>
      <c r="T36" s="177">
        <v>0</v>
      </c>
      <c r="U36" s="178" t="s">
        <v>282</v>
      </c>
      <c r="W36" s="165" t="s">
        <v>557</v>
      </c>
    </row>
    <row r="37" spans="1:23" ht="15.75" hidden="1" x14ac:dyDescent="0.25">
      <c r="A37" s="166" t="s">
        <v>441</v>
      </c>
      <c r="B37" s="167" t="s">
        <v>442</v>
      </c>
      <c r="C37" s="167"/>
      <c r="D37" s="168">
        <v>0</v>
      </c>
      <c r="E37" s="169">
        <v>0</v>
      </c>
      <c r="F37" s="170">
        <v>0</v>
      </c>
      <c r="G37" s="188"/>
      <c r="H37" s="171"/>
      <c r="I37" s="172">
        <v>0</v>
      </c>
      <c r="J37" s="157"/>
      <c r="K37" s="173"/>
      <c r="L37" s="174"/>
      <c r="M37" s="189"/>
      <c r="N37" s="190"/>
      <c r="O37" s="177"/>
      <c r="P37" s="178"/>
      <c r="Q37" s="164"/>
      <c r="R37" s="189">
        <v>0</v>
      </c>
      <c r="S37" s="190" t="s">
        <v>282</v>
      </c>
      <c r="T37" s="177">
        <v>0</v>
      </c>
      <c r="U37" s="178" t="s">
        <v>282</v>
      </c>
      <c r="W37" s="165" t="s">
        <v>557</v>
      </c>
    </row>
    <row r="38" spans="1:23" s="191" customFormat="1" ht="15.75" x14ac:dyDescent="0.25">
      <c r="A38" s="179" t="s">
        <v>443</v>
      </c>
      <c r="B38" s="167" t="s">
        <v>38</v>
      </c>
      <c r="C38" s="150">
        <v>1.2170000000000001</v>
      </c>
      <c r="D38" s="168">
        <v>201888094.71000043</v>
      </c>
      <c r="E38" s="169">
        <v>213688309</v>
      </c>
      <c r="F38" s="170">
        <v>256039824</v>
      </c>
      <c r="G38" s="154"/>
      <c r="H38" s="171"/>
      <c r="I38" s="172">
        <v>260058672.053</v>
      </c>
      <c r="J38" s="180"/>
      <c r="K38" s="181"/>
      <c r="L38" s="182"/>
      <c r="M38" s="183"/>
      <c r="N38" s="184"/>
      <c r="O38" s="185"/>
      <c r="P38" s="186"/>
      <c r="Q38" s="187"/>
      <c r="R38" s="183">
        <v>4018848.0530000031</v>
      </c>
      <c r="S38" s="184">
        <v>1.0156961834694902</v>
      </c>
      <c r="T38" s="185">
        <v>46370363.053000003</v>
      </c>
      <c r="U38" s="186">
        <v>1.2170000000000001</v>
      </c>
      <c r="W38" s="165" t="s">
        <v>556</v>
      </c>
    </row>
    <row r="39" spans="1:23" ht="15.75" hidden="1" x14ac:dyDescent="0.25">
      <c r="A39" s="166" t="s">
        <v>444</v>
      </c>
      <c r="B39" s="167" t="s">
        <v>39</v>
      </c>
      <c r="C39" s="167"/>
      <c r="D39" s="168">
        <v>0</v>
      </c>
      <c r="E39" s="169">
        <v>0</v>
      </c>
      <c r="F39" s="170">
        <v>0</v>
      </c>
      <c r="G39" s="188"/>
      <c r="H39" s="171"/>
      <c r="I39" s="172">
        <v>0</v>
      </c>
      <c r="J39" s="157"/>
      <c r="K39" s="173"/>
      <c r="L39" s="174"/>
      <c r="M39" s="189"/>
      <c r="N39" s="190"/>
      <c r="O39" s="177"/>
      <c r="P39" s="178"/>
      <c r="Q39" s="164"/>
      <c r="R39" s="189">
        <v>0</v>
      </c>
      <c r="S39" s="190" t="s">
        <v>282</v>
      </c>
      <c r="T39" s="177">
        <v>0</v>
      </c>
      <c r="U39" s="178" t="s">
        <v>282</v>
      </c>
      <c r="W39" s="165" t="s">
        <v>557</v>
      </c>
    </row>
    <row r="40" spans="1:23" ht="15.75" hidden="1" x14ac:dyDescent="0.25">
      <c r="A40" s="166" t="s">
        <v>445</v>
      </c>
      <c r="B40" s="167" t="s">
        <v>40</v>
      </c>
      <c r="C40" s="167"/>
      <c r="D40" s="168">
        <v>0</v>
      </c>
      <c r="E40" s="169">
        <v>0</v>
      </c>
      <c r="F40" s="170">
        <v>0</v>
      </c>
      <c r="G40" s="188"/>
      <c r="H40" s="171"/>
      <c r="I40" s="172">
        <v>0</v>
      </c>
      <c r="J40" s="157"/>
      <c r="K40" s="173"/>
      <c r="L40" s="174"/>
      <c r="M40" s="189"/>
      <c r="N40" s="190"/>
      <c r="O40" s="177"/>
      <c r="P40" s="178"/>
      <c r="Q40" s="164"/>
      <c r="R40" s="189">
        <v>0</v>
      </c>
      <c r="S40" s="190" t="s">
        <v>282</v>
      </c>
      <c r="T40" s="177">
        <v>0</v>
      </c>
      <c r="U40" s="178" t="s">
        <v>282</v>
      </c>
      <c r="W40" s="165" t="s">
        <v>557</v>
      </c>
    </row>
    <row r="41" spans="1:23" ht="15.75" hidden="1" x14ac:dyDescent="0.25">
      <c r="A41" s="166" t="s">
        <v>446</v>
      </c>
      <c r="B41" s="167" t="s">
        <v>41</v>
      </c>
      <c r="C41" s="167"/>
      <c r="D41" s="168">
        <v>0</v>
      </c>
      <c r="E41" s="169">
        <v>0</v>
      </c>
      <c r="F41" s="170">
        <v>0</v>
      </c>
      <c r="G41" s="188"/>
      <c r="H41" s="171"/>
      <c r="I41" s="172">
        <v>0</v>
      </c>
      <c r="J41" s="157"/>
      <c r="K41" s="173"/>
      <c r="L41" s="174"/>
      <c r="M41" s="189"/>
      <c r="N41" s="190"/>
      <c r="O41" s="177"/>
      <c r="P41" s="178"/>
      <c r="Q41" s="164"/>
      <c r="R41" s="189">
        <v>0</v>
      </c>
      <c r="S41" s="190" t="s">
        <v>282</v>
      </c>
      <c r="T41" s="177">
        <v>0</v>
      </c>
      <c r="U41" s="178" t="s">
        <v>282</v>
      </c>
      <c r="W41" s="165" t="s">
        <v>557</v>
      </c>
    </row>
    <row r="42" spans="1:23" ht="15.75" hidden="1" x14ac:dyDescent="0.25">
      <c r="A42" s="166" t="s">
        <v>447</v>
      </c>
      <c r="B42" s="167" t="s">
        <v>42</v>
      </c>
      <c r="C42" s="167"/>
      <c r="D42" s="168">
        <v>0</v>
      </c>
      <c r="E42" s="169">
        <v>0</v>
      </c>
      <c r="F42" s="170">
        <v>0</v>
      </c>
      <c r="G42" s="188"/>
      <c r="H42" s="171"/>
      <c r="I42" s="172">
        <v>0</v>
      </c>
      <c r="J42" s="157"/>
      <c r="K42" s="173"/>
      <c r="L42" s="174"/>
      <c r="M42" s="189"/>
      <c r="N42" s="190"/>
      <c r="O42" s="177"/>
      <c r="P42" s="178"/>
      <c r="Q42" s="164"/>
      <c r="R42" s="189">
        <v>0</v>
      </c>
      <c r="S42" s="190" t="s">
        <v>282</v>
      </c>
      <c r="T42" s="177">
        <v>0</v>
      </c>
      <c r="U42" s="178" t="s">
        <v>282</v>
      </c>
      <c r="W42" s="165" t="s">
        <v>557</v>
      </c>
    </row>
    <row r="43" spans="1:23" ht="15.75" hidden="1" x14ac:dyDescent="0.25">
      <c r="A43" s="166" t="s">
        <v>448</v>
      </c>
      <c r="B43" s="167" t="s">
        <v>43</v>
      </c>
      <c r="C43" s="167"/>
      <c r="D43" s="168">
        <v>0</v>
      </c>
      <c r="E43" s="169">
        <v>0</v>
      </c>
      <c r="F43" s="170">
        <v>0</v>
      </c>
      <c r="G43" s="188"/>
      <c r="H43" s="171"/>
      <c r="I43" s="172">
        <v>0</v>
      </c>
      <c r="J43" s="157"/>
      <c r="K43" s="173"/>
      <c r="L43" s="174"/>
      <c r="M43" s="189"/>
      <c r="N43" s="190"/>
      <c r="O43" s="177"/>
      <c r="P43" s="178"/>
      <c r="Q43" s="164"/>
      <c r="R43" s="189">
        <v>0</v>
      </c>
      <c r="S43" s="190" t="s">
        <v>282</v>
      </c>
      <c r="T43" s="177">
        <v>0</v>
      </c>
      <c r="U43" s="178" t="s">
        <v>282</v>
      </c>
      <c r="W43" s="165" t="s">
        <v>557</v>
      </c>
    </row>
    <row r="44" spans="1:23" ht="15.75" hidden="1" x14ac:dyDescent="0.25">
      <c r="A44" s="166" t="s">
        <v>449</v>
      </c>
      <c r="B44" s="167" t="s">
        <v>44</v>
      </c>
      <c r="C44" s="167"/>
      <c r="D44" s="168">
        <v>0</v>
      </c>
      <c r="E44" s="169">
        <v>0</v>
      </c>
      <c r="F44" s="170">
        <v>0</v>
      </c>
      <c r="G44" s="188"/>
      <c r="H44" s="171"/>
      <c r="I44" s="172">
        <v>0</v>
      </c>
      <c r="J44" s="157"/>
      <c r="K44" s="173"/>
      <c r="L44" s="174"/>
      <c r="M44" s="189"/>
      <c r="N44" s="190"/>
      <c r="O44" s="177"/>
      <c r="P44" s="178"/>
      <c r="Q44" s="164"/>
      <c r="R44" s="189">
        <v>0</v>
      </c>
      <c r="S44" s="190" t="s">
        <v>282</v>
      </c>
      <c r="T44" s="177">
        <v>0</v>
      </c>
      <c r="U44" s="178" t="s">
        <v>282</v>
      </c>
      <c r="W44" s="165" t="s">
        <v>557</v>
      </c>
    </row>
    <row r="45" spans="1:23" ht="15.75" hidden="1" x14ac:dyDescent="0.25">
      <c r="A45" s="166" t="s">
        <v>450</v>
      </c>
      <c r="B45" s="167" t="s">
        <v>45</v>
      </c>
      <c r="C45" s="167"/>
      <c r="D45" s="168">
        <v>0</v>
      </c>
      <c r="E45" s="169">
        <v>0</v>
      </c>
      <c r="F45" s="170">
        <v>0</v>
      </c>
      <c r="G45" s="188"/>
      <c r="H45" s="171"/>
      <c r="I45" s="172">
        <v>0</v>
      </c>
      <c r="J45" s="157"/>
      <c r="K45" s="173"/>
      <c r="L45" s="174"/>
      <c r="M45" s="189"/>
      <c r="N45" s="190"/>
      <c r="O45" s="177"/>
      <c r="P45" s="178"/>
      <c r="Q45" s="164"/>
      <c r="R45" s="189">
        <v>0</v>
      </c>
      <c r="S45" s="190" t="s">
        <v>282</v>
      </c>
      <c r="T45" s="177">
        <v>0</v>
      </c>
      <c r="U45" s="178" t="s">
        <v>282</v>
      </c>
      <c r="W45" s="165" t="s">
        <v>557</v>
      </c>
    </row>
    <row r="46" spans="1:23" ht="15.75" hidden="1" x14ac:dyDescent="0.25">
      <c r="A46" s="166" t="s">
        <v>451</v>
      </c>
      <c r="B46" s="167" t="s">
        <v>46</v>
      </c>
      <c r="C46" s="167"/>
      <c r="D46" s="168">
        <v>0</v>
      </c>
      <c r="E46" s="169">
        <v>0</v>
      </c>
      <c r="F46" s="170">
        <v>0</v>
      </c>
      <c r="G46" s="188"/>
      <c r="H46" s="171"/>
      <c r="I46" s="172">
        <v>0</v>
      </c>
      <c r="J46" s="157"/>
      <c r="K46" s="173"/>
      <c r="L46" s="174"/>
      <c r="M46" s="189"/>
      <c r="N46" s="190"/>
      <c r="O46" s="177"/>
      <c r="P46" s="178"/>
      <c r="Q46" s="164"/>
      <c r="R46" s="189">
        <v>0</v>
      </c>
      <c r="S46" s="190" t="s">
        <v>282</v>
      </c>
      <c r="T46" s="177">
        <v>0</v>
      </c>
      <c r="U46" s="178" t="s">
        <v>282</v>
      </c>
      <c r="W46" s="165" t="s">
        <v>557</v>
      </c>
    </row>
    <row r="47" spans="1:23" ht="15.75" hidden="1" x14ac:dyDescent="0.25">
      <c r="A47" s="166" t="s">
        <v>452</v>
      </c>
      <c r="B47" s="167" t="s">
        <v>47</v>
      </c>
      <c r="C47" s="167"/>
      <c r="D47" s="168">
        <v>0</v>
      </c>
      <c r="E47" s="169">
        <v>0</v>
      </c>
      <c r="F47" s="170">
        <v>0</v>
      </c>
      <c r="G47" s="188"/>
      <c r="H47" s="171"/>
      <c r="I47" s="172">
        <v>0</v>
      </c>
      <c r="J47" s="157"/>
      <c r="K47" s="173"/>
      <c r="L47" s="174"/>
      <c r="M47" s="189"/>
      <c r="N47" s="190"/>
      <c r="O47" s="177"/>
      <c r="P47" s="178"/>
      <c r="Q47" s="164"/>
      <c r="R47" s="189">
        <v>0</v>
      </c>
      <c r="S47" s="190" t="s">
        <v>282</v>
      </c>
      <c r="T47" s="177">
        <v>0</v>
      </c>
      <c r="U47" s="178" t="s">
        <v>282</v>
      </c>
      <c r="W47" s="165" t="s">
        <v>557</v>
      </c>
    </row>
    <row r="48" spans="1:23" ht="15.75" hidden="1" x14ac:dyDescent="0.25">
      <c r="A48" s="166" t="s">
        <v>453</v>
      </c>
      <c r="B48" s="167" t="s">
        <v>48</v>
      </c>
      <c r="C48" s="167"/>
      <c r="D48" s="168">
        <v>0</v>
      </c>
      <c r="E48" s="169">
        <v>0</v>
      </c>
      <c r="F48" s="170">
        <v>0</v>
      </c>
      <c r="G48" s="188"/>
      <c r="H48" s="171"/>
      <c r="I48" s="172">
        <v>0</v>
      </c>
      <c r="J48" s="157"/>
      <c r="K48" s="173"/>
      <c r="L48" s="174"/>
      <c r="M48" s="189"/>
      <c r="N48" s="190"/>
      <c r="O48" s="177"/>
      <c r="P48" s="178"/>
      <c r="Q48" s="164"/>
      <c r="R48" s="189">
        <v>0</v>
      </c>
      <c r="S48" s="190" t="s">
        <v>282</v>
      </c>
      <c r="T48" s="177">
        <v>0</v>
      </c>
      <c r="U48" s="178" t="s">
        <v>282</v>
      </c>
      <c r="W48" s="165" t="s">
        <v>557</v>
      </c>
    </row>
    <row r="49" spans="1:23" ht="15.75" hidden="1" x14ac:dyDescent="0.25">
      <c r="A49" s="166" t="s">
        <v>454</v>
      </c>
      <c r="B49" s="167" t="s">
        <v>455</v>
      </c>
      <c r="C49" s="167"/>
      <c r="D49" s="168">
        <v>0</v>
      </c>
      <c r="E49" s="169">
        <v>0</v>
      </c>
      <c r="F49" s="170">
        <v>0</v>
      </c>
      <c r="G49" s="188"/>
      <c r="H49" s="171"/>
      <c r="I49" s="172">
        <v>0</v>
      </c>
      <c r="J49" s="157"/>
      <c r="K49" s="173"/>
      <c r="L49" s="174"/>
      <c r="M49" s="189"/>
      <c r="N49" s="190"/>
      <c r="O49" s="177"/>
      <c r="P49" s="178"/>
      <c r="Q49" s="164"/>
      <c r="R49" s="189">
        <v>0</v>
      </c>
      <c r="S49" s="190" t="s">
        <v>282</v>
      </c>
      <c r="T49" s="177">
        <v>0</v>
      </c>
      <c r="U49" s="178" t="s">
        <v>282</v>
      </c>
      <c r="W49" s="165" t="s">
        <v>557</v>
      </c>
    </row>
    <row r="50" spans="1:23" ht="15.75" hidden="1" x14ac:dyDescent="0.25">
      <c r="A50" s="166" t="s">
        <v>456</v>
      </c>
      <c r="B50" s="167" t="s">
        <v>50</v>
      </c>
      <c r="C50" s="167"/>
      <c r="D50" s="168">
        <v>0</v>
      </c>
      <c r="E50" s="169">
        <v>0</v>
      </c>
      <c r="F50" s="170">
        <v>0</v>
      </c>
      <c r="G50" s="188"/>
      <c r="H50" s="171"/>
      <c r="I50" s="172">
        <v>0</v>
      </c>
      <c r="J50" s="157"/>
      <c r="K50" s="173"/>
      <c r="L50" s="174"/>
      <c r="M50" s="189"/>
      <c r="N50" s="190"/>
      <c r="O50" s="177"/>
      <c r="P50" s="178"/>
      <c r="Q50" s="164"/>
      <c r="R50" s="189">
        <v>0</v>
      </c>
      <c r="S50" s="190" t="s">
        <v>282</v>
      </c>
      <c r="T50" s="177">
        <v>0</v>
      </c>
      <c r="U50" s="178" t="s">
        <v>282</v>
      </c>
      <c r="W50" s="165" t="s">
        <v>557</v>
      </c>
    </row>
    <row r="51" spans="1:23" ht="15.75" hidden="1" x14ac:dyDescent="0.25">
      <c r="A51" s="166" t="s">
        <v>457</v>
      </c>
      <c r="B51" s="167" t="s">
        <v>51</v>
      </c>
      <c r="C51" s="167"/>
      <c r="D51" s="168">
        <v>0</v>
      </c>
      <c r="E51" s="169">
        <v>0</v>
      </c>
      <c r="F51" s="170">
        <v>0</v>
      </c>
      <c r="G51" s="188"/>
      <c r="H51" s="171"/>
      <c r="I51" s="172">
        <v>0</v>
      </c>
      <c r="J51" s="157"/>
      <c r="K51" s="173"/>
      <c r="L51" s="174"/>
      <c r="M51" s="189"/>
      <c r="N51" s="190"/>
      <c r="O51" s="177"/>
      <c r="P51" s="178"/>
      <c r="Q51" s="164"/>
      <c r="R51" s="189">
        <v>0</v>
      </c>
      <c r="S51" s="190" t="s">
        <v>282</v>
      </c>
      <c r="T51" s="177">
        <v>0</v>
      </c>
      <c r="U51" s="178" t="s">
        <v>282</v>
      </c>
      <c r="W51" s="165" t="s">
        <v>557</v>
      </c>
    </row>
    <row r="52" spans="1:23" ht="15.75" hidden="1" x14ac:dyDescent="0.25">
      <c r="A52" s="166" t="s">
        <v>458</v>
      </c>
      <c r="B52" s="167" t="s">
        <v>52</v>
      </c>
      <c r="C52" s="167"/>
      <c r="D52" s="168">
        <v>0</v>
      </c>
      <c r="E52" s="169">
        <v>0</v>
      </c>
      <c r="F52" s="170">
        <v>0</v>
      </c>
      <c r="G52" s="188"/>
      <c r="H52" s="171"/>
      <c r="I52" s="172">
        <v>0</v>
      </c>
      <c r="J52" s="157"/>
      <c r="K52" s="173"/>
      <c r="L52" s="174"/>
      <c r="M52" s="189"/>
      <c r="N52" s="190"/>
      <c r="O52" s="177"/>
      <c r="P52" s="178"/>
      <c r="Q52" s="164"/>
      <c r="R52" s="189">
        <v>0</v>
      </c>
      <c r="S52" s="190" t="s">
        <v>282</v>
      </c>
      <c r="T52" s="177">
        <v>0</v>
      </c>
      <c r="U52" s="178" t="s">
        <v>282</v>
      </c>
      <c r="W52" s="165" t="s">
        <v>557</v>
      </c>
    </row>
    <row r="53" spans="1:23" ht="15.75" hidden="1" x14ac:dyDescent="0.25">
      <c r="A53" s="166" t="s">
        <v>459</v>
      </c>
      <c r="B53" s="167" t="s">
        <v>53</v>
      </c>
      <c r="C53" s="167"/>
      <c r="D53" s="168">
        <v>0</v>
      </c>
      <c r="E53" s="169">
        <v>0</v>
      </c>
      <c r="F53" s="170">
        <v>0</v>
      </c>
      <c r="G53" s="188"/>
      <c r="H53" s="171"/>
      <c r="I53" s="172">
        <v>0</v>
      </c>
      <c r="J53" s="157"/>
      <c r="K53" s="173"/>
      <c r="L53" s="174"/>
      <c r="M53" s="189"/>
      <c r="N53" s="190"/>
      <c r="O53" s="177"/>
      <c r="P53" s="178"/>
      <c r="Q53" s="164"/>
      <c r="R53" s="189">
        <v>0</v>
      </c>
      <c r="S53" s="190" t="s">
        <v>282</v>
      </c>
      <c r="T53" s="177">
        <v>0</v>
      </c>
      <c r="U53" s="178" t="s">
        <v>282</v>
      </c>
      <c r="W53" s="165" t="s">
        <v>557</v>
      </c>
    </row>
    <row r="54" spans="1:23" ht="15.75" x14ac:dyDescent="0.25">
      <c r="A54" s="166" t="s">
        <v>460</v>
      </c>
      <c r="B54" s="167" t="s">
        <v>54</v>
      </c>
      <c r="C54" s="150"/>
      <c r="D54" s="168">
        <v>130497.92000000001</v>
      </c>
      <c r="E54" s="169">
        <v>0</v>
      </c>
      <c r="F54" s="170">
        <v>0</v>
      </c>
      <c r="G54" s="154"/>
      <c r="H54" s="171"/>
      <c r="I54" s="172">
        <v>0</v>
      </c>
      <c r="J54" s="157"/>
      <c r="K54" s="173"/>
      <c r="L54" s="174"/>
      <c r="M54" s="175"/>
      <c r="N54" s="176"/>
      <c r="O54" s="177"/>
      <c r="P54" s="178"/>
      <c r="Q54" s="164"/>
      <c r="R54" s="175">
        <v>0</v>
      </c>
      <c r="S54" s="176" t="s">
        <v>282</v>
      </c>
      <c r="T54" s="177">
        <v>0</v>
      </c>
      <c r="U54" s="178" t="s">
        <v>282</v>
      </c>
      <c r="W54" s="165" t="s">
        <v>556</v>
      </c>
    </row>
    <row r="55" spans="1:23" ht="15.75" hidden="1" x14ac:dyDescent="0.25">
      <c r="A55" s="166" t="s">
        <v>461</v>
      </c>
      <c r="B55" s="167" t="s">
        <v>55</v>
      </c>
      <c r="C55" s="167"/>
      <c r="D55" s="168">
        <v>0</v>
      </c>
      <c r="E55" s="169">
        <v>0</v>
      </c>
      <c r="F55" s="170">
        <v>0</v>
      </c>
      <c r="G55" s="188"/>
      <c r="H55" s="171"/>
      <c r="I55" s="172">
        <v>0</v>
      </c>
      <c r="J55" s="157"/>
      <c r="K55" s="173"/>
      <c r="L55" s="174"/>
      <c r="M55" s="189"/>
      <c r="N55" s="190"/>
      <c r="O55" s="177"/>
      <c r="P55" s="178"/>
      <c r="Q55" s="164"/>
      <c r="R55" s="189">
        <v>0</v>
      </c>
      <c r="S55" s="190" t="s">
        <v>282</v>
      </c>
      <c r="T55" s="177">
        <v>0</v>
      </c>
      <c r="U55" s="178" t="s">
        <v>282</v>
      </c>
      <c r="W55" s="165" t="s">
        <v>557</v>
      </c>
    </row>
    <row r="56" spans="1:23" ht="15.75" hidden="1" x14ac:dyDescent="0.25">
      <c r="A56" s="166" t="s">
        <v>462</v>
      </c>
      <c r="B56" s="167" t="s">
        <v>56</v>
      </c>
      <c r="C56" s="167"/>
      <c r="D56" s="168">
        <v>0</v>
      </c>
      <c r="E56" s="169">
        <v>0</v>
      </c>
      <c r="F56" s="170">
        <v>0</v>
      </c>
      <c r="G56" s="188"/>
      <c r="H56" s="171"/>
      <c r="I56" s="172">
        <v>0</v>
      </c>
      <c r="J56" s="157"/>
      <c r="K56" s="173"/>
      <c r="L56" s="174"/>
      <c r="M56" s="189"/>
      <c r="N56" s="190"/>
      <c r="O56" s="177"/>
      <c r="P56" s="178"/>
      <c r="Q56" s="164"/>
      <c r="R56" s="189">
        <v>0</v>
      </c>
      <c r="S56" s="190" t="s">
        <v>282</v>
      </c>
      <c r="T56" s="177">
        <v>0</v>
      </c>
      <c r="U56" s="178" t="s">
        <v>282</v>
      </c>
      <c r="W56" s="165" t="s">
        <v>557</v>
      </c>
    </row>
    <row r="57" spans="1:23" ht="15.75" hidden="1" x14ac:dyDescent="0.25">
      <c r="A57" s="192">
        <v>99</v>
      </c>
      <c r="B57" s="167" t="s">
        <v>463</v>
      </c>
      <c r="C57" s="150"/>
      <c r="D57" s="168">
        <v>0</v>
      </c>
      <c r="E57" s="169">
        <v>0</v>
      </c>
      <c r="F57" s="170">
        <v>0</v>
      </c>
      <c r="G57" s="188"/>
      <c r="H57" s="171"/>
      <c r="I57" s="172">
        <v>0</v>
      </c>
      <c r="J57" s="157"/>
      <c r="K57" s="173"/>
      <c r="L57" s="174"/>
      <c r="M57" s="189"/>
      <c r="N57" s="190"/>
      <c r="O57" s="177"/>
      <c r="P57" s="178"/>
      <c r="Q57" s="164"/>
      <c r="R57" s="189">
        <v>0</v>
      </c>
      <c r="S57" s="190" t="s">
        <v>282</v>
      </c>
      <c r="T57" s="177">
        <v>0</v>
      </c>
      <c r="U57" s="178" t="s">
        <v>282</v>
      </c>
      <c r="W57" s="165" t="s">
        <v>557</v>
      </c>
    </row>
    <row r="58" spans="1:23" ht="15.75" hidden="1" x14ac:dyDescent="0.25">
      <c r="A58" s="166" t="s">
        <v>464</v>
      </c>
      <c r="B58" s="167" t="s">
        <v>58</v>
      </c>
      <c r="C58" s="167"/>
      <c r="D58" s="168">
        <v>0</v>
      </c>
      <c r="E58" s="169">
        <v>0</v>
      </c>
      <c r="F58" s="170">
        <v>0</v>
      </c>
      <c r="G58" s="188"/>
      <c r="H58" s="171"/>
      <c r="I58" s="172">
        <v>0</v>
      </c>
      <c r="J58" s="157"/>
      <c r="K58" s="173"/>
      <c r="L58" s="174"/>
      <c r="M58" s="189"/>
      <c r="N58" s="190"/>
      <c r="O58" s="177"/>
      <c r="P58" s="178"/>
      <c r="Q58" s="164"/>
      <c r="R58" s="189">
        <v>0</v>
      </c>
      <c r="S58" s="190" t="s">
        <v>282</v>
      </c>
      <c r="T58" s="177">
        <v>0</v>
      </c>
      <c r="U58" s="178" t="s">
        <v>282</v>
      </c>
      <c r="W58" s="165" t="s">
        <v>557</v>
      </c>
    </row>
    <row r="59" spans="1:23" ht="15.75" x14ac:dyDescent="0.25">
      <c r="A59" s="166" t="s">
        <v>465</v>
      </c>
      <c r="B59" s="167" t="s">
        <v>59</v>
      </c>
      <c r="C59" s="150"/>
      <c r="D59" s="168">
        <v>375034.78</v>
      </c>
      <c r="E59" s="169">
        <v>0</v>
      </c>
      <c r="F59" s="170">
        <v>0</v>
      </c>
      <c r="G59" s="154"/>
      <c r="H59" s="171"/>
      <c r="I59" s="172">
        <v>0</v>
      </c>
      <c r="J59" s="157"/>
      <c r="K59" s="173"/>
      <c r="L59" s="174"/>
      <c r="M59" s="175"/>
      <c r="N59" s="176"/>
      <c r="O59" s="177"/>
      <c r="P59" s="178"/>
      <c r="Q59" s="164"/>
      <c r="R59" s="175">
        <v>0</v>
      </c>
      <c r="S59" s="176" t="s">
        <v>282</v>
      </c>
      <c r="T59" s="177">
        <v>0</v>
      </c>
      <c r="U59" s="178" t="s">
        <v>282</v>
      </c>
      <c r="W59" s="165" t="s">
        <v>556</v>
      </c>
    </row>
    <row r="60" spans="1:23" ht="15.75" x14ac:dyDescent="0.25">
      <c r="A60" s="166" t="s">
        <v>466</v>
      </c>
      <c r="B60" s="167" t="s">
        <v>60</v>
      </c>
      <c r="C60" s="150">
        <v>1.19</v>
      </c>
      <c r="D60" s="168">
        <v>89058.69</v>
      </c>
      <c r="E60" s="169">
        <v>693269</v>
      </c>
      <c r="F60" s="170">
        <v>0</v>
      </c>
      <c r="G60" s="154"/>
      <c r="H60" s="171"/>
      <c r="I60" s="172">
        <v>824990.11</v>
      </c>
      <c r="J60" s="157"/>
      <c r="K60" s="173"/>
      <c r="L60" s="174"/>
      <c r="M60" s="175"/>
      <c r="N60" s="176"/>
      <c r="O60" s="177"/>
      <c r="P60" s="178"/>
      <c r="Q60" s="164"/>
      <c r="R60" s="175">
        <v>824990.11</v>
      </c>
      <c r="S60" s="176" t="s">
        <v>282</v>
      </c>
      <c r="T60" s="177">
        <v>131721.10999999999</v>
      </c>
      <c r="U60" s="178">
        <v>1.19</v>
      </c>
      <c r="W60" s="165" t="s">
        <v>556</v>
      </c>
    </row>
    <row r="61" spans="1:23" ht="16.5" thickBot="1" x14ac:dyDescent="0.3">
      <c r="A61" s="193" t="s">
        <v>467</v>
      </c>
      <c r="B61" s="167" t="s">
        <v>61</v>
      </c>
      <c r="C61" s="150"/>
      <c r="D61" s="194">
        <v>21403.23</v>
      </c>
      <c r="E61" s="195">
        <v>0</v>
      </c>
      <c r="F61" s="196">
        <v>25148.400000000001</v>
      </c>
      <c r="G61" s="197"/>
      <c r="H61" s="198"/>
      <c r="I61" s="199">
        <v>0</v>
      </c>
      <c r="J61" s="157"/>
      <c r="K61" s="200"/>
      <c r="L61" s="201"/>
      <c r="M61" s="202"/>
      <c r="N61" s="203"/>
      <c r="O61" s="204"/>
      <c r="P61" s="205"/>
      <c r="Q61" s="164"/>
      <c r="R61" s="202">
        <v>-25148.400000000001</v>
      </c>
      <c r="S61" s="203">
        <v>0</v>
      </c>
      <c r="T61" s="204">
        <v>0</v>
      </c>
      <c r="U61" s="205" t="s">
        <v>282</v>
      </c>
      <c r="W61" s="165" t="s">
        <v>556</v>
      </c>
    </row>
    <row r="62" spans="1:23" s="226" customFormat="1" ht="16.5" thickTop="1" thickBot="1" x14ac:dyDescent="0.3">
      <c r="A62" s="206" t="s">
        <v>468</v>
      </c>
      <c r="B62" s="207"/>
      <c r="C62" s="208">
        <v>1.2451381126743397</v>
      </c>
      <c r="D62" s="209">
        <v>887953993.53999686</v>
      </c>
      <c r="E62" s="210">
        <v>1057826088</v>
      </c>
      <c r="F62" s="211">
        <v>1225094512.8000002</v>
      </c>
      <c r="G62" s="212">
        <v>0</v>
      </c>
      <c r="H62" s="213">
        <v>9000000</v>
      </c>
      <c r="I62" s="214">
        <v>1317139578.75</v>
      </c>
      <c r="J62" s="215"/>
      <c r="K62" s="216"/>
      <c r="L62" s="217"/>
      <c r="M62" s="218"/>
      <c r="N62" s="219"/>
      <c r="O62" s="220"/>
      <c r="P62" s="221"/>
      <c r="Q62" s="222"/>
      <c r="R62" s="223">
        <v>92045065.949999809</v>
      </c>
      <c r="S62" s="219">
        <v>1.0751330325850756</v>
      </c>
      <c r="T62" s="224">
        <v>259313490.75</v>
      </c>
      <c r="U62" s="225">
        <v>1.2451381126743397</v>
      </c>
      <c r="W62" s="165" t="s">
        <v>556</v>
      </c>
    </row>
    <row r="63" spans="1:23" x14ac:dyDescent="0.2">
      <c r="D63" s="227" t="s">
        <v>558</v>
      </c>
      <c r="E63" s="228" t="s">
        <v>558</v>
      </c>
      <c r="F63" s="165" t="s">
        <v>558</v>
      </c>
      <c r="G63" s="165" t="s">
        <v>558</v>
      </c>
      <c r="H63" s="165" t="s">
        <v>559</v>
      </c>
      <c r="I63" s="165" t="s">
        <v>558</v>
      </c>
      <c r="J63" s="165"/>
      <c r="K63" s="229"/>
      <c r="L63" s="230"/>
      <c r="M63" s="231"/>
      <c r="N63" s="232"/>
      <c r="O63" s="233"/>
      <c r="P63" s="234"/>
      <c r="Q63" s="234"/>
      <c r="R63" s="165" t="s">
        <v>558</v>
      </c>
      <c r="S63" s="234"/>
      <c r="T63" s="165" t="s">
        <v>558</v>
      </c>
      <c r="U63" s="234"/>
    </row>
    <row r="64" spans="1:23" hidden="1" x14ac:dyDescent="0.2"/>
    <row r="65" spans="1:38" ht="14.25" x14ac:dyDescent="0.2">
      <c r="D65" s="119"/>
      <c r="E65" s="119"/>
      <c r="I65" s="236">
        <v>1.0751330325850756</v>
      </c>
      <c r="K65" s="237" t="s">
        <v>469</v>
      </c>
    </row>
    <row r="66" spans="1:38" ht="18" x14ac:dyDescent="0.25">
      <c r="A66" s="418" t="s">
        <v>470</v>
      </c>
      <c r="B66" s="418"/>
      <c r="C66" s="418"/>
      <c r="D66" s="418"/>
      <c r="E66" s="418"/>
      <c r="F66" s="418"/>
      <c r="G66" s="418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418"/>
      <c r="T66" s="418"/>
      <c r="U66" s="418"/>
    </row>
    <row r="67" spans="1:38" ht="18.75" thickBot="1" x14ac:dyDescent="0.3">
      <c r="A67" s="238"/>
      <c r="B67" s="238"/>
      <c r="C67" s="238"/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238"/>
    </row>
    <row r="68" spans="1:38" ht="19.5" thickBot="1" x14ac:dyDescent="0.35">
      <c r="J68" s="124"/>
      <c r="K68" s="419" t="s">
        <v>390</v>
      </c>
      <c r="L68" s="400"/>
      <c r="M68" s="400"/>
      <c r="N68" s="400"/>
      <c r="O68" s="400"/>
      <c r="P68" s="401"/>
      <c r="Q68" s="125"/>
      <c r="R68" s="402" t="s">
        <v>391</v>
      </c>
      <c r="S68" s="402"/>
      <c r="T68" s="402"/>
      <c r="U68" s="403"/>
      <c r="X68" s="239"/>
      <c r="Y68" s="239"/>
      <c r="Z68" s="239"/>
      <c r="AA68" s="239"/>
      <c r="AH68" s="240"/>
      <c r="AI68" s="239"/>
      <c r="AJ68" s="239"/>
      <c r="AK68" s="239"/>
      <c r="AL68" s="239"/>
    </row>
    <row r="69" spans="1:38" ht="28.15" customHeight="1" thickTop="1" x14ac:dyDescent="0.2">
      <c r="A69" s="420" t="s">
        <v>470</v>
      </c>
      <c r="B69" s="421"/>
      <c r="C69" s="424" t="s">
        <v>471</v>
      </c>
      <c r="D69" s="127" t="s">
        <v>392</v>
      </c>
      <c r="E69" s="128" t="s">
        <v>393</v>
      </c>
      <c r="F69" s="129" t="s">
        <v>472</v>
      </c>
      <c r="G69" s="408" t="s">
        <v>560</v>
      </c>
      <c r="H69" s="410" t="s">
        <v>396</v>
      </c>
      <c r="I69" s="130" t="s">
        <v>397</v>
      </c>
      <c r="J69" s="131"/>
      <c r="K69" s="412" t="s">
        <v>398</v>
      </c>
      <c r="L69" s="413"/>
      <c r="M69" s="414" t="s">
        <v>399</v>
      </c>
      <c r="N69" s="414"/>
      <c r="O69" s="415" t="s">
        <v>400</v>
      </c>
      <c r="P69" s="416"/>
      <c r="Q69" s="132"/>
      <c r="R69" s="414" t="s">
        <v>401</v>
      </c>
      <c r="S69" s="414"/>
      <c r="T69" s="415" t="s">
        <v>402</v>
      </c>
      <c r="U69" s="416"/>
    </row>
    <row r="70" spans="1:38" ht="33.75" customHeight="1" thickBot="1" x14ac:dyDescent="0.25">
      <c r="A70" s="422"/>
      <c r="B70" s="423"/>
      <c r="C70" s="425"/>
      <c r="D70" s="135" t="s">
        <v>404</v>
      </c>
      <c r="E70" s="136" t="s">
        <v>405</v>
      </c>
      <c r="F70" s="137"/>
      <c r="G70" s="409"/>
      <c r="H70" s="411"/>
      <c r="I70" s="138"/>
      <c r="J70" s="139"/>
      <c r="K70" s="140" t="s">
        <v>406</v>
      </c>
      <c r="L70" s="141" t="s">
        <v>407</v>
      </c>
      <c r="M70" s="142" t="s">
        <v>406</v>
      </c>
      <c r="N70" s="143" t="s">
        <v>407</v>
      </c>
      <c r="O70" s="144" t="s">
        <v>406</v>
      </c>
      <c r="P70" s="145" t="s">
        <v>407</v>
      </c>
      <c r="Q70" s="146"/>
      <c r="R70" s="142" t="s">
        <v>406</v>
      </c>
      <c r="S70" s="143" t="s">
        <v>407</v>
      </c>
      <c r="T70" s="144" t="s">
        <v>406</v>
      </c>
      <c r="U70" s="145" t="s">
        <v>407</v>
      </c>
      <c r="V70" s="241"/>
      <c r="W70" s="242"/>
    </row>
    <row r="71" spans="1:38" s="250" customFormat="1" ht="16.5" thickTop="1" x14ac:dyDescent="0.25">
      <c r="A71" s="243" t="s">
        <v>473</v>
      </c>
      <c r="B71" s="244"/>
      <c r="C71" s="245">
        <v>1.2659999999999996</v>
      </c>
      <c r="D71" s="151">
        <v>209671177.40999898</v>
      </c>
      <c r="E71" s="152">
        <v>288302115</v>
      </c>
      <c r="F71" s="170">
        <v>369355977.60000002</v>
      </c>
      <c r="G71" s="246"/>
      <c r="H71" s="171"/>
      <c r="I71" s="172">
        <v>364990477.59000003</v>
      </c>
      <c r="J71" s="247"/>
      <c r="K71" s="173"/>
      <c r="L71" s="174"/>
      <c r="M71" s="175"/>
      <c r="N71" s="176"/>
      <c r="O71" s="177"/>
      <c r="P71" s="178"/>
      <c r="Q71" s="164"/>
      <c r="R71" s="175">
        <v>-4365500.0099999905</v>
      </c>
      <c r="S71" s="176">
        <v>0.9881807787750827</v>
      </c>
      <c r="T71" s="177">
        <v>76688362.590000033</v>
      </c>
      <c r="U71" s="178">
        <v>1.266</v>
      </c>
      <c r="V71" s="248" t="s">
        <v>473</v>
      </c>
      <c r="W71" s="249"/>
    </row>
    <row r="72" spans="1:38" s="250" customFormat="1" ht="15.75" x14ac:dyDescent="0.25">
      <c r="A72" s="251" t="s">
        <v>474</v>
      </c>
      <c r="B72" s="252"/>
      <c r="C72" s="245">
        <v>1.2470000000000001</v>
      </c>
      <c r="D72" s="433">
        <v>204726895.25999844</v>
      </c>
      <c r="E72" s="435">
        <v>233840652</v>
      </c>
      <c r="F72" s="437">
        <v>263102886</v>
      </c>
      <c r="G72" s="246"/>
      <c r="H72" s="171"/>
      <c r="I72" s="439">
        <v>311586630.32300007</v>
      </c>
      <c r="J72" s="247"/>
      <c r="K72" s="173"/>
      <c r="L72" s="174"/>
      <c r="M72" s="175"/>
      <c r="N72" s="176"/>
      <c r="O72" s="177"/>
      <c r="P72" s="178"/>
      <c r="Q72" s="164"/>
      <c r="R72" s="441">
        <v>48483744.323000073</v>
      </c>
      <c r="S72" s="426">
        <v>1.184276748385801</v>
      </c>
      <c r="T72" s="428">
        <v>77745978.323000073</v>
      </c>
      <c r="U72" s="430">
        <v>1.3324741770006701</v>
      </c>
      <c r="V72" s="248" t="s">
        <v>474</v>
      </c>
      <c r="W72" s="249"/>
    </row>
    <row r="73" spans="1:38" s="250" customFormat="1" ht="15.75" x14ac:dyDescent="0.25">
      <c r="A73" s="251" t="s">
        <v>475</v>
      </c>
      <c r="B73" s="252"/>
      <c r="C73" s="245">
        <v>1.3380000000000001</v>
      </c>
      <c r="D73" s="434"/>
      <c r="E73" s="436"/>
      <c r="F73" s="438"/>
      <c r="G73" s="246"/>
      <c r="H73" s="171"/>
      <c r="I73" s="440"/>
      <c r="J73" s="247"/>
      <c r="K73" s="173"/>
      <c r="L73" s="174"/>
      <c r="M73" s="175"/>
      <c r="N73" s="176"/>
      <c r="O73" s="177"/>
      <c r="P73" s="178"/>
      <c r="Q73" s="164"/>
      <c r="R73" s="442"/>
      <c r="S73" s="427"/>
      <c r="T73" s="429"/>
      <c r="U73" s="431"/>
      <c r="V73" s="248" t="s">
        <v>475</v>
      </c>
      <c r="W73" s="249"/>
    </row>
    <row r="74" spans="1:38" s="250" customFormat="1" ht="15.75" x14ac:dyDescent="0.25">
      <c r="A74" s="251" t="s">
        <v>476</v>
      </c>
      <c r="B74" s="252"/>
      <c r="C74" s="245">
        <v>1.2170000000000001</v>
      </c>
      <c r="D74" s="151">
        <v>203500957.94000021</v>
      </c>
      <c r="E74" s="152">
        <v>217368096</v>
      </c>
      <c r="F74" s="170">
        <v>260075354.40000001</v>
      </c>
      <c r="G74" s="246"/>
      <c r="H74" s="171"/>
      <c r="I74" s="172">
        <v>264536972.83199996</v>
      </c>
      <c r="J74" s="247"/>
      <c r="K74" s="173"/>
      <c r="L74" s="174"/>
      <c r="M74" s="175"/>
      <c r="N74" s="176"/>
      <c r="O74" s="177"/>
      <c r="P74" s="178"/>
      <c r="Q74" s="164"/>
      <c r="R74" s="175">
        <v>4461618.4319999516</v>
      </c>
      <c r="S74" s="176">
        <v>1.0171550989223606</v>
      </c>
      <c r="T74" s="177">
        <v>47168876.831999958</v>
      </c>
      <c r="U74" s="178">
        <v>1.2169999999999999</v>
      </c>
      <c r="V74" s="248" t="s">
        <v>476</v>
      </c>
      <c r="W74" s="249"/>
    </row>
    <row r="75" spans="1:38" ht="15.75" x14ac:dyDescent="0.25">
      <c r="A75" s="251" t="s">
        <v>477</v>
      </c>
      <c r="B75" s="252"/>
      <c r="C75" s="245">
        <v>1.1160000000000001</v>
      </c>
      <c r="D75" s="151">
        <v>73009026.600000024</v>
      </c>
      <c r="E75" s="152">
        <v>80307322</v>
      </c>
      <c r="F75" s="170">
        <v>92847337.200000003</v>
      </c>
      <c r="G75" s="246"/>
      <c r="H75" s="171"/>
      <c r="I75" s="172">
        <v>89622971.351999998</v>
      </c>
      <c r="J75" s="157"/>
      <c r="K75" s="173"/>
      <c r="L75" s="174"/>
      <c r="M75" s="175"/>
      <c r="N75" s="176"/>
      <c r="O75" s="177"/>
      <c r="P75" s="178"/>
      <c r="Q75" s="164"/>
      <c r="R75" s="175">
        <v>-3224365.8480000049</v>
      </c>
      <c r="S75" s="176">
        <v>0.96527239288452094</v>
      </c>
      <c r="T75" s="177">
        <v>9315649.3519999981</v>
      </c>
      <c r="U75" s="178">
        <v>1.1159999999999999</v>
      </c>
      <c r="V75" s="248" t="s">
        <v>477</v>
      </c>
      <c r="W75" s="249"/>
    </row>
    <row r="76" spans="1:38" s="250" customFormat="1" ht="15.75" x14ac:dyDescent="0.25">
      <c r="A76" s="251" t="s">
        <v>478</v>
      </c>
      <c r="B76" s="252"/>
      <c r="C76" s="245">
        <v>1.008</v>
      </c>
      <c r="D76" s="151">
        <v>54135921.759999521</v>
      </c>
      <c r="E76" s="152">
        <v>60839976</v>
      </c>
      <c r="F76" s="170">
        <v>51665936.399999999</v>
      </c>
      <c r="G76" s="246"/>
      <c r="H76" s="171"/>
      <c r="I76" s="172">
        <v>61326695.807999998</v>
      </c>
      <c r="J76" s="247"/>
      <c r="K76" s="173"/>
      <c r="L76" s="174"/>
      <c r="M76" s="175"/>
      <c r="N76" s="176"/>
      <c r="O76" s="177"/>
      <c r="P76" s="178"/>
      <c r="Q76" s="164"/>
      <c r="R76" s="175">
        <v>9660759.4079999998</v>
      </c>
      <c r="S76" s="176">
        <v>1.1869850830381929</v>
      </c>
      <c r="T76" s="177">
        <v>486719.80799999833</v>
      </c>
      <c r="U76" s="178">
        <v>1.008</v>
      </c>
      <c r="V76" s="248" t="s">
        <v>478</v>
      </c>
      <c r="W76" s="249"/>
    </row>
    <row r="77" spans="1:38" ht="15.75" x14ac:dyDescent="0.25">
      <c r="A77" s="251" t="s">
        <v>479</v>
      </c>
      <c r="B77" s="252"/>
      <c r="C77" s="245">
        <v>1.2989999999999999</v>
      </c>
      <c r="D77" s="151">
        <v>45024908.119999789</v>
      </c>
      <c r="E77" s="152">
        <v>42072643</v>
      </c>
      <c r="F77" s="170">
        <v>48176487.600000001</v>
      </c>
      <c r="G77" s="246"/>
      <c r="H77" s="171"/>
      <c r="I77" s="172">
        <v>54652363.257000007</v>
      </c>
      <c r="J77" s="157"/>
      <c r="K77" s="173"/>
      <c r="L77" s="174"/>
      <c r="M77" s="175"/>
      <c r="N77" s="176"/>
      <c r="O77" s="177"/>
      <c r="P77" s="178"/>
      <c r="Q77" s="164"/>
      <c r="R77" s="175">
        <v>6475875.6570000052</v>
      </c>
      <c r="S77" s="176">
        <v>1.134419837966768</v>
      </c>
      <c r="T77" s="177">
        <v>12579720.257000007</v>
      </c>
      <c r="U77" s="178">
        <v>1.2990000000000002</v>
      </c>
      <c r="V77" s="248" t="s">
        <v>479</v>
      </c>
      <c r="W77" s="249"/>
    </row>
    <row r="78" spans="1:38" ht="15.75" x14ac:dyDescent="0.25">
      <c r="A78" s="251" t="s">
        <v>480</v>
      </c>
      <c r="B78" s="252"/>
      <c r="C78" s="245">
        <v>1.0069999999999999</v>
      </c>
      <c r="D78" s="151">
        <v>30056978.330000132</v>
      </c>
      <c r="E78" s="152">
        <v>32518028</v>
      </c>
      <c r="F78" s="170">
        <v>34566710.399999999</v>
      </c>
      <c r="G78" s="246"/>
      <c r="H78" s="171"/>
      <c r="I78" s="172">
        <v>32745654.195999995</v>
      </c>
      <c r="J78" s="157"/>
      <c r="K78" s="173"/>
      <c r="L78" s="174"/>
      <c r="M78" s="175"/>
      <c r="N78" s="176"/>
      <c r="O78" s="177"/>
      <c r="P78" s="178"/>
      <c r="Q78" s="164"/>
      <c r="R78" s="175">
        <v>-1821056.2040000036</v>
      </c>
      <c r="S78" s="176">
        <v>0.94731763066467545</v>
      </c>
      <c r="T78" s="177">
        <v>227626.19599999487</v>
      </c>
      <c r="U78" s="178">
        <v>1.0069999999999999</v>
      </c>
      <c r="V78" s="248" t="s">
        <v>480</v>
      </c>
      <c r="W78" s="249"/>
    </row>
    <row r="79" spans="1:38" ht="15.75" x14ac:dyDescent="0.25">
      <c r="A79" s="251" t="s">
        <v>481</v>
      </c>
      <c r="B79" s="252"/>
      <c r="C79" s="245">
        <v>1.2190000000000001</v>
      </c>
      <c r="D79" s="151">
        <v>24773748.599999975</v>
      </c>
      <c r="E79" s="152">
        <v>31520959</v>
      </c>
      <c r="F79" s="170">
        <v>38567826</v>
      </c>
      <c r="G79" s="246"/>
      <c r="H79" s="171"/>
      <c r="I79" s="172">
        <v>38424049.021000005</v>
      </c>
      <c r="J79" s="157"/>
      <c r="K79" s="173"/>
      <c r="L79" s="174"/>
      <c r="M79" s="175"/>
      <c r="N79" s="176"/>
      <c r="O79" s="177"/>
      <c r="P79" s="178"/>
      <c r="Q79" s="164"/>
      <c r="R79" s="175">
        <v>-143776.9789999947</v>
      </c>
      <c r="S79" s="176">
        <v>0.99627210050678006</v>
      </c>
      <c r="T79" s="177">
        <v>6903090.0210000053</v>
      </c>
      <c r="U79" s="178">
        <v>1.2190000000000001</v>
      </c>
      <c r="V79" s="248" t="s">
        <v>481</v>
      </c>
      <c r="W79" s="249"/>
    </row>
    <row r="80" spans="1:38" ht="15.75" x14ac:dyDescent="0.25">
      <c r="A80" s="251" t="s">
        <v>482</v>
      </c>
      <c r="B80" s="252"/>
      <c r="C80" s="245">
        <v>1.214</v>
      </c>
      <c r="D80" s="151">
        <v>14439393.539999992</v>
      </c>
      <c r="E80" s="152">
        <v>16361627</v>
      </c>
      <c r="F80" s="170">
        <v>13782088.800000001</v>
      </c>
      <c r="G80" s="246"/>
      <c r="H80" s="171"/>
      <c r="I80" s="172">
        <v>19863015.177999999</v>
      </c>
      <c r="J80" s="157"/>
      <c r="K80" s="173"/>
      <c r="L80" s="174"/>
      <c r="M80" s="175"/>
      <c r="N80" s="176"/>
      <c r="O80" s="177"/>
      <c r="P80" s="178"/>
      <c r="Q80" s="164"/>
      <c r="R80" s="175">
        <v>6080926.3779999986</v>
      </c>
      <c r="S80" s="176">
        <v>1.441219503534181</v>
      </c>
      <c r="T80" s="177">
        <v>3501388.1779999994</v>
      </c>
      <c r="U80" s="178">
        <v>1.214</v>
      </c>
      <c r="V80" s="248" t="s">
        <v>482</v>
      </c>
      <c r="W80" s="249"/>
    </row>
    <row r="81" spans="1:23" s="250" customFormat="1" ht="15.75" x14ac:dyDescent="0.25">
      <c r="A81" s="251" t="s">
        <v>483</v>
      </c>
      <c r="B81" s="252"/>
      <c r="C81" s="245">
        <v>1.4610000000000001</v>
      </c>
      <c r="D81" s="151">
        <v>8596252.4400000516</v>
      </c>
      <c r="E81" s="152">
        <v>13213859</v>
      </c>
      <c r="F81" s="170">
        <v>19746489.600000001</v>
      </c>
      <c r="G81" s="246"/>
      <c r="H81" s="171"/>
      <c r="I81" s="172">
        <v>19305447.999000002</v>
      </c>
      <c r="J81" s="247"/>
      <c r="K81" s="173"/>
      <c r="L81" s="174"/>
      <c r="M81" s="175"/>
      <c r="N81" s="176"/>
      <c r="O81" s="177"/>
      <c r="P81" s="178"/>
      <c r="Q81" s="164"/>
      <c r="R81" s="175">
        <v>-441041.60099999979</v>
      </c>
      <c r="S81" s="176">
        <v>0.97766480979991499</v>
      </c>
      <c r="T81" s="177">
        <v>6091588.9990000017</v>
      </c>
      <c r="U81" s="178">
        <v>1.4610000000000001</v>
      </c>
      <c r="V81" s="248" t="s">
        <v>483</v>
      </c>
      <c r="W81" s="249"/>
    </row>
    <row r="82" spans="1:23" ht="15.75" x14ac:dyDescent="0.25">
      <c r="A82" s="251" t="s">
        <v>484</v>
      </c>
      <c r="B82" s="252"/>
      <c r="C82" s="245">
        <v>1.3680000000000001</v>
      </c>
      <c r="D82" s="151">
        <v>7405267.0999999978</v>
      </c>
      <c r="E82" s="152">
        <v>17968362</v>
      </c>
      <c r="F82" s="170">
        <v>11324248.800000001</v>
      </c>
      <c r="G82" s="246"/>
      <c r="H82" s="171"/>
      <c r="I82" s="172">
        <v>24580719.215999998</v>
      </c>
      <c r="J82" s="157"/>
      <c r="K82" s="173"/>
      <c r="L82" s="174"/>
      <c r="M82" s="175"/>
      <c r="N82" s="176"/>
      <c r="O82" s="177"/>
      <c r="P82" s="178"/>
      <c r="Q82" s="164"/>
      <c r="R82" s="175">
        <v>13256470.415999997</v>
      </c>
      <c r="S82" s="176">
        <v>2.1706269131070308</v>
      </c>
      <c r="T82" s="177">
        <v>6612357.2159999982</v>
      </c>
      <c r="U82" s="178">
        <v>1.3679999999999999</v>
      </c>
      <c r="V82" s="248" t="s">
        <v>484</v>
      </c>
      <c r="W82" s="249"/>
    </row>
    <row r="83" spans="1:23" ht="15.75" x14ac:dyDescent="0.25">
      <c r="A83" s="253" t="s">
        <v>485</v>
      </c>
      <c r="B83" s="254" t="s">
        <v>486</v>
      </c>
      <c r="C83" s="255">
        <v>1.19</v>
      </c>
      <c r="D83" s="151">
        <v>0</v>
      </c>
      <c r="E83" s="152">
        <v>1309926</v>
      </c>
      <c r="F83" s="170">
        <v>6531367.2000000002</v>
      </c>
      <c r="G83" s="246"/>
      <c r="H83" s="171"/>
      <c r="I83" s="172">
        <v>9797050.8000000007</v>
      </c>
      <c r="J83" s="157"/>
      <c r="K83" s="173"/>
      <c r="L83" s="174"/>
      <c r="M83" s="175"/>
      <c r="N83" s="176"/>
      <c r="O83" s="177"/>
      <c r="P83" s="178"/>
      <c r="Q83" s="164"/>
      <c r="R83" s="175">
        <v>3265683.6000000006</v>
      </c>
      <c r="S83" s="176">
        <v>1.5</v>
      </c>
      <c r="T83" s="177">
        <v>8487124.8000000007</v>
      </c>
      <c r="U83" s="178">
        <v>7.4790872156137072</v>
      </c>
      <c r="V83" s="248" t="s">
        <v>485</v>
      </c>
      <c r="W83" s="249"/>
    </row>
    <row r="84" spans="1:23" ht="15.75" x14ac:dyDescent="0.25">
      <c r="A84" s="251" t="s">
        <v>487</v>
      </c>
      <c r="B84" s="252"/>
      <c r="C84" s="245">
        <v>1</v>
      </c>
      <c r="D84" s="151">
        <v>5834768.8100000201</v>
      </c>
      <c r="E84" s="152">
        <v>6480605</v>
      </c>
      <c r="F84" s="170">
        <v>5114004</v>
      </c>
      <c r="G84" s="246"/>
      <c r="H84" s="171"/>
      <c r="I84" s="172">
        <v>6480605</v>
      </c>
      <c r="J84" s="157"/>
      <c r="K84" s="173"/>
      <c r="L84" s="174"/>
      <c r="M84" s="175"/>
      <c r="N84" s="176"/>
      <c r="O84" s="177"/>
      <c r="P84" s="178"/>
      <c r="Q84" s="164"/>
      <c r="R84" s="175">
        <v>1366601</v>
      </c>
      <c r="S84" s="176">
        <v>1.2672272059231866</v>
      </c>
      <c r="T84" s="177">
        <v>0</v>
      </c>
      <c r="U84" s="178">
        <v>1</v>
      </c>
      <c r="V84" s="248" t="s">
        <v>487</v>
      </c>
      <c r="W84" s="249"/>
    </row>
    <row r="85" spans="1:23" ht="15.75" x14ac:dyDescent="0.25">
      <c r="A85" s="251" t="s">
        <v>488</v>
      </c>
      <c r="B85" s="252"/>
      <c r="C85" s="245">
        <v>1</v>
      </c>
      <c r="D85" s="151">
        <v>0</v>
      </c>
      <c r="E85" s="152">
        <v>5815415</v>
      </c>
      <c r="F85" s="170">
        <v>4635295.2</v>
      </c>
      <c r="G85" s="246"/>
      <c r="H85" s="171"/>
      <c r="I85" s="172">
        <v>5815415</v>
      </c>
      <c r="J85" s="157"/>
      <c r="K85" s="173"/>
      <c r="L85" s="174"/>
      <c r="M85" s="175"/>
      <c r="N85" s="176"/>
      <c r="O85" s="177"/>
      <c r="P85" s="178"/>
      <c r="Q85" s="164"/>
      <c r="R85" s="175">
        <v>1180119.7999999998</v>
      </c>
      <c r="S85" s="176">
        <v>1.2545943136480282</v>
      </c>
      <c r="T85" s="177">
        <v>0</v>
      </c>
      <c r="U85" s="178">
        <v>1</v>
      </c>
      <c r="V85" s="248" t="s">
        <v>488</v>
      </c>
      <c r="W85" s="256"/>
    </row>
    <row r="86" spans="1:23" ht="15.75" x14ac:dyDescent="0.25">
      <c r="A86" s="251" t="s">
        <v>489</v>
      </c>
      <c r="B86" s="252"/>
      <c r="C86" s="245">
        <v>1.1899999999999997</v>
      </c>
      <c r="D86" s="151">
        <v>2679145.7499999953</v>
      </c>
      <c r="E86" s="152">
        <v>3354770</v>
      </c>
      <c r="F86" s="170">
        <v>599326.80000000005</v>
      </c>
      <c r="G86" s="246"/>
      <c r="H86" s="171"/>
      <c r="I86" s="172">
        <v>3992176.3</v>
      </c>
      <c r="J86" s="180"/>
      <c r="K86" s="173"/>
      <c r="L86" s="174"/>
      <c r="M86" s="175"/>
      <c r="N86" s="176"/>
      <c r="O86" s="177"/>
      <c r="P86" s="178"/>
      <c r="Q86" s="164"/>
      <c r="R86" s="175">
        <v>3392849.5</v>
      </c>
      <c r="S86" s="176">
        <v>6.6611009219010384</v>
      </c>
      <c r="T86" s="177">
        <v>637406.29999999981</v>
      </c>
      <c r="U86" s="178">
        <v>1.19</v>
      </c>
      <c r="V86" s="248" t="s">
        <v>489</v>
      </c>
      <c r="W86" s="249"/>
    </row>
    <row r="87" spans="1:23" ht="15.75" x14ac:dyDescent="0.25">
      <c r="A87" s="251" t="s">
        <v>490</v>
      </c>
      <c r="B87" s="252"/>
      <c r="C87" s="255">
        <v>1.19</v>
      </c>
      <c r="D87" s="151">
        <v>1227781.4199999997</v>
      </c>
      <c r="E87" s="152">
        <v>2543852</v>
      </c>
      <c r="F87" s="170">
        <v>1718442</v>
      </c>
      <c r="G87" s="246"/>
      <c r="H87" s="171"/>
      <c r="I87" s="172">
        <v>2976847.412</v>
      </c>
      <c r="J87" s="180"/>
      <c r="K87" s="173"/>
      <c r="L87" s="174"/>
      <c r="M87" s="175"/>
      <c r="N87" s="176"/>
      <c r="O87" s="177"/>
      <c r="P87" s="178"/>
      <c r="Q87" s="164"/>
      <c r="R87" s="175">
        <v>1258405.412</v>
      </c>
      <c r="S87" s="176">
        <v>1.7322943759521707</v>
      </c>
      <c r="T87" s="177">
        <v>432995.41200000001</v>
      </c>
      <c r="U87" s="178">
        <v>1.170212501356211</v>
      </c>
      <c r="V87" s="248" t="s">
        <v>490</v>
      </c>
      <c r="W87" s="249"/>
    </row>
    <row r="88" spans="1:23" ht="15.75" x14ac:dyDescent="0.25">
      <c r="A88" s="251" t="s">
        <v>491</v>
      </c>
      <c r="B88" s="252"/>
      <c r="C88" s="245">
        <v>1.2769999999999999</v>
      </c>
      <c r="D88" s="151">
        <v>1525597.5800000029</v>
      </c>
      <c r="E88" s="152">
        <v>2212301</v>
      </c>
      <c r="F88" s="170">
        <v>2450860.7999999998</v>
      </c>
      <c r="G88" s="246"/>
      <c r="H88" s="171"/>
      <c r="I88" s="172">
        <v>2825108.3769999999</v>
      </c>
      <c r="J88" s="157"/>
      <c r="K88" s="173"/>
      <c r="L88" s="174"/>
      <c r="M88" s="175"/>
      <c r="N88" s="176"/>
      <c r="O88" s="177"/>
      <c r="P88" s="178"/>
      <c r="Q88" s="164"/>
      <c r="R88" s="175">
        <v>374247.57700000005</v>
      </c>
      <c r="S88" s="176">
        <v>1.1527004622212735</v>
      </c>
      <c r="T88" s="177">
        <v>612807.37699999986</v>
      </c>
      <c r="U88" s="178">
        <v>1.2769999999999999</v>
      </c>
      <c r="V88" s="248" t="s">
        <v>491</v>
      </c>
      <c r="W88" s="249"/>
    </row>
    <row r="89" spans="1:23" ht="15.75" x14ac:dyDescent="0.25">
      <c r="A89" s="251" t="s">
        <v>492</v>
      </c>
      <c r="B89" s="252"/>
      <c r="C89" s="245">
        <v>2.7669999999999999</v>
      </c>
      <c r="D89" s="151">
        <v>791778.34000000008</v>
      </c>
      <c r="E89" s="152">
        <v>942143</v>
      </c>
      <c r="F89" s="170">
        <v>593245.19999999995</v>
      </c>
      <c r="G89" s="246"/>
      <c r="H89" s="171"/>
      <c r="I89" s="172">
        <v>2606909.6810000003</v>
      </c>
      <c r="J89" s="157"/>
      <c r="K89" s="173"/>
      <c r="L89" s="174"/>
      <c r="M89" s="175"/>
      <c r="N89" s="176"/>
      <c r="O89" s="177"/>
      <c r="P89" s="178"/>
      <c r="Q89" s="164"/>
      <c r="R89" s="175">
        <v>2013664.4810000004</v>
      </c>
      <c r="S89" s="176">
        <v>4.3943207311243322</v>
      </c>
      <c r="T89" s="177">
        <v>1664766.6810000003</v>
      </c>
      <c r="U89" s="178">
        <v>2.7670000000000003</v>
      </c>
      <c r="V89" s="248" t="s">
        <v>492</v>
      </c>
      <c r="W89" s="249"/>
    </row>
    <row r="90" spans="1:23" ht="15.75" x14ac:dyDescent="0.25">
      <c r="A90" s="251" t="s">
        <v>493</v>
      </c>
      <c r="B90" s="252"/>
      <c r="C90" s="245">
        <v>1.1839999999999999</v>
      </c>
      <c r="D90" s="151">
        <v>554394.54</v>
      </c>
      <c r="E90" s="152">
        <v>853437</v>
      </c>
      <c r="F90" s="170">
        <v>240628.8</v>
      </c>
      <c r="G90" s="246"/>
      <c r="H90" s="171"/>
      <c r="I90" s="172">
        <v>1010469.4079999999</v>
      </c>
      <c r="J90" s="157"/>
      <c r="K90" s="173"/>
      <c r="L90" s="174"/>
      <c r="M90" s="175"/>
      <c r="N90" s="176"/>
      <c r="O90" s="177"/>
      <c r="P90" s="178"/>
      <c r="Q90" s="164"/>
      <c r="R90" s="175">
        <v>769840.60800000001</v>
      </c>
      <c r="S90" s="176">
        <v>4.1992870678821488</v>
      </c>
      <c r="T90" s="177">
        <v>157032.40799999994</v>
      </c>
      <c r="U90" s="178">
        <v>1.1839999999999999</v>
      </c>
      <c r="V90" s="248" t="s">
        <v>493</v>
      </c>
      <c r="W90" s="249"/>
    </row>
    <row r="91" spans="1:23" ht="16.5" thickBot="1" x14ac:dyDescent="0.3">
      <c r="A91" s="257" t="s">
        <v>494</v>
      </c>
      <c r="B91" s="258"/>
      <c r="C91" s="245">
        <v>1.0669999999999999</v>
      </c>
      <c r="D91" s="259">
        <v>0</v>
      </c>
      <c r="E91" s="260">
        <v>0</v>
      </c>
      <c r="F91" s="196">
        <v>0</v>
      </c>
      <c r="G91" s="261"/>
      <c r="H91" s="198"/>
      <c r="I91" s="199">
        <v>0</v>
      </c>
      <c r="J91" s="262"/>
      <c r="K91" s="200"/>
      <c r="L91" s="201"/>
      <c r="M91" s="202"/>
      <c r="N91" s="203"/>
      <c r="O91" s="204"/>
      <c r="P91" s="205"/>
      <c r="Q91" s="263"/>
      <c r="R91" s="202">
        <v>0</v>
      </c>
      <c r="S91" s="203" t="s">
        <v>282</v>
      </c>
      <c r="T91" s="204">
        <v>0</v>
      </c>
      <c r="U91" s="205" t="s">
        <v>282</v>
      </c>
      <c r="V91" s="248" t="s">
        <v>494</v>
      </c>
      <c r="W91" s="249"/>
    </row>
    <row r="92" spans="1:23" ht="17.25" thickTop="1" thickBot="1" x14ac:dyDescent="0.3">
      <c r="A92" s="206" t="s">
        <v>468</v>
      </c>
      <c r="B92" s="264"/>
      <c r="C92" s="265">
        <v>1.0751330325850761</v>
      </c>
      <c r="D92" s="209">
        <v>887953993.53999722</v>
      </c>
      <c r="E92" s="210">
        <v>1057826088</v>
      </c>
      <c r="F92" s="211">
        <v>1225094512.8</v>
      </c>
      <c r="G92" s="266">
        <v>0</v>
      </c>
      <c r="H92" s="267">
        <v>0</v>
      </c>
      <c r="I92" s="214">
        <v>1317139578.7500002</v>
      </c>
      <c r="J92" s="215"/>
      <c r="K92" s="216"/>
      <c r="L92" s="217"/>
      <c r="M92" s="218"/>
      <c r="N92" s="219"/>
      <c r="O92" s="224"/>
      <c r="P92" s="225"/>
      <c r="Q92" s="268"/>
      <c r="R92" s="223">
        <v>92045065.950000286</v>
      </c>
      <c r="S92" s="219">
        <v>1.0751330325850761</v>
      </c>
      <c r="T92" s="224">
        <v>259313490.75000024</v>
      </c>
      <c r="U92" s="225">
        <v>1.2451381126743399</v>
      </c>
      <c r="W92" s="269"/>
    </row>
    <row r="93" spans="1:23" x14ac:dyDescent="0.2">
      <c r="D93" s="227" t="s">
        <v>558</v>
      </c>
      <c r="E93" s="228" t="s">
        <v>558</v>
      </c>
      <c r="F93" s="165" t="s">
        <v>558</v>
      </c>
      <c r="G93" s="165" t="s">
        <v>558</v>
      </c>
      <c r="H93" s="165" t="s">
        <v>558</v>
      </c>
      <c r="I93" s="165" t="s">
        <v>558</v>
      </c>
      <c r="J93" s="165"/>
      <c r="K93" s="229"/>
      <c r="L93" s="230"/>
      <c r="M93" s="231"/>
      <c r="N93" s="232"/>
      <c r="O93" s="233"/>
      <c r="P93" s="234"/>
      <c r="Q93" s="234"/>
      <c r="R93" s="165" t="s">
        <v>558</v>
      </c>
      <c r="S93" s="234"/>
      <c r="T93" s="165" t="s">
        <v>558</v>
      </c>
      <c r="U93" s="234"/>
    </row>
    <row r="94" spans="1:23" x14ac:dyDescent="0.2">
      <c r="D94" s="227"/>
      <c r="E94" s="228"/>
      <c r="F94" s="165"/>
      <c r="G94" s="165"/>
      <c r="H94" s="165"/>
      <c r="I94" s="165"/>
      <c r="J94" s="165"/>
      <c r="K94" s="229"/>
      <c r="L94" s="230"/>
      <c r="M94" s="231"/>
      <c r="N94" s="232"/>
      <c r="O94" s="233"/>
      <c r="P94" s="234"/>
      <c r="Q94" s="234"/>
      <c r="R94" s="234"/>
      <c r="S94" s="234"/>
      <c r="T94" s="234"/>
      <c r="U94" s="234"/>
    </row>
    <row r="96" spans="1:23" hidden="1" x14ac:dyDescent="0.2"/>
    <row r="97" spans="1:22" hidden="1" x14ac:dyDescent="0.2"/>
    <row r="98" spans="1:22" hidden="1" x14ac:dyDescent="0.2"/>
    <row r="99" spans="1:22" ht="18" x14ac:dyDescent="0.25">
      <c r="A99" s="432" t="s">
        <v>495</v>
      </c>
      <c r="B99" s="432"/>
      <c r="C99" s="432"/>
      <c r="D99" s="432"/>
      <c r="E99" s="432"/>
      <c r="F99" s="432"/>
      <c r="G99" s="432"/>
      <c r="H99" s="432"/>
      <c r="I99" s="432"/>
      <c r="J99" s="432"/>
      <c r="K99" s="432"/>
      <c r="L99" s="432"/>
      <c r="M99" s="432"/>
      <c r="N99" s="432"/>
      <c r="O99" s="432"/>
      <c r="P99" s="432"/>
      <c r="Q99" s="432"/>
      <c r="R99" s="432"/>
      <c r="S99" s="432"/>
      <c r="T99" s="432"/>
      <c r="U99" s="432"/>
    </row>
    <row r="100" spans="1:22" ht="18.75" thickBot="1" x14ac:dyDescent="0.3">
      <c r="A100" s="270"/>
      <c r="B100" s="270"/>
      <c r="C100" s="270"/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</row>
    <row r="101" spans="1:22" ht="19.5" thickBot="1" x14ac:dyDescent="0.35">
      <c r="J101" s="124"/>
      <c r="K101" s="419" t="s">
        <v>496</v>
      </c>
      <c r="L101" s="400"/>
      <c r="M101" s="400"/>
      <c r="N101" s="400"/>
      <c r="O101" s="400"/>
      <c r="P101" s="401"/>
      <c r="Q101" s="125"/>
      <c r="R101" s="402" t="s">
        <v>391</v>
      </c>
      <c r="S101" s="402"/>
      <c r="T101" s="402"/>
      <c r="U101" s="403"/>
    </row>
    <row r="102" spans="1:22" ht="27.6" customHeight="1" thickTop="1" x14ac:dyDescent="0.2">
      <c r="A102" s="443" t="s">
        <v>495</v>
      </c>
      <c r="B102" s="444"/>
      <c r="C102" s="424" t="s">
        <v>471</v>
      </c>
      <c r="D102" s="127" t="s">
        <v>392</v>
      </c>
      <c r="E102" s="128" t="s">
        <v>393</v>
      </c>
      <c r="F102" s="129" t="s">
        <v>472</v>
      </c>
      <c r="G102" s="408" t="s">
        <v>560</v>
      </c>
      <c r="H102" s="410" t="s">
        <v>396</v>
      </c>
      <c r="I102" s="130" t="s">
        <v>397</v>
      </c>
      <c r="J102" s="271"/>
      <c r="K102" s="412" t="s">
        <v>398</v>
      </c>
      <c r="L102" s="413"/>
      <c r="M102" s="414" t="s">
        <v>399</v>
      </c>
      <c r="N102" s="414"/>
      <c r="O102" s="415" t="s">
        <v>400</v>
      </c>
      <c r="P102" s="416"/>
      <c r="Q102" s="132"/>
      <c r="R102" s="414" t="s">
        <v>401</v>
      </c>
      <c r="S102" s="414"/>
      <c r="T102" s="415" t="s">
        <v>402</v>
      </c>
      <c r="U102" s="416"/>
    </row>
    <row r="103" spans="1:22" ht="42.75" thickBot="1" x14ac:dyDescent="0.25">
      <c r="A103" s="445"/>
      <c r="B103" s="446"/>
      <c r="C103" s="425"/>
      <c r="D103" s="135" t="s">
        <v>404</v>
      </c>
      <c r="E103" s="136" t="s">
        <v>405</v>
      </c>
      <c r="F103" s="137"/>
      <c r="G103" s="409"/>
      <c r="H103" s="411"/>
      <c r="I103" s="138"/>
      <c r="J103" s="139"/>
      <c r="K103" s="140" t="s">
        <v>406</v>
      </c>
      <c r="L103" s="141" t="s">
        <v>407</v>
      </c>
      <c r="M103" s="142" t="s">
        <v>406</v>
      </c>
      <c r="N103" s="143" t="s">
        <v>407</v>
      </c>
      <c r="O103" s="144" t="s">
        <v>406</v>
      </c>
      <c r="P103" s="145" t="s">
        <v>407</v>
      </c>
      <c r="Q103" s="146"/>
      <c r="R103" s="142" t="s">
        <v>406</v>
      </c>
      <c r="S103" s="143" t="s">
        <v>407</v>
      </c>
      <c r="T103" s="144" t="s">
        <v>406</v>
      </c>
      <c r="U103" s="145" t="s">
        <v>407</v>
      </c>
      <c r="V103" s="272"/>
    </row>
    <row r="104" spans="1:22" ht="16.5" thickTop="1" x14ac:dyDescent="0.25">
      <c r="A104" s="251" t="s">
        <v>497</v>
      </c>
      <c r="B104" s="273" t="s">
        <v>490</v>
      </c>
      <c r="C104" s="245">
        <v>1.1299999999999999</v>
      </c>
      <c r="D104" s="151">
        <v>1227781.4199999997</v>
      </c>
      <c r="E104" s="152">
        <v>1850744</v>
      </c>
      <c r="F104" s="170">
        <v>1414170</v>
      </c>
      <c r="G104" s="274"/>
      <c r="H104" s="171"/>
      <c r="I104" s="172">
        <v>2202385.36</v>
      </c>
      <c r="J104" s="157"/>
      <c r="K104" s="173"/>
      <c r="L104" s="174"/>
      <c r="M104" s="175"/>
      <c r="N104" s="176"/>
      <c r="O104" s="177"/>
      <c r="P104" s="178"/>
      <c r="Q104" s="164"/>
      <c r="R104" s="175">
        <v>788215.35999999987</v>
      </c>
      <c r="S104" s="176">
        <v>1.5573695948860462</v>
      </c>
      <c r="T104" s="177">
        <v>351641.35999999987</v>
      </c>
      <c r="U104" s="178">
        <v>1.19</v>
      </c>
      <c r="V104" s="275"/>
    </row>
    <row r="105" spans="1:22" ht="15.75" x14ac:dyDescent="0.25">
      <c r="A105" s="251" t="s">
        <v>498</v>
      </c>
      <c r="B105" s="273" t="s">
        <v>493</v>
      </c>
      <c r="C105" s="245">
        <v>1.1839999999999999</v>
      </c>
      <c r="D105" s="151">
        <v>554394.54</v>
      </c>
      <c r="E105" s="152">
        <v>853437</v>
      </c>
      <c r="F105" s="170">
        <v>240628.8</v>
      </c>
      <c r="G105" s="274"/>
      <c r="H105" s="171"/>
      <c r="I105" s="172">
        <v>1010469.4079999999</v>
      </c>
      <c r="J105" s="157"/>
      <c r="K105" s="173"/>
      <c r="L105" s="174"/>
      <c r="M105" s="175"/>
      <c r="N105" s="176"/>
      <c r="O105" s="177"/>
      <c r="P105" s="178"/>
      <c r="Q105" s="164"/>
      <c r="R105" s="175">
        <v>769840.60800000001</v>
      </c>
      <c r="S105" s="176">
        <v>4.1992870678821488</v>
      </c>
      <c r="T105" s="177">
        <v>157032.40799999994</v>
      </c>
      <c r="U105" s="178">
        <v>1.1839999999999999</v>
      </c>
      <c r="V105" s="275"/>
    </row>
    <row r="106" spans="1:22" ht="15.75" x14ac:dyDescent="0.25">
      <c r="A106" s="251" t="s">
        <v>499</v>
      </c>
      <c r="B106" s="273" t="s">
        <v>483</v>
      </c>
      <c r="C106" s="245">
        <v>1.4610000000000001</v>
      </c>
      <c r="D106" s="151">
        <v>8596252.4400000516</v>
      </c>
      <c r="E106" s="152">
        <v>13213859</v>
      </c>
      <c r="F106" s="170">
        <v>19746489.600000001</v>
      </c>
      <c r="G106" s="274"/>
      <c r="H106" s="171"/>
      <c r="I106" s="172">
        <v>19305447.999000002</v>
      </c>
      <c r="J106" s="247"/>
      <c r="K106" s="173"/>
      <c r="L106" s="174"/>
      <c r="M106" s="175"/>
      <c r="N106" s="176"/>
      <c r="O106" s="177"/>
      <c r="P106" s="178"/>
      <c r="Q106" s="164"/>
      <c r="R106" s="175">
        <v>-441041.60099999979</v>
      </c>
      <c r="S106" s="176">
        <v>0.97766480979991499</v>
      </c>
      <c r="T106" s="177">
        <v>6091588.9990000017</v>
      </c>
      <c r="U106" s="178">
        <v>1.4610000000000001</v>
      </c>
      <c r="V106" s="275"/>
    </row>
    <row r="107" spans="1:22" ht="15.75" x14ac:dyDescent="0.25">
      <c r="A107" s="251" t="s">
        <v>500</v>
      </c>
      <c r="B107" s="273" t="s">
        <v>478</v>
      </c>
      <c r="C107" s="245">
        <v>1.008</v>
      </c>
      <c r="D107" s="151">
        <v>22063964.239999913</v>
      </c>
      <c r="E107" s="152">
        <v>23919171</v>
      </c>
      <c r="F107" s="170">
        <v>18662798.399999999</v>
      </c>
      <c r="G107" s="274"/>
      <c r="H107" s="171"/>
      <c r="I107" s="172">
        <v>24110524.367999997</v>
      </c>
      <c r="J107" s="247"/>
      <c r="K107" s="173"/>
      <c r="L107" s="174"/>
      <c r="M107" s="175"/>
      <c r="N107" s="176"/>
      <c r="O107" s="177"/>
      <c r="P107" s="178"/>
      <c r="Q107" s="164"/>
      <c r="R107" s="175">
        <v>5447725.9679999985</v>
      </c>
      <c r="S107" s="176">
        <v>1.2919029532034167</v>
      </c>
      <c r="T107" s="177">
        <v>191353.36799999699</v>
      </c>
      <c r="U107" s="178">
        <v>1.0079999999999998</v>
      </c>
      <c r="V107" s="275"/>
    </row>
    <row r="108" spans="1:22" ht="15.75" x14ac:dyDescent="0.25">
      <c r="A108" s="251" t="s">
        <v>501</v>
      </c>
      <c r="B108" s="273" t="s">
        <v>488</v>
      </c>
      <c r="C108" s="245">
        <v>1</v>
      </c>
      <c r="D108" s="151">
        <v>0</v>
      </c>
      <c r="E108" s="152">
        <v>5815415</v>
      </c>
      <c r="F108" s="170">
        <v>4635295.2</v>
      </c>
      <c r="G108" s="274"/>
      <c r="H108" s="171"/>
      <c r="I108" s="172">
        <v>5815415</v>
      </c>
      <c r="J108" s="157"/>
      <c r="K108" s="173"/>
      <c r="L108" s="174"/>
      <c r="M108" s="175"/>
      <c r="N108" s="176"/>
      <c r="O108" s="177"/>
      <c r="P108" s="178"/>
      <c r="Q108" s="164"/>
      <c r="R108" s="175">
        <v>1180119.7999999998</v>
      </c>
      <c r="S108" s="176">
        <v>1.2545943136480282</v>
      </c>
      <c r="T108" s="177">
        <v>0</v>
      </c>
      <c r="U108" s="178">
        <v>1</v>
      </c>
      <c r="V108" s="275"/>
    </row>
    <row r="109" spans="1:22" ht="15.75" x14ac:dyDescent="0.25">
      <c r="A109" s="251" t="s">
        <v>502</v>
      </c>
      <c r="B109" s="273" t="s">
        <v>480</v>
      </c>
      <c r="C109" s="245">
        <v>1.0069999999999999</v>
      </c>
      <c r="D109" s="151">
        <v>21169458.570000075</v>
      </c>
      <c r="E109" s="152">
        <v>22636161</v>
      </c>
      <c r="F109" s="170">
        <v>21245037.600000001</v>
      </c>
      <c r="G109" s="274"/>
      <c r="H109" s="171"/>
      <c r="I109" s="172">
        <v>22794614.126999993</v>
      </c>
      <c r="J109" s="157"/>
      <c r="K109" s="173"/>
      <c r="L109" s="174"/>
      <c r="M109" s="175"/>
      <c r="N109" s="176"/>
      <c r="O109" s="177"/>
      <c r="P109" s="178"/>
      <c r="Q109" s="164"/>
      <c r="R109" s="175">
        <v>1549576.5269999914</v>
      </c>
      <c r="S109" s="176">
        <v>1.0729382812200809</v>
      </c>
      <c r="T109" s="177">
        <v>158453.12699999288</v>
      </c>
      <c r="U109" s="178">
        <v>1.0069999999999997</v>
      </c>
      <c r="V109" s="275"/>
    </row>
    <row r="110" spans="1:22" ht="15.75" x14ac:dyDescent="0.25">
      <c r="A110" s="251" t="s">
        <v>503</v>
      </c>
      <c r="B110" s="273" t="s">
        <v>480</v>
      </c>
      <c r="C110" s="245">
        <v>1.0069999999999999</v>
      </c>
      <c r="D110" s="151">
        <v>8887519.7599999905</v>
      </c>
      <c r="E110" s="152">
        <v>9881867</v>
      </c>
      <c r="F110" s="170">
        <v>13321672.800000001</v>
      </c>
      <c r="G110" s="274"/>
      <c r="H110" s="171"/>
      <c r="I110" s="172">
        <v>9951040.0689999983</v>
      </c>
      <c r="J110" s="157"/>
      <c r="K110" s="173"/>
      <c r="L110" s="174"/>
      <c r="M110" s="175"/>
      <c r="N110" s="176"/>
      <c r="O110" s="177"/>
      <c r="P110" s="178"/>
      <c r="Q110" s="164"/>
      <c r="R110" s="175">
        <v>-3370632.7310000025</v>
      </c>
      <c r="S110" s="176">
        <v>0.7469812701750187</v>
      </c>
      <c r="T110" s="177">
        <v>69173.068999998271</v>
      </c>
      <c r="U110" s="178">
        <v>1.0069999999999999</v>
      </c>
      <c r="V110" s="275"/>
    </row>
    <row r="111" spans="1:22" ht="15.75" x14ac:dyDescent="0.25">
      <c r="A111" s="251" t="s">
        <v>504</v>
      </c>
      <c r="B111" s="273" t="s">
        <v>479</v>
      </c>
      <c r="C111" s="245">
        <v>1.2989999999999999</v>
      </c>
      <c r="D111" s="151">
        <v>6061899.7700000098</v>
      </c>
      <c r="E111" s="152">
        <v>4664100</v>
      </c>
      <c r="F111" s="170">
        <v>5232351.5999999996</v>
      </c>
      <c r="G111" s="274"/>
      <c r="H111" s="171"/>
      <c r="I111" s="172">
        <v>6058665.8999999994</v>
      </c>
      <c r="J111" s="157"/>
      <c r="K111" s="173"/>
      <c r="L111" s="174"/>
      <c r="M111" s="175"/>
      <c r="N111" s="176"/>
      <c r="O111" s="177"/>
      <c r="P111" s="178"/>
      <c r="Q111" s="164"/>
      <c r="R111" s="175">
        <v>826314.29999999981</v>
      </c>
      <c r="S111" s="176">
        <v>1.1579240775791901</v>
      </c>
      <c r="T111" s="177">
        <v>1394565.8999999994</v>
      </c>
      <c r="U111" s="178">
        <v>1.2989999999999999</v>
      </c>
      <c r="V111" s="275"/>
    </row>
    <row r="112" spans="1:22" ht="15.75" x14ac:dyDescent="0.25">
      <c r="A112" s="251" t="s">
        <v>505</v>
      </c>
      <c r="B112" s="273" t="s">
        <v>492</v>
      </c>
      <c r="C112" s="245">
        <v>2.7669999999999999</v>
      </c>
      <c r="D112" s="151">
        <v>791778.34000000008</v>
      </c>
      <c r="E112" s="152">
        <v>942143</v>
      </c>
      <c r="F112" s="170">
        <v>593245.19999999995</v>
      </c>
      <c r="G112" s="274"/>
      <c r="H112" s="171"/>
      <c r="I112" s="172">
        <v>2606909.6810000003</v>
      </c>
      <c r="J112" s="157"/>
      <c r="K112" s="173"/>
      <c r="L112" s="174"/>
      <c r="M112" s="175"/>
      <c r="N112" s="176"/>
      <c r="O112" s="177"/>
      <c r="P112" s="178"/>
      <c r="Q112" s="164"/>
      <c r="R112" s="175">
        <v>2013664.4810000004</v>
      </c>
      <c r="S112" s="176">
        <v>4.3943207311243322</v>
      </c>
      <c r="T112" s="177">
        <v>1664766.6810000003</v>
      </c>
      <c r="U112" s="178">
        <v>2.7670000000000003</v>
      </c>
      <c r="V112" s="275"/>
    </row>
    <row r="113" spans="1:22" ht="15.75" x14ac:dyDescent="0.25">
      <c r="A113" s="251" t="s">
        <v>506</v>
      </c>
      <c r="B113" s="273" t="s">
        <v>507</v>
      </c>
      <c r="C113" s="245">
        <v>1.2470000000000001</v>
      </c>
      <c r="D113" s="151">
        <v>11473156.099999974</v>
      </c>
      <c r="E113" s="152">
        <v>14199583</v>
      </c>
      <c r="F113" s="170">
        <v>14252552.4</v>
      </c>
      <c r="G113" s="274"/>
      <c r="H113" s="171"/>
      <c r="I113" s="172">
        <v>17706880.001000002</v>
      </c>
      <c r="J113" s="247"/>
      <c r="K113" s="173"/>
      <c r="L113" s="174"/>
      <c r="M113" s="175"/>
      <c r="N113" s="176"/>
      <c r="O113" s="177"/>
      <c r="P113" s="178"/>
      <c r="Q113" s="164"/>
      <c r="R113" s="175">
        <v>3454327.6010000017</v>
      </c>
      <c r="S113" s="176">
        <v>1.2423655429605718</v>
      </c>
      <c r="T113" s="177">
        <v>3507297.001000002</v>
      </c>
      <c r="U113" s="178">
        <v>1.2470000000000001</v>
      </c>
      <c r="V113" s="275"/>
    </row>
    <row r="114" spans="1:22" ht="15.75" x14ac:dyDescent="0.25">
      <c r="A114" s="251" t="s">
        <v>508</v>
      </c>
      <c r="B114" s="273" t="s">
        <v>507</v>
      </c>
      <c r="C114" s="245">
        <v>1.19</v>
      </c>
      <c r="D114" s="151"/>
      <c r="E114" s="152">
        <v>0</v>
      </c>
      <c r="F114" s="170">
        <v>185433.60000000001</v>
      </c>
      <c r="G114" s="274"/>
      <c r="H114" s="171"/>
      <c r="I114" s="172">
        <v>0</v>
      </c>
      <c r="J114" s="247"/>
      <c r="K114" s="173"/>
      <c r="L114" s="174"/>
      <c r="M114" s="175"/>
      <c r="N114" s="176"/>
      <c r="O114" s="177"/>
      <c r="P114" s="178"/>
      <c r="Q114" s="164"/>
      <c r="R114" s="175">
        <v>-185433.60000000001</v>
      </c>
      <c r="S114" s="176">
        <v>0</v>
      </c>
      <c r="T114" s="177">
        <v>0</v>
      </c>
      <c r="U114" s="178" t="s">
        <v>282</v>
      </c>
      <c r="V114" s="275"/>
    </row>
    <row r="115" spans="1:22" ht="15.75" x14ac:dyDescent="0.25">
      <c r="A115" s="251" t="s">
        <v>509</v>
      </c>
      <c r="B115" s="273" t="s">
        <v>473</v>
      </c>
      <c r="C115" s="245">
        <v>1.266</v>
      </c>
      <c r="D115" s="151">
        <v>38018629.070000067</v>
      </c>
      <c r="E115" s="152">
        <v>27325994</v>
      </c>
      <c r="F115" s="170">
        <v>25124330.399999999</v>
      </c>
      <c r="G115" s="274"/>
      <c r="H115" s="171"/>
      <c r="I115" s="172">
        <v>34594708.403999999</v>
      </c>
      <c r="J115" s="157"/>
      <c r="K115" s="173"/>
      <c r="L115" s="174"/>
      <c r="M115" s="175"/>
      <c r="N115" s="176"/>
      <c r="O115" s="177"/>
      <c r="P115" s="178"/>
      <c r="Q115" s="164"/>
      <c r="R115" s="175">
        <v>9470378.0040000007</v>
      </c>
      <c r="S115" s="176">
        <v>1.3769405135668811</v>
      </c>
      <c r="T115" s="177">
        <v>7268714.4039999992</v>
      </c>
      <c r="U115" s="178">
        <v>1.266</v>
      </c>
      <c r="V115" s="275"/>
    </row>
    <row r="116" spans="1:22" ht="15.75" x14ac:dyDescent="0.25">
      <c r="A116" s="251" t="s">
        <v>510</v>
      </c>
      <c r="B116" s="273" t="s">
        <v>476</v>
      </c>
      <c r="C116" s="245">
        <v>1.2170000000000001</v>
      </c>
      <c r="D116" s="151">
        <v>3810631.0000000014</v>
      </c>
      <c r="E116" s="152">
        <v>3837694</v>
      </c>
      <c r="F116" s="170">
        <v>4885804.8</v>
      </c>
      <c r="G116" s="274"/>
      <c r="H116" s="171"/>
      <c r="I116" s="172">
        <v>4670473.5980000002</v>
      </c>
      <c r="J116" s="157"/>
      <c r="K116" s="173"/>
      <c r="L116" s="174"/>
      <c r="M116" s="175"/>
      <c r="N116" s="176"/>
      <c r="O116" s="177"/>
      <c r="P116" s="178"/>
      <c r="Q116" s="164"/>
      <c r="R116" s="175">
        <v>-215331.20199999958</v>
      </c>
      <c r="S116" s="176">
        <v>0.9559271786707485</v>
      </c>
      <c r="T116" s="177">
        <v>832779.59800000023</v>
      </c>
      <c r="U116" s="178">
        <v>1.2170000000000001</v>
      </c>
      <c r="V116" s="275"/>
    </row>
    <row r="117" spans="1:22" ht="15.75" x14ac:dyDescent="0.25">
      <c r="A117" s="251" t="s">
        <v>511</v>
      </c>
      <c r="B117" s="273" t="s">
        <v>484</v>
      </c>
      <c r="C117" s="245">
        <v>1.3680000000000001</v>
      </c>
      <c r="D117" s="151">
        <v>7405267.0999999978</v>
      </c>
      <c r="E117" s="152">
        <v>17968362</v>
      </c>
      <c r="F117" s="170">
        <v>11324248.800000001</v>
      </c>
      <c r="G117" s="274"/>
      <c r="H117" s="171"/>
      <c r="I117" s="172">
        <v>24580719.215999998</v>
      </c>
      <c r="J117" s="157"/>
      <c r="K117" s="173"/>
      <c r="L117" s="174"/>
      <c r="M117" s="175"/>
      <c r="N117" s="176"/>
      <c r="O117" s="177"/>
      <c r="P117" s="178"/>
      <c r="Q117" s="164"/>
      <c r="R117" s="175">
        <v>13256470.415999997</v>
      </c>
      <c r="S117" s="176">
        <v>2.1706269131070308</v>
      </c>
      <c r="T117" s="177">
        <v>6612357.2159999982</v>
      </c>
      <c r="U117" s="178">
        <v>1.3679999999999999</v>
      </c>
      <c r="V117" s="275"/>
    </row>
    <row r="118" spans="1:22" ht="15.75" x14ac:dyDescent="0.25">
      <c r="A118" s="251" t="s">
        <v>512</v>
      </c>
      <c r="B118" s="273" t="s">
        <v>476</v>
      </c>
      <c r="C118" s="245">
        <v>1.2170000000000001</v>
      </c>
      <c r="D118" s="151">
        <v>199690326.9400005</v>
      </c>
      <c r="E118" s="152">
        <v>213530402</v>
      </c>
      <c r="F118" s="170">
        <v>255189549.59999999</v>
      </c>
      <c r="G118" s="274"/>
      <c r="H118" s="171"/>
      <c r="I118" s="172">
        <v>259866499.234</v>
      </c>
      <c r="J118" s="247"/>
      <c r="K118" s="173"/>
      <c r="L118" s="174"/>
      <c r="M118" s="175"/>
      <c r="N118" s="176"/>
      <c r="O118" s="177"/>
      <c r="P118" s="178"/>
      <c r="Q118" s="164"/>
      <c r="R118" s="175">
        <v>4676949.6340000033</v>
      </c>
      <c r="S118" s="176">
        <v>1.0183273556512442</v>
      </c>
      <c r="T118" s="177">
        <v>46336097.233999997</v>
      </c>
      <c r="U118" s="178">
        <v>1.2170000000000001</v>
      </c>
      <c r="V118" s="275"/>
    </row>
    <row r="119" spans="1:22" ht="15.75" x14ac:dyDescent="0.25">
      <c r="A119" s="251" t="s">
        <v>513</v>
      </c>
      <c r="B119" s="273" t="s">
        <v>485</v>
      </c>
      <c r="C119" s="245">
        <v>1.19</v>
      </c>
      <c r="D119" s="151">
        <v>0</v>
      </c>
      <c r="E119" s="152">
        <v>1309926</v>
      </c>
      <c r="F119" s="170">
        <v>6531367.2000000002</v>
      </c>
      <c r="G119" s="274"/>
      <c r="H119" s="171"/>
      <c r="I119" s="172">
        <v>9797050.8000000007</v>
      </c>
      <c r="J119" s="157"/>
      <c r="K119" s="173"/>
      <c r="L119" s="174"/>
      <c r="M119" s="175"/>
      <c r="N119" s="176"/>
      <c r="O119" s="177"/>
      <c r="P119" s="178"/>
      <c r="Q119" s="164"/>
      <c r="R119" s="175">
        <v>3265683.6000000006</v>
      </c>
      <c r="S119" s="176">
        <v>1.5</v>
      </c>
      <c r="T119" s="177">
        <v>8487124.8000000007</v>
      </c>
      <c r="U119" s="178">
        <v>7.4790872156137072</v>
      </c>
      <c r="V119" s="275"/>
    </row>
    <row r="120" spans="1:22" ht="15.75" x14ac:dyDescent="0.25">
      <c r="A120" s="251" t="s">
        <v>514</v>
      </c>
      <c r="B120" s="273" t="s">
        <v>482</v>
      </c>
      <c r="C120" s="245">
        <v>1.214</v>
      </c>
      <c r="D120" s="151">
        <v>14439393.539999992</v>
      </c>
      <c r="E120" s="152">
        <v>16361627</v>
      </c>
      <c r="F120" s="170">
        <v>13782088.800000001</v>
      </c>
      <c r="G120" s="274"/>
      <c r="H120" s="171"/>
      <c r="I120" s="172">
        <v>19863015.177999999</v>
      </c>
      <c r="J120" s="157"/>
      <c r="K120" s="173"/>
      <c r="L120" s="174"/>
      <c r="M120" s="175"/>
      <c r="N120" s="176"/>
      <c r="O120" s="177"/>
      <c r="P120" s="178"/>
      <c r="Q120" s="164"/>
      <c r="R120" s="175">
        <v>6080926.3779999986</v>
      </c>
      <c r="S120" s="176">
        <v>1.441219503534181</v>
      </c>
      <c r="T120" s="177">
        <v>3501388.1779999994</v>
      </c>
      <c r="U120" s="178">
        <v>1.214</v>
      </c>
      <c r="V120" s="275"/>
    </row>
    <row r="121" spans="1:22" ht="15.75" x14ac:dyDescent="0.25">
      <c r="A121" s="251" t="s">
        <v>515</v>
      </c>
      <c r="B121" s="273" t="s">
        <v>490</v>
      </c>
      <c r="C121" s="255">
        <v>1.1899999999999997</v>
      </c>
      <c r="D121" s="151">
        <v>0</v>
      </c>
      <c r="E121" s="152">
        <v>0</v>
      </c>
      <c r="F121" s="170">
        <v>0</v>
      </c>
      <c r="G121" s="274"/>
      <c r="H121" s="171"/>
      <c r="I121" s="172">
        <v>0</v>
      </c>
      <c r="J121" s="157"/>
      <c r="K121" s="173"/>
      <c r="L121" s="174"/>
      <c r="M121" s="175"/>
      <c r="N121" s="176"/>
      <c r="O121" s="177"/>
      <c r="P121" s="178"/>
      <c r="Q121" s="164"/>
      <c r="R121" s="175">
        <v>0</v>
      </c>
      <c r="S121" s="176" t="s">
        <v>282</v>
      </c>
      <c r="T121" s="177">
        <v>0</v>
      </c>
      <c r="U121" s="178" t="s">
        <v>282</v>
      </c>
      <c r="V121" s="275"/>
    </row>
    <row r="122" spans="1:22" ht="15.75" x14ac:dyDescent="0.25">
      <c r="A122" s="251" t="s">
        <v>516</v>
      </c>
      <c r="B122" s="273" t="s">
        <v>473</v>
      </c>
      <c r="C122" s="255">
        <v>1.266</v>
      </c>
      <c r="D122" s="151">
        <v>17847735.260000005</v>
      </c>
      <c r="E122" s="152">
        <v>28712964</v>
      </c>
      <c r="F122" s="170">
        <v>29192510.399999999</v>
      </c>
      <c r="G122" s="274"/>
      <c r="H122" s="171"/>
      <c r="I122" s="172">
        <v>36350612.423999995</v>
      </c>
      <c r="J122" s="247"/>
      <c r="K122" s="173"/>
      <c r="L122" s="174"/>
      <c r="M122" s="175"/>
      <c r="N122" s="176"/>
      <c r="O122" s="177"/>
      <c r="P122" s="178"/>
      <c r="Q122" s="164"/>
      <c r="R122" s="175">
        <v>7158102.0239999965</v>
      </c>
      <c r="S122" s="176">
        <v>1.2452033732597385</v>
      </c>
      <c r="T122" s="177">
        <v>7637648.423999995</v>
      </c>
      <c r="U122" s="178">
        <v>1.2659999999999998</v>
      </c>
      <c r="V122" s="275"/>
    </row>
    <row r="123" spans="1:22" ht="15.75" x14ac:dyDescent="0.25">
      <c r="A123" s="251" t="s">
        <v>517</v>
      </c>
      <c r="B123" s="273" t="s">
        <v>494</v>
      </c>
      <c r="C123" s="245">
        <v>1.0669999999999999</v>
      </c>
      <c r="D123" s="151">
        <v>0</v>
      </c>
      <c r="E123" s="152">
        <v>0</v>
      </c>
      <c r="F123" s="170">
        <v>0</v>
      </c>
      <c r="G123" s="274"/>
      <c r="H123" s="171"/>
      <c r="I123" s="172">
        <v>0</v>
      </c>
      <c r="J123" s="157"/>
      <c r="K123" s="173"/>
      <c r="L123" s="174"/>
      <c r="M123" s="175"/>
      <c r="N123" s="176"/>
      <c r="O123" s="177"/>
      <c r="P123" s="178"/>
      <c r="Q123" s="164"/>
      <c r="R123" s="175">
        <v>0</v>
      </c>
      <c r="S123" s="176" t="s">
        <v>282</v>
      </c>
      <c r="T123" s="177">
        <v>0</v>
      </c>
      <c r="U123" s="178" t="s">
        <v>282</v>
      </c>
      <c r="V123" s="275"/>
    </row>
    <row r="124" spans="1:22" ht="15.75" x14ac:dyDescent="0.25">
      <c r="A124" s="251" t="s">
        <v>518</v>
      </c>
      <c r="B124" s="273" t="s">
        <v>473</v>
      </c>
      <c r="C124" s="245">
        <v>1.266</v>
      </c>
      <c r="D124" s="151">
        <v>472961.87999999995</v>
      </c>
      <c r="E124" s="152">
        <v>841286</v>
      </c>
      <c r="F124" s="170">
        <v>1427805.6</v>
      </c>
      <c r="G124" s="274"/>
      <c r="H124" s="171"/>
      <c r="I124" s="172">
        <v>1065068.0760000001</v>
      </c>
      <c r="J124" s="247"/>
      <c r="K124" s="173"/>
      <c r="L124" s="174"/>
      <c r="M124" s="175"/>
      <c r="N124" s="176"/>
      <c r="O124" s="177"/>
      <c r="P124" s="178"/>
      <c r="Q124" s="164"/>
      <c r="R124" s="175">
        <v>-362737.52399999998</v>
      </c>
      <c r="S124" s="176">
        <v>0.74594754075764935</v>
      </c>
      <c r="T124" s="177">
        <v>223782.07600000012</v>
      </c>
      <c r="U124" s="178">
        <v>1.2660000000000002</v>
      </c>
      <c r="V124" s="275"/>
    </row>
    <row r="125" spans="1:22" ht="15.75" x14ac:dyDescent="0.25">
      <c r="A125" s="251" t="s">
        <v>519</v>
      </c>
      <c r="B125" s="273" t="s">
        <v>473</v>
      </c>
      <c r="C125" s="245">
        <v>1.266</v>
      </c>
      <c r="D125" s="151">
        <v>152439.69999999998</v>
      </c>
      <c r="E125" s="152">
        <v>1288184</v>
      </c>
      <c r="F125" s="170">
        <v>3566625.6</v>
      </c>
      <c r="G125" s="274"/>
      <c r="H125" s="171"/>
      <c r="I125" s="172">
        <v>1630840.9439999999</v>
      </c>
      <c r="J125" s="247"/>
      <c r="K125" s="173"/>
      <c r="L125" s="174"/>
      <c r="M125" s="175"/>
      <c r="N125" s="176"/>
      <c r="O125" s="177"/>
      <c r="P125" s="178"/>
      <c r="Q125" s="164"/>
      <c r="R125" s="175">
        <v>-1935784.6560000002</v>
      </c>
      <c r="S125" s="176">
        <v>0.45725038927551015</v>
      </c>
      <c r="T125" s="177">
        <v>342656.9439999999</v>
      </c>
      <c r="U125" s="178">
        <v>1.266</v>
      </c>
      <c r="V125" s="275"/>
    </row>
    <row r="126" spans="1:22" ht="15.75" x14ac:dyDescent="0.25">
      <c r="A126" s="251" t="s">
        <v>520</v>
      </c>
      <c r="B126" s="273" t="s">
        <v>473</v>
      </c>
      <c r="C126" s="245">
        <v>1.266</v>
      </c>
      <c r="D126" s="151">
        <v>26134942.849999949</v>
      </c>
      <c r="E126" s="152">
        <v>30154680</v>
      </c>
      <c r="F126" s="170">
        <v>36566432.399999999</v>
      </c>
      <c r="G126" s="274"/>
      <c r="H126" s="171"/>
      <c r="I126" s="172">
        <v>38175824.880000003</v>
      </c>
      <c r="J126" s="247"/>
      <c r="K126" s="173"/>
      <c r="L126" s="174"/>
      <c r="M126" s="175"/>
      <c r="N126" s="176"/>
      <c r="O126" s="177"/>
      <c r="P126" s="178"/>
      <c r="Q126" s="164"/>
      <c r="R126" s="175">
        <v>1609392.4800000042</v>
      </c>
      <c r="S126" s="176">
        <v>1.0440128383976557</v>
      </c>
      <c r="T126" s="177">
        <v>8021144.8800000027</v>
      </c>
      <c r="U126" s="178">
        <v>1.266</v>
      </c>
      <c r="V126" s="275"/>
    </row>
    <row r="127" spans="1:22" ht="15.75" x14ac:dyDescent="0.25">
      <c r="A127" s="251" t="s">
        <v>521</v>
      </c>
      <c r="B127" s="273" t="s">
        <v>473</v>
      </c>
      <c r="C127" s="245">
        <v>1.266</v>
      </c>
      <c r="D127" s="151">
        <v>26563444.230000038</v>
      </c>
      <c r="E127" s="152">
        <v>34748692</v>
      </c>
      <c r="F127" s="170">
        <v>53712685.200000003</v>
      </c>
      <c r="G127" s="274"/>
      <c r="H127" s="171"/>
      <c r="I127" s="172">
        <v>43991844.071999997</v>
      </c>
      <c r="J127" s="247"/>
      <c r="K127" s="173"/>
      <c r="L127" s="174"/>
      <c r="M127" s="175"/>
      <c r="N127" s="176"/>
      <c r="O127" s="177"/>
      <c r="P127" s="178"/>
      <c r="Q127" s="164"/>
      <c r="R127" s="175">
        <v>-9720841.1280000061</v>
      </c>
      <c r="S127" s="176">
        <v>0.81902150131194695</v>
      </c>
      <c r="T127" s="177">
        <v>9243152.0719999969</v>
      </c>
      <c r="U127" s="178">
        <v>1.266</v>
      </c>
      <c r="V127" s="275"/>
    </row>
    <row r="128" spans="1:22" ht="15.75" x14ac:dyDescent="0.25">
      <c r="A128" s="251" t="s">
        <v>522</v>
      </c>
      <c r="B128" s="273" t="s">
        <v>473</v>
      </c>
      <c r="C128" s="245">
        <v>1.266</v>
      </c>
      <c r="D128" s="151">
        <v>498288.80999999994</v>
      </c>
      <c r="E128" s="152">
        <v>7887439</v>
      </c>
      <c r="F128" s="170">
        <v>11898870</v>
      </c>
      <c r="G128" s="274"/>
      <c r="H128" s="171"/>
      <c r="I128" s="172">
        <v>9985497.7740000002</v>
      </c>
      <c r="J128" s="247"/>
      <c r="K128" s="173"/>
      <c r="L128" s="174"/>
      <c r="M128" s="175"/>
      <c r="N128" s="176"/>
      <c r="O128" s="177"/>
      <c r="P128" s="178"/>
      <c r="Q128" s="164"/>
      <c r="R128" s="175">
        <v>-1913372.2259999998</v>
      </c>
      <c r="S128" s="176">
        <v>0.83919714846872018</v>
      </c>
      <c r="T128" s="177">
        <v>2098058.7740000002</v>
      </c>
      <c r="U128" s="178">
        <v>1.266</v>
      </c>
      <c r="V128" s="275"/>
    </row>
    <row r="129" spans="1:22" ht="15.75" x14ac:dyDescent="0.25">
      <c r="A129" s="251" t="s">
        <v>523</v>
      </c>
      <c r="B129" s="273" t="s">
        <v>473</v>
      </c>
      <c r="C129" s="245">
        <v>1.266</v>
      </c>
      <c r="D129" s="151">
        <v>2581440.7599999998</v>
      </c>
      <c r="E129" s="152">
        <v>1928004</v>
      </c>
      <c r="F129" s="170">
        <v>2802343.2</v>
      </c>
      <c r="G129" s="274"/>
      <c r="H129" s="171"/>
      <c r="I129" s="172">
        <v>2440853.0639999998</v>
      </c>
      <c r="J129" s="157"/>
      <c r="K129" s="173"/>
      <c r="L129" s="174"/>
      <c r="M129" s="175"/>
      <c r="N129" s="176"/>
      <c r="O129" s="177"/>
      <c r="P129" s="178"/>
      <c r="Q129" s="164"/>
      <c r="R129" s="175">
        <v>-361490.13600000041</v>
      </c>
      <c r="S129" s="176">
        <v>0.87100433094704444</v>
      </c>
      <c r="T129" s="177">
        <v>512849.06399999978</v>
      </c>
      <c r="U129" s="178">
        <v>1.2659999999999998</v>
      </c>
      <c r="V129" s="275"/>
    </row>
    <row r="130" spans="1:22" ht="15.75" x14ac:dyDescent="0.25">
      <c r="A130" s="251" t="s">
        <v>524</v>
      </c>
      <c r="B130" s="273" t="s">
        <v>473</v>
      </c>
      <c r="C130" s="245">
        <v>1.266</v>
      </c>
      <c r="D130" s="151">
        <v>29378766.339999899</v>
      </c>
      <c r="E130" s="152">
        <v>38633773</v>
      </c>
      <c r="F130" s="170">
        <v>66726160.799999997</v>
      </c>
      <c r="G130" s="274"/>
      <c r="H130" s="171"/>
      <c r="I130" s="172">
        <v>48910356.618000001</v>
      </c>
      <c r="J130" s="247"/>
      <c r="K130" s="173"/>
      <c r="L130" s="174"/>
      <c r="M130" s="175"/>
      <c r="N130" s="176"/>
      <c r="O130" s="177"/>
      <c r="P130" s="178"/>
      <c r="Q130" s="164"/>
      <c r="R130" s="175">
        <v>-17815804.181999996</v>
      </c>
      <c r="S130" s="176">
        <v>0.73300121019400843</v>
      </c>
      <c r="T130" s="177">
        <v>10276583.618000001</v>
      </c>
      <c r="U130" s="178">
        <v>1.266</v>
      </c>
      <c r="V130" s="275"/>
    </row>
    <row r="131" spans="1:22" ht="15.75" x14ac:dyDescent="0.25">
      <c r="A131" s="251" t="s">
        <v>525</v>
      </c>
      <c r="B131" s="273" t="s">
        <v>473</v>
      </c>
      <c r="C131" s="245">
        <v>1.266</v>
      </c>
      <c r="D131" s="151">
        <v>50835942.239999667</v>
      </c>
      <c r="E131" s="152">
        <v>80595105</v>
      </c>
      <c r="F131" s="170">
        <v>92967902.400000006</v>
      </c>
      <c r="G131" s="274"/>
      <c r="H131" s="171"/>
      <c r="I131" s="172">
        <v>102033402.93000001</v>
      </c>
      <c r="J131" s="247"/>
      <c r="K131" s="173"/>
      <c r="L131" s="174"/>
      <c r="M131" s="175"/>
      <c r="N131" s="176"/>
      <c r="O131" s="177"/>
      <c r="P131" s="178"/>
      <c r="Q131" s="164"/>
      <c r="R131" s="175">
        <v>9065500.5300000012</v>
      </c>
      <c r="S131" s="176">
        <v>1.0975121552274585</v>
      </c>
      <c r="T131" s="177">
        <v>21438297.930000007</v>
      </c>
      <c r="U131" s="178">
        <v>1.266</v>
      </c>
      <c r="V131" s="275"/>
    </row>
    <row r="132" spans="1:22" ht="15.75" x14ac:dyDescent="0.25">
      <c r="A132" s="251" t="s">
        <v>526</v>
      </c>
      <c r="B132" s="273" t="s">
        <v>473</v>
      </c>
      <c r="C132" s="245">
        <v>1.266</v>
      </c>
      <c r="D132" s="151">
        <v>2555082.9099999997</v>
      </c>
      <c r="E132" s="152">
        <v>7865668</v>
      </c>
      <c r="F132" s="170">
        <v>8761298.4000000004</v>
      </c>
      <c r="G132" s="274"/>
      <c r="H132" s="171"/>
      <c r="I132" s="172">
        <v>9957935.688000001</v>
      </c>
      <c r="J132" s="247"/>
      <c r="K132" s="173"/>
      <c r="L132" s="174"/>
      <c r="M132" s="175"/>
      <c r="N132" s="176"/>
      <c r="O132" s="177"/>
      <c r="P132" s="178"/>
      <c r="Q132" s="164"/>
      <c r="R132" s="175">
        <v>1196637.2880000006</v>
      </c>
      <c r="S132" s="176">
        <v>1.1365821860376313</v>
      </c>
      <c r="T132" s="177">
        <v>2092267.688000001</v>
      </c>
      <c r="U132" s="178">
        <v>1.2660000000000002</v>
      </c>
      <c r="V132" s="275"/>
    </row>
    <row r="133" spans="1:22" ht="15.75" x14ac:dyDescent="0.25">
      <c r="A133" s="251" t="s">
        <v>527</v>
      </c>
      <c r="B133" s="273" t="s">
        <v>489</v>
      </c>
      <c r="C133" s="245">
        <v>1.19</v>
      </c>
      <c r="D133" s="151">
        <v>2679145.7499999953</v>
      </c>
      <c r="E133" s="152">
        <v>3354770</v>
      </c>
      <c r="F133" s="170">
        <v>599326.80000000005</v>
      </c>
      <c r="G133" s="274"/>
      <c r="H133" s="171"/>
      <c r="I133" s="172">
        <v>3992176.3</v>
      </c>
      <c r="J133" s="157"/>
      <c r="K133" s="173"/>
      <c r="L133" s="174"/>
      <c r="M133" s="175"/>
      <c r="N133" s="176"/>
      <c r="O133" s="177"/>
      <c r="P133" s="178"/>
      <c r="Q133" s="164"/>
      <c r="R133" s="175">
        <v>3392849.5</v>
      </c>
      <c r="S133" s="176">
        <v>6.6611009219010384</v>
      </c>
      <c r="T133" s="177">
        <v>637406.29999999981</v>
      </c>
      <c r="U133" s="178">
        <v>1.19</v>
      </c>
      <c r="V133" s="275"/>
    </row>
    <row r="134" spans="1:22" ht="15.75" x14ac:dyDescent="0.25">
      <c r="A134" s="251" t="s">
        <v>528</v>
      </c>
      <c r="B134" s="273" t="s">
        <v>473</v>
      </c>
      <c r="C134" s="245">
        <v>1.266</v>
      </c>
      <c r="D134" s="151">
        <v>357973.6</v>
      </c>
      <c r="E134" s="152">
        <v>120551</v>
      </c>
      <c r="F134" s="170">
        <v>1267623.6000000001</v>
      </c>
      <c r="G134" s="274"/>
      <c r="H134" s="171"/>
      <c r="I134" s="172">
        <v>152617.56599999999</v>
      </c>
      <c r="J134" s="157"/>
      <c r="K134" s="173"/>
      <c r="L134" s="174"/>
      <c r="M134" s="175"/>
      <c r="N134" s="176"/>
      <c r="O134" s="177"/>
      <c r="P134" s="178"/>
      <c r="Q134" s="164"/>
      <c r="R134" s="175">
        <v>-1115006.034</v>
      </c>
      <c r="S134" s="176">
        <v>0.12039659564558437</v>
      </c>
      <c r="T134" s="177">
        <v>32066.565999999992</v>
      </c>
      <c r="U134" s="178">
        <v>1.266</v>
      </c>
      <c r="V134" s="275"/>
    </row>
    <row r="135" spans="1:22" ht="15.75" x14ac:dyDescent="0.25">
      <c r="A135" s="251" t="s">
        <v>529</v>
      </c>
      <c r="B135" s="273" t="s">
        <v>473</v>
      </c>
      <c r="C135" s="245">
        <v>1.266</v>
      </c>
      <c r="D135" s="151">
        <v>320834.49</v>
      </c>
      <c r="E135" s="152">
        <v>3054529</v>
      </c>
      <c r="F135" s="170">
        <v>4790016</v>
      </c>
      <c r="G135" s="274"/>
      <c r="H135" s="171"/>
      <c r="I135" s="172">
        <v>3867033.7140000002</v>
      </c>
      <c r="J135" s="157"/>
      <c r="K135" s="173"/>
      <c r="L135" s="174"/>
      <c r="M135" s="175"/>
      <c r="N135" s="176"/>
      <c r="O135" s="177"/>
      <c r="P135" s="178"/>
      <c r="Q135" s="164"/>
      <c r="R135" s="175">
        <v>-922982.28599999985</v>
      </c>
      <c r="S135" s="176">
        <v>0.80731123111071035</v>
      </c>
      <c r="T135" s="177">
        <v>812504.71400000015</v>
      </c>
      <c r="U135" s="178">
        <v>1.266</v>
      </c>
      <c r="V135" s="275"/>
    </row>
    <row r="136" spans="1:22" ht="15.75" x14ac:dyDescent="0.25">
      <c r="A136" s="251" t="s">
        <v>530</v>
      </c>
      <c r="B136" s="273" t="s">
        <v>479</v>
      </c>
      <c r="C136" s="245">
        <v>1.2989999999999999</v>
      </c>
      <c r="D136" s="151">
        <v>1380149.5700000008</v>
      </c>
      <c r="E136" s="152">
        <v>594526</v>
      </c>
      <c r="F136" s="170">
        <v>392428.79999999999</v>
      </c>
      <c r="G136" s="274"/>
      <c r="H136" s="171"/>
      <c r="I136" s="172">
        <v>772289.27399999998</v>
      </c>
      <c r="J136" s="157"/>
      <c r="K136" s="173"/>
      <c r="L136" s="174"/>
      <c r="M136" s="175"/>
      <c r="N136" s="176"/>
      <c r="O136" s="177"/>
      <c r="P136" s="178"/>
      <c r="Q136" s="164"/>
      <c r="R136" s="175">
        <v>379860.47399999999</v>
      </c>
      <c r="S136" s="176">
        <v>1.9679729775184696</v>
      </c>
      <c r="T136" s="177">
        <v>177763.27399999998</v>
      </c>
      <c r="U136" s="178">
        <v>1.2989999999999999</v>
      </c>
      <c r="V136" s="275"/>
    </row>
    <row r="137" spans="1:22" ht="15.75" x14ac:dyDescent="0.25">
      <c r="A137" s="251" t="s">
        <v>531</v>
      </c>
      <c r="B137" s="273" t="s">
        <v>479</v>
      </c>
      <c r="C137" s="245">
        <v>1.2989999999999999</v>
      </c>
      <c r="D137" s="151">
        <v>37582858.779999666</v>
      </c>
      <c r="E137" s="152">
        <v>36814017</v>
      </c>
      <c r="F137" s="170">
        <v>42551707.200000003</v>
      </c>
      <c r="G137" s="274"/>
      <c r="H137" s="171"/>
      <c r="I137" s="172">
        <v>47821408.082999997</v>
      </c>
      <c r="J137" s="157"/>
      <c r="K137" s="173"/>
      <c r="L137" s="174"/>
      <c r="M137" s="175"/>
      <c r="N137" s="176"/>
      <c r="O137" s="177"/>
      <c r="P137" s="178"/>
      <c r="Q137" s="164"/>
      <c r="R137" s="175">
        <v>5269700.8829999939</v>
      </c>
      <c r="S137" s="176">
        <v>1.1238422904686651</v>
      </c>
      <c r="T137" s="177">
        <v>11007391.082999997</v>
      </c>
      <c r="U137" s="178">
        <v>1.2989999999999999</v>
      </c>
      <c r="V137" s="275"/>
    </row>
    <row r="138" spans="1:22" ht="15.75" x14ac:dyDescent="0.25">
      <c r="A138" s="251" t="s">
        <v>532</v>
      </c>
      <c r="B138" s="273" t="s">
        <v>491</v>
      </c>
      <c r="C138" s="245">
        <v>1.2769999999999999</v>
      </c>
      <c r="D138" s="151">
        <v>1525597.5800000029</v>
      </c>
      <c r="E138" s="152">
        <v>2212301</v>
      </c>
      <c r="F138" s="170">
        <v>2450860.7999999998</v>
      </c>
      <c r="G138" s="274"/>
      <c r="H138" s="171"/>
      <c r="I138" s="172">
        <v>2825108.3769999999</v>
      </c>
      <c r="J138" s="157"/>
      <c r="K138" s="173"/>
      <c r="L138" s="174"/>
      <c r="M138" s="175"/>
      <c r="N138" s="176"/>
      <c r="O138" s="177"/>
      <c r="P138" s="178"/>
      <c r="Q138" s="164"/>
      <c r="R138" s="175">
        <v>374247.57700000005</v>
      </c>
      <c r="S138" s="176">
        <v>1.1527004622212735</v>
      </c>
      <c r="T138" s="177">
        <v>612807.37699999986</v>
      </c>
      <c r="U138" s="178">
        <v>1.2769999999999999</v>
      </c>
      <c r="V138" s="275"/>
    </row>
    <row r="139" spans="1:22" ht="15.75" x14ac:dyDescent="0.25">
      <c r="A139" s="251" t="s">
        <v>533</v>
      </c>
      <c r="B139" s="273" t="s">
        <v>477</v>
      </c>
      <c r="C139" s="245">
        <v>1.1160000000000001</v>
      </c>
      <c r="D139" s="151">
        <v>73009026.600000024</v>
      </c>
      <c r="E139" s="152">
        <v>80307322</v>
      </c>
      <c r="F139" s="170">
        <v>92847337.200000003</v>
      </c>
      <c r="G139" s="274"/>
      <c r="H139" s="171"/>
      <c r="I139" s="172">
        <v>89622971.351999998</v>
      </c>
      <c r="J139" s="157"/>
      <c r="K139" s="173"/>
      <c r="L139" s="174"/>
      <c r="M139" s="175"/>
      <c r="N139" s="176"/>
      <c r="O139" s="177"/>
      <c r="P139" s="178"/>
      <c r="Q139" s="164"/>
      <c r="R139" s="175">
        <v>-3224365.8480000049</v>
      </c>
      <c r="S139" s="176">
        <v>0.96527239288452094</v>
      </c>
      <c r="T139" s="177">
        <v>9315649.3519999981</v>
      </c>
      <c r="U139" s="178">
        <v>1.1159999999999999</v>
      </c>
      <c r="V139" s="275"/>
    </row>
    <row r="140" spans="1:22" ht="15.75" x14ac:dyDescent="0.25">
      <c r="A140" s="251" t="s">
        <v>534</v>
      </c>
      <c r="B140" s="273" t="s">
        <v>478</v>
      </c>
      <c r="C140" s="245">
        <v>1.008</v>
      </c>
      <c r="D140" s="151">
        <v>3340752.8099999963</v>
      </c>
      <c r="E140" s="152">
        <v>3302975</v>
      </c>
      <c r="F140" s="170">
        <v>2308350</v>
      </c>
      <c r="G140" s="274"/>
      <c r="H140" s="171"/>
      <c r="I140" s="172">
        <v>3329398.8000000003</v>
      </c>
      <c r="J140" s="157"/>
      <c r="K140" s="173"/>
      <c r="L140" s="174"/>
      <c r="M140" s="175"/>
      <c r="N140" s="176"/>
      <c r="O140" s="177"/>
      <c r="P140" s="178"/>
      <c r="Q140" s="164"/>
      <c r="R140" s="175">
        <v>1021048.8000000003</v>
      </c>
      <c r="S140" s="176">
        <v>1.4423284164013257</v>
      </c>
      <c r="T140" s="177">
        <v>26423.800000000279</v>
      </c>
      <c r="U140" s="178">
        <v>1.008</v>
      </c>
      <c r="V140" s="275"/>
    </row>
    <row r="141" spans="1:22" ht="15.75" x14ac:dyDescent="0.25">
      <c r="A141" s="251" t="s">
        <v>535</v>
      </c>
      <c r="B141" s="273" t="s">
        <v>481</v>
      </c>
      <c r="C141" s="245">
        <v>1.2190000000000001</v>
      </c>
      <c r="D141" s="151">
        <v>24773748.599999975</v>
      </c>
      <c r="E141" s="152">
        <v>31520959</v>
      </c>
      <c r="F141" s="170">
        <v>38567826</v>
      </c>
      <c r="G141" s="274"/>
      <c r="H141" s="171"/>
      <c r="I141" s="172">
        <v>38424049.021000005</v>
      </c>
      <c r="J141" s="247"/>
      <c r="K141" s="173"/>
      <c r="L141" s="174"/>
      <c r="M141" s="175"/>
      <c r="N141" s="176"/>
      <c r="O141" s="177"/>
      <c r="P141" s="178"/>
      <c r="Q141" s="164"/>
      <c r="R141" s="175">
        <v>-143776.9789999947</v>
      </c>
      <c r="S141" s="176">
        <v>0.99627210050678006</v>
      </c>
      <c r="T141" s="177">
        <v>6903090.0210000053</v>
      </c>
      <c r="U141" s="178">
        <v>1.2190000000000001</v>
      </c>
      <c r="V141" s="275"/>
    </row>
    <row r="142" spans="1:22" ht="15.75" x14ac:dyDescent="0.25">
      <c r="A142" s="251" t="s">
        <v>536</v>
      </c>
      <c r="B142" s="273" t="s">
        <v>478</v>
      </c>
      <c r="C142" s="245">
        <v>1.008</v>
      </c>
      <c r="D142" s="151">
        <v>28731204.710000109</v>
      </c>
      <c r="E142" s="152">
        <v>33617830</v>
      </c>
      <c r="F142" s="170">
        <v>30694788</v>
      </c>
      <c r="G142" s="274"/>
      <c r="H142" s="171"/>
      <c r="I142" s="172">
        <v>33886772.640000001</v>
      </c>
      <c r="J142" s="247"/>
      <c r="K142" s="173"/>
      <c r="L142" s="174"/>
      <c r="M142" s="175"/>
      <c r="N142" s="176"/>
      <c r="O142" s="177"/>
      <c r="P142" s="178"/>
      <c r="Q142" s="164"/>
      <c r="R142" s="175">
        <v>3191984.6400000006</v>
      </c>
      <c r="S142" s="176">
        <v>1.1039910958173094</v>
      </c>
      <c r="T142" s="177">
        <v>268942.6400000006</v>
      </c>
      <c r="U142" s="178">
        <v>1.008</v>
      </c>
      <c r="V142" s="275"/>
    </row>
    <row r="143" spans="1:22" ht="15.75" x14ac:dyDescent="0.25">
      <c r="A143" s="251" t="s">
        <v>537</v>
      </c>
      <c r="B143" s="273" t="s">
        <v>490</v>
      </c>
      <c r="C143" s="255">
        <v>1.1899999999999997</v>
      </c>
      <c r="D143" s="151">
        <v>0</v>
      </c>
      <c r="E143" s="152">
        <v>416534</v>
      </c>
      <c r="F143" s="170">
        <v>0</v>
      </c>
      <c r="G143" s="274"/>
      <c r="H143" s="171"/>
      <c r="I143" s="172">
        <v>495675.45999999996</v>
      </c>
      <c r="J143" s="157"/>
      <c r="K143" s="173"/>
      <c r="L143" s="174"/>
      <c r="M143" s="175"/>
      <c r="N143" s="176"/>
      <c r="O143" s="177"/>
      <c r="P143" s="178"/>
      <c r="Q143" s="164"/>
      <c r="R143" s="175">
        <v>495675.45999999996</v>
      </c>
      <c r="S143" s="176" t="s">
        <v>282</v>
      </c>
      <c r="T143" s="177">
        <v>79141.459999999963</v>
      </c>
      <c r="U143" s="178">
        <v>1.19</v>
      </c>
      <c r="V143" s="275"/>
    </row>
    <row r="144" spans="1:22" ht="15.75" x14ac:dyDescent="0.25">
      <c r="A144" s="251" t="s">
        <v>538</v>
      </c>
      <c r="B144" s="273" t="s">
        <v>507</v>
      </c>
      <c r="C144" s="245">
        <v>1.3380000000000001</v>
      </c>
      <c r="D144" s="151">
        <v>192891376.21999905</v>
      </c>
      <c r="E144" s="152">
        <v>219641069</v>
      </c>
      <c r="F144" s="170">
        <v>248664900</v>
      </c>
      <c r="G144" s="274"/>
      <c r="H144" s="171"/>
      <c r="I144" s="172">
        <v>293879750.32200003</v>
      </c>
      <c r="J144" s="247"/>
      <c r="K144" s="173"/>
      <c r="L144" s="174"/>
      <c r="M144" s="175"/>
      <c r="N144" s="176"/>
      <c r="O144" s="177"/>
      <c r="P144" s="178"/>
      <c r="Q144" s="164"/>
      <c r="R144" s="175">
        <v>45214850.322000027</v>
      </c>
      <c r="S144" s="176">
        <v>1.1818304486157878</v>
      </c>
      <c r="T144" s="177">
        <v>74238681.322000027</v>
      </c>
      <c r="U144" s="178">
        <v>1.3380000000000001</v>
      </c>
      <c r="V144" s="275"/>
    </row>
    <row r="145" spans="1:22" ht="15.75" x14ac:dyDescent="0.25">
      <c r="A145" s="251" t="s">
        <v>539</v>
      </c>
      <c r="B145" s="273" t="s">
        <v>490</v>
      </c>
      <c r="C145" s="245">
        <v>1.008</v>
      </c>
      <c r="D145" s="151">
        <v>0</v>
      </c>
      <c r="E145" s="152">
        <v>276574</v>
      </c>
      <c r="F145" s="170">
        <v>304272</v>
      </c>
      <c r="G145" s="274"/>
      <c r="H145" s="171"/>
      <c r="I145" s="172">
        <v>278786.592</v>
      </c>
      <c r="J145" s="157"/>
      <c r="K145" s="173"/>
      <c r="L145" s="174"/>
      <c r="M145" s="175"/>
      <c r="N145" s="176"/>
      <c r="O145" s="177"/>
      <c r="P145" s="178"/>
      <c r="Q145" s="164"/>
      <c r="R145" s="175">
        <v>-25485.407999999996</v>
      </c>
      <c r="S145" s="176">
        <v>0.91624136299100811</v>
      </c>
      <c r="T145" s="177">
        <v>2212.5920000000042</v>
      </c>
      <c r="U145" s="178">
        <v>1.008</v>
      </c>
      <c r="V145" s="275"/>
    </row>
    <row r="146" spans="1:22" ht="15.75" x14ac:dyDescent="0.25">
      <c r="A146" s="251" t="s">
        <v>540</v>
      </c>
      <c r="B146" s="273" t="s">
        <v>507</v>
      </c>
      <c r="C146" s="245">
        <v>1.266</v>
      </c>
      <c r="D146" s="151">
        <v>362362.94</v>
      </c>
      <c r="E146" s="152">
        <v>67554</v>
      </c>
      <c r="F146" s="170">
        <v>162249.60000000001</v>
      </c>
      <c r="G146" s="274"/>
      <c r="H146" s="171"/>
      <c r="I146" s="172">
        <v>85523.364000000001</v>
      </c>
      <c r="J146" s="157"/>
      <c r="K146" s="173"/>
      <c r="L146" s="174"/>
      <c r="M146" s="175"/>
      <c r="N146" s="176"/>
      <c r="O146" s="177"/>
      <c r="P146" s="178"/>
      <c r="Q146" s="164"/>
      <c r="R146" s="175">
        <v>-76726.236000000004</v>
      </c>
      <c r="S146" s="176">
        <v>0.5271098603632921</v>
      </c>
      <c r="T146" s="177">
        <v>17969.364000000001</v>
      </c>
      <c r="U146" s="178">
        <v>1.266</v>
      </c>
      <c r="V146" s="275"/>
    </row>
    <row r="147" spans="1:22" ht="15.75" x14ac:dyDescent="0.25">
      <c r="A147" s="251" t="s">
        <v>541</v>
      </c>
      <c r="B147" s="273" t="s">
        <v>487</v>
      </c>
      <c r="C147" s="245">
        <v>1</v>
      </c>
      <c r="D147" s="151">
        <v>4485109.1799999988</v>
      </c>
      <c r="E147" s="152">
        <v>3756555</v>
      </c>
      <c r="F147" s="170">
        <v>2854473.6</v>
      </c>
      <c r="G147" s="274"/>
      <c r="H147" s="171"/>
      <c r="I147" s="172">
        <v>3756555</v>
      </c>
      <c r="J147" s="157"/>
      <c r="K147" s="173"/>
      <c r="L147" s="174"/>
      <c r="M147" s="175"/>
      <c r="N147" s="176"/>
      <c r="O147" s="177"/>
      <c r="P147" s="178"/>
      <c r="Q147" s="164"/>
      <c r="R147" s="175">
        <v>902081.39999999991</v>
      </c>
      <c r="S147" s="176">
        <v>1.3160237320113943</v>
      </c>
      <c r="T147" s="177">
        <v>0</v>
      </c>
      <c r="U147" s="178">
        <v>1</v>
      </c>
      <c r="V147" s="275"/>
    </row>
    <row r="148" spans="1:22" ht="15.75" x14ac:dyDescent="0.25">
      <c r="A148" s="251" t="s">
        <v>542</v>
      </c>
      <c r="B148" s="273" t="s">
        <v>487</v>
      </c>
      <c r="C148" s="245">
        <v>1</v>
      </c>
      <c r="D148" s="151">
        <v>1349659.6300000011</v>
      </c>
      <c r="E148" s="152">
        <v>2724050</v>
      </c>
      <c r="F148" s="170">
        <v>2259530.4</v>
      </c>
      <c r="G148" s="274"/>
      <c r="H148" s="171"/>
      <c r="I148" s="172">
        <v>2724050</v>
      </c>
      <c r="J148" s="157"/>
      <c r="K148" s="173"/>
      <c r="L148" s="174"/>
      <c r="M148" s="175"/>
      <c r="N148" s="176"/>
      <c r="O148" s="177"/>
      <c r="P148" s="178"/>
      <c r="Q148" s="164"/>
      <c r="R148" s="175">
        <v>464519.60000000009</v>
      </c>
      <c r="S148" s="176">
        <v>1.2055823634857934</v>
      </c>
      <c r="T148" s="177">
        <v>0</v>
      </c>
      <c r="U148" s="178">
        <v>1</v>
      </c>
      <c r="V148" s="275"/>
    </row>
    <row r="149" spans="1:22" ht="15.75" x14ac:dyDescent="0.25">
      <c r="A149" s="251" t="s">
        <v>543</v>
      </c>
      <c r="B149" s="273" t="s">
        <v>479</v>
      </c>
      <c r="C149" s="245">
        <v>1.2989999999999999</v>
      </c>
      <c r="D149" s="151">
        <v>0</v>
      </c>
      <c r="E149" s="152">
        <v>0</v>
      </c>
      <c r="F149" s="170">
        <v>0</v>
      </c>
      <c r="G149" s="274"/>
      <c r="H149" s="171"/>
      <c r="I149" s="172">
        <v>0</v>
      </c>
      <c r="J149" s="157"/>
      <c r="K149" s="173"/>
      <c r="L149" s="174"/>
      <c r="M149" s="175"/>
      <c r="N149" s="176"/>
      <c r="O149" s="177"/>
      <c r="P149" s="178"/>
      <c r="Q149" s="164"/>
      <c r="R149" s="175">
        <v>0</v>
      </c>
      <c r="S149" s="176" t="s">
        <v>282</v>
      </c>
      <c r="T149" s="177">
        <v>0</v>
      </c>
      <c r="U149" s="178" t="s">
        <v>282</v>
      </c>
      <c r="V149" s="275"/>
    </row>
    <row r="150" spans="1:22" ht="15.75" x14ac:dyDescent="0.25">
      <c r="A150" s="251" t="s">
        <v>544</v>
      </c>
      <c r="B150" s="273" t="s">
        <v>473</v>
      </c>
      <c r="C150" s="245">
        <v>1.266</v>
      </c>
      <c r="D150" s="151">
        <v>13952695.269999996</v>
      </c>
      <c r="E150" s="152">
        <v>25077692</v>
      </c>
      <c r="F150" s="170">
        <v>30389124</v>
      </c>
      <c r="G150" s="274"/>
      <c r="H150" s="171"/>
      <c r="I150" s="172">
        <v>31748358.071999997</v>
      </c>
      <c r="J150" s="247"/>
      <c r="K150" s="173"/>
      <c r="L150" s="174"/>
      <c r="M150" s="175"/>
      <c r="N150" s="176"/>
      <c r="O150" s="177"/>
      <c r="P150" s="178"/>
      <c r="Q150" s="164"/>
      <c r="R150" s="175">
        <v>1359234.0719999969</v>
      </c>
      <c r="S150" s="176">
        <v>1.0447276490102182</v>
      </c>
      <c r="T150" s="177">
        <v>6670666.0719999969</v>
      </c>
      <c r="U150" s="178">
        <v>1.2659999999999998</v>
      </c>
      <c r="V150" s="275"/>
    </row>
    <row r="151" spans="1:22" ht="16.5" thickBot="1" x14ac:dyDescent="0.3">
      <c r="A151" s="206" t="s">
        <v>468</v>
      </c>
      <c r="B151" s="264"/>
      <c r="C151" s="265">
        <v>1.2451381126743397</v>
      </c>
      <c r="D151" s="209">
        <v>887953993.53999901</v>
      </c>
      <c r="E151" s="210">
        <v>1057826088</v>
      </c>
      <c r="F151" s="211">
        <v>1225094512.7999997</v>
      </c>
      <c r="G151" s="266">
        <v>0</v>
      </c>
      <c r="H151" s="267">
        <v>0</v>
      </c>
      <c r="I151" s="214">
        <v>1317139578.75</v>
      </c>
      <c r="J151" s="215"/>
      <c r="K151" s="216"/>
      <c r="L151" s="217"/>
      <c r="M151" s="218"/>
      <c r="N151" s="219"/>
      <c r="O151" s="224"/>
      <c r="P151" s="225"/>
      <c r="Q151" s="268"/>
      <c r="R151" s="223">
        <v>92045065.950000286</v>
      </c>
      <c r="S151" s="219">
        <v>1.0751330325850761</v>
      </c>
      <c r="T151" s="224">
        <v>259313490.75</v>
      </c>
      <c r="U151" s="225">
        <v>1.2451381126743397</v>
      </c>
    </row>
    <row r="152" spans="1:22" x14ac:dyDescent="0.2">
      <c r="D152" s="227" t="s">
        <v>558</v>
      </c>
      <c r="E152" s="228" t="s">
        <v>558</v>
      </c>
      <c r="F152" s="165" t="s">
        <v>558</v>
      </c>
      <c r="G152" s="165" t="s">
        <v>558</v>
      </c>
      <c r="H152" s="165" t="s">
        <v>558</v>
      </c>
      <c r="I152" s="165" t="s">
        <v>558</v>
      </c>
      <c r="J152" s="165"/>
      <c r="K152" s="229"/>
      <c r="L152" s="230"/>
      <c r="M152" s="231"/>
      <c r="N152" s="232"/>
      <c r="O152" s="233"/>
      <c r="P152" s="234"/>
      <c r="Q152" s="234"/>
      <c r="R152" s="276" t="s">
        <v>558</v>
      </c>
      <c r="S152" s="276"/>
      <c r="T152" s="276" t="s">
        <v>558</v>
      </c>
      <c r="U152" s="276"/>
    </row>
    <row r="153" spans="1:22" x14ac:dyDescent="0.2">
      <c r="D153" s="277"/>
      <c r="F153" s="123"/>
    </row>
    <row r="154" spans="1:22" ht="18" x14ac:dyDescent="0.25">
      <c r="A154" s="447" t="s">
        <v>545</v>
      </c>
      <c r="B154" s="447"/>
      <c r="C154" s="447"/>
      <c r="D154" s="447"/>
      <c r="E154" s="447"/>
      <c r="F154" s="447"/>
      <c r="G154" s="447"/>
      <c r="H154" s="447"/>
      <c r="I154" s="447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</row>
    <row r="155" spans="1:22" ht="18.75" thickBot="1" x14ac:dyDescent="0.3">
      <c r="A155" s="270"/>
      <c r="B155" s="270"/>
      <c r="C155" s="270"/>
      <c r="D155" s="270"/>
      <c r="E155" s="270"/>
      <c r="F155" s="270"/>
      <c r="G155" s="270"/>
      <c r="H155" s="270"/>
      <c r="I155" s="270"/>
      <c r="J155" s="270"/>
      <c r="K155" s="270"/>
      <c r="L155" s="270"/>
      <c r="M155" s="270"/>
      <c r="N155" s="270"/>
      <c r="O155" s="270"/>
      <c r="P155" s="270"/>
      <c r="Q155" s="270"/>
      <c r="R155" s="270"/>
      <c r="S155" s="270"/>
      <c r="T155" s="270"/>
      <c r="U155" s="270"/>
    </row>
    <row r="156" spans="1:22" ht="19.5" thickBot="1" x14ac:dyDescent="0.35">
      <c r="D156" s="277"/>
      <c r="J156" s="124"/>
      <c r="K156" s="419" t="s">
        <v>390</v>
      </c>
      <c r="L156" s="400"/>
      <c r="M156" s="400"/>
      <c r="N156" s="400"/>
      <c r="O156" s="400"/>
      <c r="P156" s="401"/>
      <c r="Q156" s="125"/>
      <c r="R156" s="402" t="s">
        <v>391</v>
      </c>
      <c r="S156" s="402"/>
      <c r="T156" s="402"/>
      <c r="U156" s="403"/>
    </row>
    <row r="157" spans="1:22" ht="27.6" customHeight="1" thickTop="1" x14ac:dyDescent="0.2">
      <c r="A157" s="448" t="s">
        <v>546</v>
      </c>
      <c r="B157" s="449"/>
      <c r="C157" s="424" t="s">
        <v>547</v>
      </c>
      <c r="D157" s="127" t="s">
        <v>392</v>
      </c>
      <c r="E157" s="128" t="s">
        <v>393</v>
      </c>
      <c r="F157" s="129" t="s">
        <v>472</v>
      </c>
      <c r="G157" s="408" t="s">
        <v>560</v>
      </c>
      <c r="H157" s="410" t="s">
        <v>396</v>
      </c>
      <c r="I157" s="130" t="s">
        <v>397</v>
      </c>
      <c r="J157" s="131"/>
      <c r="K157" s="412" t="s">
        <v>398</v>
      </c>
      <c r="L157" s="413"/>
      <c r="M157" s="414" t="s">
        <v>399</v>
      </c>
      <c r="N157" s="414"/>
      <c r="O157" s="415" t="s">
        <v>400</v>
      </c>
      <c r="P157" s="416"/>
      <c r="Q157" s="132"/>
      <c r="R157" s="414" t="s">
        <v>401</v>
      </c>
      <c r="S157" s="414"/>
      <c r="T157" s="415" t="s">
        <v>402</v>
      </c>
      <c r="U157" s="416"/>
    </row>
    <row r="158" spans="1:22" ht="42.75" thickBot="1" x14ac:dyDescent="0.25">
      <c r="A158" s="450"/>
      <c r="B158" s="451"/>
      <c r="C158" s="425"/>
      <c r="D158" s="135" t="s">
        <v>404</v>
      </c>
      <c r="E158" s="136" t="s">
        <v>405</v>
      </c>
      <c r="F158" s="137"/>
      <c r="G158" s="409"/>
      <c r="H158" s="411"/>
      <c r="I158" s="138"/>
      <c r="J158" s="139"/>
      <c r="K158" s="140" t="s">
        <v>406</v>
      </c>
      <c r="L158" s="141" t="s">
        <v>407</v>
      </c>
      <c r="M158" s="142" t="s">
        <v>406</v>
      </c>
      <c r="N158" s="143" t="s">
        <v>407</v>
      </c>
      <c r="O158" s="144" t="s">
        <v>406</v>
      </c>
      <c r="P158" s="145" t="s">
        <v>407</v>
      </c>
      <c r="Q158" s="146"/>
      <c r="R158" s="142" t="s">
        <v>406</v>
      </c>
      <c r="S158" s="143" t="s">
        <v>407</v>
      </c>
      <c r="T158" s="144" t="s">
        <v>406</v>
      </c>
      <c r="U158" s="145" t="s">
        <v>407</v>
      </c>
    </row>
    <row r="159" spans="1:22" s="283" customFormat="1" ht="16.5" thickTop="1" x14ac:dyDescent="0.25">
      <c r="A159" s="278">
        <v>111</v>
      </c>
      <c r="B159" s="279" t="s">
        <v>548</v>
      </c>
      <c r="C159" s="245">
        <v>1.2446995621631443</v>
      </c>
      <c r="D159" s="280">
        <v>383520909.60999954</v>
      </c>
      <c r="E159" s="280">
        <v>446936336</v>
      </c>
      <c r="F159" s="170">
        <v>532960243.19999999</v>
      </c>
      <c r="G159" s="274"/>
      <c r="H159" s="171"/>
      <c r="I159" s="281">
        <v>556301461.73399997</v>
      </c>
      <c r="J159" s="282"/>
      <c r="K159" s="173"/>
      <c r="L159" s="174"/>
      <c r="M159" s="175"/>
      <c r="N159" s="176"/>
      <c r="O159" s="177"/>
      <c r="P159" s="178"/>
      <c r="Q159" s="164"/>
      <c r="R159" s="175">
        <v>23341218.533999979</v>
      </c>
      <c r="S159" s="176">
        <v>1.0437954215756406</v>
      </c>
      <c r="T159" s="177">
        <v>109365125.73399997</v>
      </c>
      <c r="U159" s="178">
        <v>1.2446995621631443</v>
      </c>
    </row>
    <row r="160" spans="1:22" s="283" customFormat="1" ht="15.75" x14ac:dyDescent="0.25">
      <c r="A160" s="278">
        <v>201</v>
      </c>
      <c r="B160" s="279" t="s">
        <v>549</v>
      </c>
      <c r="C160" s="245">
        <v>1.2551565488666596</v>
      </c>
      <c r="D160" s="280">
        <v>75581125.640000015</v>
      </c>
      <c r="E160" s="280">
        <v>91479027</v>
      </c>
      <c r="F160" s="170">
        <v>92103961.200000003</v>
      </c>
      <c r="G160" s="274"/>
      <c r="H160" s="171"/>
      <c r="I160" s="281">
        <v>114820499.82299998</v>
      </c>
      <c r="J160" s="282"/>
      <c r="K160" s="173"/>
      <c r="L160" s="174"/>
      <c r="M160" s="175"/>
      <c r="N160" s="176"/>
      <c r="O160" s="177"/>
      <c r="P160" s="178"/>
      <c r="Q160" s="164"/>
      <c r="R160" s="175">
        <v>22716538.622999981</v>
      </c>
      <c r="S160" s="176">
        <v>1.2466401914427105</v>
      </c>
      <c r="T160" s="177">
        <v>23341472.822999984</v>
      </c>
      <c r="U160" s="178">
        <v>1.2551565488666596</v>
      </c>
    </row>
    <row r="161" spans="1:21" s="283" customFormat="1" ht="15.75" x14ac:dyDescent="0.25">
      <c r="A161" s="278">
        <v>205</v>
      </c>
      <c r="B161" s="279" t="s">
        <v>550</v>
      </c>
      <c r="C161" s="245">
        <v>1.2492739207522299</v>
      </c>
      <c r="D161" s="280">
        <v>230710212.79999945</v>
      </c>
      <c r="E161" s="280">
        <v>281576074</v>
      </c>
      <c r="F161" s="170">
        <v>346638978</v>
      </c>
      <c r="G161" s="274"/>
      <c r="H161" s="171"/>
      <c r="I161" s="281">
        <v>351765645.95600003</v>
      </c>
      <c r="J161" s="282"/>
      <c r="K161" s="173"/>
      <c r="L161" s="174"/>
      <c r="M161" s="175"/>
      <c r="N161" s="176"/>
      <c r="O161" s="177"/>
      <c r="P161" s="178"/>
      <c r="Q161" s="164"/>
      <c r="R161" s="175">
        <v>5126667.95600003</v>
      </c>
      <c r="S161" s="176">
        <v>1.0147896465238253</v>
      </c>
      <c r="T161" s="177">
        <v>70189571.95600003</v>
      </c>
      <c r="U161" s="178">
        <v>1.2492739207522299</v>
      </c>
    </row>
    <row r="162" spans="1:21" s="283" customFormat="1" ht="15.75" x14ac:dyDescent="0.25">
      <c r="A162" s="278">
        <v>207</v>
      </c>
      <c r="B162" s="279" t="s">
        <v>551</v>
      </c>
      <c r="C162" s="245">
        <v>1.2505115751543685</v>
      </c>
      <c r="D162" s="280">
        <v>27733399.969999999</v>
      </c>
      <c r="E162" s="280">
        <v>41522470</v>
      </c>
      <c r="F162" s="170">
        <v>37951044</v>
      </c>
      <c r="G162" s="274"/>
      <c r="H162" s="171"/>
      <c r="I162" s="281">
        <v>51924329.364000008</v>
      </c>
      <c r="J162" s="282"/>
      <c r="K162" s="173"/>
      <c r="L162" s="174"/>
      <c r="M162" s="175"/>
      <c r="N162" s="176"/>
      <c r="O162" s="177"/>
      <c r="P162" s="178"/>
      <c r="Q162" s="164"/>
      <c r="R162" s="175">
        <v>13973285.364000008</v>
      </c>
      <c r="S162" s="176">
        <v>1.3681923839565522</v>
      </c>
      <c r="T162" s="177">
        <v>10401859.364000008</v>
      </c>
      <c r="U162" s="178">
        <v>1.2505115751543685</v>
      </c>
    </row>
    <row r="163" spans="1:21" s="283" customFormat="1" ht="15.75" x14ac:dyDescent="0.25">
      <c r="A163" s="278">
        <v>209</v>
      </c>
      <c r="B163" s="279" t="s">
        <v>552</v>
      </c>
      <c r="C163" s="245">
        <v>1.2781997728217802</v>
      </c>
      <c r="D163" s="280">
        <v>202883.83</v>
      </c>
      <c r="E163" s="280">
        <v>1111022</v>
      </c>
      <c r="F163" s="170">
        <v>54660</v>
      </c>
      <c r="G163" s="274"/>
      <c r="H163" s="171"/>
      <c r="I163" s="281">
        <v>1420108.068</v>
      </c>
      <c r="J163" s="282"/>
      <c r="K163" s="173"/>
      <c r="L163" s="174"/>
      <c r="M163" s="175"/>
      <c r="N163" s="176"/>
      <c r="O163" s="177"/>
      <c r="P163" s="178"/>
      <c r="Q163" s="164"/>
      <c r="R163" s="175">
        <v>1365448.068</v>
      </c>
      <c r="S163" s="176">
        <v>25.980754994511525</v>
      </c>
      <c r="T163" s="177">
        <v>309086.06799999997</v>
      </c>
      <c r="U163" s="178">
        <v>1.2781997728217802</v>
      </c>
    </row>
    <row r="164" spans="1:21" s="283" customFormat="1" ht="15.75" x14ac:dyDescent="0.25">
      <c r="A164" s="278">
        <v>211</v>
      </c>
      <c r="B164" s="279" t="s">
        <v>553</v>
      </c>
      <c r="C164" s="245">
        <v>1.2519593158241529</v>
      </c>
      <c r="D164" s="280">
        <v>121082203.31000015</v>
      </c>
      <c r="E164" s="280">
        <v>136827572</v>
      </c>
      <c r="F164" s="170">
        <v>150007358.40000001</v>
      </c>
      <c r="G164" s="274"/>
      <c r="H164" s="171"/>
      <c r="I164" s="281">
        <v>171302553.42700002</v>
      </c>
      <c r="J164" s="282"/>
      <c r="K164" s="173"/>
      <c r="L164" s="174"/>
      <c r="M164" s="175"/>
      <c r="N164" s="176"/>
      <c r="O164" s="177"/>
      <c r="P164" s="178"/>
      <c r="Q164" s="164"/>
      <c r="R164" s="175">
        <v>21295195.02700001</v>
      </c>
      <c r="S164" s="176">
        <v>1.141961002807713</v>
      </c>
      <c r="T164" s="177">
        <v>34474981.427000016</v>
      </c>
      <c r="U164" s="178">
        <v>1.2519593158241529</v>
      </c>
    </row>
    <row r="165" spans="1:21" s="283" customFormat="1" ht="16.5" thickBot="1" x14ac:dyDescent="0.3">
      <c r="A165" s="284">
        <v>213</v>
      </c>
      <c r="B165" s="285" t="s">
        <v>554</v>
      </c>
      <c r="C165" s="286">
        <v>1.1924054003739737</v>
      </c>
      <c r="D165" s="287">
        <v>49123258.380000018</v>
      </c>
      <c r="E165" s="287">
        <v>58373587</v>
      </c>
      <c r="F165" s="196">
        <v>65378268</v>
      </c>
      <c r="G165" s="288"/>
      <c r="H165" s="198"/>
      <c r="I165" s="289">
        <v>69604980.377999991</v>
      </c>
      <c r="J165" s="282"/>
      <c r="K165" s="173"/>
      <c r="L165" s="174"/>
      <c r="M165" s="175"/>
      <c r="N165" s="176"/>
      <c r="O165" s="177"/>
      <c r="P165" s="178"/>
      <c r="Q165" s="164"/>
      <c r="R165" s="175">
        <v>4226712.3779999912</v>
      </c>
      <c r="S165" s="176">
        <v>1.0646501124502104</v>
      </c>
      <c r="T165" s="177">
        <v>11231393.377999991</v>
      </c>
      <c r="U165" s="178">
        <v>1.1924054003739737</v>
      </c>
    </row>
    <row r="166" spans="1:21" ht="17.25" thickTop="1" thickBot="1" x14ac:dyDescent="0.3">
      <c r="A166" s="206" t="s">
        <v>468</v>
      </c>
      <c r="B166" s="264"/>
      <c r="C166" s="290">
        <v>1.2451381126743399</v>
      </c>
      <c r="D166" s="209">
        <v>887953993.53999925</v>
      </c>
      <c r="E166" s="210">
        <v>1057826088</v>
      </c>
      <c r="F166" s="211">
        <v>1225094512.8</v>
      </c>
      <c r="G166" s="266">
        <v>0</v>
      </c>
      <c r="H166" s="267">
        <v>0</v>
      </c>
      <c r="I166" s="214">
        <v>1317139578.7500002</v>
      </c>
      <c r="J166" s="215"/>
      <c r="K166" s="216"/>
      <c r="L166" s="217"/>
      <c r="M166" s="218"/>
      <c r="N166" s="219"/>
      <c r="O166" s="224"/>
      <c r="P166" s="225"/>
      <c r="Q166" s="268"/>
      <c r="R166" s="223">
        <v>92045065.950000286</v>
      </c>
      <c r="S166" s="219">
        <v>1.0751330325850761</v>
      </c>
      <c r="T166" s="224">
        <v>259313490.75000024</v>
      </c>
      <c r="U166" s="225">
        <v>1.2451381126743399</v>
      </c>
    </row>
    <row r="167" spans="1:21" x14ac:dyDescent="0.2">
      <c r="E167" s="121"/>
      <c r="F167" s="121"/>
      <c r="G167" s="121"/>
      <c r="H167" s="121"/>
      <c r="I167" s="227" t="s">
        <v>555</v>
      </c>
      <c r="R167" s="291"/>
      <c r="S167" s="291"/>
      <c r="T167" s="291"/>
      <c r="U167" s="291"/>
    </row>
  </sheetData>
  <autoFilter ref="W6:W62">
    <filterColumn colId="0">
      <filters>
        <filter val="ANO"/>
      </filters>
    </filterColumn>
  </autoFilter>
  <mergeCells count="57">
    <mergeCell ref="A154:U154"/>
    <mergeCell ref="K156:P156"/>
    <mergeCell ref="R156:U156"/>
    <mergeCell ref="O157:P157"/>
    <mergeCell ref="R157:S157"/>
    <mergeCell ref="T157:U157"/>
    <mergeCell ref="A157:B158"/>
    <mergeCell ref="C157:C158"/>
    <mergeCell ref="G157:G158"/>
    <mergeCell ref="H157:H158"/>
    <mergeCell ref="K157:L157"/>
    <mergeCell ref="M157:N157"/>
    <mergeCell ref="K101:P101"/>
    <mergeCell ref="R101:U101"/>
    <mergeCell ref="A102:B103"/>
    <mergeCell ref="C102:C103"/>
    <mergeCell ref="G102:G103"/>
    <mergeCell ref="H102:H103"/>
    <mergeCell ref="K102:L102"/>
    <mergeCell ref="M102:N102"/>
    <mergeCell ref="O102:P102"/>
    <mergeCell ref="R102:S102"/>
    <mergeCell ref="T102:U102"/>
    <mergeCell ref="S72:S73"/>
    <mergeCell ref="T72:T73"/>
    <mergeCell ref="M69:N69"/>
    <mergeCell ref="U72:U73"/>
    <mergeCell ref="A99:U99"/>
    <mergeCell ref="D72:D73"/>
    <mergeCell ref="E72:E73"/>
    <mergeCell ref="F72:F73"/>
    <mergeCell ref="I72:I73"/>
    <mergeCell ref="R72:R73"/>
    <mergeCell ref="W6:W7"/>
    <mergeCell ref="A66:U66"/>
    <mergeCell ref="K68:P68"/>
    <mergeCell ref="R68:U68"/>
    <mergeCell ref="A69:B70"/>
    <mergeCell ref="C69:C70"/>
    <mergeCell ref="G69:G70"/>
    <mergeCell ref="H69:H70"/>
    <mergeCell ref="K69:L69"/>
    <mergeCell ref="O69:P69"/>
    <mergeCell ref="R69:S69"/>
    <mergeCell ref="T69:U69"/>
    <mergeCell ref="A1:U1"/>
    <mergeCell ref="A3:U3"/>
    <mergeCell ref="K5:P5"/>
    <mergeCell ref="R5:U5"/>
    <mergeCell ref="A6:B7"/>
    <mergeCell ref="G6:G7"/>
    <mergeCell ref="H6:H7"/>
    <mergeCell ref="K6:L6"/>
    <mergeCell ref="M6:N6"/>
    <mergeCell ref="O6:P6"/>
    <mergeCell ref="R6:S6"/>
    <mergeCell ref="T6:U6"/>
  </mergeCells>
  <printOptions horizontalCentered="1"/>
  <pageMargins left="0.35433070866141736" right="7.874015748031496E-2" top="0.47244094488188981" bottom="0.15748031496062992" header="0.39370078740157483" footer="0.11811023622047245"/>
  <pageSetup paperSize="9" scale="40" fitToHeight="3" orientation="portrait" r:id="rId1"/>
  <rowBreaks count="1" manualBreakCount="1">
    <brk id="15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BP 2020 v.I dle HAZ - MAT.</vt:lpstr>
      <vt:lpstr>BP 2020, SZM_HAZ</vt:lpstr>
      <vt:lpstr>BP 2020, Léky, ZM v.I-souhrn</vt:lpstr>
      <vt:lpstr>CL 2020 PLÁN - SOUHRN </vt:lpstr>
      <vt:lpstr>'BP 2020, Léky, ZM v.I-souhrn'!Oblast_tisku</vt:lpstr>
      <vt:lpstr>'BP 2020, SZM_HAZ'!Oblast_tisku</vt:lpstr>
      <vt:lpstr>'CL 2020 PLÁN - SOUHRN 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Knápek Martin, Ing.</cp:lastModifiedBy>
  <cp:lastPrinted>2020-01-03T09:17:10Z</cp:lastPrinted>
  <dcterms:created xsi:type="dcterms:W3CDTF">2019-11-20T13:19:35Z</dcterms:created>
  <dcterms:modified xsi:type="dcterms:W3CDTF">2020-01-09T12:08:03Z</dcterms:modified>
</cp:coreProperties>
</file>