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961E20F5-A079-43CB-BBAA-AE07DE8D04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2020" sheetId="3" r:id="rId1"/>
    <sheet name="Počet porcí 2019" sheetId="4" r:id="rId2"/>
    <sheet name="2017 ceník" sheetId="5" r:id="rId3"/>
    <sheet name="rozpočet" sheetId="2" r:id="rId4"/>
    <sheet name="501 16 402" sheetId="1" r:id="rId5"/>
    <sheet name="501 16 403" sheetId="6" r:id="rId6"/>
    <sheet name="501 16 502" sheetId="10" r:id="rId7"/>
    <sheet name="518 07 411" sheetId="11" r:id="rId8"/>
    <sheet name="648 24 415" sheetId="7" r:id="rId9"/>
    <sheet name="649 08 512" sheetId="8" r:id="rId10"/>
    <sheet name="649 24 411" sheetId="9" r:id="rId11"/>
    <sheet name="649 24 413" sheetId="12" r:id="rId12"/>
    <sheet name="649 24 511" sheetId="13" r:id="rId13"/>
  </sheets>
  <externalReferences>
    <externalReference r:id="rId14"/>
  </externalReferences>
  <definedNames>
    <definedName name="_xlnm.Print_Area" localSheetId="2">'2017 ceník'!#REF!</definedName>
    <definedName name="_xlnm.Print_Area" localSheetId="1">'Počet porcí 2019'!$A$1:$P$32</definedName>
    <definedName name="_xlnm.Print_Area" localSheetId="0">'R2020'!$A$1:$F$44</definedName>
  </definedNames>
  <calcPr calcId="191029"/>
  <pivotCaches>
    <pivotCache cacheId="9" r:id="rId15"/>
    <pivotCache cacheId="10" r:id="rId16"/>
    <pivotCache cacheId="11" r:id="rId17"/>
    <pivotCache cacheId="12" r:id="rId18"/>
    <pivotCache cacheId="13" r:id="rId19"/>
    <pivotCache cacheId="14" r:id="rId20"/>
    <pivotCache cacheId="15" r:id="rId21"/>
    <pivotCache cacheId="16" r:id="rId22"/>
    <pivotCache cacheId="17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3" l="1"/>
  <c r="D4" i="3"/>
  <c r="Y10" i="8" l="1"/>
  <c r="Y2" i="7"/>
  <c r="R10" i="8"/>
  <c r="Y3" i="8"/>
  <c r="Y4" i="8"/>
  <c r="Y5" i="8"/>
  <c r="Y6" i="8"/>
  <c r="Y7" i="8"/>
  <c r="Y8" i="8"/>
  <c r="Y9" i="8"/>
  <c r="Y2" i="8"/>
  <c r="Y3" i="13" l="1"/>
  <c r="Y4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2" i="13"/>
  <c r="G152" i="2"/>
  <c r="G151" i="2"/>
  <c r="Y3" i="9"/>
  <c r="Y4" i="9"/>
  <c r="Y5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" i="9"/>
  <c r="G104" i="2"/>
  <c r="Y10" i="6"/>
  <c r="K42" i="2"/>
  <c r="I49" i="2"/>
  <c r="J49" i="2"/>
  <c r="K148" i="2"/>
  <c r="P11" i="4" l="1"/>
  <c r="B24" i="2" l="1"/>
  <c r="B25" i="2"/>
  <c r="E14" i="5"/>
  <c r="D26" i="3"/>
  <c r="C28" i="3"/>
  <c r="E81" i="2"/>
  <c r="C81" i="2"/>
  <c r="F81" i="2"/>
  <c r="B22" i="2"/>
  <c r="B81" i="2"/>
  <c r="I81" i="2"/>
  <c r="G81" i="2"/>
  <c r="H81" i="2"/>
  <c r="D81" i="2"/>
  <c r="C30" i="3"/>
  <c r="B26" i="2" l="1"/>
  <c r="C25" i="2"/>
  <c r="Y3" i="7" l="1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2" i="1"/>
  <c r="G22" i="2"/>
  <c r="G44" i="3"/>
  <c r="G40" i="3"/>
  <c r="G36" i="3"/>
  <c r="B7" i="4" l="1"/>
  <c r="B4" i="4"/>
  <c r="C7" i="4"/>
  <c r="C4" i="4"/>
  <c r="D4" i="4"/>
  <c r="D7" i="4"/>
  <c r="E7" i="4"/>
  <c r="E4" i="4"/>
  <c r="F7" i="4"/>
  <c r="F4" i="4"/>
  <c r="G7" i="4"/>
  <c r="G10" i="4"/>
  <c r="G4" i="4"/>
  <c r="H7" i="4"/>
  <c r="H4" i="4"/>
  <c r="I7" i="4"/>
  <c r="I4" i="4"/>
  <c r="J4" i="4"/>
  <c r="J12" i="4" s="1"/>
  <c r="J7" i="4"/>
  <c r="K4" i="4" l="1"/>
  <c r="H36" i="3" s="1"/>
  <c r="L4" i="4"/>
  <c r="C24" i="2"/>
  <c r="C26" i="2" s="1"/>
  <c r="G169" i="2"/>
  <c r="G168" i="2"/>
  <c r="Y3" i="12"/>
  <c r="Y4" i="12"/>
  <c r="Y5" i="12"/>
  <c r="Y6" i="12"/>
  <c r="Y7" i="12"/>
  <c r="Y8" i="12"/>
  <c r="Y9" i="12"/>
  <c r="Y10" i="12"/>
  <c r="Y2" i="12"/>
  <c r="G83" i="2"/>
  <c r="Y3" i="11"/>
  <c r="Y4" i="11"/>
  <c r="Y5" i="11"/>
  <c r="Y6" i="11"/>
  <c r="Y7" i="11"/>
  <c r="Y8" i="11"/>
  <c r="Y9" i="11"/>
  <c r="Y2" i="11"/>
  <c r="G42" i="3"/>
  <c r="G39" i="3"/>
  <c r="G43" i="3"/>
  <c r="G65" i="2" l="1"/>
  <c r="G64" i="2"/>
  <c r="Y3" i="10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" i="10"/>
  <c r="G41" i="3"/>
  <c r="G38" i="3"/>
  <c r="G37" i="3"/>
  <c r="H41" i="3" l="1"/>
  <c r="H38" i="3"/>
  <c r="F37" i="3"/>
  <c r="F38" i="3"/>
  <c r="F39" i="3"/>
  <c r="F40" i="3"/>
  <c r="F41" i="3"/>
  <c r="F42" i="3"/>
  <c r="F43" i="3"/>
  <c r="F44" i="3"/>
  <c r="F36" i="3"/>
  <c r="D49" i="2"/>
  <c r="G125" i="2"/>
  <c r="H49" i="2"/>
  <c r="F49" i="2"/>
  <c r="E49" i="2"/>
  <c r="C125" i="2"/>
  <c r="C49" i="2"/>
  <c r="D125" i="2"/>
  <c r="B49" i="2"/>
  <c r="B125" i="2"/>
  <c r="E125" i="2"/>
  <c r="F125" i="2"/>
  <c r="H125" i="2"/>
  <c r="G49" i="2"/>
  <c r="B25" i="3" l="1"/>
  <c r="E5" i="5" l="1"/>
  <c r="E6" i="5" s="1"/>
  <c r="G122" i="2" l="1"/>
  <c r="G121" i="2"/>
  <c r="G105" i="2"/>
  <c r="G47" i="2"/>
  <c r="G46" i="2"/>
  <c r="Y3" i="6"/>
  <c r="Y4" i="6"/>
  <c r="Y5" i="6"/>
  <c r="Y6" i="6"/>
  <c r="Y7" i="6"/>
  <c r="Y8" i="6"/>
  <c r="Y9" i="6"/>
  <c r="Y2" i="6"/>
  <c r="C25" i="3"/>
  <c r="F9" i="4" l="1"/>
  <c r="E9" i="4"/>
  <c r="D9" i="4"/>
  <c r="C9" i="4"/>
  <c r="B9" i="4"/>
  <c r="N5" i="4"/>
  <c r="N6" i="4"/>
  <c r="P6" i="4" s="1"/>
  <c r="C11" i="3" s="1"/>
  <c r="N10" i="4"/>
  <c r="N11" i="4"/>
  <c r="N13" i="4"/>
  <c r="P13" i="4" s="1"/>
  <c r="P10" i="4" l="1"/>
  <c r="C15" i="3" s="1"/>
  <c r="P5" i="4"/>
  <c r="H42" i="3" s="1"/>
  <c r="H43" i="3"/>
  <c r="H37" i="3"/>
  <c r="N9" i="4"/>
  <c r="N7" i="4"/>
  <c r="P7" i="4" s="1"/>
  <c r="P9" i="4" l="1"/>
  <c r="H44" i="3" s="1"/>
  <c r="C7" i="3"/>
  <c r="E10" i="3" s="1"/>
  <c r="D25" i="3"/>
  <c r="E19" i="3"/>
  <c r="E15" i="3"/>
  <c r="E7" i="3"/>
  <c r="P15" i="4"/>
  <c r="I16" i="4"/>
  <c r="H16" i="4"/>
  <c r="G16" i="4"/>
  <c r="F16" i="4"/>
  <c r="E16" i="4"/>
  <c r="D16" i="4"/>
  <c r="C16" i="4"/>
  <c r="B16" i="4"/>
  <c r="G8" i="4"/>
  <c r="E8" i="4"/>
  <c r="E8" i="3" l="1"/>
  <c r="E9" i="3" s="1"/>
  <c r="C16" i="3"/>
  <c r="C12" i="4"/>
  <c r="C14" i="4" s="1"/>
  <c r="G12" i="4"/>
  <c r="G14" i="4" s="1"/>
  <c r="D12" i="4"/>
  <c r="D15" i="4" s="1"/>
  <c r="H12" i="4"/>
  <c r="H14" i="4" s="1"/>
  <c r="E12" i="4"/>
  <c r="I12" i="4"/>
  <c r="L12" i="4"/>
  <c r="L15" i="4" s="1"/>
  <c r="J15" i="4"/>
  <c r="K12" i="4"/>
  <c r="K14" i="4" s="1"/>
  <c r="M12" i="4"/>
  <c r="M15" i="4" s="1"/>
  <c r="B12" i="4"/>
  <c r="F12" i="4"/>
  <c r="F15" i="4" s="1"/>
  <c r="N8" i="4"/>
  <c r="P8" i="4" s="1"/>
  <c r="C29" i="3"/>
  <c r="C31" i="3" s="1"/>
  <c r="H40" i="3" s="1"/>
  <c r="E12" i="3"/>
  <c r="C41" i="3" s="1"/>
  <c r="E13" i="3"/>
  <c r="C37" i="3" s="1"/>
  <c r="E11" i="3"/>
  <c r="C43" i="3" s="1"/>
  <c r="N16" i="4"/>
  <c r="C14" i="3"/>
  <c r="E15" i="4"/>
  <c r="H15" i="4"/>
  <c r="E20" i="3" l="1"/>
  <c r="E16" i="3"/>
  <c r="F31" i="3"/>
  <c r="F25" i="3"/>
  <c r="C39" i="3" s="1"/>
  <c r="H39" i="3"/>
  <c r="G15" i="4"/>
  <c r="I15" i="4"/>
  <c r="L14" i="4"/>
  <c r="M14" i="4"/>
  <c r="K15" i="4"/>
  <c r="N4" i="4"/>
  <c r="D14" i="4"/>
  <c r="C15" i="4"/>
  <c r="P4" i="4"/>
  <c r="C3" i="3" s="1"/>
  <c r="J14" i="4"/>
  <c r="B14" i="4"/>
  <c r="N12" i="4"/>
  <c r="P12" i="4" s="1"/>
  <c r="I14" i="4"/>
  <c r="F14" i="4"/>
  <c r="E14" i="4"/>
  <c r="B15" i="4"/>
  <c r="E4" i="3" l="1"/>
  <c r="C40" i="3" s="1"/>
  <c r="E6" i="3"/>
  <c r="C36" i="3" s="1"/>
  <c r="E3" i="3"/>
  <c r="P14" i="4"/>
  <c r="P17" i="4" s="1"/>
  <c r="N14" i="4"/>
  <c r="E18" i="3"/>
  <c r="E21" i="3" s="1"/>
  <c r="C44" i="3" s="1"/>
  <c r="E14" i="3"/>
  <c r="E17" i="3" s="1"/>
  <c r="C38" i="3" s="1"/>
  <c r="P16" i="4" l="1"/>
  <c r="E5" i="3"/>
  <c r="C42" i="3"/>
  <c r="D56" i="5"/>
  <c r="D48" i="5"/>
  <c r="D40" i="5"/>
  <c r="D32" i="5"/>
  <c r="N68" i="4"/>
  <c r="M67" i="4"/>
  <c r="M69" i="4" s="1"/>
  <c r="I66" i="4"/>
  <c r="N66" i="4" s="1"/>
  <c r="N65" i="4"/>
  <c r="N64" i="4"/>
  <c r="L63" i="4"/>
  <c r="K63" i="4"/>
  <c r="J63" i="4"/>
  <c r="J67" i="4" s="1"/>
  <c r="J69" i="4" s="1"/>
  <c r="I63" i="4"/>
  <c r="I67" i="4" s="1"/>
  <c r="I69" i="4" s="1"/>
  <c r="H63" i="4"/>
  <c r="H67" i="4" s="1"/>
  <c r="H69" i="4" s="1"/>
  <c r="G63" i="4"/>
  <c r="G67" i="4" s="1"/>
  <c r="G69" i="4" s="1"/>
  <c r="F63" i="4"/>
  <c r="F67" i="4" s="1"/>
  <c r="F69" i="4" s="1"/>
  <c r="E63" i="4"/>
  <c r="E67" i="4" s="1"/>
  <c r="E69" i="4" s="1"/>
  <c r="D63" i="4"/>
  <c r="D67" i="4" s="1"/>
  <c r="D69" i="4" s="1"/>
  <c r="C63" i="4"/>
  <c r="C67" i="4" s="1"/>
  <c r="C69" i="4" s="1"/>
  <c r="B63" i="4"/>
  <c r="B67" i="4" s="1"/>
  <c r="K62" i="4"/>
  <c r="N62" i="4" s="1"/>
  <c r="L61" i="4"/>
  <c r="K61" i="4"/>
  <c r="N57" i="4"/>
  <c r="M56" i="4"/>
  <c r="M58" i="4" s="1"/>
  <c r="N55" i="4"/>
  <c r="N54" i="4"/>
  <c r="N53" i="4"/>
  <c r="L52" i="4"/>
  <c r="L56" i="4" s="1"/>
  <c r="L58" i="4" s="1"/>
  <c r="K52" i="4"/>
  <c r="K56" i="4" s="1"/>
  <c r="K58" i="4" s="1"/>
  <c r="J52" i="4"/>
  <c r="J56" i="4" s="1"/>
  <c r="J58" i="4" s="1"/>
  <c r="I52" i="4"/>
  <c r="I56" i="4" s="1"/>
  <c r="I58" i="4" s="1"/>
  <c r="H52" i="4"/>
  <c r="H56" i="4" s="1"/>
  <c r="H58" i="4" s="1"/>
  <c r="G52" i="4"/>
  <c r="G56" i="4" s="1"/>
  <c r="G58" i="4" s="1"/>
  <c r="F52" i="4"/>
  <c r="F56" i="4" s="1"/>
  <c r="F58" i="4" s="1"/>
  <c r="E52" i="4"/>
  <c r="E56" i="4" s="1"/>
  <c r="E58" i="4" s="1"/>
  <c r="D52" i="4"/>
  <c r="D56" i="4" s="1"/>
  <c r="D58" i="4" s="1"/>
  <c r="C52" i="4"/>
  <c r="C56" i="4" s="1"/>
  <c r="C58" i="4" s="1"/>
  <c r="B52" i="4"/>
  <c r="B56" i="4" s="1"/>
  <c r="N51" i="4"/>
  <c r="N50" i="4"/>
  <c r="N46" i="4"/>
  <c r="N43" i="4"/>
  <c r="L42" i="4"/>
  <c r="L44" i="4" s="1"/>
  <c r="K42" i="4"/>
  <c r="K44" i="4" s="1"/>
  <c r="J42" i="4"/>
  <c r="J44" i="4" s="1"/>
  <c r="I42" i="4"/>
  <c r="I44" i="4" s="1"/>
  <c r="H42" i="4"/>
  <c r="H44" i="4" s="1"/>
  <c r="G42" i="4"/>
  <c r="G44" i="4" s="1"/>
  <c r="F42" i="4"/>
  <c r="F44" i="4" s="1"/>
  <c r="E42" i="4"/>
  <c r="E44" i="4" s="1"/>
  <c r="D42" i="4"/>
  <c r="D44" i="4" s="1"/>
  <c r="C42" i="4"/>
  <c r="C44" i="4" s="1"/>
  <c r="B42" i="4"/>
  <c r="B44" i="4" s="1"/>
  <c r="N41" i="4"/>
  <c r="M40" i="4"/>
  <c r="N40" i="4" s="1"/>
  <c r="N39" i="4"/>
  <c r="M38" i="4"/>
  <c r="N37" i="4"/>
  <c r="N36" i="4"/>
  <c r="N35" i="4"/>
  <c r="N32" i="4"/>
  <c r="N29" i="4"/>
  <c r="P29" i="4" s="1"/>
  <c r="M28" i="4"/>
  <c r="M30" i="4" s="1"/>
  <c r="L28" i="4"/>
  <c r="L30" i="4" s="1"/>
  <c r="K28" i="4"/>
  <c r="K30" i="4" s="1"/>
  <c r="N27" i="4"/>
  <c r="P27" i="4" s="1"/>
  <c r="J26" i="4"/>
  <c r="I26" i="4"/>
  <c r="H26" i="4"/>
  <c r="G26" i="4"/>
  <c r="F26" i="4"/>
  <c r="E26" i="4"/>
  <c r="D26" i="4"/>
  <c r="C26" i="4"/>
  <c r="B26" i="4"/>
  <c r="N25" i="4"/>
  <c r="P25" i="4" s="1"/>
  <c r="N24" i="4"/>
  <c r="P24" i="4" s="1"/>
  <c r="J23" i="4"/>
  <c r="I23" i="4"/>
  <c r="H23" i="4"/>
  <c r="G23" i="4"/>
  <c r="F23" i="4"/>
  <c r="E23" i="4"/>
  <c r="D23" i="4"/>
  <c r="C23" i="4"/>
  <c r="B23" i="4"/>
  <c r="N22" i="4"/>
  <c r="P22" i="4" s="1"/>
  <c r="N21" i="4"/>
  <c r="P21" i="4" s="1"/>
  <c r="J20" i="4"/>
  <c r="I20" i="4"/>
  <c r="H20" i="4"/>
  <c r="G20" i="4"/>
  <c r="F20" i="4"/>
  <c r="E20" i="4"/>
  <c r="D20" i="4"/>
  <c r="C20" i="4"/>
  <c r="B20" i="4"/>
  <c r="F75" i="3"/>
  <c r="C85" i="3" s="1"/>
  <c r="C75" i="3"/>
  <c r="B75" i="3"/>
  <c r="E70" i="3"/>
  <c r="B66" i="3"/>
  <c r="E69" i="3"/>
  <c r="B65" i="3"/>
  <c r="E65" i="3" s="1"/>
  <c r="B64" i="3"/>
  <c r="B63" i="3"/>
  <c r="E62" i="3"/>
  <c r="C87" i="3" s="1"/>
  <c r="B60" i="3"/>
  <c r="B56" i="3"/>
  <c r="E28" i="4" l="1"/>
  <c r="I28" i="4"/>
  <c r="B28" i="4"/>
  <c r="M42" i="4"/>
  <c r="M44" i="4" s="1"/>
  <c r="N44" i="4" s="1"/>
  <c r="D75" i="3"/>
  <c r="C78" i="3" s="1"/>
  <c r="C79" i="3" s="1"/>
  <c r="F79" i="3" s="1"/>
  <c r="E56" i="3"/>
  <c r="E58" i="3"/>
  <c r="E57" i="3"/>
  <c r="E60" i="3"/>
  <c r="E64" i="3"/>
  <c r="E66" i="3"/>
  <c r="E68" i="3"/>
  <c r="E71" i="3" s="1"/>
  <c r="C90" i="3" s="1"/>
  <c r="E54" i="3"/>
  <c r="E63" i="3"/>
  <c r="D28" i="4"/>
  <c r="D30" i="4" s="1"/>
  <c r="H28" i="4"/>
  <c r="H31" i="4" s="1"/>
  <c r="K67" i="4"/>
  <c r="K69" i="4" s="1"/>
  <c r="C28" i="4"/>
  <c r="C30" i="4" s="1"/>
  <c r="F28" i="4"/>
  <c r="F31" i="4" s="1"/>
  <c r="J28" i="4"/>
  <c r="J30" i="4" s="1"/>
  <c r="G28" i="4"/>
  <c r="G30" i="4" s="1"/>
  <c r="N26" i="4"/>
  <c r="P26" i="4" s="1"/>
  <c r="L31" i="4"/>
  <c r="L67" i="4"/>
  <c r="L69" i="4" s="1"/>
  <c r="M31" i="4"/>
  <c r="E31" i="4"/>
  <c r="E30" i="4"/>
  <c r="I30" i="4"/>
  <c r="I31" i="4"/>
  <c r="B30" i="4"/>
  <c r="F30" i="4"/>
  <c r="J31" i="4"/>
  <c r="B58" i="4"/>
  <c r="N58" i="4" s="1"/>
  <c r="N56" i="4"/>
  <c r="G31" i="4"/>
  <c r="B69" i="4"/>
  <c r="N23" i="4"/>
  <c r="P23" i="4" s="1"/>
  <c r="N63" i="4"/>
  <c r="N20" i="4"/>
  <c r="P20" i="4" s="1"/>
  <c r="N52" i="4"/>
  <c r="K31" i="4"/>
  <c r="N61" i="4"/>
  <c r="N38" i="4"/>
  <c r="E53" i="3"/>
  <c r="E61" i="3"/>
  <c r="C89" i="3" s="1"/>
  <c r="N42" i="4" l="1"/>
  <c r="H30" i="4"/>
  <c r="N67" i="4"/>
  <c r="N69" i="4"/>
  <c r="C82" i="3"/>
  <c r="C31" i="4"/>
  <c r="N28" i="4"/>
  <c r="E59" i="3"/>
  <c r="C83" i="3"/>
  <c r="G56" i="3"/>
  <c r="E67" i="3"/>
  <c r="C84" i="3" s="1"/>
  <c r="G53" i="3"/>
  <c r="C86" i="3"/>
  <c r="G54" i="3"/>
  <c r="P28" i="4"/>
  <c r="P30" i="4" s="1"/>
  <c r="D31" i="4"/>
  <c r="B31" i="4"/>
  <c r="N30" i="4"/>
  <c r="E55" i="3"/>
  <c r="C88" i="3"/>
  <c r="C91" i="3" l="1"/>
  <c r="P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64025</author>
  </authors>
  <commentList>
    <comment ref="D4" authorId="0" shapeId="0" xr:uid="{8716BAD9-C175-43B5-A6C7-07CE46265FD3}">
      <text>
        <r>
          <rPr>
            <sz val="9"/>
            <color indexed="81"/>
            <rFont val="Tahoma"/>
            <family val="2"/>
            <charset val="238"/>
          </rPr>
          <t xml:space="preserve">dle Ing. Knápka z 26.11.2019 navýšení hodnoty suroviny o 2 Kč kryté z FKSP
</t>
        </r>
      </text>
    </comment>
    <comment ref="D5" authorId="0" shapeId="0" xr:uid="{CE13380F-7502-480A-A06B-8A022D816CAE}">
      <text>
        <r>
          <rPr>
            <sz val="9"/>
            <color indexed="81"/>
            <rFont val="Tahoma"/>
            <family val="2"/>
            <charset val="238"/>
          </rPr>
          <t xml:space="preserve">dle Ing. Knápka z 26.11.2019 navýšení hodnoty suroviny o 2 Kč kryté z FKSP
</t>
        </r>
      </text>
    </comment>
    <comment ref="B6" authorId="0" shapeId="0" xr:uid="{28185165-3271-40A1-AB52-7AE92045E296}">
      <text>
        <r>
          <rPr>
            <sz val="9"/>
            <color indexed="81"/>
            <rFont val="Tahoma"/>
            <family val="2"/>
            <charset val="238"/>
          </rPr>
          <t xml:space="preserve">dle Ing. Knápka z 26.11.2019 navýšení hodnoty suroviny o 2 Kč kryté z FKSP
</t>
        </r>
      </text>
    </comment>
    <comment ref="D8" authorId="0" shapeId="0" xr:uid="{CBAAAAD9-CD69-483A-BEF4-EB3D86F25227}">
      <text>
        <r>
          <rPr>
            <sz val="9"/>
            <color indexed="81"/>
            <rFont val="Tahoma"/>
            <family val="2"/>
            <charset val="238"/>
          </rPr>
          <t xml:space="preserve">dle Ing. Knápka z 26.11.2019 navýšení hodnoty suroviny o 1,8 Kč kryté z FKSP
</t>
        </r>
      </text>
    </comment>
    <comment ref="D9" authorId="0" shapeId="0" xr:uid="{A5EB7F50-2D06-41BD-A06B-015764798447}">
      <text>
        <r>
          <rPr>
            <sz val="9"/>
            <color indexed="81"/>
            <rFont val="Tahoma"/>
            <family val="2"/>
            <charset val="238"/>
          </rPr>
          <t xml:space="preserve">dle Ing. Knápka z 26.11.2019 navýšení hodnoty suroviny o 1,8 Kč kryté z FKSP
</t>
        </r>
      </text>
    </comment>
    <comment ref="B10" authorId="0" shapeId="0" xr:uid="{2EF00180-0DC5-4C01-8212-04D623BC28A8}">
      <text>
        <r>
          <rPr>
            <sz val="9"/>
            <color indexed="81"/>
            <rFont val="Tahoma"/>
            <family val="2"/>
            <charset val="238"/>
          </rPr>
          <t xml:space="preserve">dle Ing. Knápka z 26.11.2019 navýšení hodnoty suroviny o 1,8 Kč kryté z FKSP
</t>
        </r>
      </text>
    </comment>
    <comment ref="D62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příspěvek ministerstva školství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A5" authorId="0" shapeId="0" xr:uid="{94AC9FB7-EF4B-4399-A29A-7F43657448CA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účtuje se jen příspěvek FKSP
</t>
        </r>
      </text>
    </commen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Důchodci+FN nedotované+Cizí+školka jesle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D61" authorId="0" shapeId="0" xr:uid="{7C59A28E-238C-436F-AC3C-28CD6D6917C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Dodatek č.4 ke Smlouvě o zajištění stravování, od 09/2019
</t>
        </r>
      </text>
    </comment>
  </commentList>
</comments>
</file>

<file path=xl/sharedStrings.xml><?xml version="1.0" encoding="utf-8"?>
<sst xmlns="http://schemas.openxmlformats.org/spreadsheetml/2006/main" count="3866" uniqueCount="849">
  <si>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</si>
  <si>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</si>
  <si>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</si>
  <si>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</si>
  <si>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</si>
  <si>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</si>
  <si>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</si>
  <si>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</si>
  <si>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</si>
  <si>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</si>
  <si>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</si>
  <si>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</si>
  <si>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</si>
  <si>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</si>
  <si>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</si>
  <si>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</si>
  <si>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</si>
  <si>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</si>
  <si>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</si>
  <si>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</si>
  <si>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</si>
  <si>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</si>
  <si>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</si>
  <si>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</si>
  <si>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</si>
  <si>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</si>
  <si>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</si>
  <si>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</si>
  <si>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</si>
  <si>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</si>
  <si>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</si>
  <si>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</si>
  <si>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</si>
  <si>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ID-2019-56-000012</t>
  </si>
  <si>
    <t>Interní doklad</t>
  </si>
  <si>
    <t>000</t>
  </si>
  <si>
    <t>9501</t>
  </si>
  <si>
    <t>13204002</t>
  </si>
  <si>
    <t>HC</t>
  </si>
  <si>
    <t>STRAV: Provoz stravování - ostatní stravování</t>
  </si>
  <si>
    <t>Fakultní nemocnice Olomouc</t>
  </si>
  <si>
    <t>326476456,10870</t>
  </si>
  <si>
    <t>STRAV_ZAM</t>
  </si>
  <si>
    <t>Lexová Martina</t>
  </si>
  <si>
    <t>Import výdejek ze skladu Anete "8305/"</t>
  </si>
  <si>
    <t>Hlavní činnost</t>
  </si>
  <si>
    <t>Stravování zaměstnanci</t>
  </si>
  <si>
    <t>ID-2019-56-000013</t>
  </si>
  <si>
    <t>326485285,10870</t>
  </si>
  <si>
    <t>Import vratek ze skladu Anete "/8305"</t>
  </si>
  <si>
    <t>ID-2019-56-000049</t>
  </si>
  <si>
    <t>329721842,10870</t>
  </si>
  <si>
    <t>ID-2019-56-000050</t>
  </si>
  <si>
    <t>329730152,10870</t>
  </si>
  <si>
    <t>ID-2019-56-000061</t>
  </si>
  <si>
    <t>Sklad zaměstnanci - převod počátečního stavu</t>
  </si>
  <si>
    <t>329873090,10870</t>
  </si>
  <si>
    <t>STRAV_PREVOD_POC</t>
  </si>
  <si>
    <t>ID-2019-56-000078</t>
  </si>
  <si>
    <t>333291501,10870</t>
  </si>
  <si>
    <t>ID-2019-56-000079</t>
  </si>
  <si>
    <t>333300075,10870</t>
  </si>
  <si>
    <t>ID-2019-56-000117</t>
  </si>
  <si>
    <t>337797193,10870</t>
  </si>
  <si>
    <t>ID-2019-56-000118</t>
  </si>
  <si>
    <t>337805340,10870</t>
  </si>
  <si>
    <t>ID-2019-56-000145</t>
  </si>
  <si>
    <t>340910585,10870</t>
  </si>
  <si>
    <t>ID-2019-56-000146</t>
  </si>
  <si>
    <t>340919006,10870</t>
  </si>
  <si>
    <t>ID-2019-56-000170</t>
  </si>
  <si>
    <t>343575638,10870</t>
  </si>
  <si>
    <t>ID-2019-56-000171</t>
  </si>
  <si>
    <t>343583976,10870</t>
  </si>
  <si>
    <t>ID-2019-56-000195</t>
  </si>
  <si>
    <t>346447338,10870</t>
  </si>
  <si>
    <t>ID-2019-56-000196</t>
  </si>
  <si>
    <t>346457153,10870</t>
  </si>
  <si>
    <t>ID-2019-56-000223</t>
  </si>
  <si>
    <t>350499105,10870</t>
  </si>
  <si>
    <t>ID-2019-56-000224</t>
  </si>
  <si>
    <t>350507175,10870</t>
  </si>
  <si>
    <t>ID-2019-91-000001</t>
  </si>
  <si>
    <t>Studenti a stážisté 1/19</t>
  </si>
  <si>
    <t>50116403</t>
  </si>
  <si>
    <t>326491493,10870</t>
  </si>
  <si>
    <t>Buzková Eva</t>
  </si>
  <si>
    <t>ID-2019-91-000002</t>
  </si>
  <si>
    <t>Cizí strávníci 1/19</t>
  </si>
  <si>
    <t>39520002</t>
  </si>
  <si>
    <t>326491823,10870</t>
  </si>
  <si>
    <t>ID-2019-91-000004</t>
  </si>
  <si>
    <t>Studenti a stážisté 2/19</t>
  </si>
  <si>
    <t>329754695,10870</t>
  </si>
  <si>
    <t>ID-2019-91-000005</t>
  </si>
  <si>
    <t>Cizí strávníci 2/19</t>
  </si>
  <si>
    <t>50116502</t>
  </si>
  <si>
    <t>329755840,10870</t>
  </si>
  <si>
    <t>ID-2019-91-000007</t>
  </si>
  <si>
    <t>Studenti a stážisté 3/19</t>
  </si>
  <si>
    <t>333312210,10870</t>
  </si>
  <si>
    <t>ID-2019-91-000008</t>
  </si>
  <si>
    <t>Cizí strávníci 3/19</t>
  </si>
  <si>
    <t>39520000</t>
  </si>
  <si>
    <t>333313505,10870</t>
  </si>
  <si>
    <t>ID-2019-91-000010</t>
  </si>
  <si>
    <t>Cizí strávníci 2/19-chybné účtování - oprava 3.19</t>
  </si>
  <si>
    <t>335076247,10870</t>
  </si>
  <si>
    <t>Odvozeno z interního dokladu č. ID-2019-91-000005</t>
  </si>
  <si>
    <t>ID-2019-91-000011</t>
  </si>
  <si>
    <t>Studenti a stážisté</t>
  </si>
  <si>
    <t>337552861,10870</t>
  </si>
  <si>
    <t>ID-2019-91-000012</t>
  </si>
  <si>
    <t>Cizí strávníci</t>
  </si>
  <si>
    <t>337553326,10870</t>
  </si>
  <si>
    <t>ID-2019-91-000014</t>
  </si>
  <si>
    <t>340843445,10870</t>
  </si>
  <si>
    <t>ID-2019-91-000015</t>
  </si>
  <si>
    <t>340844304,10870</t>
  </si>
  <si>
    <t>ID-2019-91-000017</t>
  </si>
  <si>
    <t>343687384,10870</t>
  </si>
  <si>
    <t>ID-2019-91-000018</t>
  </si>
  <si>
    <t>343688433,10870</t>
  </si>
  <si>
    <t>ID-2019-91-000020</t>
  </si>
  <si>
    <t>346514335,10870</t>
  </si>
  <si>
    <t>ID-2019-91-000021</t>
  </si>
  <si>
    <t>346517544,10870</t>
  </si>
  <si>
    <t>ID-2019-91-000023</t>
  </si>
  <si>
    <t>350038389,10870</t>
  </si>
  <si>
    <t>ID-2019-91-000024</t>
  </si>
  <si>
    <t>350041305,10870</t>
  </si>
  <si>
    <t>Měsíc</t>
  </si>
  <si>
    <t>Popisky sloupců</t>
  </si>
  <si>
    <t>Celkový součet</t>
  </si>
  <si>
    <t>Popisky řádků</t>
  </si>
  <si>
    <t>Součet z Částka MD</t>
  </si>
  <si>
    <t>Rozpočet 2019</t>
  </si>
  <si>
    <t>Rozpočet 2019 - Stravování</t>
  </si>
  <si>
    <t>_</t>
  </si>
  <si>
    <t>cena surovin/porce</t>
  </si>
  <si>
    <t>počet porcí/rok</t>
  </si>
  <si>
    <t>cena/porce</t>
  </si>
  <si>
    <t>celková cena</t>
  </si>
  <si>
    <t>účet</t>
  </si>
  <si>
    <t>Zaměstnanci</t>
  </si>
  <si>
    <t>649 24 411</t>
  </si>
  <si>
    <t>FKSP</t>
  </si>
  <si>
    <t>648 24 415</t>
  </si>
  <si>
    <t>SUMA</t>
  </si>
  <si>
    <t>Suroviny zaměstnanci</t>
  </si>
  <si>
    <t>501 16 402</t>
  </si>
  <si>
    <t>Chlazená strava</t>
  </si>
  <si>
    <t>Suroviny chlazen.strava</t>
  </si>
  <si>
    <t>Studenti, stážisté</t>
  </si>
  <si>
    <t>649 24 413</t>
  </si>
  <si>
    <t>649 08 512</t>
  </si>
  <si>
    <t>Suroviny studenti</t>
  </si>
  <si>
    <t>501 16 403</t>
  </si>
  <si>
    <t>Suroviny cizí</t>
  </si>
  <si>
    <t>suroviny jesle</t>
  </si>
  <si>
    <t>suroviny školka</t>
  </si>
  <si>
    <t>501 16 502</t>
  </si>
  <si>
    <t>cizí</t>
  </si>
  <si>
    <t>jesle</t>
  </si>
  <si>
    <t>školka</t>
  </si>
  <si>
    <t>649 24 511</t>
  </si>
  <si>
    <t>Cena obědů pro zaměstnance Kliniky zubního lékařství</t>
  </si>
  <si>
    <t>nákl.org. FNOL Kč/porci</t>
  </si>
  <si>
    <t>příspěvek z FKSP</t>
  </si>
  <si>
    <t>celkem</t>
  </si>
  <si>
    <t>518 07 411</t>
  </si>
  <si>
    <t>R2019</t>
  </si>
  <si>
    <t>stav účtu 518 07 411 01-09/2018</t>
  </si>
  <si>
    <t>počet porcí 01-09/2018</t>
  </si>
  <si>
    <t>počet porcí 01-12/2018</t>
  </si>
  <si>
    <t>přepočet</t>
  </si>
  <si>
    <t>Účet</t>
  </si>
  <si>
    <t>Název účtu</t>
  </si>
  <si>
    <t>Výpočet</t>
  </si>
  <si>
    <t>závodní stravování</t>
  </si>
  <si>
    <t>studenti, stážisté</t>
  </si>
  <si>
    <t>externí strávníci</t>
  </si>
  <si>
    <t>stravné dodavatelsky</t>
  </si>
  <si>
    <t>FKSP - příspěvěk na stravu</t>
  </si>
  <si>
    <t>příspěvěk na stravu UP</t>
  </si>
  <si>
    <t>strava zaměstnanci</t>
  </si>
  <si>
    <t>strava studenti</t>
  </si>
  <si>
    <t>strava cizí</t>
  </si>
  <si>
    <t>Oddělení stravování</t>
  </si>
  <si>
    <t>1 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</si>
  <si>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</si>
  <si>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</si>
  <si>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</si>
  <si>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</si>
  <si>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</si>
  <si>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</si>
  <si>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</si>
  <si>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</si>
  <si>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</si>
  <si>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</si>
  <si>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</si>
  <si>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Celkem</t>
  </si>
  <si>
    <t>Dopočet dle období 01-09/2018</t>
  </si>
  <si>
    <t xml:space="preserve">   zaměstnanci</t>
  </si>
  <si>
    <t xml:space="preserve">     - z toho chlazená strava</t>
  </si>
  <si>
    <t xml:space="preserve">   stážisti</t>
  </si>
  <si>
    <t xml:space="preserve">   cizí</t>
  </si>
  <si>
    <t xml:space="preserve">     - z toho zaměstnanci nedotovaní</t>
  </si>
  <si>
    <t xml:space="preserve">   jesle</t>
  </si>
  <si>
    <t xml:space="preserve">   školka</t>
  </si>
  <si>
    <t xml:space="preserve">   studenti</t>
  </si>
  <si>
    <t xml:space="preserve">Celkem počet jídel </t>
  </si>
  <si>
    <t xml:space="preserve">   pacienti</t>
  </si>
  <si>
    <t>celkem vč.pacientské</t>
  </si>
  <si>
    <t>počet ošetřujících dnů</t>
  </si>
  <si>
    <t>1 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</si>
  <si>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</si>
  <si>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</si>
  <si>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</si>
  <si>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</si>
  <si>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</si>
  <si>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</si>
  <si>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</si>
  <si>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</si>
  <si>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</si>
  <si>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</si>
  <si>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</si>
  <si>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</si>
  <si>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</si>
  <si>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</si>
  <si>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</si>
  <si>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</si>
  <si>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</si>
  <si>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</si>
  <si>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</si>
  <si>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</si>
  <si>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</si>
  <si>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</si>
  <si>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</si>
  <si>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zaměstnanci</t>
  </si>
  <si>
    <t>stážisti</t>
  </si>
  <si>
    <t>studenti</t>
  </si>
  <si>
    <t xml:space="preserve">              pacienti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</si>
  <si>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</si>
  <si>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</si>
  <si>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</si>
  <si>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</si>
  <si>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</si>
  <si>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</si>
  <si>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</si>
  <si>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</si>
  <si>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</si>
  <si>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</si>
  <si>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</si>
  <si>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</si>
  <si>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Ceník stravování ve FNOL od 1. 7. 2017</t>
  </si>
  <si>
    <t>Cena stravenky pro zaměstnance s příspěvkem z FKSP (zaměstnanci, důchodci)</t>
  </si>
  <si>
    <t>Suroviny zaměstanci</t>
  </si>
  <si>
    <t>Suroviny - přísp. FKSP</t>
  </si>
  <si>
    <t>Suroviny celkem</t>
  </si>
  <si>
    <t>DPH 15% ze surovin zaměst.</t>
  </si>
  <si>
    <t>Haléřové vyrovnání</t>
  </si>
  <si>
    <t>Cena pro strávníka</t>
  </si>
  <si>
    <t>Chlazená strava dodávaná na oddělení FNOL</t>
  </si>
  <si>
    <t>Cena stravenky pro strávníky bez příspěvku z FKSP (studenti, stážisté)</t>
  </si>
  <si>
    <t>Suroviny</t>
  </si>
  <si>
    <t>DPH 15% ze suroviny</t>
  </si>
  <si>
    <t>DPH 15% z haléřového vyrovnání</t>
  </si>
  <si>
    <t>Cena stravenky pro cizí strávníky</t>
  </si>
  <si>
    <t xml:space="preserve">Režijní přirážka </t>
  </si>
  <si>
    <t>Marže z celkových nákladů</t>
  </si>
  <si>
    <t>DPH 15% ze ZD</t>
  </si>
  <si>
    <t>Cena pro cizí strávníky přes ulici</t>
  </si>
  <si>
    <t>Cena pro odběratele - jesle Bambino</t>
  </si>
  <si>
    <t>Cena pro odběratle - MŠ Karafiátova</t>
  </si>
  <si>
    <t>Režijní přirážka</t>
  </si>
  <si>
    <t>Cena obědů pro  zaměstnance  Kliniky zubního lékařství</t>
  </si>
  <si>
    <t>náklady organizace FNOL dle vyhl. 430/2001 Sb.</t>
  </si>
  <si>
    <t>suroviny - hradí zaměstnanec</t>
  </si>
  <si>
    <t>suroviny - příspěvek zaměstnavatele z FKSP</t>
  </si>
  <si>
    <t xml:space="preserve">Cena obědu </t>
  </si>
  <si>
    <t>V Olomouci dne 30.6.2017</t>
  </si>
  <si>
    <t>Zpracoval: Ing. Zdeněk Havlíček</t>
  </si>
  <si>
    <t>Schválil: Ing. Tomáš Uvízl</t>
  </si>
  <si>
    <t>vedoucí OEC</t>
  </si>
  <si>
    <t>ekonomický náměstek FNOL</t>
  </si>
  <si>
    <t>Odsouhlasil: Bc. Pavlína Křivková</t>
  </si>
  <si>
    <t>vedoucí OEF</t>
  </si>
  <si>
    <t>průměr  1- 5/2019</t>
  </si>
  <si>
    <t>průměr  6- 8/2019</t>
  </si>
  <si>
    <t>1 /2019</t>
  </si>
  <si>
    <t>2 /2019</t>
  </si>
  <si>
    <t>3 /2019</t>
  </si>
  <si>
    <t>4 /2019</t>
  </si>
  <si>
    <t>5 /2019</t>
  </si>
  <si>
    <t>6 /2019</t>
  </si>
  <si>
    <t>7 /2019</t>
  </si>
  <si>
    <t>8 /2019</t>
  </si>
  <si>
    <t>9 /2019</t>
  </si>
  <si>
    <t>10 /2019</t>
  </si>
  <si>
    <t>11 /2019</t>
  </si>
  <si>
    <t>12 /2019</t>
  </si>
  <si>
    <t>Dopočet dle období 01-12/2019</t>
  </si>
  <si>
    <t>Rozpočet 2020 - Stravování</t>
  </si>
  <si>
    <t>počet porcí 01-12/2019</t>
  </si>
  <si>
    <t>501 16 402 - 403, 501 16 502, 518 07 411</t>
  </si>
  <si>
    <t>648 24 415,  649 08 512, 649 24 411, 649 24 413, 649 24 511</t>
  </si>
  <si>
    <t>50116402</t>
  </si>
  <si>
    <t>ID-2019-08-000001</t>
  </si>
  <si>
    <t>SZŠ - příspěvek na stravu 1/19</t>
  </si>
  <si>
    <t>41232000</t>
  </si>
  <si>
    <t>326488332,10870</t>
  </si>
  <si>
    <t>ID-2019-08-000002</t>
  </si>
  <si>
    <t>Příspěvek na stravu - zaměstnanci 1/19</t>
  </si>
  <si>
    <t>326490084,10870</t>
  </si>
  <si>
    <t>ID-2019-08-000006</t>
  </si>
  <si>
    <t>SZŠ - příspěvek na stravu 2/19</t>
  </si>
  <si>
    <t>329750156,10870</t>
  </si>
  <si>
    <t>ID-2019-08-000007</t>
  </si>
  <si>
    <t>Příspěvek na stravu - zaměstnanci 2/19</t>
  </si>
  <si>
    <t>329753186,10870</t>
  </si>
  <si>
    <t>ID-2019-08-000011</t>
  </si>
  <si>
    <t>SZŠ - příspěvek na stravu 3/19</t>
  </si>
  <si>
    <t>333310028,10870</t>
  </si>
  <si>
    <t>ID-2019-08-000012</t>
  </si>
  <si>
    <t>Příspěvek na stravu - zaměstnanci 3/19</t>
  </si>
  <si>
    <t>333311224,10870</t>
  </si>
  <si>
    <t>ID-2019-08-000016</t>
  </si>
  <si>
    <t>SZŠ - příspěvek na stravu</t>
  </si>
  <si>
    <t>337536232,10870</t>
  </si>
  <si>
    <t>ID-2019-08-000017</t>
  </si>
  <si>
    <t>Příspěve na stravu - zaměstnanci</t>
  </si>
  <si>
    <t>337551907,10870</t>
  </si>
  <si>
    <t>ID-2019-08-000022</t>
  </si>
  <si>
    <t>340840920,10870</t>
  </si>
  <si>
    <t>ID-2019-08-000023</t>
  </si>
  <si>
    <t>Příspěvek na stravu - zaměstnanci</t>
  </si>
  <si>
    <t>340842422,10870</t>
  </si>
  <si>
    <t>ID-2019-08-000028</t>
  </si>
  <si>
    <t>SZŠ - příspěvek ns stravu</t>
  </si>
  <si>
    <t>343684743,10870</t>
  </si>
  <si>
    <t>ID-2019-08-000029</t>
  </si>
  <si>
    <t>343686021,10870</t>
  </si>
  <si>
    <t>ID-2019-08-000033</t>
  </si>
  <si>
    <t>346504872,10870</t>
  </si>
  <si>
    <t>ID-2019-08-000037</t>
  </si>
  <si>
    <t>350036270,10870</t>
  </si>
  <si>
    <t>ID-2019-08-000038</t>
  </si>
  <si>
    <t>350048397,10870</t>
  </si>
  <si>
    <t>Součet z Částka DAL</t>
  </si>
  <si>
    <t>FV-2019-43-000242</t>
  </si>
  <si>
    <t>Faktura vydaná</t>
  </si>
  <si>
    <t>31105006</t>
  </si>
  <si>
    <t>VC</t>
  </si>
  <si>
    <t>Univerzita Palackého v Olomouci</t>
  </si>
  <si>
    <t>943000242</t>
  </si>
  <si>
    <t>F STRAVA UP</t>
  </si>
  <si>
    <t>326654680,10870</t>
  </si>
  <si>
    <t>Vedlejší činnost</t>
  </si>
  <si>
    <t>FV-2019-43-000508</t>
  </si>
  <si>
    <t>Obědy</t>
  </si>
  <si>
    <t>943000508</t>
  </si>
  <si>
    <t>329831472,10870</t>
  </si>
  <si>
    <t>FV-2019-43-000776</t>
  </si>
  <si>
    <t>943000776</t>
  </si>
  <si>
    <t>333714567,10870</t>
  </si>
  <si>
    <t>FV-2019-43-001020</t>
  </si>
  <si>
    <t>Obědy 4/2019</t>
  </si>
  <si>
    <t>943001020</t>
  </si>
  <si>
    <t>338256149,10870</t>
  </si>
  <si>
    <t>FV-2019-43-001267</t>
  </si>
  <si>
    <t>Obědy 5/2019</t>
  </si>
  <si>
    <t>943001267</t>
  </si>
  <si>
    <t>340860666,10870</t>
  </si>
  <si>
    <t>FV-2019-43-001515</t>
  </si>
  <si>
    <t>188</t>
  </si>
  <si>
    <t>943001515</t>
  </si>
  <si>
    <t>343462222,10870</t>
  </si>
  <si>
    <t>FV-2019-43-001729</t>
  </si>
  <si>
    <t>943001729</t>
  </si>
  <si>
    <t>346888597,10870</t>
  </si>
  <si>
    <t>FV-2019-43-001928</t>
  </si>
  <si>
    <t>943001928</t>
  </si>
  <si>
    <t>349743562,10870</t>
  </si>
  <si>
    <t>ID-2019-01-000063</t>
  </si>
  <si>
    <t>strava sražená ze mzdy 1/19</t>
  </si>
  <si>
    <t>1180</t>
  </si>
  <si>
    <t>33168000</t>
  </si>
  <si>
    <t>326902871,10870</t>
  </si>
  <si>
    <t>Reifová Milada</t>
  </si>
  <si>
    <t>ID-2019-01-000080</t>
  </si>
  <si>
    <t>strava sražená ze mzdy 2/19</t>
  </si>
  <si>
    <t>330097123,10870</t>
  </si>
  <si>
    <t>ID-2019-01-000118</t>
  </si>
  <si>
    <t>strava sražená ze mzdy 3/19</t>
  </si>
  <si>
    <t>333855601,10870</t>
  </si>
  <si>
    <t>ID-2019-01-000154</t>
  </si>
  <si>
    <t>strava sražená ze mzdy 4/19</t>
  </si>
  <si>
    <t>338321753,10870</t>
  </si>
  <si>
    <t>ID-2019-01-000436</t>
  </si>
  <si>
    <t>strava sražená ze mzdy 5/19</t>
  </si>
  <si>
    <t>341290412,10870</t>
  </si>
  <si>
    <t>ID-2019-01-000471</t>
  </si>
  <si>
    <t>strava sražená ze mzdy 6/19</t>
  </si>
  <si>
    <t>343966461,10870</t>
  </si>
  <si>
    <t>ID-2019-01-000517</t>
  </si>
  <si>
    <t>strava sražená ze mzdy 7/19</t>
  </si>
  <si>
    <t>346884452,10870</t>
  </si>
  <si>
    <t>ID-2019-01-000553</t>
  </si>
  <si>
    <t>strava sražená ze mzdy 8/19</t>
  </si>
  <si>
    <t>350774668,10870</t>
  </si>
  <si>
    <t>ID-2019-400-000398</t>
  </si>
  <si>
    <t>Smutný Štěpán-vrácení stravného za 7/19</t>
  </si>
  <si>
    <t>39520001</t>
  </si>
  <si>
    <t>Smutný Štěpán</t>
  </si>
  <si>
    <t>348831544,10870</t>
  </si>
  <si>
    <t>ID-2019-91-000003</t>
  </si>
  <si>
    <t>Potraviny - tržby 1/19</t>
  </si>
  <si>
    <t>32403411</t>
  </si>
  <si>
    <t>326615334,10870</t>
  </si>
  <si>
    <t>ID-2019-91-000006</t>
  </si>
  <si>
    <t>Potraviny - tržby 2/19</t>
  </si>
  <si>
    <t>329826119,10870</t>
  </si>
  <si>
    <t>ID-2019-91-000009</t>
  </si>
  <si>
    <t>Potraviny - tržby 3/19</t>
  </si>
  <si>
    <t>333382730,10870</t>
  </si>
  <si>
    <t>ID-2019-91-000013</t>
  </si>
  <si>
    <t>Potraviny - tržby</t>
  </si>
  <si>
    <t>337563606,10870</t>
  </si>
  <si>
    <t>ID-2019-91-000016</t>
  </si>
  <si>
    <t>340858945,10870</t>
  </si>
  <si>
    <t>ID-2019-91-000019</t>
  </si>
  <si>
    <t>343709054,10870</t>
  </si>
  <si>
    <t>ID-2019-91-000022</t>
  </si>
  <si>
    <t>346582246,10870</t>
  </si>
  <si>
    <t>ID-2019-91-000025</t>
  </si>
  <si>
    <t>350068499,10870</t>
  </si>
  <si>
    <t>ROK   2019</t>
  </si>
  <si>
    <t>Nárůst</t>
  </si>
  <si>
    <t>Cena za porci</t>
  </si>
  <si>
    <t>Příspěvek za porci</t>
  </si>
  <si>
    <t>649 08 512 - příspěvek na stravu - UP</t>
  </si>
  <si>
    <t>648 24 415 - FKSP - příspěvek an stavu</t>
  </si>
  <si>
    <t>ID-2019-56-000003</t>
  </si>
  <si>
    <t>326425045,10870</t>
  </si>
  <si>
    <t>STRAV_JESLE_MS</t>
  </si>
  <si>
    <t>Stravování - jesle, MŠ</t>
  </si>
  <si>
    <t>ID-2019-56-000038</t>
  </si>
  <si>
    <t>329666176,10870</t>
  </si>
  <si>
    <t>ID-2019-56-000039</t>
  </si>
  <si>
    <t>329668302,10870</t>
  </si>
  <si>
    <t>ID-2019-56-000070</t>
  </si>
  <si>
    <t>333237013,10870</t>
  </si>
  <si>
    <t>ID-2019-56-000110</t>
  </si>
  <si>
    <t>337747269,10870</t>
  </si>
  <si>
    <t>ID-2019-56-000136</t>
  </si>
  <si>
    <t>340862663,10870</t>
  </si>
  <si>
    <t>ID-2019-56-000162</t>
  </si>
  <si>
    <t>343516086,10870</t>
  </si>
  <si>
    <t>ID-2019-56-000186</t>
  </si>
  <si>
    <t>346396720,10870</t>
  </si>
  <si>
    <t>ID-2019-56-000205</t>
  </si>
  <si>
    <t>346641917,10870</t>
  </si>
  <si>
    <t>ID-2019-56-000215</t>
  </si>
  <si>
    <t>350453966,10870</t>
  </si>
  <si>
    <t>ID-2019-56-000238</t>
  </si>
  <si>
    <t>354325932,10870</t>
  </si>
  <si>
    <t>ID-2019-91-000027</t>
  </si>
  <si>
    <t>354535015,10870</t>
  </si>
  <si>
    <t>501 16 502 - Externí strávníci</t>
  </si>
  <si>
    <t>FP-2019-10-000608</t>
  </si>
  <si>
    <t>Dodatek č. 2 ke Smlouvě o zajištění stravování - Klinika zubního lékařství za1/2019</t>
  </si>
  <si>
    <t>Střední zdravotnická škola a Vyšší odborná škola zdravotnická Emanuela Pöttinga a Jazyková škola s právem státní jazykov</t>
  </si>
  <si>
    <t>2019011</t>
  </si>
  <si>
    <t>326217647,10870</t>
  </si>
  <si>
    <t>STRAV</t>
  </si>
  <si>
    <t>FP-2019-10-001112</t>
  </si>
  <si>
    <t>Dodatek č. 2 ke Smlouvě o zajištění stravování - Klinika zubního lékařství</t>
  </si>
  <si>
    <t>2019029</t>
  </si>
  <si>
    <t>329104028,10870</t>
  </si>
  <si>
    <t>FP-2019-10-001743</t>
  </si>
  <si>
    <t>Dodatek č. 2 ke Smlouvě o zajištění stravování - Klinika zubního lékařství 3/2019</t>
  </si>
  <si>
    <t>2019048</t>
  </si>
  <si>
    <t>332784281,10870</t>
  </si>
  <si>
    <t>FP-2019-10-002406</t>
  </si>
  <si>
    <t>Dodatek č. 2 ke Smlouvě o zajištění stravování - Klinika zubního lékařství 4/2019</t>
  </si>
  <si>
    <t>2019072</t>
  </si>
  <si>
    <t>336927061,10870</t>
  </si>
  <si>
    <t>FP-2019-10-003063</t>
  </si>
  <si>
    <t>Dodatek č. 2 ke Smlouvě o zajištění stravování - Klinika zubního lékařství 5/2019</t>
  </si>
  <si>
    <t>2019095</t>
  </si>
  <si>
    <t>340147089,10870</t>
  </si>
  <si>
    <t>FP-2019-10-003784</t>
  </si>
  <si>
    <t>Dodatek č. 2 ke Smlouvě o zajištění stravování - Klinika zubního lékařství 6/2019</t>
  </si>
  <si>
    <t>2019118</t>
  </si>
  <si>
    <t>343152196,10870</t>
  </si>
  <si>
    <t>FP-2019-10-004918</t>
  </si>
  <si>
    <t>Dodatek č. 2 ke Smlouvě o zajištění stravování - Klinika zubního lékařství 8/2019</t>
  </si>
  <si>
    <t>2019137</t>
  </si>
  <si>
    <t>349753809,10870</t>
  </si>
  <si>
    <t>FP-2019-10-005555</t>
  </si>
  <si>
    <t>Dodatek č. 4 ke Smlouvě o zajištění stravování - Klinika zubního lékařství 9/2019</t>
  </si>
  <si>
    <t>2019154</t>
  </si>
  <si>
    <t>353685412,10870</t>
  </si>
  <si>
    <t>518 07 411 - Stravné dodavatelsky</t>
  </si>
  <si>
    <t>průměr  1- 6/2019</t>
  </si>
  <si>
    <t>Rozpočet 2020 v tis. Kč</t>
  </si>
  <si>
    <t>Rozpočet 2019 v tis.Kč</t>
  </si>
  <si>
    <t>649 24 411 - Strava zaměstnanci</t>
  </si>
  <si>
    <t>32403413</t>
  </si>
  <si>
    <t>ID-2019-91-000028</t>
  </si>
  <si>
    <t>354560465,10870</t>
  </si>
  <si>
    <t>649 24 413 - Strava studenti</t>
  </si>
  <si>
    <t>průměr  6- 9/2019</t>
  </si>
  <si>
    <t>ID-2019-56-000247</t>
  </si>
  <si>
    <t>354371566,10870</t>
  </si>
  <si>
    <t>ID-2019-56-000248</t>
  </si>
  <si>
    <t>354380273,10870</t>
  </si>
  <si>
    <t>ID-2019-91-000026</t>
  </si>
  <si>
    <t>354534350,10870</t>
  </si>
  <si>
    <t>ok</t>
  </si>
  <si>
    <t>Celkem Součet z Částka MD</t>
  </si>
  <si>
    <t>Celkem Součet z Částka DAL</t>
  </si>
  <si>
    <t>Poznámka :</t>
  </si>
  <si>
    <t>v roce 2019 pokles počtu studentů</t>
  </si>
  <si>
    <t>Výpočet v Kč - počty porcí</t>
  </si>
  <si>
    <t>Stav na účtu k 30.9.2019</t>
  </si>
  <si>
    <t>Dopočet účtu k 31.12.2019</t>
  </si>
  <si>
    <t>DV-2019-043-000005</t>
  </si>
  <si>
    <t>Omylem vystavena duplicitní faktura</t>
  </si>
  <si>
    <t>ELPREMO, spol. s r.o.</t>
  </si>
  <si>
    <t>9043000005</t>
  </si>
  <si>
    <t>F STRAVA_CIZI</t>
  </si>
  <si>
    <t>346895737,10870</t>
  </si>
  <si>
    <t>FV-2019-43-000210</t>
  </si>
  <si>
    <t>943000210</t>
  </si>
  <si>
    <t>325683341,10870</t>
  </si>
  <si>
    <t>Jakšová Jana</t>
  </si>
  <si>
    <t>FV-2019-43-000241</t>
  </si>
  <si>
    <t>943000241</t>
  </si>
  <si>
    <t>326556827,10870</t>
  </si>
  <si>
    <t>FV-2019-43-000244</t>
  </si>
  <si>
    <t>Veolia Energie ČR, a.s.</t>
  </si>
  <si>
    <t>943000244</t>
  </si>
  <si>
    <t>326683937,10870</t>
  </si>
  <si>
    <t>FV-2019-43-000245</t>
  </si>
  <si>
    <t>EXBIO Olomouc s.r.o.</t>
  </si>
  <si>
    <t>943000245</t>
  </si>
  <si>
    <t>326686846,10870</t>
  </si>
  <si>
    <t>FV-2019-43-000246</t>
  </si>
  <si>
    <t>Jolana Látalová</t>
  </si>
  <si>
    <t>943000246</t>
  </si>
  <si>
    <t>326689904,10870</t>
  </si>
  <si>
    <t>FV-2019-43-000247</t>
  </si>
  <si>
    <t>Mateřská škola 1. olomoucká sportovní s.r.o.</t>
  </si>
  <si>
    <t>943000247</t>
  </si>
  <si>
    <t>326690993,10870</t>
  </si>
  <si>
    <t>FV-2019-43-000248</t>
  </si>
  <si>
    <t>943000248</t>
  </si>
  <si>
    <t>326694801,10870</t>
  </si>
  <si>
    <t>FV-2019-43-000249</t>
  </si>
  <si>
    <t>943000249</t>
  </si>
  <si>
    <t>326696076,10870</t>
  </si>
  <si>
    <t>FV-2019-43-000251</t>
  </si>
  <si>
    <t>943000251</t>
  </si>
  <si>
    <t>326721720,10870</t>
  </si>
  <si>
    <t>FV-2019-43-000448</t>
  </si>
  <si>
    <t>obědy v rámci předatestačního kurzu "Urodynamické vyšetření" ve dnech 14.-15.2.2019</t>
  </si>
  <si>
    <t>943000448</t>
  </si>
  <si>
    <t>328346392,10870</t>
  </si>
  <si>
    <t>FV-2019-43-000458</t>
  </si>
  <si>
    <t>Obědy ve dnech 23.-24.2.2019 - Kongres UPdent</t>
  </si>
  <si>
    <t>943000458</t>
  </si>
  <si>
    <t>328689343,10870</t>
  </si>
  <si>
    <t>obj. č. 4511019998</t>
  </si>
  <si>
    <t>FV-2019-43-000460</t>
  </si>
  <si>
    <t>943000460</t>
  </si>
  <si>
    <t>329047675,10870</t>
  </si>
  <si>
    <t>FV-2019-43-000507</t>
  </si>
  <si>
    <t>943000507</t>
  </si>
  <si>
    <t>329830722,10870</t>
  </si>
  <si>
    <t>FV-2019-43-000510</t>
  </si>
  <si>
    <t>943000510</t>
  </si>
  <si>
    <t>329832665,10870</t>
  </si>
  <si>
    <t>FV-2019-43-000511</t>
  </si>
  <si>
    <t>943000511</t>
  </si>
  <si>
    <t>329834029,10870</t>
  </si>
  <si>
    <t>FV-2019-43-000512</t>
  </si>
  <si>
    <t>943000512</t>
  </si>
  <si>
    <t>329835129,10870</t>
  </si>
  <si>
    <t>FV-2019-43-000513</t>
  </si>
  <si>
    <t>943000513</t>
  </si>
  <si>
    <t>329835545,10870</t>
  </si>
  <si>
    <t>FV-2019-43-000514</t>
  </si>
  <si>
    <t>Obědy BG</t>
  </si>
  <si>
    <t>943000514</t>
  </si>
  <si>
    <t>329835932,10870</t>
  </si>
  <si>
    <t>FV-2019-43-000515</t>
  </si>
  <si>
    <t>943000515</t>
  </si>
  <si>
    <t>329836777,10870</t>
  </si>
  <si>
    <t>FV-2019-43-000517</t>
  </si>
  <si>
    <t>943000517</t>
  </si>
  <si>
    <t>329837691,10870</t>
  </si>
  <si>
    <t>FV-2019-43-000526</t>
  </si>
  <si>
    <t>Obědy v rámci předatestačního kurzu "Ženská urologie"</t>
  </si>
  <si>
    <t>943000526</t>
  </si>
  <si>
    <t>331143790,10870</t>
  </si>
  <si>
    <t>FV-2019-43-000763</t>
  </si>
  <si>
    <t>943000763</t>
  </si>
  <si>
    <t>332957888,10870</t>
  </si>
  <si>
    <t>FV-2019-43-000769</t>
  </si>
  <si>
    <t>Obědy 3/2019</t>
  </si>
  <si>
    <t>943000769</t>
  </si>
  <si>
    <t>333706439,10870</t>
  </si>
  <si>
    <t>FV-2019-43-000770</t>
  </si>
  <si>
    <t>943000770</t>
  </si>
  <si>
    <t>333710221,10870</t>
  </si>
  <si>
    <t>FV-2019-43-000771</t>
  </si>
  <si>
    <t>943000771</t>
  </si>
  <si>
    <t>333711417,10870</t>
  </si>
  <si>
    <t>FV-2019-43-000772</t>
  </si>
  <si>
    <t>Mateřská škola                                              1. olomoucká sportovní s.r.o.</t>
  </si>
  <si>
    <t>943000772</t>
  </si>
  <si>
    <t>333712058,10870</t>
  </si>
  <si>
    <t>FV-2019-43-000773</t>
  </si>
  <si>
    <t>943000773</t>
  </si>
  <si>
    <t>333713416,10870</t>
  </si>
  <si>
    <t>FV-2019-43-000774</t>
  </si>
  <si>
    <t>943000774</t>
  </si>
  <si>
    <t>333713856,10870</t>
  </si>
  <si>
    <t>FV-2019-43-000775</t>
  </si>
  <si>
    <t>943000775</t>
  </si>
  <si>
    <t>333714098,10870</t>
  </si>
  <si>
    <t>FV-2019-43-000777</t>
  </si>
  <si>
    <t>IFMSA Česká republika, z.s.</t>
  </si>
  <si>
    <t>943000777</t>
  </si>
  <si>
    <t>333715025,10870</t>
  </si>
  <si>
    <t>FV-2019-43-000778</t>
  </si>
  <si>
    <t>943000778</t>
  </si>
  <si>
    <t>333718523,10870</t>
  </si>
  <si>
    <t>FV-2019-43-000986</t>
  </si>
  <si>
    <t>943000986</t>
  </si>
  <si>
    <t>337131507,10870</t>
  </si>
  <si>
    <t>FV-2019-43-001019</t>
  </si>
  <si>
    <t>943001019</t>
  </si>
  <si>
    <t>338254324,10870</t>
  </si>
  <si>
    <t>FV-2019-43-001022</t>
  </si>
  <si>
    <t>943001022</t>
  </si>
  <si>
    <t>338258648,10870</t>
  </si>
  <si>
    <t>FV-2019-43-001023</t>
  </si>
  <si>
    <t>943001023</t>
  </si>
  <si>
    <t>338259094,10870</t>
  </si>
  <si>
    <t>FV-2019-43-001024</t>
  </si>
  <si>
    <t>943001024</t>
  </si>
  <si>
    <t>338259316,10870</t>
  </si>
  <si>
    <t>FV-2019-43-001025</t>
  </si>
  <si>
    <t>943001025</t>
  </si>
  <si>
    <t>338260003,10870</t>
  </si>
  <si>
    <t>FV-2019-43-001026</t>
  </si>
  <si>
    <t>943001026</t>
  </si>
  <si>
    <t>338260273,10870</t>
  </si>
  <si>
    <t>FV-2019-43-001027</t>
  </si>
  <si>
    <t>943001027</t>
  </si>
  <si>
    <t>338260975,10870</t>
  </si>
  <si>
    <t>FV-2019-43-001029</t>
  </si>
  <si>
    <t>943001029</t>
  </si>
  <si>
    <t>338261648,10870</t>
  </si>
  <si>
    <t>FV-2019-43-001041</t>
  </si>
  <si>
    <t>Obědy dne 14.5.2019 - hosti konference SVOČ</t>
  </si>
  <si>
    <t>943001041</t>
  </si>
  <si>
    <t>338858659,10870</t>
  </si>
  <si>
    <t>obj. č. 44511020666</t>
  </si>
  <si>
    <t>FV-2019-43-001042</t>
  </si>
  <si>
    <t>943001042</t>
  </si>
  <si>
    <t>338858877,10870</t>
  </si>
  <si>
    <t>obj. č. 4512022673</t>
  </si>
  <si>
    <t>FV-2019-43-001263</t>
  </si>
  <si>
    <t>943001263</t>
  </si>
  <si>
    <t>340250216,10870</t>
  </si>
  <si>
    <t>FV-2019-43-001266</t>
  </si>
  <si>
    <t>943001266</t>
  </si>
  <si>
    <t>340860229,10870</t>
  </si>
  <si>
    <t>FV-2019-43-001270</t>
  </si>
  <si>
    <t>943001270</t>
  </si>
  <si>
    <t>340861615,10870</t>
  </si>
  <si>
    <t>FV-2019-43-001271</t>
  </si>
  <si>
    <t>943001271</t>
  </si>
  <si>
    <t>340862202,10870</t>
  </si>
  <si>
    <t>FV-2019-43-001272</t>
  </si>
  <si>
    <t>943001272</t>
  </si>
  <si>
    <t>340862507,10870</t>
  </si>
  <si>
    <t>FV-2019-43-001273</t>
  </si>
  <si>
    <t>943001273</t>
  </si>
  <si>
    <t>340865629,10870</t>
  </si>
  <si>
    <t>FV-2019-43-001274</t>
  </si>
  <si>
    <t>943001274</t>
  </si>
  <si>
    <t>340866425,10870</t>
  </si>
  <si>
    <t>FV-2019-43-001275</t>
  </si>
  <si>
    <t>943001275</t>
  </si>
  <si>
    <t>340866898,10870</t>
  </si>
  <si>
    <t>FV-2019-43-001276</t>
  </si>
  <si>
    <t>943001276</t>
  </si>
  <si>
    <t>340869452,10870</t>
  </si>
  <si>
    <t>FV-2019-43-001316</t>
  </si>
  <si>
    <t>Objednávka obědů v rámci akce: Olomouc Live Endoscopy konané ve dnech 20.-21.6.2019</t>
  </si>
  <si>
    <t>GUARANT International spol. s r.o.</t>
  </si>
  <si>
    <t>943001316</t>
  </si>
  <si>
    <t>342648234,10870</t>
  </si>
  <si>
    <t>FV-2019-43-001505</t>
  </si>
  <si>
    <t>943001505</t>
  </si>
  <si>
    <t>343145172,10870</t>
  </si>
  <si>
    <t>FV-2019-43-001506</t>
  </si>
  <si>
    <t>943001506</t>
  </si>
  <si>
    <t>343446525,10870</t>
  </si>
  <si>
    <t>FV-2019-43-001507</t>
  </si>
  <si>
    <t>943001507</t>
  </si>
  <si>
    <t>343447787,10870</t>
  </si>
  <si>
    <t>FV-2019-43-001508</t>
  </si>
  <si>
    <t>943001508</t>
  </si>
  <si>
    <t>343448356,10870</t>
  </si>
  <si>
    <t>FV-2019-43-001509</t>
  </si>
  <si>
    <t>943001509</t>
  </si>
  <si>
    <t>343448771,10870</t>
  </si>
  <si>
    <t>FV-2019-43-001510</t>
  </si>
  <si>
    <t>943001510</t>
  </si>
  <si>
    <t>343449621,10870</t>
  </si>
  <si>
    <t>FV-2019-43-001513</t>
  </si>
  <si>
    <t>943001513</t>
  </si>
  <si>
    <t>343460675,10870</t>
  </si>
  <si>
    <t>FV-2019-43-001516</t>
  </si>
  <si>
    <t>943001516</t>
  </si>
  <si>
    <t>343462843,10870</t>
  </si>
  <si>
    <t>FV-2019-43-001519</t>
  </si>
  <si>
    <t>Obědy 6/2019</t>
  </si>
  <si>
    <t>943001519</t>
  </si>
  <si>
    <t>343468929,10870</t>
  </si>
  <si>
    <t>FV-2019-43-001719</t>
  </si>
  <si>
    <t>943001719</t>
  </si>
  <si>
    <t>346036574,10870</t>
  </si>
  <si>
    <t>FV-2019-43-001728</t>
  </si>
  <si>
    <t>Obědy 7/2019</t>
  </si>
  <si>
    <t>943001728</t>
  </si>
  <si>
    <t>346888328,10870</t>
  </si>
  <si>
    <t>FV-2019-43-001731</t>
  </si>
  <si>
    <t>943001731</t>
  </si>
  <si>
    <t>346890524,10870</t>
  </si>
  <si>
    <t>FV-2019-43-001732</t>
  </si>
  <si>
    <t>943001732</t>
  </si>
  <si>
    <t>346891878,10870</t>
  </si>
  <si>
    <t>FV-2019-43-001733</t>
  </si>
  <si>
    <t>943001733</t>
  </si>
  <si>
    <t>346893431,10870</t>
  </si>
  <si>
    <t>FV-2019-43-001734</t>
  </si>
  <si>
    <t>943001734</t>
  </si>
  <si>
    <t>346895007,10870</t>
  </si>
  <si>
    <t>FV-2019-43-001735</t>
  </si>
  <si>
    <t>943001735</t>
  </si>
  <si>
    <t>FV-2019-43-001737</t>
  </si>
  <si>
    <t>943001737</t>
  </si>
  <si>
    <t>346897296,10870</t>
  </si>
  <si>
    <t>FV-2019-43-001739</t>
  </si>
  <si>
    <t>943001739</t>
  </si>
  <si>
    <t>346903129,10870</t>
  </si>
  <si>
    <t>FV-2019-43-001903</t>
  </si>
  <si>
    <t>943001903</t>
  </si>
  <si>
    <t>349376805,10870</t>
  </si>
  <si>
    <t>FV-2019-43-001926</t>
  </si>
  <si>
    <t>943001926</t>
  </si>
  <si>
    <t>349737326,10870</t>
  </si>
  <si>
    <t>FV-2019-43-001927</t>
  </si>
  <si>
    <t>Kantýna</t>
  </si>
  <si>
    <t>150</t>
  </si>
  <si>
    <t>9503</t>
  </si>
  <si>
    <t>STRAV: Provoz stravování - Kantýna</t>
  </si>
  <si>
    <t>943001927</t>
  </si>
  <si>
    <t>349739135,10870</t>
  </si>
  <si>
    <t>FV-2019-43-001929</t>
  </si>
  <si>
    <t>943001929</t>
  </si>
  <si>
    <t>349745349,10870</t>
  </si>
  <si>
    <t>FV-2019-43-001930</t>
  </si>
  <si>
    <t>943001930</t>
  </si>
  <si>
    <t>349746650,10870</t>
  </si>
  <si>
    <t>FV-2019-43-001931</t>
  </si>
  <si>
    <t>943001931</t>
  </si>
  <si>
    <t>349747491,10870</t>
  </si>
  <si>
    <t>FV-2019-43-001932</t>
  </si>
  <si>
    <t>943001932</t>
  </si>
  <si>
    <t>349762020,10870</t>
  </si>
  <si>
    <t>FV-2019-43-001934</t>
  </si>
  <si>
    <t>943001934</t>
  </si>
  <si>
    <t>349771110,10870</t>
  </si>
  <si>
    <t>FV-2019-43-001935</t>
  </si>
  <si>
    <t>943001935</t>
  </si>
  <si>
    <t>349776474,10870</t>
  </si>
  <si>
    <t>FV-2019-43-002172</t>
  </si>
  <si>
    <t>943002172</t>
  </si>
  <si>
    <t>353829388,10870</t>
  </si>
  <si>
    <t>32403511</t>
  </si>
  <si>
    <t>ID-2019-08-000043</t>
  </si>
  <si>
    <t>354222509,10870</t>
  </si>
  <si>
    <t>ID-2019-08-000044</t>
  </si>
  <si>
    <t>354531274,10870</t>
  </si>
  <si>
    <t>649 24 511 - Strava cizí</t>
  </si>
  <si>
    <t>od 09/2019 zvýšen příspěvek FKSP na 12,25 Kč</t>
  </si>
  <si>
    <t>počet porcí 01-08/2019</t>
  </si>
  <si>
    <t>počet porcí 09/2019</t>
  </si>
  <si>
    <t>stav účtu 518 07 411 01-08/2019</t>
  </si>
  <si>
    <t>Ceník do 08/2019</t>
  </si>
  <si>
    <t>Ceník od 09/2019</t>
  </si>
  <si>
    <t xml:space="preserve">počet porcí </t>
  </si>
  <si>
    <t>změna smlouvy, vyšší příspěvek FKSP</t>
  </si>
  <si>
    <t>Skutečná spotřeba surovin 1-9/2019</t>
  </si>
  <si>
    <t>účet 501 16 402</t>
  </si>
  <si>
    <t>chlazenky</t>
  </si>
  <si>
    <t>teplá strava</t>
  </si>
  <si>
    <t xml:space="preserve">    počet porcí</t>
  </si>
  <si>
    <t>Průměrná cena  dle spotřeby</t>
  </si>
  <si>
    <t>prosinec 2018</t>
  </si>
  <si>
    <t xml:space="preserve">   chlazená strava (nezapočtena v počtu porcí)</t>
  </si>
  <si>
    <t>Ne</t>
  </si>
  <si>
    <t>ID-2019-01-000580</t>
  </si>
  <si>
    <t>strava sražená ze mzdy 9/19</t>
  </si>
  <si>
    <t>355300892,10870</t>
  </si>
  <si>
    <t>FV-2019-43-002227</t>
  </si>
  <si>
    <t>943002227</t>
  </si>
  <si>
    <t>355255073,10870</t>
  </si>
  <si>
    <t>FV-2019-43-002228</t>
  </si>
  <si>
    <t>943002228</t>
  </si>
  <si>
    <t>355255869,10870</t>
  </si>
  <si>
    <t>FV-2019-43-002230</t>
  </si>
  <si>
    <t>943002230</t>
  </si>
  <si>
    <t>355261593,10870</t>
  </si>
  <si>
    <t>FV-2019-43-002231</t>
  </si>
  <si>
    <t>943002231</t>
  </si>
  <si>
    <t>355262005,10870</t>
  </si>
  <si>
    <t>FV-2019-43-002232</t>
  </si>
  <si>
    <t>943002232</t>
  </si>
  <si>
    <t>355262423,10870</t>
  </si>
  <si>
    <t>FV-2019-43-002233</t>
  </si>
  <si>
    <t>943002233</t>
  </si>
  <si>
    <t>355263047,10870</t>
  </si>
  <si>
    <t>FV-2019-43-002235</t>
  </si>
  <si>
    <t>943002235</t>
  </si>
  <si>
    <t>355264293,10870</t>
  </si>
  <si>
    <t>FV-2019-43-002238</t>
  </si>
  <si>
    <t>943002238</t>
  </si>
  <si>
    <t>355294233,10870</t>
  </si>
  <si>
    <t>FV-2019-43-002229</t>
  </si>
  <si>
    <t xml:space="preserve">   spotřeba surovin (chlazenky dle podkladu z jídelny)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</si>
</sst>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;\-0.00"/>
    <numFmt numFmtId="166" formatCode="dd/mm/yyyy\ h:mm:ss"/>
    <numFmt numFmtId="167" formatCode="_-* #,##0\ &quot;Kč&quot;_-;\-* #,##0\ &quot;Kč&quot;_-;_-* &quot;-&quot;??\ &quot;Kč&quot;_-;_-@_-"/>
    <numFmt numFmtId="168" formatCode="#,##0\ &quot;Kč&quot;"/>
    <numFmt numFmtId="169" formatCode="_-* #,##0\ _K_č_-;\-* #,##0\ _K_č_-;_-* &quot;-&quot;??\ _K_č_-;_-@_-"/>
  </numFmts>
  <fonts count="66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5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i/>
      <sz val="9"/>
      <color indexed="8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/>
      <top/>
      <bottom style="dashed">
        <color theme="5"/>
      </bottom>
      <diagonal/>
    </border>
    <border>
      <left/>
      <right/>
      <top/>
      <bottom style="thin">
        <color indexed="64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medium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mediumDashed">
        <color theme="5"/>
      </left>
      <right style="thin">
        <color theme="5"/>
      </right>
      <top/>
      <bottom/>
      <diagonal/>
    </border>
    <border>
      <left style="thin">
        <color theme="5"/>
      </left>
      <right style="mediumDashed">
        <color theme="5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 style="double">
        <color theme="5"/>
      </top>
      <bottom/>
      <diagonal/>
    </border>
    <border>
      <left style="thin">
        <color theme="5"/>
      </left>
      <right style="thin">
        <color theme="5"/>
      </right>
      <top style="double">
        <color theme="5"/>
      </top>
      <bottom/>
      <diagonal/>
    </border>
    <border>
      <left style="thin">
        <color theme="5"/>
      </left>
      <right/>
      <top style="double">
        <color theme="5"/>
      </top>
      <bottom/>
      <diagonal/>
    </border>
    <border>
      <left style="thin">
        <color theme="5"/>
      </left>
      <right style="thin">
        <color theme="5"/>
      </right>
      <top style="double">
        <color theme="5"/>
      </top>
      <bottom style="thin">
        <color theme="5"/>
      </bottom>
      <diagonal/>
    </border>
    <border>
      <left style="mediumDashed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mediumDashed">
        <color theme="5"/>
      </right>
      <top style="thin">
        <color theme="5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medium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2" fillId="3" borderId="0" applyNumberFormat="0" applyBorder="0" applyAlignment="0" applyProtection="0"/>
    <xf numFmtId="0" fontId="15" fillId="4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7" fillId="0" borderId="0"/>
    <xf numFmtId="0" fontId="10" fillId="0" borderId="0"/>
    <xf numFmtId="44" fontId="57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0" fillId="2" borderId="0" xfId="0" applyNumberFormat="1" applyFill="1"/>
    <xf numFmtId="0" fontId="16" fillId="0" borderId="0" xfId="3" applyFont="1"/>
    <xf numFmtId="0" fontId="9" fillId="0" borderId="0" xfId="3"/>
    <xf numFmtId="0" fontId="17" fillId="0" borderId="0" xfId="3" applyFont="1"/>
    <xf numFmtId="0" fontId="18" fillId="0" borderId="0" xfId="3" applyFont="1"/>
    <xf numFmtId="0" fontId="9" fillId="0" borderId="0" xfId="3" applyAlignment="1">
      <alignment horizontal="center"/>
    </xf>
    <xf numFmtId="0" fontId="9" fillId="0" borderId="0" xfId="3" applyAlignment="1">
      <alignment horizontal="right"/>
    </xf>
    <xf numFmtId="3" fontId="9" fillId="0" borderId="0" xfId="3" applyNumberFormat="1"/>
    <xf numFmtId="44" fontId="0" fillId="0" borderId="0" xfId="4" applyFont="1"/>
    <xf numFmtId="167" fontId="14" fillId="0" borderId="0" xfId="4" applyNumberFormat="1" applyFont="1"/>
    <xf numFmtId="0" fontId="19" fillId="5" borderId="0" xfId="1" applyFont="1" applyFill="1" applyAlignment="1">
      <alignment horizontal="right"/>
    </xf>
    <xf numFmtId="167" fontId="14" fillId="0" borderId="0" xfId="3" applyNumberFormat="1" applyFont="1"/>
    <xf numFmtId="168" fontId="9" fillId="0" borderId="0" xfId="3" applyNumberFormat="1"/>
    <xf numFmtId="167" fontId="9" fillId="0" borderId="0" xfId="3" applyNumberFormat="1"/>
    <xf numFmtId="167" fontId="0" fillId="0" borderId="0" xfId="4" applyNumberFormat="1" applyFont="1"/>
    <xf numFmtId="0" fontId="14" fillId="6" borderId="0" xfId="3" applyFont="1" applyFill="1"/>
    <xf numFmtId="0" fontId="14" fillId="0" borderId="0" xfId="3" applyFont="1"/>
    <xf numFmtId="0" fontId="9" fillId="0" borderId="2" xfId="3" applyBorder="1" applyAlignment="1">
      <alignment horizontal="right"/>
    </xf>
    <xf numFmtId="44" fontId="20" fillId="0" borderId="2" xfId="4" applyFont="1" applyBorder="1"/>
    <xf numFmtId="0" fontId="9" fillId="0" borderId="2" xfId="3" applyBorder="1"/>
    <xf numFmtId="44" fontId="0" fillId="0" borderId="2" xfId="4" applyFont="1" applyBorder="1"/>
    <xf numFmtId="167" fontId="14" fillId="0" borderId="2" xfId="4" applyNumberFormat="1" applyFont="1" applyBorder="1"/>
    <xf numFmtId="0" fontId="19" fillId="6" borderId="2" xfId="1" applyFont="1" applyFill="1" applyBorder="1" applyAlignment="1">
      <alignment horizontal="right"/>
    </xf>
    <xf numFmtId="2" fontId="20" fillId="0" borderId="0" xfId="3" applyNumberFormat="1" applyFont="1"/>
    <xf numFmtId="0" fontId="14" fillId="6" borderId="0" xfId="3" applyFont="1" applyFill="1" applyAlignment="1">
      <alignment horizontal="right"/>
    </xf>
    <xf numFmtId="44" fontId="20" fillId="0" borderId="3" xfId="4" applyFont="1" applyBorder="1"/>
    <xf numFmtId="0" fontId="9" fillId="0" borderId="3" xfId="3" applyBorder="1"/>
    <xf numFmtId="44" fontId="0" fillId="0" borderId="3" xfId="4" applyFont="1" applyBorder="1"/>
    <xf numFmtId="167" fontId="14" fillId="0" borderId="3" xfId="4" applyNumberFormat="1" applyFont="1" applyBorder="1"/>
    <xf numFmtId="3" fontId="20" fillId="0" borderId="0" xfId="3" applyNumberFormat="1" applyFont="1"/>
    <xf numFmtId="0" fontId="9" fillId="0" borderId="4" xfId="3" applyBorder="1"/>
    <xf numFmtId="44" fontId="0" fillId="0" borderId="4" xfId="4" applyFont="1" applyBorder="1"/>
    <xf numFmtId="167" fontId="14" fillId="0" borderId="4" xfId="4" applyNumberFormat="1" applyFont="1" applyBorder="1"/>
    <xf numFmtId="0" fontId="19" fillId="6" borderId="4" xfId="1" applyFont="1" applyFill="1" applyBorder="1" applyAlignment="1">
      <alignment horizontal="right"/>
    </xf>
    <xf numFmtId="0" fontId="9" fillId="0" borderId="5" xfId="3" applyBorder="1"/>
    <xf numFmtId="0" fontId="9" fillId="0" borderId="5" xfId="3" applyBorder="1" applyAlignment="1">
      <alignment horizontal="center"/>
    </xf>
    <xf numFmtId="0" fontId="14" fillId="0" borderId="5" xfId="3" applyFont="1" applyBorder="1" applyAlignment="1">
      <alignment horizontal="center"/>
    </xf>
    <xf numFmtId="49" fontId="9" fillId="0" borderId="0" xfId="3" applyNumberFormat="1"/>
    <xf numFmtId="0" fontId="19" fillId="6" borderId="0" xfId="1" applyFont="1" applyFill="1" applyAlignment="1">
      <alignment horizontal="right"/>
    </xf>
    <xf numFmtId="44" fontId="0" fillId="0" borderId="0" xfId="4" applyFont="1" applyAlignment="1">
      <alignment horizontal="center"/>
    </xf>
    <xf numFmtId="44" fontId="14" fillId="0" borderId="0" xfId="4" applyFont="1" applyAlignment="1">
      <alignment horizontal="center"/>
    </xf>
    <xf numFmtId="167" fontId="0" fillId="6" borderId="0" xfId="4" applyNumberFormat="1" applyFont="1" applyFill="1"/>
    <xf numFmtId="3" fontId="14" fillId="0" borderId="0" xfId="3" applyNumberFormat="1" applyFont="1"/>
    <xf numFmtId="49" fontId="21" fillId="0" borderId="0" xfId="3" applyNumberFormat="1" applyFont="1" applyAlignment="1">
      <alignment horizontal="left"/>
    </xf>
    <xf numFmtId="169" fontId="0" fillId="0" borderId="0" xfId="5" applyNumberFormat="1" applyFont="1"/>
    <xf numFmtId="167" fontId="0" fillId="5" borderId="0" xfId="4" applyNumberFormat="1" applyFont="1" applyFill="1"/>
    <xf numFmtId="0" fontId="9" fillId="0" borderId="9" xfId="3" applyBorder="1"/>
    <xf numFmtId="169" fontId="0" fillId="0" borderId="10" xfId="5" applyNumberFormat="1" applyFont="1" applyBorder="1"/>
    <xf numFmtId="167" fontId="9" fillId="0" borderId="11" xfId="4" applyNumberFormat="1" applyBorder="1" applyAlignment="1">
      <alignment horizontal="left"/>
    </xf>
    <xf numFmtId="169" fontId="9" fillId="0" borderId="11" xfId="5" applyNumberFormat="1" applyBorder="1" applyAlignment="1">
      <alignment horizontal="left"/>
    </xf>
    <xf numFmtId="0" fontId="9" fillId="0" borderId="12" xfId="3" applyBorder="1"/>
    <xf numFmtId="169" fontId="0" fillId="0" borderId="13" xfId="5" applyNumberFormat="1" applyFont="1" applyBorder="1"/>
    <xf numFmtId="167" fontId="9" fillId="0" borderId="14" xfId="4" applyNumberFormat="1" applyBorder="1" applyAlignment="1">
      <alignment horizontal="left"/>
    </xf>
    <xf numFmtId="169" fontId="9" fillId="0" borderId="14" xfId="5" applyNumberFormat="1" applyBorder="1" applyAlignment="1">
      <alignment horizontal="left"/>
    </xf>
    <xf numFmtId="0" fontId="9" fillId="0" borderId="15" xfId="3" applyBorder="1"/>
    <xf numFmtId="169" fontId="0" fillId="0" borderId="16" xfId="5" applyNumberFormat="1" applyFont="1" applyBorder="1"/>
    <xf numFmtId="167" fontId="9" fillId="0" borderId="17" xfId="4" applyNumberFormat="1" applyBorder="1" applyAlignment="1">
      <alignment horizontal="left"/>
    </xf>
    <xf numFmtId="169" fontId="9" fillId="0" borderId="17" xfId="5" applyNumberFormat="1" applyBorder="1" applyAlignment="1">
      <alignment horizontal="left"/>
    </xf>
    <xf numFmtId="167" fontId="22" fillId="0" borderId="0" xfId="4" applyNumberFormat="1" applyFont="1" applyAlignment="1">
      <alignment horizontal="left"/>
    </xf>
    <xf numFmtId="44" fontId="9" fillId="0" borderId="0" xfId="3" applyNumberFormat="1"/>
    <xf numFmtId="44" fontId="22" fillId="0" borderId="0" xfId="4" applyFont="1" applyAlignment="1">
      <alignment horizontal="left"/>
    </xf>
    <xf numFmtId="14" fontId="9" fillId="0" borderId="0" xfId="3" applyNumberFormat="1" applyAlignment="1">
      <alignment horizontal="center" vertical="center"/>
    </xf>
    <xf numFmtId="14" fontId="9" fillId="0" borderId="0" xfId="3" applyNumberFormat="1" applyAlignment="1">
      <alignment horizontal="left"/>
    </xf>
    <xf numFmtId="0" fontId="26" fillId="4" borderId="0" xfId="2" applyFont="1"/>
    <xf numFmtId="0" fontId="20" fillId="0" borderId="0" xfId="6" applyFont="1"/>
    <xf numFmtId="0" fontId="18" fillId="0" borderId="20" xfId="6" applyFont="1" applyBorder="1"/>
    <xf numFmtId="49" fontId="13" fillId="0" borderId="21" xfId="3" applyNumberFormat="1" applyFont="1" applyBorder="1" applyAlignment="1">
      <alignment horizontal="center"/>
    </xf>
    <xf numFmtId="49" fontId="13" fillId="0" borderId="22" xfId="3" applyNumberFormat="1" applyFont="1" applyBorder="1" applyAlignment="1">
      <alignment horizontal="center"/>
    </xf>
    <xf numFmtId="49" fontId="13" fillId="0" borderId="23" xfId="3" applyNumberFormat="1" applyFont="1" applyBorder="1" applyAlignment="1">
      <alignment horizontal="center"/>
    </xf>
    <xf numFmtId="49" fontId="13" fillId="0" borderId="24" xfId="3" applyNumberFormat="1" applyFont="1" applyBorder="1" applyAlignment="1">
      <alignment horizontal="center"/>
    </xf>
    <xf numFmtId="49" fontId="13" fillId="0" borderId="20" xfId="3" applyNumberFormat="1" applyFont="1" applyBorder="1" applyAlignment="1">
      <alignment horizontal="center"/>
    </xf>
    <xf numFmtId="0" fontId="13" fillId="0" borderId="22" xfId="6" applyFont="1" applyBorder="1" applyAlignment="1">
      <alignment horizontal="center"/>
    </xf>
    <xf numFmtId="0" fontId="13" fillId="8" borderId="25" xfId="6" applyFont="1" applyFill="1" applyBorder="1" applyAlignment="1">
      <alignment horizontal="center"/>
    </xf>
    <xf numFmtId="0" fontId="20" fillId="0" borderId="20" xfId="6" applyFont="1" applyBorder="1" applyAlignment="1">
      <alignment horizontal="left"/>
    </xf>
    <xf numFmtId="3" fontId="20" fillId="0" borderId="21" xfId="6" applyNumberFormat="1" applyFont="1" applyBorder="1"/>
    <xf numFmtId="3" fontId="9" fillId="0" borderId="21" xfId="3" applyNumberFormat="1" applyBorder="1"/>
    <xf numFmtId="3" fontId="20" fillId="0" borderId="22" xfId="6" applyNumberFormat="1" applyFont="1" applyBorder="1"/>
    <xf numFmtId="3" fontId="20" fillId="0" borderId="25" xfId="6" applyNumberFormat="1" applyFont="1" applyBorder="1"/>
    <xf numFmtId="0" fontId="28" fillId="0" borderId="20" xfId="6" applyFont="1" applyBorder="1" applyAlignment="1">
      <alignment horizontal="left" vertical="center"/>
    </xf>
    <xf numFmtId="0" fontId="29" fillId="0" borderId="21" xfId="3" applyFont="1" applyBorder="1" applyAlignment="1">
      <alignment vertical="center"/>
    </xf>
    <xf numFmtId="3" fontId="28" fillId="0" borderId="21" xfId="6" applyNumberFormat="1" applyFont="1" applyBorder="1" applyAlignment="1">
      <alignment vertical="center"/>
    </xf>
    <xf numFmtId="3" fontId="28" fillId="0" borderId="22" xfId="6" applyNumberFormat="1" applyFont="1" applyBorder="1" applyAlignment="1">
      <alignment vertical="center"/>
    </xf>
    <xf numFmtId="3" fontId="20" fillId="0" borderId="21" xfId="6" applyNumberFormat="1" applyFont="1" applyBorder="1" applyAlignment="1">
      <alignment horizontal="right"/>
    </xf>
    <xf numFmtId="3" fontId="20" fillId="0" borderId="21" xfId="3" applyNumberFormat="1" applyFont="1" applyBorder="1"/>
    <xf numFmtId="3" fontId="30" fillId="0" borderId="21" xfId="6" applyNumberFormat="1" applyFont="1" applyBorder="1"/>
    <xf numFmtId="0" fontId="27" fillId="0" borderId="25" xfId="6" applyBorder="1" applyAlignment="1">
      <alignment horizontal="left"/>
    </xf>
    <xf numFmtId="3" fontId="31" fillId="0" borderId="22" xfId="6" applyNumberFormat="1" applyFont="1" applyBorder="1"/>
    <xf numFmtId="0" fontId="19" fillId="0" borderId="26" xfId="6" applyFont="1" applyBorder="1" applyAlignment="1">
      <alignment horizontal="left"/>
    </xf>
    <xf numFmtId="3" fontId="19" fillId="0" borderId="27" xfId="6" applyNumberFormat="1" applyFont="1" applyBorder="1"/>
    <xf numFmtId="3" fontId="19" fillId="0" borderId="28" xfId="6" applyNumberFormat="1" applyFont="1" applyBorder="1"/>
    <xf numFmtId="0" fontId="19" fillId="0" borderId="20" xfId="3" applyFont="1" applyBorder="1" applyAlignment="1">
      <alignment horizontal="left"/>
    </xf>
    <xf numFmtId="3" fontId="20" fillId="0" borderId="22" xfId="3" applyNumberFormat="1" applyFont="1" applyBorder="1"/>
    <xf numFmtId="3" fontId="19" fillId="0" borderId="29" xfId="3" applyNumberFormat="1" applyFont="1" applyBorder="1"/>
    <xf numFmtId="0" fontId="19" fillId="0" borderId="0" xfId="3" applyFont="1" applyAlignment="1">
      <alignment horizontal="left"/>
    </xf>
    <xf numFmtId="0" fontId="32" fillId="0" borderId="10" xfId="6" applyFont="1" applyBorder="1" applyAlignment="1">
      <alignment horizontal="right"/>
    </xf>
    <xf numFmtId="3" fontId="32" fillId="0" borderId="10" xfId="6" applyNumberFormat="1" applyFont="1" applyBorder="1" applyAlignment="1">
      <alignment horizontal="right"/>
    </xf>
    <xf numFmtId="3" fontId="32" fillId="0" borderId="10" xfId="6" applyNumberFormat="1" applyFont="1" applyBorder="1"/>
    <xf numFmtId="0" fontId="25" fillId="8" borderId="25" xfId="6" applyFont="1" applyFill="1" applyBorder="1"/>
    <xf numFmtId="49" fontId="13" fillId="8" borderId="25" xfId="3" applyNumberFormat="1" applyFont="1" applyFill="1" applyBorder="1" applyAlignment="1">
      <alignment horizontal="center"/>
    </xf>
    <xf numFmtId="49" fontId="13" fillId="8" borderId="18" xfId="3" applyNumberFormat="1" applyFont="1" applyFill="1" applyBorder="1" applyAlignment="1">
      <alignment horizontal="center"/>
    </xf>
    <xf numFmtId="49" fontId="13" fillId="8" borderId="30" xfId="3" applyNumberFormat="1" applyFont="1" applyFill="1" applyBorder="1" applyAlignment="1">
      <alignment horizontal="center"/>
    </xf>
    <xf numFmtId="49" fontId="13" fillId="8" borderId="31" xfId="3" applyNumberFormat="1" applyFont="1" applyFill="1" applyBorder="1" applyAlignment="1">
      <alignment horizontal="center"/>
    </xf>
    <xf numFmtId="49" fontId="13" fillId="8" borderId="19" xfId="3" applyNumberFormat="1" applyFont="1" applyFill="1" applyBorder="1" applyAlignment="1">
      <alignment horizontal="center"/>
    </xf>
    <xf numFmtId="0" fontId="20" fillId="0" borderId="25" xfId="6" applyFont="1" applyBorder="1" applyAlignment="1">
      <alignment horizontal="left"/>
    </xf>
    <xf numFmtId="0" fontId="33" fillId="0" borderId="25" xfId="6" applyFont="1" applyBorder="1" applyAlignment="1">
      <alignment horizontal="left" vertical="center"/>
    </xf>
    <xf numFmtId="0" fontId="33" fillId="0" borderId="25" xfId="6" applyFont="1" applyBorder="1" applyAlignment="1">
      <alignment vertical="center"/>
    </xf>
    <xf numFmtId="3" fontId="28" fillId="0" borderId="25" xfId="6" applyNumberFormat="1" applyFont="1" applyBorder="1" applyAlignment="1">
      <alignment vertical="center"/>
    </xf>
    <xf numFmtId="3" fontId="34" fillId="0" borderId="25" xfId="6" applyNumberFormat="1" applyFont="1" applyBorder="1" applyAlignment="1">
      <alignment vertical="center"/>
    </xf>
    <xf numFmtId="0" fontId="35" fillId="0" borderId="0" xfId="3" applyFont="1" applyAlignment="1">
      <alignment vertical="center"/>
    </xf>
    <xf numFmtId="3" fontId="20" fillId="0" borderId="25" xfId="6" applyNumberFormat="1" applyFont="1" applyBorder="1" applyAlignment="1">
      <alignment horizontal="right"/>
    </xf>
    <xf numFmtId="0" fontId="27" fillId="0" borderId="25" xfId="6" applyBorder="1"/>
    <xf numFmtId="0" fontId="19" fillId="0" borderId="27" xfId="6" applyFont="1" applyBorder="1" applyAlignment="1">
      <alignment horizontal="left"/>
    </xf>
    <xf numFmtId="0" fontId="19" fillId="0" borderId="29" xfId="3" applyFont="1" applyBorder="1" applyAlignment="1">
      <alignment horizontal="left"/>
    </xf>
    <xf numFmtId="3" fontId="20" fillId="0" borderId="0" xfId="6" applyNumberFormat="1" applyFont="1" applyAlignment="1">
      <alignment horizontal="right"/>
    </xf>
    <xf numFmtId="3" fontId="20" fillId="0" borderId="0" xfId="6" applyNumberFormat="1" applyFont="1"/>
    <xf numFmtId="49" fontId="13" fillId="0" borderId="21" xfId="6" applyNumberFormat="1" applyFont="1" applyBorder="1" applyAlignment="1">
      <alignment horizontal="center"/>
    </xf>
    <xf numFmtId="0" fontId="20" fillId="0" borderId="20" xfId="6" applyFont="1" applyBorder="1" applyAlignment="1">
      <alignment horizontal="right"/>
    </xf>
    <xf numFmtId="0" fontId="9" fillId="0" borderId="21" xfId="3" applyBorder="1"/>
    <xf numFmtId="3" fontId="19" fillId="0" borderId="21" xfId="6" applyNumberFormat="1" applyFont="1" applyBorder="1"/>
    <xf numFmtId="0" fontId="27" fillId="0" borderId="20" xfId="6" applyBorder="1" applyAlignment="1">
      <alignment horizontal="right"/>
    </xf>
    <xf numFmtId="0" fontId="27" fillId="0" borderId="21" xfId="6" applyBorder="1"/>
    <xf numFmtId="3" fontId="36" fillId="0" borderId="32" xfId="6" applyNumberFormat="1" applyFont="1" applyBorder="1"/>
    <xf numFmtId="3" fontId="36" fillId="0" borderId="32" xfId="3" applyNumberFormat="1" applyFont="1" applyBorder="1"/>
    <xf numFmtId="3" fontId="36" fillId="0" borderId="33" xfId="6" applyNumberFormat="1" applyFont="1" applyBorder="1"/>
    <xf numFmtId="0" fontId="38" fillId="0" borderId="0" xfId="6" applyFont="1"/>
    <xf numFmtId="0" fontId="27" fillId="0" borderId="0" xfId="6"/>
    <xf numFmtId="0" fontId="39" fillId="0" borderId="0" xfId="6" applyFont="1"/>
    <xf numFmtId="0" fontId="40" fillId="0" borderId="0" xfId="6" applyFont="1"/>
    <xf numFmtId="0" fontId="27" fillId="0" borderId="1" xfId="6" applyBorder="1"/>
    <xf numFmtId="2" fontId="27" fillId="0" borderId="1" xfId="6" applyNumberFormat="1" applyBorder="1"/>
    <xf numFmtId="0" fontId="27" fillId="9" borderId="1" xfId="6" applyFill="1" applyBorder="1"/>
    <xf numFmtId="2" fontId="27" fillId="9" borderId="1" xfId="6" applyNumberFormat="1" applyFill="1" applyBorder="1"/>
    <xf numFmtId="0" fontId="27" fillId="0" borderId="34" xfId="6" applyBorder="1"/>
    <xf numFmtId="2" fontId="27" fillId="0" borderId="34" xfId="6" applyNumberFormat="1" applyBorder="1"/>
    <xf numFmtId="0" fontId="41" fillId="0" borderId="35" xfId="6" applyFont="1" applyBorder="1"/>
    <xf numFmtId="0" fontId="27" fillId="0" borderId="36" xfId="6" applyBorder="1"/>
    <xf numFmtId="2" fontId="41" fillId="10" borderId="37" xfId="6" applyNumberFormat="1" applyFont="1" applyFill="1" applyBorder="1"/>
    <xf numFmtId="0" fontId="41" fillId="0" borderId="0" xfId="6" applyFont="1"/>
    <xf numFmtId="0" fontId="42" fillId="0" borderId="0" xfId="6" applyFont="1"/>
    <xf numFmtId="2" fontId="36" fillId="0" borderId="1" xfId="6" applyNumberFormat="1" applyFont="1" applyBorder="1"/>
    <xf numFmtId="0" fontId="27" fillId="0" borderId="38" xfId="6" applyBorder="1"/>
    <xf numFmtId="2" fontId="27" fillId="0" borderId="38" xfId="6" applyNumberFormat="1" applyBorder="1"/>
    <xf numFmtId="0" fontId="40" fillId="0" borderId="1" xfId="6" applyFont="1" applyBorder="1"/>
    <xf numFmtId="4" fontId="27" fillId="0" borderId="1" xfId="6" applyNumberFormat="1" applyBorder="1"/>
    <xf numFmtId="9" fontId="27" fillId="0" borderId="1" xfId="6" applyNumberFormat="1" applyBorder="1"/>
    <xf numFmtId="4" fontId="27" fillId="0" borderId="34" xfId="6" applyNumberFormat="1" applyBorder="1"/>
    <xf numFmtId="2" fontId="9" fillId="0" borderId="0" xfId="3" applyNumberFormat="1"/>
    <xf numFmtId="4" fontId="36" fillId="0" borderId="1" xfId="6" applyNumberFormat="1" applyFont="1" applyBorder="1"/>
    <xf numFmtId="0" fontId="41" fillId="0" borderId="36" xfId="6" applyFont="1" applyBorder="1"/>
    <xf numFmtId="2" fontId="27" fillId="0" borderId="0" xfId="6" applyNumberFormat="1"/>
    <xf numFmtId="0" fontId="27" fillId="0" borderId="39" xfId="6" applyBorder="1"/>
    <xf numFmtId="0" fontId="27" fillId="0" borderId="40" xfId="6" applyBorder="1"/>
    <xf numFmtId="2" fontId="27" fillId="0" borderId="40" xfId="6" applyNumberFormat="1" applyBorder="1"/>
    <xf numFmtId="0" fontId="27" fillId="0" borderId="41" xfId="6" applyBorder="1"/>
    <xf numFmtId="0" fontId="27" fillId="0" borderId="42" xfId="6" applyBorder="1"/>
    <xf numFmtId="2" fontId="27" fillId="0" borderId="42" xfId="6" applyNumberFormat="1" applyBorder="1"/>
    <xf numFmtId="0" fontId="27" fillId="0" borderId="43" xfId="6" applyBorder="1"/>
    <xf numFmtId="0" fontId="27" fillId="0" borderId="44" xfId="6" applyBorder="1"/>
    <xf numFmtId="2" fontId="27" fillId="0" borderId="44" xfId="6" applyNumberFormat="1" applyBorder="1"/>
    <xf numFmtId="0" fontId="27" fillId="0" borderId="45" xfId="6" applyBorder="1"/>
    <xf numFmtId="0" fontId="27" fillId="0" borderId="46" xfId="6" applyBorder="1"/>
    <xf numFmtId="2" fontId="27" fillId="0" borderId="46" xfId="6" applyNumberFormat="1" applyBorder="1"/>
    <xf numFmtId="0" fontId="27" fillId="0" borderId="0" xfId="3" applyFont="1"/>
    <xf numFmtId="0" fontId="11" fillId="0" borderId="0" xfId="0" applyFont="1"/>
    <xf numFmtId="0" fontId="18" fillId="0" borderId="20" xfId="3" applyFont="1" applyBorder="1"/>
    <xf numFmtId="49" fontId="13" fillId="0" borderId="21" xfId="0" applyNumberFormat="1" applyFont="1" applyBorder="1" applyAlignment="1">
      <alignment horizontal="center"/>
    </xf>
    <xf numFmtId="0" fontId="13" fillId="0" borderId="22" xfId="3" applyFont="1" applyBorder="1" applyAlignment="1">
      <alignment horizontal="center"/>
    </xf>
    <xf numFmtId="0" fontId="20" fillId="0" borderId="20" xfId="3" applyFont="1" applyBorder="1" applyAlignment="1">
      <alignment horizontal="left"/>
    </xf>
    <xf numFmtId="0" fontId="28" fillId="0" borderId="20" xfId="3" applyFont="1" applyBorder="1" applyAlignment="1">
      <alignment horizontal="left" vertical="center"/>
    </xf>
    <xf numFmtId="0" fontId="29" fillId="0" borderId="21" xfId="0" applyFont="1" applyBorder="1" applyAlignment="1">
      <alignment vertical="center"/>
    </xf>
    <xf numFmtId="3" fontId="28" fillId="0" borderId="21" xfId="3" applyNumberFormat="1" applyFont="1" applyBorder="1" applyAlignment="1">
      <alignment vertical="center"/>
    </xf>
    <xf numFmtId="3" fontId="28" fillId="0" borderId="22" xfId="3" applyNumberFormat="1" applyFont="1" applyBorder="1" applyAlignment="1">
      <alignment vertical="center"/>
    </xf>
    <xf numFmtId="3" fontId="20" fillId="0" borderId="21" xfId="3" applyNumberFormat="1" applyFont="1" applyBorder="1" applyAlignment="1">
      <alignment horizontal="right"/>
    </xf>
    <xf numFmtId="3" fontId="20" fillId="0" borderId="21" xfId="0" applyNumberFormat="1" applyFont="1" applyBorder="1"/>
    <xf numFmtId="0" fontId="19" fillId="0" borderId="26" xfId="3" applyFont="1" applyBorder="1" applyAlignment="1">
      <alignment horizontal="left"/>
    </xf>
    <xf numFmtId="3" fontId="19" fillId="0" borderId="27" xfId="3" applyNumberFormat="1" applyFont="1" applyBorder="1"/>
    <xf numFmtId="3" fontId="19" fillId="0" borderId="28" xfId="3" applyNumberFormat="1" applyFont="1" applyBorder="1"/>
    <xf numFmtId="0" fontId="19" fillId="0" borderId="20" xfId="0" applyFont="1" applyBorder="1" applyAlignment="1">
      <alignment horizontal="left"/>
    </xf>
    <xf numFmtId="3" fontId="20" fillId="0" borderId="22" xfId="0" applyNumberFormat="1" applyFont="1" applyBorder="1"/>
    <xf numFmtId="0" fontId="19" fillId="0" borderId="0" xfId="0" applyFont="1" applyAlignment="1">
      <alignment horizontal="left"/>
    </xf>
    <xf numFmtId="3" fontId="43" fillId="0" borderId="0" xfId="0" applyNumberFormat="1" applyFont="1"/>
    <xf numFmtId="3" fontId="20" fillId="0" borderId="0" xfId="0" applyNumberFormat="1" applyFont="1"/>
    <xf numFmtId="0" fontId="32" fillId="0" borderId="10" xfId="3" applyFont="1" applyBorder="1" applyAlignment="1">
      <alignment horizontal="right"/>
    </xf>
    <xf numFmtId="3" fontId="32" fillId="0" borderId="10" xfId="3" applyNumberFormat="1" applyFont="1" applyBorder="1" applyAlignment="1">
      <alignment horizontal="right"/>
    </xf>
    <xf numFmtId="3" fontId="32" fillId="0" borderId="10" xfId="3" applyNumberFormat="1" applyFont="1" applyBorder="1"/>
    <xf numFmtId="0" fontId="16" fillId="0" borderId="0" xfId="3" applyFont="1" applyBorder="1"/>
    <xf numFmtId="0" fontId="11" fillId="11" borderId="39" xfId="0" applyFont="1" applyFill="1" applyBorder="1"/>
    <xf numFmtId="0" fontId="11" fillId="11" borderId="47" xfId="0" applyFont="1" applyFill="1" applyBorder="1"/>
    <xf numFmtId="4" fontId="11" fillId="11" borderId="40" xfId="0" applyNumberFormat="1" applyFont="1" applyFill="1" applyBorder="1"/>
    <xf numFmtId="0" fontId="11" fillId="11" borderId="48" xfId="0" applyFont="1" applyFill="1" applyBorder="1"/>
    <xf numFmtId="0" fontId="11" fillId="11" borderId="5" xfId="0" applyFont="1" applyFill="1" applyBorder="1"/>
    <xf numFmtId="4" fontId="11" fillId="11" borderId="49" xfId="0" applyNumberFormat="1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right" vertical="top"/>
    </xf>
    <xf numFmtId="0" fontId="10" fillId="0" borderId="0" xfId="0" applyFont="1" applyAlignment="1">
      <alignment vertical="top"/>
    </xf>
    <xf numFmtId="169" fontId="47" fillId="0" borderId="11" xfId="5" applyNumberFormat="1" applyFont="1" applyBorder="1" applyAlignment="1">
      <alignment horizontal="left"/>
    </xf>
    <xf numFmtId="169" fontId="47" fillId="0" borderId="14" xfId="5" applyNumberFormat="1" applyFont="1" applyBorder="1" applyAlignment="1">
      <alignment horizontal="left"/>
    </xf>
    <xf numFmtId="169" fontId="47" fillId="0" borderId="17" xfId="5" applyNumberFormat="1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/>
    <xf numFmtId="0" fontId="11" fillId="12" borderId="0" xfId="0" applyFont="1" applyFill="1"/>
    <xf numFmtId="4" fontId="10" fillId="0" borderId="0" xfId="0" applyNumberFormat="1" applyFont="1" applyBorder="1"/>
    <xf numFmtId="0" fontId="11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/>
    <xf numFmtId="0" fontId="49" fillId="0" borderId="0" xfId="3" applyFont="1"/>
    <xf numFmtId="0" fontId="47" fillId="0" borderId="0" xfId="3" applyFont="1"/>
    <xf numFmtId="0" fontId="46" fillId="0" borderId="0" xfId="3" applyFont="1"/>
    <xf numFmtId="0" fontId="47" fillId="0" borderId="0" xfId="3" applyFont="1" applyAlignment="1">
      <alignment horizontal="right"/>
    </xf>
    <xf numFmtId="3" fontId="47" fillId="0" borderId="0" xfId="3" applyNumberFormat="1" applyFont="1"/>
    <xf numFmtId="44" fontId="50" fillId="0" borderId="0" xfId="4" applyFont="1"/>
    <xf numFmtId="167" fontId="46" fillId="0" borderId="0" xfId="4" applyNumberFormat="1" applyFont="1"/>
    <xf numFmtId="167" fontId="46" fillId="0" borderId="0" xfId="3" applyNumberFormat="1" applyFont="1"/>
    <xf numFmtId="167" fontId="50" fillId="0" borderId="0" xfId="4" applyNumberFormat="1" applyFont="1"/>
    <xf numFmtId="0" fontId="47" fillId="0" borderId="2" xfId="3" applyFont="1" applyBorder="1" applyAlignment="1">
      <alignment horizontal="right"/>
    </xf>
    <xf numFmtId="44" fontId="47" fillId="0" borderId="2" xfId="4" applyFont="1" applyBorder="1"/>
    <xf numFmtId="0" fontId="47" fillId="0" borderId="2" xfId="3" applyFont="1" applyBorder="1"/>
    <xf numFmtId="44" fontId="50" fillId="0" borderId="2" xfId="4" applyFont="1" applyBorder="1"/>
    <xf numFmtId="167" fontId="46" fillId="0" borderId="2" xfId="4" applyNumberFormat="1" applyFont="1" applyBorder="1"/>
    <xf numFmtId="2" fontId="47" fillId="0" borderId="0" xfId="3" applyNumberFormat="1" applyFont="1"/>
    <xf numFmtId="44" fontId="47" fillId="0" borderId="3" xfId="4" applyFont="1" applyBorder="1"/>
    <xf numFmtId="0" fontId="47" fillId="0" borderId="3" xfId="3" applyFont="1" applyBorder="1"/>
    <xf numFmtId="44" fontId="50" fillId="0" borderId="3" xfId="4" applyFont="1" applyBorder="1"/>
    <xf numFmtId="167" fontId="46" fillId="0" borderId="3" xfId="4" applyNumberFormat="1" applyFont="1" applyBorder="1"/>
    <xf numFmtId="0" fontId="47" fillId="0" borderId="4" xfId="3" applyFont="1" applyBorder="1"/>
    <xf numFmtId="44" fontId="50" fillId="0" borderId="4" xfId="4" applyFont="1" applyBorder="1"/>
    <xf numFmtId="167" fontId="46" fillId="0" borderId="4" xfId="4" applyNumberFormat="1" applyFont="1" applyBorder="1"/>
    <xf numFmtId="0" fontId="47" fillId="0" borderId="5" xfId="3" applyFont="1" applyBorder="1"/>
    <xf numFmtId="0" fontId="47" fillId="0" borderId="5" xfId="3" applyFont="1" applyBorder="1" applyAlignment="1">
      <alignment horizontal="center"/>
    </xf>
    <xf numFmtId="0" fontId="46" fillId="0" borderId="5" xfId="3" applyFont="1" applyBorder="1" applyAlignment="1">
      <alignment horizontal="center"/>
    </xf>
    <xf numFmtId="49" fontId="47" fillId="0" borderId="0" xfId="3" applyNumberFormat="1" applyFont="1"/>
    <xf numFmtId="44" fontId="50" fillId="0" borderId="0" xfId="4" applyFont="1" applyAlignment="1">
      <alignment horizontal="center"/>
    </xf>
    <xf numFmtId="44" fontId="46" fillId="0" borderId="0" xfId="4" applyFont="1" applyAlignment="1">
      <alignment horizontal="center"/>
    </xf>
    <xf numFmtId="3" fontId="46" fillId="0" borderId="0" xfId="3" applyNumberFormat="1" applyFont="1"/>
    <xf numFmtId="49" fontId="51" fillId="0" borderId="0" xfId="3" applyNumberFormat="1" applyFont="1" applyAlignment="1">
      <alignment horizontal="left"/>
    </xf>
    <xf numFmtId="169" fontId="50" fillId="0" borderId="0" xfId="5" applyNumberFormat="1" applyFont="1"/>
    <xf numFmtId="0" fontId="47" fillId="0" borderId="9" xfId="3" applyFont="1" applyBorder="1"/>
    <xf numFmtId="169" fontId="50" fillId="0" borderId="10" xfId="5" applyNumberFormat="1" applyFont="1" applyBorder="1"/>
    <xf numFmtId="167" fontId="47" fillId="0" borderId="11" xfId="4" applyNumberFormat="1" applyFont="1" applyBorder="1" applyAlignment="1">
      <alignment horizontal="left"/>
    </xf>
    <xf numFmtId="0" fontId="47" fillId="0" borderId="12" xfId="3" applyFont="1" applyBorder="1"/>
    <xf numFmtId="169" fontId="50" fillId="0" borderId="13" xfId="5" applyNumberFormat="1" applyFont="1" applyBorder="1"/>
    <xf numFmtId="167" fontId="47" fillId="0" borderId="14" xfId="4" applyNumberFormat="1" applyFont="1" applyBorder="1" applyAlignment="1">
      <alignment horizontal="left"/>
    </xf>
    <xf numFmtId="0" fontId="47" fillId="0" borderId="15" xfId="3" applyFont="1" applyBorder="1"/>
    <xf numFmtId="169" fontId="50" fillId="0" borderId="16" xfId="5" applyNumberFormat="1" applyFont="1" applyBorder="1"/>
    <xf numFmtId="167" fontId="47" fillId="0" borderId="17" xfId="4" applyNumberFormat="1" applyFont="1" applyBorder="1" applyAlignment="1">
      <alignment horizontal="left"/>
    </xf>
    <xf numFmtId="167" fontId="47" fillId="0" borderId="0" xfId="4" applyNumberFormat="1" applyFont="1" applyAlignment="1">
      <alignment horizontal="left"/>
    </xf>
    <xf numFmtId="44" fontId="47" fillId="0" borderId="0" xfId="3" applyNumberFormat="1" applyFont="1"/>
    <xf numFmtId="0" fontId="47" fillId="13" borderId="0" xfId="3" applyFont="1" applyFill="1"/>
    <xf numFmtId="0" fontId="47" fillId="13" borderId="0" xfId="3" applyFont="1" applyFill="1" applyAlignment="1">
      <alignment horizontal="center"/>
    </xf>
    <xf numFmtId="0" fontId="46" fillId="13" borderId="0" xfId="1" applyFont="1" applyFill="1" applyAlignment="1">
      <alignment horizontal="right"/>
    </xf>
    <xf numFmtId="0" fontId="46" fillId="13" borderId="0" xfId="3" applyFont="1" applyFill="1"/>
    <xf numFmtId="0" fontId="46" fillId="13" borderId="2" xfId="1" applyFont="1" applyFill="1" applyBorder="1" applyAlignment="1">
      <alignment horizontal="right"/>
    </xf>
    <xf numFmtId="0" fontId="46" fillId="13" borderId="0" xfId="3" applyFont="1" applyFill="1" applyAlignment="1">
      <alignment horizontal="right"/>
    </xf>
    <xf numFmtId="0" fontId="46" fillId="13" borderId="4" xfId="1" applyFont="1" applyFill="1" applyBorder="1" applyAlignment="1">
      <alignment horizontal="right"/>
    </xf>
    <xf numFmtId="167" fontId="50" fillId="13" borderId="0" xfId="4" applyNumberFormat="1" applyFont="1" applyFill="1"/>
    <xf numFmtId="0" fontId="46" fillId="13" borderId="6" xfId="3" applyFont="1" applyFill="1" applyBorder="1" applyAlignment="1">
      <alignment horizontal="center"/>
    </xf>
    <xf numFmtId="169" fontId="46" fillId="13" borderId="7" xfId="5" applyNumberFormat="1" applyFont="1" applyFill="1" applyBorder="1" applyAlignment="1">
      <alignment horizontal="center"/>
    </xf>
    <xf numFmtId="49" fontId="46" fillId="13" borderId="8" xfId="3" applyNumberFormat="1" applyFont="1" applyFill="1" applyBorder="1" applyAlignment="1">
      <alignment horizontal="center"/>
    </xf>
    <xf numFmtId="0" fontId="11" fillId="14" borderId="0" xfId="0" applyFont="1" applyFill="1" applyBorder="1"/>
    <xf numFmtId="4" fontId="11" fillId="14" borderId="0" xfId="0" applyNumberFormat="1" applyFont="1" applyFill="1" applyBorder="1"/>
    <xf numFmtId="0" fontId="55" fillId="0" borderId="0" xfId="0" applyFont="1"/>
    <xf numFmtId="0" fontId="14" fillId="11" borderId="0" xfId="3" applyFont="1" applyFill="1"/>
    <xf numFmtId="0" fontId="9" fillId="11" borderId="0" xfId="3" applyFill="1"/>
    <xf numFmtId="0" fontId="11" fillId="15" borderId="39" xfId="0" applyFont="1" applyFill="1" applyBorder="1"/>
    <xf numFmtId="0" fontId="11" fillId="15" borderId="47" xfId="0" applyFont="1" applyFill="1" applyBorder="1"/>
    <xf numFmtId="4" fontId="11" fillId="15" borderId="40" xfId="0" applyNumberFormat="1" applyFont="1" applyFill="1" applyBorder="1"/>
    <xf numFmtId="0" fontId="11" fillId="15" borderId="48" xfId="0" applyFont="1" applyFill="1" applyBorder="1"/>
    <xf numFmtId="0" fontId="11" fillId="15" borderId="5" xfId="0" applyFont="1" applyFill="1" applyBorder="1"/>
    <xf numFmtId="4" fontId="11" fillId="15" borderId="49" xfId="0" applyNumberFormat="1" applyFont="1" applyFill="1" applyBorder="1"/>
    <xf numFmtId="4" fontId="52" fillId="0" borderId="0" xfId="0" applyNumberFormat="1" applyFont="1" applyBorder="1"/>
    <xf numFmtId="4" fontId="53" fillId="0" borderId="0" xfId="0" applyNumberFormat="1" applyFont="1" applyBorder="1"/>
    <xf numFmtId="0" fontId="10" fillId="0" borderId="0" xfId="7" applyAlignment="1">
      <alignment vertical="top"/>
    </xf>
    <xf numFmtId="14" fontId="10" fillId="0" borderId="0" xfId="7" applyNumberFormat="1" applyAlignment="1">
      <alignment horizontal="right" vertical="top"/>
    </xf>
    <xf numFmtId="165" fontId="10" fillId="0" borderId="0" xfId="7" applyNumberFormat="1" applyAlignment="1">
      <alignment horizontal="right" vertical="top"/>
    </xf>
    <xf numFmtId="166" fontId="10" fillId="0" borderId="0" xfId="7" applyNumberFormat="1" applyAlignment="1">
      <alignment horizontal="right" vertical="top"/>
    </xf>
    <xf numFmtId="0" fontId="52" fillId="0" borderId="0" xfId="0" applyFont="1" applyAlignment="1">
      <alignment vertical="top"/>
    </xf>
    <xf numFmtId="49" fontId="13" fillId="7" borderId="8" xfId="3" applyNumberFormat="1" applyFont="1" applyFill="1" applyBorder="1" applyAlignment="1">
      <alignment horizontal="center" wrapText="1"/>
    </xf>
    <xf numFmtId="0" fontId="13" fillId="7" borderId="6" xfId="3" applyFont="1" applyFill="1" applyBorder="1" applyAlignment="1">
      <alignment horizontal="center" wrapText="1"/>
    </xf>
    <xf numFmtId="169" fontId="13" fillId="7" borderId="7" xfId="5" applyNumberFormat="1" applyFont="1" applyFill="1" applyBorder="1" applyAlignment="1">
      <alignment horizontal="center" wrapText="1"/>
    </xf>
    <xf numFmtId="49" fontId="46" fillId="7" borderId="8" xfId="3" applyNumberFormat="1" applyFont="1" applyFill="1" applyBorder="1" applyAlignment="1">
      <alignment horizontal="center" wrapText="1"/>
    </xf>
    <xf numFmtId="49" fontId="13" fillId="7" borderId="51" xfId="3" applyNumberFormat="1" applyFont="1" applyFill="1" applyBorder="1" applyAlignment="1">
      <alignment horizontal="center" wrapText="1"/>
    </xf>
    <xf numFmtId="0" fontId="9" fillId="0" borderId="0" xfId="3" applyAlignment="1">
      <alignment wrapText="1"/>
    </xf>
    <xf numFmtId="0" fontId="0" fillId="12" borderId="0" xfId="0" applyFill="1"/>
    <xf numFmtId="169" fontId="10" fillId="0" borderId="10" xfId="5" applyNumberFormat="1" applyFont="1" applyBorder="1" applyAlignment="1">
      <alignment wrapText="1"/>
    </xf>
    <xf numFmtId="4" fontId="0" fillId="0" borderId="0" xfId="0" applyNumberFormat="1" applyFill="1"/>
    <xf numFmtId="0" fontId="56" fillId="0" borderId="0" xfId="0" applyFon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9" fontId="8" fillId="0" borderId="11" xfId="5" applyNumberFormat="1" applyFont="1" applyBorder="1" applyAlignment="1">
      <alignment horizontal="left"/>
    </xf>
    <xf numFmtId="0" fontId="48" fillId="0" borderId="0" xfId="3" applyFont="1"/>
    <xf numFmtId="167" fontId="0" fillId="0" borderId="0" xfId="4" applyNumberFormat="1" applyFont="1" applyFill="1"/>
    <xf numFmtId="167" fontId="7" fillId="0" borderId="11" xfId="4" applyNumberFormat="1" applyFont="1" applyBorder="1" applyAlignment="1">
      <alignment horizontal="left"/>
    </xf>
    <xf numFmtId="0" fontId="6" fillId="0" borderId="0" xfId="3" applyFont="1"/>
    <xf numFmtId="0" fontId="54" fillId="0" borderId="0" xfId="3" applyFont="1"/>
    <xf numFmtId="0" fontId="59" fillId="0" borderId="0" xfId="3" applyFont="1"/>
    <xf numFmtId="0" fontId="10" fillId="0" borderId="1" xfId="0" applyFont="1" applyBorder="1" applyAlignment="1">
      <alignment horizontal="left"/>
    </xf>
    <xf numFmtId="3" fontId="0" fillId="0" borderId="1" xfId="0" applyNumberFormat="1" applyBorder="1"/>
    <xf numFmtId="0" fontId="60" fillId="0" borderId="0" xfId="3" applyFont="1"/>
    <xf numFmtId="44" fontId="11" fillId="0" borderId="0" xfId="4" applyFont="1" applyAlignment="1">
      <alignment horizontal="center"/>
    </xf>
    <xf numFmtId="167" fontId="6" fillId="0" borderId="14" xfId="4" applyNumberFormat="1" applyFont="1" applyBorder="1" applyAlignment="1">
      <alignment horizontal="left"/>
    </xf>
    <xf numFmtId="4" fontId="10" fillId="0" borderId="0" xfId="0" applyNumberFormat="1" applyFont="1"/>
    <xf numFmtId="4" fontId="11" fillId="0" borderId="0" xfId="0" applyNumberFormat="1" applyFont="1"/>
    <xf numFmtId="0" fontId="62" fillId="0" borderId="0" xfId="0" applyFont="1"/>
    <xf numFmtId="0" fontId="11" fillId="0" borderId="1" xfId="0" applyFont="1" applyBorder="1"/>
    <xf numFmtId="0" fontId="62" fillId="0" borderId="1" xfId="0" applyFont="1" applyBorder="1"/>
    <xf numFmtId="3" fontId="62" fillId="0" borderId="1" xfId="0" applyNumberFormat="1" applyFont="1" applyBorder="1"/>
    <xf numFmtId="0" fontId="11" fillId="16" borderId="1" xfId="0" applyFont="1" applyFill="1" applyBorder="1"/>
    <xf numFmtId="7" fontId="11" fillId="16" borderId="1" xfId="8" applyNumberFormat="1" applyFont="1" applyFill="1" applyBorder="1"/>
    <xf numFmtId="49" fontId="11" fillId="15" borderId="48" xfId="0" applyNumberFormat="1" applyFont="1" applyFill="1" applyBorder="1"/>
    <xf numFmtId="0" fontId="28" fillId="0" borderId="20" xfId="3" applyFont="1" applyBorder="1" applyAlignment="1">
      <alignment horizontal="left" vertical="center" wrapText="1"/>
    </xf>
    <xf numFmtId="3" fontId="54" fillId="0" borderId="0" xfId="3" applyNumberFormat="1" applyFont="1"/>
    <xf numFmtId="14" fontId="0" fillId="0" borderId="0" xfId="0" applyNumberFormat="1"/>
    <xf numFmtId="22" fontId="0" fillId="0" borderId="0" xfId="0" applyNumberFormat="1"/>
    <xf numFmtId="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0" fontId="10" fillId="0" borderId="1" xfId="0" applyFont="1" applyBorder="1"/>
    <xf numFmtId="14" fontId="0" fillId="0" borderId="0" xfId="0" applyNumberFormat="1" applyAlignment="1">
      <alignment vertical="top"/>
    </xf>
    <xf numFmtId="22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3" fontId="5" fillId="0" borderId="25" xfId="6" applyNumberFormat="1" applyFont="1" applyBorder="1"/>
    <xf numFmtId="0" fontId="63" fillId="0" borderId="0" xfId="0" applyFont="1"/>
    <xf numFmtId="0" fontId="62" fillId="0" borderId="1" xfId="0" applyFont="1" applyBorder="1" applyAlignment="1">
      <alignment wrapText="1"/>
    </xf>
    <xf numFmtId="0" fontId="4" fillId="0" borderId="0" xfId="3" applyFont="1"/>
    <xf numFmtId="0" fontId="64" fillId="11" borderId="54" xfId="3" applyFont="1" applyFill="1" applyBorder="1" applyAlignment="1">
      <alignment horizontal="center" wrapText="1"/>
    </xf>
    <xf numFmtId="0" fontId="64" fillId="11" borderId="55" xfId="3" applyFont="1" applyFill="1" applyBorder="1" applyAlignment="1">
      <alignment horizontal="center" wrapText="1"/>
    </xf>
    <xf numFmtId="0" fontId="64" fillId="11" borderId="56" xfId="3" applyFont="1" applyFill="1" applyBorder="1" applyAlignment="1">
      <alignment horizontal="center" wrapText="1"/>
    </xf>
    <xf numFmtId="169" fontId="65" fillId="0" borderId="57" xfId="5" applyNumberFormat="1" applyFont="1" applyBorder="1" applyAlignment="1">
      <alignment horizontal="left"/>
    </xf>
    <xf numFmtId="169" fontId="65" fillId="0" borderId="1" xfId="5" applyNumberFormat="1" applyFont="1" applyBorder="1" applyAlignment="1">
      <alignment horizontal="left"/>
    </xf>
    <xf numFmtId="169" fontId="65" fillId="0" borderId="58" xfId="5" applyNumberFormat="1" applyFont="1" applyBorder="1" applyAlignment="1">
      <alignment horizontal="left"/>
    </xf>
    <xf numFmtId="169" fontId="65" fillId="0" borderId="59" xfId="5" applyNumberFormat="1" applyFont="1" applyBorder="1" applyAlignment="1">
      <alignment horizontal="left"/>
    </xf>
    <xf numFmtId="169" fontId="65" fillId="0" borderId="38" xfId="5" applyNumberFormat="1" applyFont="1" applyBorder="1" applyAlignment="1">
      <alignment horizontal="left"/>
    </xf>
    <xf numFmtId="169" fontId="65" fillId="0" borderId="60" xfId="5" applyNumberFormat="1" applyFont="1" applyBorder="1" applyAlignment="1">
      <alignment horizontal="left"/>
    </xf>
    <xf numFmtId="169" fontId="65" fillId="0" borderId="61" xfId="5" applyNumberFormat="1" applyFont="1" applyBorder="1" applyAlignment="1">
      <alignment horizontal="left"/>
    </xf>
    <xf numFmtId="169" fontId="65" fillId="0" borderId="62" xfId="5" applyNumberFormat="1" applyFont="1" applyBorder="1" applyAlignment="1">
      <alignment horizontal="left"/>
    </xf>
    <xf numFmtId="169" fontId="65" fillId="0" borderId="63" xfId="5" applyNumberFormat="1" applyFont="1" applyBorder="1" applyAlignment="1">
      <alignment horizontal="left"/>
    </xf>
    <xf numFmtId="167" fontId="3" fillId="0" borderId="11" xfId="4" applyNumberFormat="1" applyFont="1" applyBorder="1" applyAlignment="1">
      <alignment horizontal="left"/>
    </xf>
    <xf numFmtId="169" fontId="2" fillId="0" borderId="11" xfId="5" applyNumberFormat="1" applyFont="1" applyBorder="1" applyAlignment="1">
      <alignment horizontal="left"/>
    </xf>
    <xf numFmtId="169" fontId="2" fillId="0" borderId="50" xfId="5" applyNumberFormat="1" applyFont="1" applyBorder="1" applyAlignment="1">
      <alignment horizontal="left"/>
    </xf>
    <xf numFmtId="169" fontId="2" fillId="0" borderId="14" xfId="5" applyNumberFormat="1" applyFont="1" applyBorder="1" applyAlignment="1">
      <alignment horizontal="left"/>
    </xf>
    <xf numFmtId="169" fontId="2" fillId="0" borderId="52" xfId="5" applyNumberFormat="1" applyFont="1" applyBorder="1" applyAlignment="1">
      <alignment horizontal="left"/>
    </xf>
    <xf numFmtId="169" fontId="2" fillId="0" borderId="17" xfId="5" applyNumberFormat="1" applyFont="1" applyBorder="1" applyAlignment="1">
      <alignment horizontal="left"/>
    </xf>
    <xf numFmtId="169" fontId="2" fillId="0" borderId="53" xfId="5" applyNumberFormat="1" applyFont="1" applyBorder="1" applyAlignment="1">
      <alignment horizontal="left"/>
    </xf>
    <xf numFmtId="167" fontId="14" fillId="11" borderId="0" xfId="4" applyNumberFormat="1" applyFont="1" applyFill="1"/>
    <xf numFmtId="167" fontId="14" fillId="11" borderId="0" xfId="3" applyNumberFormat="1" applyFont="1" applyFill="1"/>
    <xf numFmtId="0" fontId="1" fillId="0" borderId="0" xfId="3" applyFont="1"/>
    <xf numFmtId="0" fontId="37" fillId="0" borderId="0" xfId="6" applyFont="1" applyAlignment="1">
      <alignment horizontal="center"/>
    </xf>
    <xf numFmtId="7" fontId="11" fillId="16" borderId="41" xfId="8" applyNumberFormat="1" applyFont="1" applyFill="1" applyBorder="1" applyAlignment="1">
      <alignment horizontal="center" vertical="center"/>
    </xf>
    <xf numFmtId="7" fontId="11" fillId="16" borderId="42" xfId="8" applyNumberFormat="1" applyFont="1" applyFill="1" applyBorder="1" applyAlignment="1">
      <alignment horizontal="center" vertical="center"/>
    </xf>
  </cellXfs>
  <cellStyles count="9">
    <cellStyle name="Čárka 2" xfId="5" xr:uid="{00000000-0005-0000-0000-000000000000}"/>
    <cellStyle name="Měna" xfId="8" builtinId="4"/>
    <cellStyle name="Měna 2" xfId="4" xr:uid="{00000000-0005-0000-0000-000001000000}"/>
    <cellStyle name="Normální" xfId="0" builtinId="0"/>
    <cellStyle name="Normální 2" xfId="3" xr:uid="{00000000-0005-0000-0000-000003000000}"/>
    <cellStyle name="normální 2 2" xfId="6" xr:uid="{00000000-0005-0000-0000-000004000000}"/>
    <cellStyle name="Normální 3" xfId="7" xr:uid="{B0066C37-D760-40B6-9353-E616ABEB4DC9}"/>
    <cellStyle name="Správně" xfId="1" builtinId="26"/>
    <cellStyle name="Zvýraznění 2" xfId="2" builtinId="33"/>
  </cellStyles>
  <dxfs count="16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color theme="1"/>
      </font>
    </dxf>
    <dxf>
      <font>
        <color theme="1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3" tint="0.399975585192419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theme="5"/>
        </right>
        <top/>
        <bottom/>
      </border>
    </dxf>
    <dxf>
      <border diagonalUp="0" diagonalDown="0">
        <left/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theme="5"/>
        </right>
        <top/>
        <bottom/>
      </border>
    </dxf>
    <dxf>
      <border diagonalUp="0" diagonalDown="0">
        <left/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theme="5"/>
        </right>
        <top/>
        <bottom/>
      </border>
      <protection locked="1" hidden="0"/>
    </dxf>
    <dxf>
      <border diagonalUp="0" diagonalDown="0">
        <left/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theme="5"/>
        </right>
        <top/>
        <bottom/>
      </border>
      <protection locked="1" hidden="0"/>
    </dxf>
    <dxf>
      <border diagonalUp="0" diagonalDown="0">
        <left/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</font>
      <fill>
        <patternFill patternType="none">
          <fgColor indexed="64"/>
          <bgColor theme="5" tint="0.79998168889431442"/>
        </patternFill>
      </fill>
    </dxf>
    <dxf>
      <numFmt numFmtId="167" formatCode="_-* #,##0\ &quot;Kč&quot;_-;\-* #,##0\ &quot;Kč&quot;_-;_-* &quot;-&quot;??\ &quot;Kč&quot;_-;_-@_-"/>
    </dxf>
    <dxf>
      <border diagonalUp="0" diagonalDown="0">
        <left style="medium">
          <color theme="5"/>
        </left>
        <right style="medium">
          <color theme="5"/>
        </right>
        <top style="medium">
          <color theme="5"/>
        </top>
        <bottom style="medium">
          <color theme="5"/>
        </bottom>
      </border>
    </dxf>
    <dxf>
      <font>
        <b/>
        <strike val="0"/>
        <outline val="0"/>
        <shadow val="0"/>
        <u val="none"/>
        <vertAlign val="baseline"/>
        <color theme="0" tint="-0.499984740745262"/>
      </font>
      <fill>
        <patternFill patternType="solid">
          <fgColor indexed="64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color theme="0" tint="-0.499984740745262"/>
      </font>
      <numFmt numFmtId="167" formatCode="_-* #,##0\ &quot;Kč&quot;_-;\-* #,##0\ &quot;Kč&quot;_-;_-* &quot;-&quot;??\ &quot;Kč&quot;_-;_-@_-"/>
    </dxf>
    <dxf>
      <font>
        <strike val="0"/>
        <outline val="0"/>
        <shadow val="0"/>
        <u val="none"/>
        <vertAlign val="baseline"/>
        <color theme="0" tint="-0.499984740745262"/>
      </font>
    </dxf>
    <dxf>
      <font>
        <strike val="0"/>
        <outline val="0"/>
        <shadow val="0"/>
        <u val="none"/>
        <vertAlign val="baseline"/>
        <color theme="0" tint="-0.499984740745262"/>
      </font>
    </dxf>
    <dxf>
      <font>
        <strike val="0"/>
        <outline val="0"/>
        <shadow val="0"/>
        <u val="none"/>
        <vertAlign val="baseline"/>
        <color theme="0" tint="-0.499984740745262"/>
      </font>
    </dxf>
    <dxf>
      <font>
        <strike val="0"/>
        <outline val="0"/>
        <shadow val="0"/>
        <u val="none"/>
        <vertAlign val="baseline"/>
        <color theme="0" tint="-0.499984740745262"/>
      </font>
    </dxf>
    <dxf>
      <border diagonalUp="0" diagonalDown="0">
        <left style="medium">
          <color theme="5"/>
        </left>
        <right style="medium">
          <color theme="5"/>
        </right>
        <top style="medium">
          <color theme="5"/>
        </top>
        <bottom style="medium">
          <color theme="5"/>
        </bottom>
      </border>
    </dxf>
    <dxf>
      <font>
        <strike val="0"/>
        <outline val="0"/>
        <shadow val="0"/>
        <u val="none"/>
        <vertAlign val="baseline"/>
        <color theme="0" tint="-0.499984740745262"/>
      </font>
    </dxf>
    <dxf>
      <font>
        <strike val="0"/>
        <outline val="0"/>
        <shadow val="0"/>
        <u val="none"/>
        <vertAlign val="baseline"/>
        <color theme="0" tint="-0.499984740745262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pivotCacheDefinition" Target="pivotCache/pivotCacheDefinition9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pivotCacheDefinition" Target="pivotCache/pivotCacheDefinition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Rozpo&#269;et%202019/Rozpo&#269;et%20FNOL%202019/OEC/501%2016%20402%20z&#225;vodn&#237;%20strav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019"/>
      <sheetName val="Počet porcí 2018"/>
      <sheetName val="2017 ceník"/>
    </sheetNames>
    <sheetDataSet>
      <sheetData sheetId="0"/>
      <sheetData sheetId="1"/>
      <sheetData sheetId="2">
        <row r="6">
          <cell r="C6">
            <v>32.43</v>
          </cell>
        </row>
        <row r="14">
          <cell r="C14">
            <v>29.263076000000002</v>
          </cell>
        </row>
        <row r="20">
          <cell r="C20">
            <v>32.43</v>
          </cell>
        </row>
        <row r="27">
          <cell r="C27">
            <v>32.43</v>
          </cell>
        </row>
        <row r="43">
          <cell r="C43">
            <v>15.02457943925234</v>
          </cell>
        </row>
        <row r="51">
          <cell r="C51">
            <v>19.774596592332745</v>
          </cell>
        </row>
        <row r="59">
          <cell r="C59">
            <v>39.369999999999997</v>
          </cell>
        </row>
        <row r="61">
          <cell r="C61">
            <v>10.73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4930559" createdVersion="6" refreshedVersion="6" minRefreshableVersion="3" recordCount="18" xr:uid="{2D2D4F92-208F-47FC-B9F5-B18416649011}">
  <cacheSource type="worksheet">
    <worksheetSource ref="A1:AH19" sheet="648 24 415"/>
  </cacheSource>
  <cacheFields count="34">
    <cacheField name="Evidenční číslo dokladu" numFmtId="0">
      <sharedItems containsBlank="1"/>
    </cacheField>
    <cacheField name="Popis" numFmtId="0">
      <sharedItems containsBlank="1" count="11">
        <s v="SZŠ - příspěvek na stravu 1/19"/>
        <s v="Příspěvek na stravu - zaměstnanci 1/19"/>
        <s v="SZŠ - příspěvek na stravu 2/19"/>
        <s v="Příspěvek na stravu - zaměstnanci 2/19"/>
        <s v="SZŠ - příspěvek na stravu 3/19"/>
        <s v="Příspěvek na stravu - zaměstnanci 3/19"/>
        <s v="SZŠ - příspěvek na stravu"/>
        <s v="Příspěve na stravu - zaměstnanci"/>
        <s v="Příspěvek na stravu - zaměstnanci"/>
        <s v="SZŠ - příspěvek ns stravu"/>
        <m/>
      </sharedItems>
    </cacheField>
    <cacheField name="Index DPH" numFmtId="0">
      <sharedItems containsBlank="1"/>
    </cacheField>
    <cacheField name="Datum zaúčtování" numFmtId="14">
      <sharedItems containsNonDate="0" containsDate="1" containsString="0" containsBlank="1" minDate="2019-01-31T00:00:00" maxDate="2019-10-01T00:00:00"/>
    </cacheField>
    <cacheField name="Částka MD" numFmtId="0">
      <sharedItems containsNonDate="0" containsString="0" containsBlank="1"/>
    </cacheField>
    <cacheField name="Částka DAL" numFmtId="165">
      <sharedItems containsString="0" containsBlank="1" containsNumber="1" minValue="4312" maxValue="470058.14"/>
    </cacheField>
    <cacheField name="Hospodářské středisko" numFmtId="0">
      <sharedItems containsBlank="1"/>
    </cacheField>
    <cacheField name="Protiúčet" numFmtId="0">
      <sharedItems containsBlank="1"/>
    </cacheField>
    <cacheField name="Akce" numFmtId="0">
      <sharedItems containsBlank="1"/>
    </cacheField>
    <cacheField name="Název hospodářského střediska" numFmtId="0">
      <sharedItems containsBlank="1"/>
    </cacheField>
    <cacheField name="Obchodní partner" numFmtId="0">
      <sharedItems containsNonDate="0" containsString="0" containsBlank="1"/>
    </cacheField>
    <cacheField name="Datum dokladu" numFmtId="0">
      <sharedItems containsNonDate="0" containsDate="1" containsString="0" containsBlank="1" minDate="2019-01-31T00:00:00" maxDate="2019-10-01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 containsBlank="1"/>
    </cacheField>
    <cacheField name="Audit" numFmtId="0">
      <sharedItems containsBlank="1"/>
    </cacheField>
    <cacheField name="Kalkulační jednice" numFmtId="0">
      <sharedItems containsNonDate="0" containsString="0" containsBlank="1"/>
    </cacheField>
    <cacheField name="Zaúčtoval" numFmtId="0">
      <sharedItems containsBlank="1"/>
    </cacheField>
    <cacheField name="Zaúčtováno" numFmtId="0">
      <sharedItems containsBlank="1"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tring="0" containsBlank="1" containsNumber="1" containsInteger="1" minValue="1" maxValue="9" count="10">
        <n v="1"/>
        <n v="2"/>
        <n v="3"/>
        <n v="4"/>
        <n v="5"/>
        <n v="6"/>
        <n v="7"/>
        <n v="8"/>
        <n v="9"/>
        <m/>
      </sharedItems>
    </cacheField>
    <cacheField name="Okamžik zápisu" numFmtId="0">
      <sharedItems containsNonDate="0" containsDate="1" containsString="0" containsBlank="1" minDate="2019-02-08T14:39:57" maxDate="2019-10-08T11:00:17"/>
    </cacheField>
    <cacheField name="Název akce" numFmtId="0">
      <sharedItems containsBlank="1"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5046297" createdVersion="6" refreshedVersion="6" minRefreshableVersion="3" recordCount="109" xr:uid="{97A8669D-9D7F-4B1B-8F6D-179A6C6DB725}">
  <cacheSource type="worksheet">
    <worksheetSource ref="A1:AH110" sheet="649 24 511"/>
  </cacheSource>
  <cacheFields count="34">
    <cacheField name="Evidenční číslo dokladu" numFmtId="0">
      <sharedItems containsBlank="1"/>
    </cacheField>
    <cacheField name="Popis" numFmtId="0">
      <sharedItems containsBlank="1" count="30">
        <s v="Omylem vystavena duplicitní faktura"/>
        <s v="Faktura vydaná"/>
        <s v="obědy v rámci předatestačního kurzu &quot;Urodynamické vyšetření&quot; ve dnech 14.-15.2.2019"/>
        <s v="Obědy ve dnech 23.-24.2.2019 - Kongres UPdent"/>
        <s v="Obědy"/>
        <s v="Obědy BG"/>
        <s v="Obědy v rámci předatestačního kurzu &quot;Ženská urologie&quot;"/>
        <s v="Obědy 3/2019"/>
        <s v="Obědy 4/2019"/>
        <s v="Obědy dne 14.5.2019 - hosti konference SVOČ"/>
        <s v="Obědy 5/2019"/>
        <s v="Objednávka obědů v rámci akce: Olomouc Live Endoscopy konané ve dnech 20.-21.6.2019"/>
        <s v="Obědy 6/2019"/>
        <s v="Obědy 7/2019"/>
        <s v="Kantýna"/>
        <s v="strava sražená ze mzdy 1/19"/>
        <s v="strava sražená ze mzdy 2/19"/>
        <s v="strava sražená ze mzdy 3/19"/>
        <s v="strava sražená ze mzdy 4/19"/>
        <s v="strava sražená ze mzdy 5/19"/>
        <s v="strava sražená ze mzdy 6/19"/>
        <s v="strava sražená ze mzdy 7/19"/>
        <s v="strava sražená ze mzdy 8/19"/>
        <s v="strava sražená ze mzdy 9/19"/>
        <s v="Smutný Štěpán-vrácení stravného za 7/19"/>
        <s v="Potraviny - tržby 1/19"/>
        <s v="Potraviny - tržby 2/19"/>
        <s v="Potraviny - tržby 3/19"/>
        <s v="Potraviny - tržby"/>
        <m/>
      </sharedItems>
    </cacheField>
    <cacheField name="Index DPH" numFmtId="0">
      <sharedItems containsBlank="1"/>
    </cacheField>
    <cacheField name="Datum zaúčtování" numFmtId="0">
      <sharedItems containsNonDate="0" containsDate="1" containsString="0" containsBlank="1" minDate="2019-01-31T00:00:00" maxDate="2019-10-01T00:00:00"/>
    </cacheField>
    <cacheField name="Částka MD" numFmtId="0">
      <sharedItems containsNonDate="0" containsString="0" containsBlank="1"/>
    </cacheField>
    <cacheField name="Částka DAL" numFmtId="4">
      <sharedItems containsString="0" containsBlank="1" containsNumber="1" minValue="-7601.78" maxValue="180986.16"/>
    </cacheField>
    <cacheField name="Hospodářské středisko" numFmtId="0">
      <sharedItems containsBlank="1"/>
    </cacheField>
    <cacheField name="Protiúčet" numFmtId="0">
      <sharedItems containsBlank="1"/>
    </cacheField>
    <cacheField name="Akce" numFmtId="0">
      <sharedItems containsBlank="1"/>
    </cacheField>
    <cacheField name="Název hospodářského střediska" numFmtId="0">
      <sharedItems containsBlank="1"/>
    </cacheField>
    <cacheField name="Obchodní partner" numFmtId="0">
      <sharedItems containsBlank="1"/>
    </cacheField>
    <cacheField name="Datum dokladu" numFmtId="0">
      <sharedItems containsNonDate="0" containsDate="1" containsString="0" containsBlank="1" minDate="2019-01-31T00:00:00" maxDate="2019-10-12T00:00:00"/>
    </cacheField>
    <cacheField name="Datum uplatnění zd. plnění" numFmtId="0">
      <sharedItems containsNonDate="0" containsDate="1" containsString="0" containsBlank="1" minDate="2019-01-31T00:00:00" maxDate="2019-10-01T00:00:00"/>
    </cacheField>
    <cacheField name="Variabilní symbol" numFmtId="0">
      <sharedItems containsBlank="1"/>
    </cacheField>
    <cacheField name="Účetní skupina zboží" numFmtId="0">
      <sharedItems containsBlank="1"/>
    </cacheField>
    <cacheField name="Párovací skupina" numFmtId="0">
      <sharedItems containsBlank="1"/>
    </cacheField>
    <cacheField name="Audit" numFmtId="0">
      <sharedItems containsBlank="1"/>
    </cacheField>
    <cacheField name="Kalkulační jednice" numFmtId="0">
      <sharedItems containsNonDate="0" containsString="0" containsBlank="1"/>
    </cacheField>
    <cacheField name="Zaúčtoval" numFmtId="0">
      <sharedItems containsBlank="1"/>
    </cacheField>
    <cacheField name="Zaúčtováno" numFmtId="0">
      <sharedItems containsBlank="1"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tring="0" containsBlank="1" containsNumber="1" containsInteger="1" minValue="1" maxValue="9" count="10">
        <n v="8"/>
        <n v="1"/>
        <n v="2"/>
        <n v="3"/>
        <n v="4"/>
        <n v="5"/>
        <n v="6"/>
        <n v="7"/>
        <n v="9"/>
        <m/>
      </sharedItems>
    </cacheField>
    <cacheField name="Okamžik zápisu" numFmtId="0">
      <sharedItems containsNonDate="0" containsDate="1" containsString="0" containsBlank="1" minDate="2019-02-06T09:07:07" maxDate="2019-10-11T07:58:52"/>
    </cacheField>
    <cacheField name="Název akce" numFmtId="0">
      <sharedItems containsBlank="1"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5277775" createdVersion="6" refreshedVersion="6" minRefreshableVersion="3" recordCount="19" xr:uid="{13BBFF5E-7B20-4FCB-8C93-2884BCDC74E9}">
  <cacheSource type="worksheet">
    <worksheetSource ref="A1:AG20" sheet="649 24 411"/>
  </cacheSource>
  <cacheFields count="33">
    <cacheField name="Evidenční číslo dokladu" numFmtId="0">
      <sharedItems/>
    </cacheField>
    <cacheField name="Popis" numFmtId="0">
      <sharedItems count="14">
        <s v="strava sražená ze mzdy 1/19"/>
        <s v="strava sražená ze mzdy 2/19"/>
        <s v="strava sražená ze mzdy 3/19"/>
        <s v="strava sražená ze mzdy 4/19"/>
        <s v="strava sražená ze mzdy 5/19"/>
        <s v="strava sražená ze mzdy 6/19"/>
        <s v="strava sražená ze mzdy 7/19"/>
        <s v="strava sražená ze mzdy 8/19"/>
        <s v="strava sražená ze mzdy 9/19"/>
        <s v="Smutný Štěpán-vrácení stravného za 7/19"/>
        <s v="Potraviny - tržby 1/19"/>
        <s v="Potraviny - tržby 2/19"/>
        <s v="Potraviny - tržby 3/19"/>
        <s v="Potraviny - tržby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31T00:00:00" maxDate="2019-10-01T00:00:00"/>
    </cacheField>
    <cacheField name="Částka MD" numFmtId="0">
      <sharedItems containsNonDate="0" containsString="0" containsBlank="1"/>
    </cacheField>
    <cacheField name="Částka DAL" numFmtId="165">
      <sharedItems containsSemiMixedTypes="0" containsString="0" containsNumber="1" minValue="497.41" maxValue="1016625.66"/>
    </cacheField>
    <cacheField name="Hospodářské středisko" numFmtId="0">
      <sharedItems/>
    </cacheField>
    <cacheField name="Protiúčet" numFmtId="0">
      <sharedItems/>
    </cacheField>
    <cacheField name="Akce" numFmtId="0">
      <sharedItems containsBlank="1"/>
    </cacheField>
    <cacheField name="Název hospodářského střediska" numFmtId="0">
      <sharedItems/>
    </cacheField>
    <cacheField name="Obchodní partner" numFmtId="0">
      <sharedItems containsBlank="1"/>
    </cacheField>
    <cacheField name="Datum dokladu" numFmtId="166">
      <sharedItems containsSemiMixedTypes="0" containsNonDate="0" containsDate="1" containsString="0" minDate="2019-01-31T00:00:00" maxDate="2019-10-01T00:00:00"/>
    </cacheField>
    <cacheField name="Datum uplatnění zd. plnění" numFmtId="14">
      <sharedItems containsSemiMixedTypes="0" containsNonDate="0" containsDate="1" containsString="0" minDate="2019-01-31T00:00:00" maxDate="2019-10-01T00:00:00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Okamžik zápisu" numFmtId="166">
      <sharedItems containsSemiMixedTypes="0" containsNonDate="0" containsDate="1" containsString="0" minDate="2019-02-11T08:31:44" maxDate="2019-10-11T07:29:25"/>
    </cacheField>
    <cacheField name="Název akce" numFmtId="0">
      <sharedItems containsBlank="1"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5393521" createdVersion="6" refreshedVersion="6" minRefreshableVersion="3" recordCount="9" xr:uid="{EAAB1487-B26F-4ED7-A428-540D20B6FFDF}">
  <cacheSource type="worksheet">
    <worksheetSource ref="A1:AH10" sheet="501 16 403"/>
  </cacheSource>
  <cacheFields count="34">
    <cacheField name="Evidenční číslo dokladu" numFmtId="0">
      <sharedItems/>
    </cacheField>
    <cacheField name="Popis" numFmtId="0">
      <sharedItems count="4">
        <s v="Studenti a stážisté 1/19"/>
        <s v="Studenti a stážisté 2/19"/>
        <s v="Studenti a stážisté 3/19"/>
        <s v="Studenti a stážisté"/>
      </sharedItems>
    </cacheField>
    <cacheField name="Index DPH" numFmtId="0">
      <sharedItems containsMixedTypes="1" containsNumber="1" containsInteger="1" minValue="0" maxValue="0"/>
    </cacheField>
    <cacheField name="Datum zaúčtování" numFmtId="14">
      <sharedItems containsSemiMixedTypes="0" containsNonDate="0" containsDate="1" containsString="0" minDate="2019-01-31T00:00:00" maxDate="2019-10-01T00:00:00"/>
    </cacheField>
    <cacheField name="Částka MD" numFmtId="4">
      <sharedItems containsSemiMixedTypes="0" containsString="0" containsNumber="1" minValue="32008.59" maxValue="230595.18"/>
    </cacheField>
    <cacheField name="Částka DAL" numFmtId="0">
      <sharedItems containsNonDate="0" containsString="0" containsBlank="1"/>
    </cacheField>
    <cacheField name="Hospodářské středisko" numFmtId="0">
      <sharedItems containsMixedTypes="1" containsNumber="1" containsInteger="1" minValue="9501" maxValue="9501"/>
    </cacheField>
    <cacheField name="Protiúčet" numFmtId="0">
      <sharedItems containsMixedTypes="1" containsNumber="1" containsInteger="1" minValue="50116402" maxValue="50116402"/>
    </cacheField>
    <cacheField name="Akce" numFmtId="0">
      <sharedItems containsBlank="1"/>
    </cacheField>
    <cacheField name="Název hospodářského střediska" numFmtId="0">
      <sharedItems/>
    </cacheField>
    <cacheField name="Obchodní partner" numFmtId="0">
      <sharedItems containsNonDate="0" containsString="0" containsBlank="1"/>
    </cacheField>
    <cacheField name="Datum dokladu" numFmtId="0">
      <sharedItems containsSemiMixedTypes="0" containsNonDate="0" containsDate="1" containsString="0" minDate="2019-01-31T00:00:00" maxDate="2019-10-01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 containsMixedTypes="1" containsNumber="1" minValue="354534350.10869998" maxValue="354534350.10869998"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Okamžik zápisu" numFmtId="0">
      <sharedItems containsSemiMixedTypes="0" containsNonDate="0" containsDate="1" containsString="0" minDate="2019-02-15T09:28:49" maxDate="2019-10-08T11:18:41"/>
    </cacheField>
    <cacheField name="Název akce" numFmtId="0">
      <sharedItems containsBlank="1"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5393521" createdVersion="6" refreshedVersion="6" minRefreshableVersion="3" recordCount="39" xr:uid="{8F330986-D06F-43F1-95D4-B77F7C9FA920}">
  <cacheSource type="worksheet">
    <worksheetSource ref="A1:AH40" sheet="501 16 402"/>
  </cacheSource>
  <cacheFields count="34">
    <cacheField name="Evidenční číslo dokladu" numFmtId="0">
      <sharedItems/>
    </cacheField>
    <cacheField name="Popis" numFmtId="0">
      <sharedItems count="11">
        <s v="Interní doklad"/>
        <s v="Sklad zaměstnanci - převod počátečního stavu"/>
        <s v="Studenti a stážisté 1/19"/>
        <s v="Cizí strávníci 1/19"/>
        <s v="Studenti a stážisté 2/19"/>
        <s v="Cizí strávníci 2/19"/>
        <s v="Studenti a stážisté 3/19"/>
        <s v="Cizí strávníci 3/19"/>
        <s v="Cizí strávníci 2/19-chybné účtování - oprava 3.19"/>
        <s v="Studenti a stážisté"/>
        <s v="Cizí strávníci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1T00:00:00" maxDate="2019-10-01T00:00:00"/>
    </cacheField>
    <cacheField name="Částka MD" numFmtId="0">
      <sharedItems containsString="0" containsBlank="1" containsNumber="1" minValue="-11167.51" maxValue="1771994.73"/>
    </cacheField>
    <cacheField name="Částka DAL" numFmtId="0">
      <sharedItems containsString="0" containsBlank="1" containsNumber="1" minValue="-94067.21" maxValue="230595.18"/>
    </cacheField>
    <cacheField name="Hospodářské středisko" numFmtId="0">
      <sharedItems/>
    </cacheField>
    <cacheField name="Protiúčet" numFmtId="0">
      <sharedItems/>
    </cacheField>
    <cacheField name="Akce" numFmtId="0">
      <sharedItems containsBlank="1"/>
    </cacheField>
    <cacheField name="Název hospodářského střediska" numFmtId="0">
      <sharedItems/>
    </cacheField>
    <cacheField name="Obchodní partner" numFmtId="0">
      <sharedItems containsBlank="1"/>
    </cacheField>
    <cacheField name="Datum dokladu" numFmtId="166">
      <sharedItems containsSemiMixedTypes="0" containsNonDate="0" containsDate="1" containsString="0" minDate="2019-01-01T00:00:00" maxDate="2019-10-01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Okamžik zápisu" numFmtId="166">
      <sharedItems containsSemiMixedTypes="0" containsNonDate="0" containsDate="1" containsString="0" minDate="2019-02-08T14:40:33" maxDate="2019-10-08T12:05:41"/>
    </cacheField>
    <cacheField name="Název akce" numFmtId="0">
      <sharedItems containsBlank="1"/>
    </cacheField>
    <cacheField name="Název kalkulační jednice" numFmtId="0">
      <sharedItems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5740744" createdVersion="6" refreshedVersion="6" minRefreshableVersion="3" recordCount="9" xr:uid="{102AAF0C-4B1D-49E4-B586-889B5AD9DC3A}">
  <cacheSource type="worksheet">
    <worksheetSource ref="A1:AH10" sheet="649 24 413"/>
  </cacheSource>
  <cacheFields count="34">
    <cacheField name="Evidenční číslo dokladu" numFmtId="0">
      <sharedItems/>
    </cacheField>
    <cacheField name="Popis" numFmtId="0">
      <sharedItems count="4">
        <s v="Potraviny - tržby 1/19"/>
        <s v="Potraviny - tržby 2/19"/>
        <s v="Potraviny - tržby 3/19"/>
        <s v="Potraviny - tržby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31T00:00:00" maxDate="2019-10-01T00:00:00"/>
    </cacheField>
    <cacheField name="Částka MD" numFmtId="0">
      <sharedItems containsNonDate="0" containsString="0" containsBlank="1"/>
    </cacheField>
    <cacheField name="Částka DAL" numFmtId="165">
      <sharedItems containsSemiMixedTypes="0" containsString="0" containsNumber="1" minValue="32963.910000000003" maxValue="232400.43"/>
    </cacheField>
    <cacheField name="Hospodářské středisko" numFmtId="0">
      <sharedItems/>
    </cacheField>
    <cacheField name="Protiúčet" numFmtId="0">
      <sharedItems/>
    </cacheField>
    <cacheField name="Akce" numFmtId="0">
      <sharedItems containsBlank="1"/>
    </cacheField>
    <cacheField name="Název hospodářského střediska" numFmtId="0">
      <sharedItems/>
    </cacheField>
    <cacheField name="Obchodní partner" numFmtId="0">
      <sharedItems containsNonDate="0" containsString="0" containsBlank="1"/>
    </cacheField>
    <cacheField name="Datum dokladu" numFmtId="166">
      <sharedItems containsSemiMixedTypes="0" containsNonDate="0" containsDate="1" containsString="0" minDate="2019-01-31T00:00:00" maxDate="2019-10-01T00:00:00"/>
    </cacheField>
    <cacheField name="Datum uplatnění zd. plnění" numFmtId="14">
      <sharedItems containsSemiMixedTypes="0" containsNonDate="0" containsDate="1" containsString="0" minDate="2019-01-31T00:00:00" maxDate="2019-10-01T00:00:00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Okamžik zápisu" numFmtId="166">
      <sharedItems containsSemiMixedTypes="0" containsNonDate="0" containsDate="1" containsString="0" minDate="2019-02-11T08:31:45" maxDate="2019-10-08T13:25:24"/>
    </cacheField>
    <cacheField name="Název akce" numFmtId="0">
      <sharedItems containsBlank="1"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5856483" createdVersion="6" refreshedVersion="6" minRefreshableVersion="3" recordCount="8" xr:uid="{4E8F90F6-5546-4362-AFF1-021A562B64EE}">
  <cacheSource type="worksheet">
    <worksheetSource ref="A1:AH9" sheet="518 07 411"/>
  </cacheSource>
  <cacheFields count="34">
    <cacheField name="Evidenční číslo dokladu" numFmtId="0">
      <sharedItems/>
    </cacheField>
    <cacheField name="Popis" numFmtId="0">
      <sharedItems count="8">
        <s v="Dodatek č. 2 ke Smlouvě o zajištění stravování - Klinika zubního lékařství za1/2019"/>
        <s v="Dodatek č. 2 ke Smlouvě o zajištění stravování - Klinika zubního lékařství"/>
        <s v="Dodatek č. 2 ke Smlouvě o zajištění stravování - Klinika zubního lékařství 3/2019"/>
        <s v="Dodatek č. 2 ke Smlouvě o zajištění stravování - Klinika zubního lékařství 4/2019"/>
        <s v="Dodatek č. 2 ke Smlouvě o zajištění stravování - Klinika zubního lékařství 5/2019"/>
        <s v="Dodatek č. 2 ke Smlouvě o zajištění stravování - Klinika zubního lékařství 6/2019"/>
        <s v="Dodatek č. 2 ke Smlouvě o zajištění stravování - Klinika zubního lékařství 8/2019"/>
        <s v="Dodatek č. 4 ke Smlouvě o zajištění stravování - Klinika zubního lékařství 9/2019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31T00:00:00" maxDate="2019-10-01T00:00:00"/>
    </cacheField>
    <cacheField name="Částka MD" numFmtId="165">
      <sharedItems containsSemiMixedTypes="0" containsString="0" containsNumber="1" minValue="18059.13" maxValue="33809.57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 containsBlank="1"/>
    </cacheField>
    <cacheField name="Název hospodářského střediska" numFmtId="0">
      <sharedItems/>
    </cacheField>
    <cacheField name="Obchodní partner" numFmtId="0">
      <sharedItems/>
    </cacheField>
    <cacheField name="Datum dokladu" numFmtId="166">
      <sharedItems containsSemiMixedTypes="0" containsNonDate="0" containsDate="1" containsString="0" minDate="2019-02-07T00:00:00" maxDate="2019-10-04T00:00:00"/>
    </cacheField>
    <cacheField name="Datum uplatnění zd. plnění" numFmtId="14">
      <sharedItems containsSemiMixedTypes="0" containsNonDate="0" containsDate="1" containsString="0" minDate="2019-02-07T00:00:00" maxDate="2019-10-04T00:00:00"/>
    </cacheField>
    <cacheField name="Variabilní symbol" numFmtId="0">
      <sharedItems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8">
        <n v="1"/>
        <n v="2"/>
        <n v="3"/>
        <n v="4"/>
        <n v="5"/>
        <n v="6"/>
        <n v="8"/>
        <n v="9"/>
      </sharedItems>
    </cacheField>
    <cacheField name="Okamžik zápisu" numFmtId="166">
      <sharedItems containsSemiMixedTypes="0" containsNonDate="0" containsDate="1" containsString="0" minDate="2019-02-08T13:17:32" maxDate="2019-10-07T06:42:45"/>
    </cacheField>
    <cacheField name="Název akce" numFmtId="0">
      <sharedItems containsBlank="1"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3916608796" createdVersion="6" refreshedVersion="6" minRefreshableVersion="3" recordCount="22" xr:uid="{D6364147-0AF2-4A42-BFD2-AB58265AB2FC}">
  <cacheSource type="worksheet">
    <worksheetSource ref="A1:AH23" sheet="501 16 502"/>
  </cacheSource>
  <cacheFields count="34">
    <cacheField name="Evidenční číslo dokladu" numFmtId="0">
      <sharedItems/>
    </cacheField>
    <cacheField name="Popis" numFmtId="0">
      <sharedItems count="6">
        <s v="Interní doklad"/>
        <s v="Cizí strávníci 1/19"/>
        <s v="Cizí strávníci 2/19"/>
        <s v="Cizí strávníci 3/19"/>
        <s v="Cizí strávníci 2/19-chybné účtování - oprava 3.19"/>
        <s v="Cizí strávníci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3T00:00:00" maxDate="2019-10-01T00:00:00"/>
    </cacheField>
    <cacheField name="Částka MD" numFmtId="165">
      <sharedItems containsSemiMixedTypes="0" containsString="0" containsNumber="1" minValue="-94067.21" maxValue="107444.45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 containsBlank="1"/>
    </cacheField>
    <cacheField name="Název hospodářského střediska" numFmtId="0">
      <sharedItems/>
    </cacheField>
    <cacheField name="Obchodní partner" numFmtId="0">
      <sharedItems containsBlank="1"/>
    </cacheField>
    <cacheField name="Datum dokladu" numFmtId="166">
      <sharedItems containsSemiMixedTypes="0" containsNonDate="0" containsDate="1" containsString="0" minDate="2019-01-03T00:00:00" maxDate="2019-10-01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Okamžik zápisu" numFmtId="166">
      <sharedItems containsSemiMixedTypes="0" containsNonDate="0" containsDate="1" containsString="0" minDate="2019-02-08T14:40:28" maxDate="2019-10-08T12:05:35"/>
    </cacheField>
    <cacheField name="Název akce" numFmtId="0">
      <sharedItems containsBlank="1"/>
    </cacheField>
    <cacheField name="Název kalkulační jednice" numFmtId="0">
      <sharedItems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53.640621296297" createdVersion="6" refreshedVersion="6" minRefreshableVersion="3" recordCount="9" xr:uid="{DC8152C7-2D03-4EE1-946D-8AB394D2FB83}">
  <cacheSource type="worksheet">
    <worksheetSource ref="A1:AH10" sheet="649 08 512"/>
  </cacheSource>
  <cacheFields count="34">
    <cacheField name="Evidenční číslo dokladu" numFmtId="0">
      <sharedItems/>
    </cacheField>
    <cacheField name="Popis" numFmtId="0">
      <sharedItems count="4">
        <s v="Faktura vydaná"/>
        <s v="Obědy"/>
        <s v="Obědy 4/2019"/>
        <s v="Obědy 5/2019"/>
      </sharedItems>
    </cacheField>
    <cacheField name="Index DPH" numFmtId="0">
      <sharedItems containsMixedTypes="1" containsNumber="1" containsInteger="1" minValue="188" maxValue="188"/>
    </cacheField>
    <cacheField name="Datum zaúčtování" numFmtId="14">
      <sharedItems containsSemiMixedTypes="0" containsNonDate="0" containsDate="1" containsString="0" minDate="2019-01-31T00:00:00" maxDate="2019-10-01T00:00:00"/>
    </cacheField>
    <cacheField name="Částka MD" numFmtId="0">
      <sharedItems containsNonDate="0" containsString="0" containsBlank="1"/>
    </cacheField>
    <cacheField name="Částka DAL" numFmtId="0">
      <sharedItems containsSemiMixedTypes="0" containsString="0" containsNumber="1" minValue="11488" maxValue="116531.4"/>
    </cacheField>
    <cacheField name="Hospodářské středisko" numFmtId="0">
      <sharedItems containsMixedTypes="1" containsNumber="1" containsInteger="1" minValue="9501" maxValue="9501"/>
    </cacheField>
    <cacheField name="Protiúčet" numFmtId="0">
      <sharedItems containsMixedTypes="1" containsNumber="1" containsInteger="1" minValue="31105006" maxValue="31105006"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0">
      <sharedItems containsSemiMixedTypes="0" containsNonDate="0" containsDate="1" containsString="0" minDate="2019-02-11T00:00:00" maxDate="2019-10-11T00:00:00"/>
    </cacheField>
    <cacheField name="Datum uplatnění zd. plnění" numFmtId="14">
      <sharedItems containsSemiMixedTypes="0" containsNonDate="0" containsDate="1" containsString="0" minDate="2019-01-31T00:00:00" maxDate="2019-10-01T00:00:00"/>
    </cacheField>
    <cacheField name="Variabilní symbol" numFmtId="0">
      <sharedItems containsMixedTypes="1" containsNumber="1" containsInteger="1" minValue="943002229" maxValue="943002229"/>
    </cacheField>
    <cacheField name="Účetní skupina zboží" numFmtId="0">
      <sharedItems/>
    </cacheField>
    <cacheField name="Párovací skupina" numFmtId="0">
      <sharedItems containsMixedTypes="1" containsNumber="1" minValue="355257310.10869998" maxValue="355257310.10869998"/>
    </cacheField>
    <cacheField name="Audit" numFmtId="0">
      <sharedItems/>
    </cacheField>
    <cacheField name="Kalkulační jednice" numFmtId="0">
      <sharedItems containsString="0" containsBlank="1" containsNumber="1" containsInteger="1" minValue="4" maxValue="4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Okamžik zápisu" numFmtId="0">
      <sharedItems containsSemiMixedTypes="0" containsNonDate="0" containsDate="1" containsString="0" minDate="2019-02-12T07:25:39" maxDate="2019-10-11T07:58:51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Date="1" containsString="0" containsBlank="1" minDate="2019-10-11T07:58:51" maxDate="2019-10-11T07:58:51"/>
    </cacheField>
    <cacheField name="Název okruh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ID-2019-08-000001"/>
    <x v="0"/>
    <s v="000"/>
    <d v="2019-01-31T00:00:00"/>
    <m/>
    <n v="6635.25"/>
    <s v="9501"/>
    <s v="41232000"/>
    <s v="HC"/>
    <s v="STRAV: Provoz stravování - ostatní stravování"/>
    <m/>
    <d v="2019-01-31T00:00:00"/>
    <m/>
    <m/>
    <m/>
    <s v="326488332,10870"/>
    <b v="1"/>
    <m/>
    <s v="Lexová Martina"/>
    <s v="Zaúčtováno"/>
    <m/>
    <m/>
    <m/>
    <m/>
    <x v="0"/>
    <d v="2019-02-08T14:39:57"/>
    <s v="Hlavní činnost"/>
    <m/>
    <m/>
    <m/>
    <m/>
    <m/>
    <m/>
    <m/>
  </r>
  <r>
    <s v="ID-2019-08-000002"/>
    <x v="1"/>
    <s v="000"/>
    <d v="2019-01-31T00:00:00"/>
    <m/>
    <n v="470058.14"/>
    <s v="9501"/>
    <s v="41232000"/>
    <s v="HC"/>
    <s v="STRAV: Provoz stravování - ostatní stravování"/>
    <m/>
    <d v="2019-01-31T00:00:00"/>
    <m/>
    <m/>
    <m/>
    <s v="326490084,10870"/>
    <b v="1"/>
    <m/>
    <s v="Lexová Martina"/>
    <s v="Zaúčtováno"/>
    <m/>
    <m/>
    <m/>
    <m/>
    <x v="0"/>
    <d v="2019-02-08T14:39:57"/>
    <s v="Hlavní činnost"/>
    <m/>
    <m/>
    <m/>
    <m/>
    <m/>
    <m/>
    <m/>
  </r>
  <r>
    <s v="ID-2019-08-000006"/>
    <x v="2"/>
    <s v="000"/>
    <d v="2019-02-28T00:00:00"/>
    <m/>
    <n v="5976.64"/>
    <s v="9501"/>
    <s v="41232000"/>
    <s v="HC"/>
    <s v="STRAV: Provoz stravování - ostatní stravování"/>
    <m/>
    <d v="2019-02-28T00:00:00"/>
    <m/>
    <m/>
    <m/>
    <s v="329750156,10870"/>
    <b v="1"/>
    <m/>
    <s v="Lexová Martina"/>
    <s v="Zaúčtováno"/>
    <m/>
    <m/>
    <m/>
    <m/>
    <x v="1"/>
    <d v="2019-03-07T13:06:02"/>
    <s v="Hlavní činnost"/>
    <m/>
    <m/>
    <m/>
    <m/>
    <m/>
    <m/>
    <m/>
  </r>
  <r>
    <s v="ID-2019-08-000007"/>
    <x v="3"/>
    <s v="000"/>
    <d v="2019-02-28T00:00:00"/>
    <m/>
    <n v="419384.11"/>
    <s v="9501"/>
    <s v="41232000"/>
    <s v="HC"/>
    <s v="STRAV: Provoz stravování - ostatní stravování"/>
    <m/>
    <d v="2019-02-28T00:00:00"/>
    <m/>
    <m/>
    <m/>
    <s v="329753186,10870"/>
    <b v="1"/>
    <m/>
    <s v="Lexová Martina"/>
    <s v="Zaúčtováno"/>
    <m/>
    <m/>
    <m/>
    <m/>
    <x v="1"/>
    <d v="2019-03-07T13:06:02"/>
    <s v="Hlavní činnost"/>
    <m/>
    <m/>
    <m/>
    <m/>
    <m/>
    <m/>
    <m/>
  </r>
  <r>
    <s v="ID-2019-08-000011"/>
    <x v="4"/>
    <s v="000"/>
    <d v="2019-03-31T00:00:00"/>
    <m/>
    <n v="6477.97"/>
    <s v="9501"/>
    <s v="41232000"/>
    <s v="HC"/>
    <s v="STRAV: Provoz stravování - ostatní stravování"/>
    <m/>
    <d v="2019-03-31T00:00:00"/>
    <m/>
    <m/>
    <m/>
    <s v="333310028,10870"/>
    <b v="1"/>
    <m/>
    <s v="Lexová Martina"/>
    <s v="Zaúčtováno"/>
    <m/>
    <m/>
    <m/>
    <m/>
    <x v="2"/>
    <d v="2019-04-08T09:49:13"/>
    <s v="Hlavní činnost"/>
    <m/>
    <m/>
    <m/>
    <m/>
    <m/>
    <m/>
    <m/>
  </r>
  <r>
    <s v="ID-2019-08-000012"/>
    <x v="5"/>
    <s v="000"/>
    <d v="2019-03-31T00:00:00"/>
    <m/>
    <n v="434534.86"/>
    <s v="9501"/>
    <s v="41232000"/>
    <s v="HC"/>
    <s v="STRAV: Provoz stravování - ostatní stravování"/>
    <m/>
    <d v="2019-03-31T00:00:00"/>
    <m/>
    <m/>
    <m/>
    <s v="333311224,10870"/>
    <b v="1"/>
    <m/>
    <s v="Lexová Martina"/>
    <s v="Zaúčtováno"/>
    <m/>
    <m/>
    <m/>
    <m/>
    <x v="2"/>
    <d v="2019-04-08T09:49:13"/>
    <s v="Hlavní činnost"/>
    <m/>
    <m/>
    <m/>
    <m/>
    <m/>
    <m/>
    <m/>
  </r>
  <r>
    <s v="ID-2019-08-000016"/>
    <x v="6"/>
    <s v="000"/>
    <d v="2019-04-30T00:00:00"/>
    <m/>
    <n v="6251.88"/>
    <s v="9501"/>
    <s v="41232000"/>
    <s v="HC"/>
    <s v="STRAV: Provoz stravování - ostatní stravování"/>
    <m/>
    <d v="2019-04-30T00:00:00"/>
    <m/>
    <m/>
    <m/>
    <s v="337536232,10870"/>
    <b v="1"/>
    <m/>
    <s v="Lexová Martina"/>
    <s v="Zaúčtováno"/>
    <m/>
    <m/>
    <m/>
    <m/>
    <x v="3"/>
    <d v="2019-05-09T12:01:42"/>
    <s v="Hlavní činnost"/>
    <m/>
    <m/>
    <m/>
    <m/>
    <m/>
    <m/>
    <m/>
  </r>
  <r>
    <s v="ID-2019-08-000017"/>
    <x v="7"/>
    <s v="000"/>
    <d v="2019-04-30T00:00:00"/>
    <m/>
    <n v="428826.13"/>
    <s v="9501"/>
    <s v="41232000"/>
    <s v="HC"/>
    <s v="STRAV: Provoz stravování - ostatní stravování"/>
    <m/>
    <d v="2019-04-30T00:00:00"/>
    <m/>
    <m/>
    <m/>
    <s v="337551907,10870"/>
    <b v="1"/>
    <m/>
    <s v="Lexová Martina"/>
    <s v="Zaúčtováno"/>
    <m/>
    <m/>
    <m/>
    <m/>
    <x v="3"/>
    <d v="2019-05-09T12:01:42"/>
    <s v="Hlavní činnost"/>
    <m/>
    <m/>
    <m/>
    <m/>
    <m/>
    <m/>
    <m/>
  </r>
  <r>
    <s v="ID-2019-08-000022"/>
    <x v="6"/>
    <s v="000"/>
    <d v="2019-05-31T00:00:00"/>
    <m/>
    <n v="6586.1"/>
    <s v="9501"/>
    <s v="41232000"/>
    <s v="HC"/>
    <s v="STRAV: Provoz stravování - ostatní stravování"/>
    <m/>
    <d v="2019-05-31T00:00:00"/>
    <m/>
    <m/>
    <m/>
    <s v="340840920,10870"/>
    <b v="1"/>
    <m/>
    <s v="Buzková Eva"/>
    <s v="Zaúčtováno"/>
    <m/>
    <m/>
    <m/>
    <m/>
    <x v="4"/>
    <d v="2019-06-07T13:21:25"/>
    <s v="Hlavní činnost"/>
    <m/>
    <m/>
    <m/>
    <m/>
    <m/>
    <m/>
    <m/>
  </r>
  <r>
    <s v="ID-2019-08-000023"/>
    <x v="8"/>
    <s v="000"/>
    <d v="2019-05-31T00:00:00"/>
    <m/>
    <n v="443441.11"/>
    <s v="9501"/>
    <s v="41232000"/>
    <s v="HC"/>
    <s v="STRAV: Provoz stravování - ostatní stravování"/>
    <m/>
    <d v="2019-05-31T00:00:00"/>
    <m/>
    <m/>
    <m/>
    <s v="340842422,10870"/>
    <b v="1"/>
    <m/>
    <s v="Buzková Eva"/>
    <s v="Zaúčtováno"/>
    <m/>
    <m/>
    <m/>
    <m/>
    <x v="4"/>
    <d v="2019-06-07T13:21:25"/>
    <s v="Hlavní činnost"/>
    <m/>
    <m/>
    <m/>
    <m/>
    <m/>
    <m/>
    <m/>
  </r>
  <r>
    <s v="ID-2019-08-000028"/>
    <x v="9"/>
    <s v="000"/>
    <d v="2019-06-30T00:00:00"/>
    <m/>
    <n v="6045.45"/>
    <s v="9501"/>
    <s v="41232000"/>
    <s v="HC"/>
    <s v="STRAV: Provoz stravování - ostatní stravování"/>
    <m/>
    <d v="2019-06-30T00:00:00"/>
    <m/>
    <m/>
    <m/>
    <s v="343684743,10870"/>
    <b v="1"/>
    <m/>
    <s v="Lexová Martina"/>
    <s v="Zaúčtováno"/>
    <m/>
    <m/>
    <m/>
    <m/>
    <x v="5"/>
    <d v="2019-07-09T10:09:52"/>
    <s v="Hlavní činnost"/>
    <m/>
    <m/>
    <m/>
    <m/>
    <m/>
    <m/>
    <m/>
  </r>
  <r>
    <s v="ID-2019-08-000029"/>
    <x v="8"/>
    <s v="000"/>
    <d v="2019-06-30T00:00:00"/>
    <m/>
    <n v="410183.15"/>
    <s v="9501"/>
    <s v="41232000"/>
    <s v="HC"/>
    <s v="STRAV: Provoz stravování - ostatní stravování"/>
    <m/>
    <d v="2019-06-30T00:00:00"/>
    <m/>
    <m/>
    <m/>
    <s v="343686021,10870"/>
    <b v="1"/>
    <m/>
    <s v="Lexová Martina"/>
    <s v="Zaúčtováno"/>
    <m/>
    <m/>
    <m/>
    <m/>
    <x v="5"/>
    <d v="2019-07-09T10:14:46"/>
    <s v="Hlavní činnost"/>
    <m/>
    <m/>
    <m/>
    <m/>
    <m/>
    <m/>
    <m/>
  </r>
  <r>
    <s v="ID-2019-08-000033"/>
    <x v="8"/>
    <s v="000"/>
    <d v="2019-07-31T00:00:00"/>
    <m/>
    <n v="389158.97"/>
    <s v="9501"/>
    <s v="41232000"/>
    <s v="HC"/>
    <s v="STRAV: Provoz stravování - ostatní stravování"/>
    <m/>
    <d v="2019-07-31T00:00:00"/>
    <m/>
    <m/>
    <m/>
    <s v="346504872,10870"/>
    <b v="1"/>
    <m/>
    <s v="Lexová Martina"/>
    <s v="Zaúčtováno"/>
    <m/>
    <m/>
    <m/>
    <m/>
    <x v="6"/>
    <d v="2019-08-07T09:21:20"/>
    <s v="Hlavní činnost"/>
    <m/>
    <m/>
    <m/>
    <m/>
    <m/>
    <m/>
    <m/>
  </r>
  <r>
    <s v="ID-2019-08-000037"/>
    <x v="8"/>
    <s v="000"/>
    <d v="2019-08-31T00:00:00"/>
    <m/>
    <n v="390849.8"/>
    <s v="9501"/>
    <s v="41232000"/>
    <s v="HC"/>
    <s v="STRAV: Provoz stravování - ostatní stravování"/>
    <m/>
    <d v="2019-08-31T00:00:00"/>
    <m/>
    <m/>
    <m/>
    <s v="350036270,10870"/>
    <b v="1"/>
    <m/>
    <s v="Lexová Martina"/>
    <s v="Zaúčtováno"/>
    <m/>
    <m/>
    <m/>
    <m/>
    <x v="7"/>
    <d v="2019-09-09T09:42:15"/>
    <s v="Hlavní činnost"/>
    <m/>
    <m/>
    <m/>
    <m/>
    <m/>
    <m/>
    <m/>
  </r>
  <r>
    <s v="ID-2019-08-000038"/>
    <x v="6"/>
    <s v="000"/>
    <d v="2019-08-31T00:00:00"/>
    <m/>
    <n v="4312"/>
    <s v="9501"/>
    <s v="41232000"/>
    <s v="HC"/>
    <s v="STRAV: Provoz stravování - ostatní stravování"/>
    <m/>
    <d v="2019-08-31T00:00:00"/>
    <m/>
    <m/>
    <m/>
    <s v="350048397,10870"/>
    <b v="1"/>
    <m/>
    <s v="Lexová Martina"/>
    <s v="Zaúčtováno"/>
    <m/>
    <m/>
    <m/>
    <m/>
    <x v="7"/>
    <d v="2019-09-09T09:42:15"/>
    <s v="Hlavní činnost"/>
    <m/>
    <m/>
    <m/>
    <m/>
    <m/>
    <m/>
    <m/>
  </r>
  <r>
    <s v="ID-2019-08-000043"/>
    <x v="6"/>
    <s v="000"/>
    <d v="2019-09-30T00:00:00"/>
    <m/>
    <n v="8072.75"/>
    <s v="9501"/>
    <s v="41232000"/>
    <m/>
    <s v="STRAV: Provoz stravování - ostatní stravování"/>
    <m/>
    <d v="2019-09-30T00:00:00"/>
    <m/>
    <m/>
    <m/>
    <s v="354222509,10870"/>
    <b v="0"/>
    <m/>
    <s v="Buzková Eva"/>
    <s v="Zaúčtováno"/>
    <m/>
    <m/>
    <m/>
    <m/>
    <x v="8"/>
    <d v="2019-10-07T11:54:24"/>
    <m/>
    <m/>
    <m/>
    <m/>
    <m/>
    <m/>
    <m/>
    <m/>
  </r>
  <r>
    <s v="ID-2019-08-000044"/>
    <x v="8"/>
    <s v="000"/>
    <d v="2019-09-30T00:00:00"/>
    <m/>
    <n v="444207.15"/>
    <s v="9501"/>
    <s v="41232000"/>
    <m/>
    <s v="STRAV: Provoz stravování - ostatní stravování"/>
    <m/>
    <d v="2019-09-30T00:00:00"/>
    <m/>
    <m/>
    <m/>
    <s v="354531274,10870"/>
    <b v="0"/>
    <m/>
    <s v="Lexová Martina"/>
    <s v="Zaúčtováno"/>
    <m/>
    <m/>
    <m/>
    <m/>
    <x v="8"/>
    <d v="2019-10-08T11:00:17"/>
    <m/>
    <m/>
    <m/>
    <m/>
    <m/>
    <m/>
    <m/>
    <m/>
  </r>
  <r>
    <m/>
    <x v="10"/>
    <m/>
    <m/>
    <m/>
    <m/>
    <m/>
    <m/>
    <m/>
    <m/>
    <m/>
    <m/>
    <m/>
    <m/>
    <m/>
    <m/>
    <m/>
    <m/>
    <m/>
    <m/>
    <m/>
    <m/>
    <m/>
    <m/>
    <x v="9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s v="DV-2019-043-000005"/>
    <x v="0"/>
    <s v="1180"/>
    <d v="2019-08-27T00:00:00"/>
    <m/>
    <n v="-7601.78"/>
    <s v="9501"/>
    <s v="31105006"/>
    <s v="VC"/>
    <s v="STRAV: Provoz stravování - ostatní stravování"/>
    <s v="ELPREMO, spol. s r.o."/>
    <d v="2019-08-27T00:00:00"/>
    <d v="2019-08-27T00:00:00"/>
    <s v="9043000005"/>
    <s v="F STRAVA_CIZI"/>
    <s v="346895737,10870"/>
    <b v="1"/>
    <m/>
    <s v="Buzková Eva"/>
    <s v="Zaúčtováno"/>
    <m/>
    <m/>
    <m/>
    <m/>
    <x v="0"/>
    <d v="2019-08-28T06:47:59"/>
    <s v="Vedlejší činnost"/>
    <m/>
    <m/>
    <m/>
    <m/>
    <m/>
    <m/>
    <m/>
  </r>
  <r>
    <s v="FV-2019-43-000210"/>
    <x v="1"/>
    <s v="1180"/>
    <d v="2019-01-31T00:00:00"/>
    <m/>
    <n v="7439.99"/>
    <s v="9501"/>
    <s v="31105006"/>
    <s v="VC"/>
    <s v="STRAV: Provoz stravování - ostatní stravování"/>
    <s v="ELPREMO, spol. s r.o."/>
    <d v="2019-02-06T00:00:00"/>
    <d v="2019-01-31T00:00:00"/>
    <s v="943000210"/>
    <s v="F STRAVA_CIZI"/>
    <s v="325683341,10870"/>
    <b v="1"/>
    <m/>
    <s v="Jakšová Jana"/>
    <s v="Zaúčtováno"/>
    <m/>
    <m/>
    <m/>
    <m/>
    <x v="1"/>
    <d v="2019-02-06T09:07:07"/>
    <s v="Vedlejší činnost"/>
    <m/>
    <m/>
    <m/>
    <m/>
    <m/>
    <m/>
    <m/>
  </r>
  <r>
    <s v="FV-2019-43-000241"/>
    <x v="1"/>
    <s v="1180"/>
    <d v="2019-01-31T00:00:00"/>
    <m/>
    <n v="173937.47"/>
    <s v="9501"/>
    <s v="31105006"/>
    <s v="VC"/>
    <s v="STRAV: Provoz stravování - ostatní stravování"/>
    <s v="Univerzita Palackého v Olomouci"/>
    <d v="2019-02-11T00:00:00"/>
    <d v="2019-01-31T00:00:00"/>
    <s v="943000241"/>
    <s v="F STRAVA_CIZI"/>
    <s v="326556827,10870"/>
    <b v="1"/>
    <m/>
    <s v="Buzková Eva"/>
    <s v="Zaúčtováno"/>
    <m/>
    <m/>
    <m/>
    <m/>
    <x v="1"/>
    <d v="2019-02-11T07:03:49"/>
    <s v="Vedlejší činnost"/>
    <m/>
    <m/>
    <m/>
    <m/>
    <m/>
    <m/>
    <m/>
  </r>
  <r>
    <s v="FV-2019-43-000244"/>
    <x v="1"/>
    <s v="1180"/>
    <d v="2019-01-31T00:00:00"/>
    <m/>
    <n v="3396.52"/>
    <s v="9501"/>
    <s v="31105006"/>
    <s v="VC"/>
    <s v="STRAV: Provoz stravování - ostatní stravování"/>
    <s v="Veolia Energie ČR, a.s."/>
    <d v="2019-02-11T00:00:00"/>
    <d v="2019-01-31T00:00:00"/>
    <s v="943000244"/>
    <s v="F STRAVA_CIZI"/>
    <s v="326683937,10870"/>
    <b v="1"/>
    <m/>
    <s v="Buzková Eva"/>
    <s v="Zaúčtováno"/>
    <m/>
    <m/>
    <m/>
    <m/>
    <x v="1"/>
    <d v="2019-02-12T07:25:40"/>
    <s v="Vedlejší činnost"/>
    <m/>
    <m/>
    <m/>
    <m/>
    <m/>
    <m/>
    <m/>
  </r>
  <r>
    <s v="FV-2019-43-000245"/>
    <x v="1"/>
    <s v="1180"/>
    <d v="2019-01-31T00:00:00"/>
    <m/>
    <n v="20621.72"/>
    <s v="9501"/>
    <s v="31105006"/>
    <s v="VC"/>
    <s v="STRAV: Provoz stravování - ostatní stravování"/>
    <s v="EXBIO Olomouc s.r.o."/>
    <d v="2019-02-11T00:00:00"/>
    <d v="2019-01-31T00:00:00"/>
    <s v="943000245"/>
    <s v="F STRAVA_CIZI"/>
    <s v="326686846,10870"/>
    <b v="1"/>
    <m/>
    <s v="Buzková Eva"/>
    <s v="Zaúčtováno"/>
    <m/>
    <m/>
    <m/>
    <m/>
    <x v="1"/>
    <d v="2019-02-12T07:25:40"/>
    <s v="Vedlejší činnost"/>
    <m/>
    <m/>
    <m/>
    <m/>
    <m/>
    <m/>
    <m/>
  </r>
  <r>
    <s v="FV-2019-43-000246"/>
    <x v="1"/>
    <s v="1180"/>
    <d v="2019-01-31T00:00:00"/>
    <m/>
    <n v="9422.61"/>
    <s v="9501"/>
    <s v="31105006"/>
    <s v="VC"/>
    <s v="STRAV: Provoz stravování - ostatní stravování"/>
    <s v="Jolana Látalová"/>
    <d v="2019-02-11T00:00:00"/>
    <d v="2019-01-31T00:00:00"/>
    <s v="943000246"/>
    <s v="F STRAVA_CIZI"/>
    <s v="326689904,10870"/>
    <b v="1"/>
    <m/>
    <s v="Buzková Eva"/>
    <s v="Zaúčtováno"/>
    <m/>
    <m/>
    <m/>
    <m/>
    <x v="1"/>
    <d v="2019-02-12T07:25:40"/>
    <s v="Vedlejší činnost"/>
    <m/>
    <m/>
    <m/>
    <m/>
    <m/>
    <m/>
    <m/>
  </r>
  <r>
    <s v="FV-2019-43-000247"/>
    <x v="1"/>
    <s v="1180"/>
    <d v="2019-01-31T00:00:00"/>
    <m/>
    <n v="48970.42"/>
    <s v="9501"/>
    <s v="31105006"/>
    <s v="VC"/>
    <s v="STRAV: Provoz stravování - ostatní stravování"/>
    <s v="Mateřská škola 1. olomoucká sportovní s.r.o."/>
    <d v="2019-02-11T00:00:00"/>
    <d v="2019-01-31T00:00:00"/>
    <s v="943000247"/>
    <s v="F STRAVA_CIZI"/>
    <s v="326690993,10870"/>
    <b v="1"/>
    <m/>
    <s v="Buzková Eva"/>
    <s v="Zaúčtováno"/>
    <m/>
    <m/>
    <m/>
    <m/>
    <x v="1"/>
    <d v="2019-02-12T07:25:41"/>
    <s v="Vedlejší činnost"/>
    <m/>
    <m/>
    <m/>
    <m/>
    <m/>
    <m/>
    <m/>
  </r>
  <r>
    <s v="FV-2019-43-000248"/>
    <x v="1"/>
    <s v="1180"/>
    <d v="2019-01-31T00:00:00"/>
    <m/>
    <n v="1051.3"/>
    <s v="9501"/>
    <s v="31105006"/>
    <s v="VC"/>
    <s v="STRAV: Provoz stravování - ostatní stravování"/>
    <s v="Mateřská škola 1. olomoucká sportovní s.r.o."/>
    <d v="2019-02-11T00:00:00"/>
    <d v="2019-01-31T00:00:00"/>
    <s v="943000248"/>
    <s v="F STRAVA_CIZI"/>
    <s v="326694801,10870"/>
    <b v="1"/>
    <m/>
    <s v="Buzková Eva"/>
    <s v="Zaúčtováno"/>
    <m/>
    <m/>
    <m/>
    <m/>
    <x v="1"/>
    <d v="2019-02-12T07:25:41"/>
    <s v="Vedlejší činnost"/>
    <m/>
    <m/>
    <m/>
    <m/>
    <m/>
    <m/>
    <m/>
  </r>
  <r>
    <s v="FV-2019-43-000249"/>
    <x v="1"/>
    <s v="1180"/>
    <d v="2019-01-31T00:00:00"/>
    <m/>
    <n v="1374.78"/>
    <s v="9501"/>
    <s v="31105006"/>
    <s v="VC"/>
    <s v="STRAV: Provoz stravování - ostatní stravování"/>
    <s v="Univerzita Palackého v Olomouci"/>
    <d v="2019-02-11T00:00:00"/>
    <d v="2019-01-31T00:00:00"/>
    <s v="943000249"/>
    <s v="F STRAVA_CIZI"/>
    <s v="326696076,10870"/>
    <b v="1"/>
    <m/>
    <s v="Buzková Eva"/>
    <s v="Zaúčtováno"/>
    <m/>
    <m/>
    <m/>
    <m/>
    <x v="1"/>
    <d v="2019-02-12T07:25:41"/>
    <s v="Vedlejší činnost"/>
    <m/>
    <m/>
    <m/>
    <m/>
    <m/>
    <m/>
    <m/>
  </r>
  <r>
    <s v="FV-2019-43-000251"/>
    <x v="1"/>
    <s v="1180"/>
    <d v="2019-01-31T00:00:00"/>
    <m/>
    <n v="2264.35"/>
    <s v="9501"/>
    <s v="31105006"/>
    <s v="VC"/>
    <s v="STRAV: Provoz stravování - ostatní stravování"/>
    <s v="Univerzita Palackého v Olomouci"/>
    <d v="2019-02-11T00:00:00"/>
    <d v="2019-01-31T00:00:00"/>
    <s v="943000251"/>
    <s v="F STRAVA_CIZI"/>
    <s v="326721720,10870"/>
    <b v="1"/>
    <m/>
    <s v="Buzková Eva"/>
    <s v="Zaúčtováno"/>
    <m/>
    <m/>
    <m/>
    <m/>
    <x v="1"/>
    <d v="2019-02-12T07:25:42"/>
    <s v="Vedlejší činnost"/>
    <m/>
    <m/>
    <m/>
    <m/>
    <m/>
    <m/>
    <m/>
  </r>
  <r>
    <s v="FV-2019-43-000448"/>
    <x v="2"/>
    <s v="1180"/>
    <d v="2019-02-15T00:00:00"/>
    <m/>
    <n v="808.7"/>
    <s v="9501"/>
    <s v="31105006"/>
    <s v="VC"/>
    <s v="STRAV: Provoz stravování - ostatní stravování"/>
    <s v="Univerzita Palackého v Olomouci"/>
    <d v="2019-02-25T00:00:00"/>
    <d v="2019-02-15T00:00:00"/>
    <s v="943000448"/>
    <s v="F STRAVA_CIZI"/>
    <s v="328346392,10870"/>
    <b v="1"/>
    <m/>
    <s v="Buzková Eva"/>
    <s v="Zaúčtováno"/>
    <m/>
    <m/>
    <m/>
    <m/>
    <x v="2"/>
    <d v="2019-02-27T12:06:51"/>
    <s v="Vedlejší činnost"/>
    <m/>
    <m/>
    <m/>
    <m/>
    <m/>
    <m/>
    <m/>
  </r>
  <r>
    <s v="FV-2019-43-000458"/>
    <x v="3"/>
    <s v="1180"/>
    <d v="2019-02-24T00:00:00"/>
    <m/>
    <n v="42780.02"/>
    <s v="9501"/>
    <s v="31105006"/>
    <s v="VC"/>
    <s v="STRAV: Provoz stravování - ostatní stravování"/>
    <s v="Univerzita Palackého v Olomouci"/>
    <d v="2019-02-28T00:00:00"/>
    <d v="2019-02-24T00:00:00"/>
    <s v="943000458"/>
    <s v="F STRAVA_CIZI"/>
    <s v="328689343,10870"/>
    <b v="1"/>
    <m/>
    <s v="Buzková Eva"/>
    <s v="Zaúčtováno"/>
    <s v="obj. č. 4511019998"/>
    <m/>
    <m/>
    <m/>
    <x v="2"/>
    <d v="2019-03-01T08:34:16"/>
    <s v="Vedlejší činnost"/>
    <m/>
    <m/>
    <m/>
    <m/>
    <m/>
    <m/>
    <m/>
  </r>
  <r>
    <s v="FV-2019-43-000460"/>
    <x v="1"/>
    <s v="1180"/>
    <d v="2019-02-28T00:00:00"/>
    <m/>
    <n v="8086.95"/>
    <s v="9501"/>
    <s v="31105006"/>
    <s v="VC"/>
    <s v="STRAV: Provoz stravování - ostatní stravování"/>
    <s v="ELPREMO, spol. s r.o."/>
    <d v="2019-03-04T00:00:00"/>
    <d v="2019-02-28T00:00:00"/>
    <s v="943000460"/>
    <s v="F STRAVA_CIZI"/>
    <s v="329047675,10870"/>
    <b v="1"/>
    <m/>
    <s v="Buzková Eva"/>
    <s v="Zaúčtováno"/>
    <m/>
    <m/>
    <m/>
    <m/>
    <x v="2"/>
    <d v="2019-03-05T11:22:50"/>
    <s v="Vedlejší činnost"/>
    <m/>
    <m/>
    <m/>
    <m/>
    <m/>
    <m/>
    <m/>
  </r>
  <r>
    <s v="FV-2019-43-000507"/>
    <x v="4"/>
    <s v="1180"/>
    <d v="2019-02-28T00:00:00"/>
    <m/>
    <n v="163194.85"/>
    <s v="9501"/>
    <s v="31105006"/>
    <s v="VC"/>
    <s v="STRAV: Provoz stravování - ostatní stravování"/>
    <s v="Univerzita Palackého v Olomouci"/>
    <d v="2019-03-08T00:00:00"/>
    <d v="2019-02-28T00:00:00"/>
    <s v="943000507"/>
    <s v="F STRAVA_CIZI"/>
    <s v="329830722,10870"/>
    <b v="1"/>
    <m/>
    <s v="Buzková Eva"/>
    <s v="Zaúčtováno"/>
    <m/>
    <m/>
    <m/>
    <m/>
    <x v="2"/>
    <d v="2019-03-08T13:52:21"/>
    <s v="Vedlejší činnost"/>
    <m/>
    <m/>
    <m/>
    <m/>
    <m/>
    <m/>
    <m/>
  </r>
  <r>
    <s v="FV-2019-43-000510"/>
    <x v="4"/>
    <s v="1180"/>
    <d v="2019-02-28T00:00:00"/>
    <m/>
    <n v="2830.43"/>
    <s v="9501"/>
    <s v="31105006"/>
    <s v="VC"/>
    <s v="STRAV: Provoz stravování - ostatní stravování"/>
    <s v="Veolia Energie ČR, a.s."/>
    <d v="2019-03-08T00:00:00"/>
    <d v="2019-02-28T00:00:00"/>
    <s v="943000510"/>
    <s v="F STRAVA_CIZI"/>
    <s v="329832665,10870"/>
    <b v="1"/>
    <m/>
    <s v="Buzková Eva"/>
    <s v="Zaúčtováno"/>
    <m/>
    <m/>
    <m/>
    <m/>
    <x v="2"/>
    <d v="2019-03-08T13:52:23"/>
    <s v="Vedlejší činnost"/>
    <m/>
    <m/>
    <m/>
    <m/>
    <m/>
    <m/>
    <m/>
  </r>
  <r>
    <s v="FV-2019-43-000511"/>
    <x v="4"/>
    <s v="1180"/>
    <d v="2019-02-28T00:00:00"/>
    <m/>
    <n v="18842.59"/>
    <s v="9501"/>
    <s v="31105006"/>
    <s v="VC"/>
    <s v="STRAV: Provoz stravování - ostatní stravování"/>
    <s v="EXBIO Olomouc s.r.o."/>
    <d v="2019-03-08T00:00:00"/>
    <d v="2019-02-28T00:00:00"/>
    <s v="943000511"/>
    <s v="F STRAVA_CIZI"/>
    <s v="329834029,10870"/>
    <b v="1"/>
    <m/>
    <s v="Buzková Eva"/>
    <s v="Zaúčtováno"/>
    <m/>
    <m/>
    <m/>
    <m/>
    <x v="2"/>
    <d v="2019-03-08T13:52:23"/>
    <s v="Vedlejší činnost"/>
    <m/>
    <m/>
    <m/>
    <m/>
    <m/>
    <m/>
    <m/>
  </r>
  <r>
    <s v="FV-2019-43-000512"/>
    <x v="4"/>
    <s v="1180"/>
    <d v="2019-02-28T00:00:00"/>
    <m/>
    <n v="8973.91"/>
    <s v="9501"/>
    <s v="31105006"/>
    <s v="VC"/>
    <s v="STRAV: Provoz stravování - ostatní stravování"/>
    <s v="Jolana Látalová"/>
    <d v="2019-03-08T00:00:00"/>
    <d v="2019-02-28T00:00:00"/>
    <s v="943000512"/>
    <s v="F STRAVA_CIZI"/>
    <s v="329835129,10870"/>
    <b v="1"/>
    <m/>
    <s v="Buzková Eva"/>
    <s v="Zaúčtováno"/>
    <m/>
    <m/>
    <m/>
    <m/>
    <x v="2"/>
    <d v="2019-03-08T13:52:24"/>
    <s v="Vedlejší činnost"/>
    <m/>
    <m/>
    <m/>
    <m/>
    <m/>
    <m/>
    <m/>
  </r>
  <r>
    <s v="FV-2019-43-000513"/>
    <x v="4"/>
    <s v="1180"/>
    <d v="2019-02-28T00:00:00"/>
    <m/>
    <n v="44707.81"/>
    <s v="9501"/>
    <s v="31105006"/>
    <s v="VC"/>
    <s v="STRAV: Provoz stravování - ostatní stravování"/>
    <s v="Mateřská škola 1. olomoucká sportovní s.r.o."/>
    <d v="2019-03-08T00:00:00"/>
    <d v="2019-02-28T00:00:00"/>
    <s v="943000513"/>
    <s v="F STRAVA_CIZI"/>
    <s v="329835545,10870"/>
    <b v="1"/>
    <m/>
    <s v="Buzková Eva"/>
    <s v="Zaúčtováno"/>
    <m/>
    <m/>
    <m/>
    <m/>
    <x v="2"/>
    <d v="2019-03-08T13:52:24"/>
    <s v="Vedlejší činnost"/>
    <m/>
    <m/>
    <m/>
    <m/>
    <m/>
    <m/>
    <m/>
  </r>
  <r>
    <s v="FV-2019-43-000514"/>
    <x v="5"/>
    <s v="1180"/>
    <d v="2019-02-28T00:00:00"/>
    <m/>
    <n v="808.7"/>
    <s v="9501"/>
    <s v="31105006"/>
    <s v="VC"/>
    <s v="STRAV: Provoz stravování - ostatní stravování"/>
    <s v="Mateřská škola 1. olomoucká sportovní s.r.o."/>
    <d v="2019-03-08T00:00:00"/>
    <d v="2019-02-28T00:00:00"/>
    <s v="943000514"/>
    <s v="F STRAVA_CIZI"/>
    <s v="329835932,10870"/>
    <b v="1"/>
    <m/>
    <s v="Buzková Eva"/>
    <s v="Zaúčtováno"/>
    <m/>
    <m/>
    <m/>
    <m/>
    <x v="2"/>
    <d v="2019-03-08T13:52:24"/>
    <s v="Vedlejší činnost"/>
    <m/>
    <m/>
    <m/>
    <m/>
    <m/>
    <m/>
    <m/>
  </r>
  <r>
    <s v="FV-2019-43-000515"/>
    <x v="4"/>
    <s v="1180"/>
    <d v="2019-02-28T00:00:00"/>
    <m/>
    <n v="1293.9100000000001"/>
    <s v="9501"/>
    <s v="31105006"/>
    <s v="VC"/>
    <s v="STRAV: Provoz stravování - ostatní stravování"/>
    <s v="Univerzita Palackého v Olomouci"/>
    <d v="2019-03-08T00:00:00"/>
    <d v="2019-02-28T00:00:00"/>
    <s v="943000515"/>
    <s v="F STRAVA_CIZI"/>
    <s v="329836777,10870"/>
    <b v="1"/>
    <m/>
    <s v="Buzková Eva"/>
    <s v="Zaúčtováno"/>
    <m/>
    <m/>
    <m/>
    <m/>
    <x v="2"/>
    <d v="2019-03-08T13:52:24"/>
    <s v="Vedlejší činnost"/>
    <m/>
    <m/>
    <m/>
    <m/>
    <m/>
    <m/>
    <m/>
  </r>
  <r>
    <s v="FV-2019-43-000517"/>
    <x v="4"/>
    <s v="1180"/>
    <d v="2019-02-28T00:00:00"/>
    <m/>
    <n v="2506.9499999999998"/>
    <s v="9501"/>
    <s v="31105006"/>
    <s v="VC"/>
    <s v="STRAV: Provoz stravování - ostatní stravování"/>
    <s v="Univerzita Palackého v Olomouci"/>
    <d v="2019-03-08T00:00:00"/>
    <d v="2019-02-28T00:00:00"/>
    <s v="943000517"/>
    <s v="F STRAVA_CIZI"/>
    <s v="329837691,10870"/>
    <b v="1"/>
    <m/>
    <s v="Buzková Eva"/>
    <s v="Zaúčtováno"/>
    <m/>
    <m/>
    <m/>
    <m/>
    <x v="2"/>
    <d v="2019-03-08T13:52:25"/>
    <s v="Vedlejší činnost"/>
    <m/>
    <m/>
    <m/>
    <m/>
    <m/>
    <m/>
    <m/>
  </r>
  <r>
    <s v="FV-2019-43-000526"/>
    <x v="6"/>
    <s v="1180"/>
    <d v="2019-03-15T00:00:00"/>
    <m/>
    <n v="242.61"/>
    <s v="9501"/>
    <s v="31105006"/>
    <s v="VC"/>
    <s v="STRAV: Provoz stravování - ostatní stravování"/>
    <s v="Univerzita Palackého v Olomouci"/>
    <d v="2019-03-15T00:00:00"/>
    <d v="2019-02-28T00:00:00"/>
    <s v="943000526"/>
    <s v="F STRAVA_CIZI"/>
    <s v="331143790,10870"/>
    <b v="1"/>
    <m/>
    <s v="Buzková Eva"/>
    <s v="Zaúčtováno"/>
    <m/>
    <m/>
    <m/>
    <m/>
    <x v="2"/>
    <d v="2019-03-19T10:44:55"/>
    <s v="Vedlejší činnost"/>
    <m/>
    <m/>
    <m/>
    <m/>
    <m/>
    <m/>
    <m/>
  </r>
  <r>
    <s v="FV-2019-43-000763"/>
    <x v="4"/>
    <s v="1180"/>
    <d v="2019-03-31T00:00:00"/>
    <m/>
    <n v="7439.99"/>
    <s v="9501"/>
    <s v="31105006"/>
    <s v="VC"/>
    <s v="STRAV: Provoz stravování - ostatní stravování"/>
    <s v="ELPREMO, spol. s r.o."/>
    <d v="2019-04-04T00:00:00"/>
    <d v="2019-03-31T00:00:00"/>
    <s v="943000763"/>
    <s v="F STRAVA_CIZI"/>
    <s v="332957888,10870"/>
    <b v="1"/>
    <m/>
    <s v="Buzková Eva"/>
    <s v="Zaúčtováno"/>
    <m/>
    <m/>
    <m/>
    <m/>
    <x v="3"/>
    <d v="2019-04-04T10:48:26"/>
    <s v="Vedlejší činnost"/>
    <m/>
    <m/>
    <m/>
    <m/>
    <m/>
    <m/>
    <m/>
  </r>
  <r>
    <s v="FV-2019-43-000769"/>
    <x v="7"/>
    <s v="1180"/>
    <d v="2019-03-31T00:00:00"/>
    <m/>
    <n v="170393.09"/>
    <s v="9501"/>
    <s v="31105006"/>
    <s v="VC"/>
    <s v="STRAV: Provoz stravování - ostatní stravování"/>
    <s v="Univerzita Palackého v Olomouci"/>
    <d v="2019-04-09T00:00:00"/>
    <d v="2019-03-31T00:00:00"/>
    <s v="943000769"/>
    <s v="F STRAVA_CIZI"/>
    <s v="333706439,10870"/>
    <b v="1"/>
    <m/>
    <s v="Buzková Eva"/>
    <s v="Zaúčtováno"/>
    <m/>
    <m/>
    <m/>
    <m/>
    <x v="3"/>
    <d v="2019-04-10T08:57:41"/>
    <s v="Vedlejší činnost"/>
    <m/>
    <m/>
    <m/>
    <m/>
    <m/>
    <m/>
    <m/>
  </r>
  <r>
    <s v="FV-2019-43-000770"/>
    <x v="4"/>
    <s v="1180"/>
    <d v="2019-03-31T00:00:00"/>
    <m/>
    <n v="3234.78"/>
    <s v="9501"/>
    <s v="31105006"/>
    <s v="VC"/>
    <s v="STRAV: Provoz stravování - ostatní stravování"/>
    <s v="Veolia Energie ČR, a.s."/>
    <d v="2019-04-09T00:00:00"/>
    <d v="2019-03-31T00:00:00"/>
    <s v="943000770"/>
    <s v="F STRAVA_CIZI"/>
    <s v="333710221,10870"/>
    <b v="1"/>
    <m/>
    <s v="Buzková Eva"/>
    <s v="Zaúčtováno"/>
    <m/>
    <m/>
    <m/>
    <m/>
    <x v="3"/>
    <d v="2019-04-10T08:57:42"/>
    <s v="Vedlejší činnost"/>
    <m/>
    <m/>
    <m/>
    <m/>
    <m/>
    <m/>
    <m/>
  </r>
  <r>
    <s v="FV-2019-43-000771"/>
    <x v="4"/>
    <s v="1180"/>
    <d v="2019-03-31T00:00:00"/>
    <m/>
    <n v="18761.72"/>
    <s v="9501"/>
    <s v="31105006"/>
    <s v="VC"/>
    <s v="STRAV: Provoz stravování - ostatní stravování"/>
    <s v="EXBIO Olomouc s.r.o."/>
    <d v="2019-04-09T00:00:00"/>
    <d v="2019-03-31T00:00:00"/>
    <s v="943000771"/>
    <s v="F STRAVA_CIZI"/>
    <s v="333711417,10870"/>
    <b v="1"/>
    <m/>
    <s v="Buzková Eva"/>
    <s v="Zaúčtováno"/>
    <m/>
    <m/>
    <m/>
    <m/>
    <x v="3"/>
    <d v="2019-04-10T08:57:43"/>
    <s v="Vedlejší činnost"/>
    <m/>
    <m/>
    <m/>
    <m/>
    <m/>
    <m/>
    <m/>
  </r>
  <r>
    <s v="FV-2019-43-000772"/>
    <x v="4"/>
    <s v="1180"/>
    <d v="2019-03-31T00:00:00"/>
    <m/>
    <n v="41832.86"/>
    <s v="9501"/>
    <s v="31105006"/>
    <s v="VC"/>
    <s v="STRAV: Provoz stravování - ostatní stravování"/>
    <s v="Mateřská škola                                              1. olomoucká sportovní s.r.o."/>
    <d v="2019-04-09T00:00:00"/>
    <d v="2019-03-31T00:00:00"/>
    <s v="943000772"/>
    <s v="F STRAVA_CIZI"/>
    <s v="333712058,10870"/>
    <b v="1"/>
    <m/>
    <s v="Buzková Eva"/>
    <s v="Zaúčtováno"/>
    <m/>
    <m/>
    <m/>
    <m/>
    <x v="3"/>
    <d v="2019-04-10T08:57:43"/>
    <s v="Vedlejší činnost"/>
    <m/>
    <m/>
    <m/>
    <m/>
    <m/>
    <m/>
    <m/>
  </r>
  <r>
    <s v="FV-2019-43-000773"/>
    <x v="4"/>
    <s v="1180"/>
    <d v="2019-03-31T00:00:00"/>
    <m/>
    <n v="9422.61"/>
    <s v="9501"/>
    <s v="31105006"/>
    <s v="VC"/>
    <s v="STRAV: Provoz stravování - ostatní stravování"/>
    <s v="Jolana Látalová"/>
    <d v="2019-04-09T00:00:00"/>
    <d v="2019-03-31T00:00:00"/>
    <s v="943000773"/>
    <s v="F STRAVA_CIZI"/>
    <s v="333713416,10870"/>
    <b v="1"/>
    <m/>
    <s v="Buzková Eva"/>
    <s v="Zaúčtováno"/>
    <m/>
    <m/>
    <m/>
    <m/>
    <x v="3"/>
    <d v="2019-04-10T08:57:44"/>
    <s v="Vedlejší činnost"/>
    <m/>
    <m/>
    <m/>
    <m/>
    <m/>
    <m/>
    <m/>
  </r>
  <r>
    <s v="FV-2019-43-000774"/>
    <x v="4"/>
    <s v="1180"/>
    <d v="2019-03-31T00:00:00"/>
    <m/>
    <n v="2345.2199999999998"/>
    <s v="9501"/>
    <s v="31105006"/>
    <s v="VC"/>
    <s v="STRAV: Provoz stravování - ostatní stravování"/>
    <s v="Univerzita Palackého v Olomouci"/>
    <d v="2019-04-09T00:00:00"/>
    <d v="2019-03-31T00:00:00"/>
    <s v="943000774"/>
    <s v="F STRAVA_CIZI"/>
    <s v="333713856,10870"/>
    <b v="1"/>
    <m/>
    <s v="Buzková Eva"/>
    <s v="Zaúčtováno"/>
    <m/>
    <m/>
    <m/>
    <m/>
    <x v="3"/>
    <d v="2019-04-10T08:57:45"/>
    <s v="Vedlejší činnost"/>
    <m/>
    <m/>
    <m/>
    <m/>
    <m/>
    <m/>
    <m/>
  </r>
  <r>
    <s v="FV-2019-43-000775"/>
    <x v="4"/>
    <s v="1180"/>
    <d v="2019-03-31T00:00:00"/>
    <m/>
    <n v="1455.65"/>
    <s v="9501"/>
    <s v="31105006"/>
    <s v="VC"/>
    <s v="STRAV: Provoz stravování - ostatní stravování"/>
    <s v="Univerzita Palackého v Olomouci"/>
    <d v="2019-04-09T00:00:00"/>
    <d v="2019-03-31T00:00:00"/>
    <s v="943000775"/>
    <s v="F STRAVA_CIZI"/>
    <s v="333714098,10870"/>
    <b v="1"/>
    <m/>
    <s v="Buzková Eva"/>
    <s v="Zaúčtováno"/>
    <m/>
    <m/>
    <m/>
    <m/>
    <x v="3"/>
    <d v="2019-04-10T08:57:46"/>
    <s v="Vedlejší činnost"/>
    <m/>
    <m/>
    <m/>
    <m/>
    <m/>
    <m/>
    <m/>
  </r>
  <r>
    <s v="FV-2019-43-000777"/>
    <x v="4"/>
    <s v="1180"/>
    <d v="2019-04-06T00:00:00"/>
    <m/>
    <n v="12130.5"/>
    <s v="9501"/>
    <s v="31105006"/>
    <s v="VC"/>
    <s v="STRAV: Provoz stravování - ostatní stravování"/>
    <s v="IFMSA Česká republika, z.s."/>
    <d v="2019-04-09T00:00:00"/>
    <d v="2019-04-06T00:00:00"/>
    <s v="943000777"/>
    <s v="F STRAVA_CIZI"/>
    <s v="333715025,10870"/>
    <b v="1"/>
    <m/>
    <s v="Buzková Eva"/>
    <s v="Zaúčtováno"/>
    <m/>
    <m/>
    <m/>
    <m/>
    <x v="4"/>
    <d v="2019-04-10T12:51:55"/>
    <s v="Vedlejší činnost"/>
    <m/>
    <m/>
    <m/>
    <m/>
    <m/>
    <m/>
    <m/>
  </r>
  <r>
    <s v="FV-2019-43-000778"/>
    <x v="5"/>
    <s v="1180"/>
    <d v="2019-03-31T00:00:00"/>
    <m/>
    <n v="808.7"/>
    <s v="9501"/>
    <s v="31105006"/>
    <s v="VC"/>
    <s v="STRAV: Provoz stravování - ostatní stravování"/>
    <s v="Mateřská škola 1. olomoucká sportovní s.r.o."/>
    <d v="2019-04-09T00:00:00"/>
    <d v="2019-03-31T00:00:00"/>
    <s v="943000778"/>
    <s v="F STRAVA_CIZI"/>
    <s v="333718523,10870"/>
    <b v="1"/>
    <m/>
    <s v="Buzková Eva"/>
    <s v="Zaúčtováno"/>
    <m/>
    <m/>
    <m/>
    <m/>
    <x v="3"/>
    <d v="2019-04-10T08:59:04"/>
    <s v="Vedlejší činnost"/>
    <m/>
    <m/>
    <m/>
    <m/>
    <m/>
    <m/>
    <m/>
  </r>
  <r>
    <s v="FV-2019-43-000986"/>
    <x v="4"/>
    <s v="1180"/>
    <d v="2019-04-30T00:00:00"/>
    <m/>
    <n v="6065.21"/>
    <s v="9501"/>
    <s v="31105006"/>
    <s v="VC"/>
    <s v="STRAV: Provoz stravování - ostatní stravování"/>
    <s v="ELPREMO, spol. s r.o."/>
    <d v="2019-05-06T00:00:00"/>
    <d v="2019-04-30T00:00:00"/>
    <s v="943000986"/>
    <s v="F STRAVA_CIZI"/>
    <s v="337131507,10870"/>
    <b v="1"/>
    <m/>
    <s v="Buzková Eva"/>
    <s v="Zaúčtováno"/>
    <m/>
    <m/>
    <m/>
    <m/>
    <x v="4"/>
    <d v="2019-05-07T07:37:21"/>
    <s v="Vedlejší činnost"/>
    <m/>
    <m/>
    <m/>
    <m/>
    <m/>
    <m/>
    <m/>
  </r>
  <r>
    <s v="FV-2019-43-001019"/>
    <x v="8"/>
    <s v="1180"/>
    <d v="2019-04-30T00:00:00"/>
    <m/>
    <n v="171767.03"/>
    <s v="9501"/>
    <s v="31105006"/>
    <s v="VC"/>
    <s v="STRAV: Provoz stravování - ostatní stravování"/>
    <s v="Univerzita Palackého v Olomouci"/>
    <d v="2019-05-13T00:00:00"/>
    <d v="2019-04-30T00:00:00"/>
    <s v="943001019"/>
    <s v="F STRAVA_CIZI"/>
    <s v="338254324,10870"/>
    <b v="1"/>
    <m/>
    <s v="Buzková Eva"/>
    <s v="Zaúčtováno"/>
    <m/>
    <m/>
    <m/>
    <m/>
    <x v="4"/>
    <d v="2019-05-14T06:18:31"/>
    <s v="Vedlejší činnost"/>
    <m/>
    <m/>
    <m/>
    <m/>
    <m/>
    <m/>
    <m/>
  </r>
  <r>
    <s v="FV-2019-43-001022"/>
    <x v="4"/>
    <s v="1180"/>
    <d v="2019-04-30T00:00:00"/>
    <m/>
    <n v="2911.3"/>
    <s v="9501"/>
    <s v="31105006"/>
    <s v="VC"/>
    <s v="STRAV: Provoz stravování - ostatní stravování"/>
    <s v="Veolia Energie ČR, a.s."/>
    <d v="2019-05-13T00:00:00"/>
    <d v="2019-04-30T00:00:00"/>
    <s v="943001022"/>
    <s v="F STRAVA_CIZI"/>
    <s v="338258648,10870"/>
    <b v="1"/>
    <m/>
    <s v="Buzková Eva"/>
    <s v="Zaúčtováno"/>
    <m/>
    <m/>
    <m/>
    <m/>
    <x v="4"/>
    <d v="2019-05-14T06:18:33"/>
    <s v="Vedlejší činnost"/>
    <m/>
    <m/>
    <m/>
    <m/>
    <m/>
    <m/>
    <m/>
  </r>
  <r>
    <s v="FV-2019-43-001023"/>
    <x v="4"/>
    <s v="1180"/>
    <d v="2019-04-30T00:00:00"/>
    <m/>
    <n v="18114.77"/>
    <s v="9501"/>
    <s v="31105006"/>
    <s v="VC"/>
    <s v="STRAV: Provoz stravování - ostatní stravování"/>
    <s v="EXBIO Olomouc s.r.o."/>
    <d v="2019-05-13T00:00:00"/>
    <d v="2019-04-30T00:00:00"/>
    <s v="943001023"/>
    <s v="F STRAVA_CIZI"/>
    <s v="338259094,10870"/>
    <b v="1"/>
    <m/>
    <s v="Buzková Eva"/>
    <s v="Zaúčtováno"/>
    <m/>
    <m/>
    <m/>
    <m/>
    <x v="4"/>
    <d v="2019-05-14T06:18:33"/>
    <s v="Vedlejší činnost"/>
    <m/>
    <m/>
    <m/>
    <m/>
    <m/>
    <m/>
    <m/>
  </r>
  <r>
    <s v="FV-2019-43-001024"/>
    <x v="4"/>
    <s v="1180"/>
    <d v="2019-04-30T00:00:00"/>
    <m/>
    <n v="49218.05"/>
    <s v="9501"/>
    <s v="31105006"/>
    <s v="VC"/>
    <s v="STRAV: Provoz stravování - ostatní stravování"/>
    <s v="Mateřská škola                                              1. olomoucká sportovní s.r.o."/>
    <d v="2019-05-13T00:00:00"/>
    <d v="2019-04-30T00:00:00"/>
    <s v="943001024"/>
    <s v="F STRAVA_CIZI"/>
    <s v="338259316,10870"/>
    <b v="1"/>
    <m/>
    <s v="Buzková Eva"/>
    <s v="Zaúčtováno"/>
    <m/>
    <m/>
    <m/>
    <m/>
    <x v="4"/>
    <d v="2019-05-14T06:18:34"/>
    <s v="Vedlejší činnost"/>
    <m/>
    <m/>
    <m/>
    <m/>
    <m/>
    <m/>
    <m/>
  </r>
  <r>
    <s v="FV-2019-43-001025"/>
    <x v="5"/>
    <s v="1180"/>
    <d v="2019-04-30T00:00:00"/>
    <m/>
    <n v="970.43"/>
    <s v="9501"/>
    <s v="31105006"/>
    <s v="VC"/>
    <s v="STRAV: Provoz stravování - ostatní stravování"/>
    <s v="Mateřská škola 1. olomoucká sportovní s.r.o."/>
    <d v="2019-05-13T00:00:00"/>
    <d v="2019-04-30T00:00:00"/>
    <s v="943001025"/>
    <s v="F STRAVA_CIZI"/>
    <s v="338260003,10870"/>
    <b v="1"/>
    <m/>
    <s v="Buzková Eva"/>
    <s v="Zaúčtováno"/>
    <m/>
    <m/>
    <m/>
    <m/>
    <x v="4"/>
    <d v="2019-05-14T06:18:34"/>
    <s v="Vedlejší činnost"/>
    <m/>
    <m/>
    <m/>
    <m/>
    <m/>
    <m/>
    <m/>
  </r>
  <r>
    <s v="FV-2019-43-001026"/>
    <x v="4"/>
    <s v="1180"/>
    <d v="2019-04-30T00:00:00"/>
    <m/>
    <n v="8973.91"/>
    <s v="9501"/>
    <s v="31105006"/>
    <s v="VC"/>
    <s v="STRAV: Provoz stravování - ostatní stravování"/>
    <s v="Jolana Látalová"/>
    <d v="2019-05-13T00:00:00"/>
    <d v="2019-04-30T00:00:00"/>
    <s v="943001026"/>
    <s v="F STRAVA_CIZI"/>
    <s v="338260273,10870"/>
    <b v="1"/>
    <m/>
    <s v="Buzková Eva"/>
    <s v="Zaúčtováno"/>
    <m/>
    <m/>
    <m/>
    <m/>
    <x v="4"/>
    <d v="2019-05-14T06:18:35"/>
    <s v="Vedlejší činnost"/>
    <m/>
    <m/>
    <m/>
    <m/>
    <m/>
    <m/>
    <m/>
  </r>
  <r>
    <s v="FV-2019-43-001027"/>
    <x v="4"/>
    <s v="1180"/>
    <d v="2019-04-30T00:00:00"/>
    <m/>
    <n v="1455.65"/>
    <s v="9501"/>
    <s v="31105006"/>
    <s v="VC"/>
    <s v="STRAV: Provoz stravování - ostatní stravování"/>
    <s v="Univerzita Palackého v Olomouci"/>
    <d v="2019-05-13T00:00:00"/>
    <d v="2019-04-30T00:00:00"/>
    <s v="943001027"/>
    <s v="F STRAVA_CIZI"/>
    <s v="338260975,10870"/>
    <b v="1"/>
    <m/>
    <s v="Buzková Eva"/>
    <s v="Zaúčtováno"/>
    <m/>
    <m/>
    <m/>
    <m/>
    <x v="4"/>
    <d v="2019-05-14T06:18:36"/>
    <s v="Vedlejší činnost"/>
    <m/>
    <m/>
    <m/>
    <m/>
    <m/>
    <m/>
    <m/>
  </r>
  <r>
    <s v="FV-2019-43-001029"/>
    <x v="4"/>
    <s v="1180"/>
    <d v="2019-04-30T00:00:00"/>
    <m/>
    <n v="2911.3"/>
    <s v="9501"/>
    <s v="31105006"/>
    <s v="VC"/>
    <s v="STRAV: Provoz stravování - ostatní stravování"/>
    <s v="Univerzita Palackého v Olomouci"/>
    <d v="2019-05-13T00:00:00"/>
    <d v="2019-04-30T00:00:00"/>
    <s v="943001029"/>
    <s v="F STRAVA_CIZI"/>
    <s v="338261648,10870"/>
    <b v="1"/>
    <m/>
    <s v="Buzková Eva"/>
    <s v="Zaúčtováno"/>
    <m/>
    <m/>
    <m/>
    <m/>
    <x v="4"/>
    <d v="2019-05-14T06:18:36"/>
    <s v="Vedlejší činnost"/>
    <m/>
    <m/>
    <m/>
    <m/>
    <m/>
    <m/>
    <m/>
  </r>
  <r>
    <s v="FV-2019-43-001041"/>
    <x v="9"/>
    <s v="1180"/>
    <d v="2019-05-14T00:00:00"/>
    <m/>
    <n v="566.09"/>
    <s v="9501"/>
    <s v="31105006"/>
    <s v="VC"/>
    <s v="STRAV: Provoz stravování - ostatní stravování"/>
    <s v="Univerzita Palackého v Olomouci"/>
    <d v="2019-05-17T00:00:00"/>
    <d v="2019-05-14T00:00:00"/>
    <s v="943001041"/>
    <s v="F STRAVA_CIZI"/>
    <s v="338858659,10870"/>
    <b v="1"/>
    <m/>
    <s v="Buzková Eva"/>
    <s v="Zaúčtováno"/>
    <s v="obj. č. 44511020666"/>
    <m/>
    <m/>
    <m/>
    <x v="5"/>
    <d v="2019-05-20T06:33:03"/>
    <s v="Vedlejší činnost"/>
    <m/>
    <m/>
    <m/>
    <m/>
    <m/>
    <m/>
    <m/>
  </r>
  <r>
    <s v="FV-2019-43-001042"/>
    <x v="9"/>
    <s v="1180"/>
    <d v="2019-05-14T00:00:00"/>
    <m/>
    <n v="323.48"/>
    <s v="9501"/>
    <s v="31105006"/>
    <s v="VC"/>
    <s v="STRAV: Provoz stravování - ostatní stravování"/>
    <s v="Univerzita Palackého v Olomouci"/>
    <d v="2019-05-17T00:00:00"/>
    <d v="2019-05-14T00:00:00"/>
    <s v="943001042"/>
    <s v="F STRAVA_CIZI"/>
    <s v="338858877,10870"/>
    <b v="1"/>
    <m/>
    <s v="Buzková Eva"/>
    <s v="Zaúčtováno"/>
    <s v="obj. č. 4512022673"/>
    <m/>
    <m/>
    <m/>
    <x v="5"/>
    <d v="2019-05-20T06:33:04"/>
    <s v="Vedlejší činnost"/>
    <m/>
    <m/>
    <m/>
    <m/>
    <m/>
    <m/>
    <m/>
  </r>
  <r>
    <s v="FV-2019-43-001263"/>
    <x v="4"/>
    <s v="1180"/>
    <d v="2019-05-31T00:00:00"/>
    <m/>
    <n v="6388.69"/>
    <s v="9501"/>
    <s v="31105006"/>
    <s v="VC"/>
    <s v="STRAV: Provoz stravování - ostatní stravování"/>
    <s v="ELPREMO, spol. s r.o."/>
    <d v="2019-06-04T00:00:00"/>
    <d v="2019-05-31T00:00:00"/>
    <s v="943001263"/>
    <s v="F STRAVA_CIZI"/>
    <s v="340250216,10870"/>
    <b v="1"/>
    <m/>
    <s v="Buzková Eva"/>
    <s v="Zaúčtováno"/>
    <m/>
    <m/>
    <m/>
    <m/>
    <x v="5"/>
    <d v="2019-06-06T08:43:59"/>
    <s v="Vedlejší činnost"/>
    <m/>
    <m/>
    <m/>
    <m/>
    <m/>
    <m/>
    <m/>
  </r>
  <r>
    <s v="FV-2019-43-001266"/>
    <x v="10"/>
    <s v="1180"/>
    <d v="2019-05-31T00:00:00"/>
    <m/>
    <n v="173937.47"/>
    <s v="9501"/>
    <s v="31105006"/>
    <s v="VC"/>
    <s v="STRAV: Provoz stravování - ostatní stravování"/>
    <s v="Univerzita Palackého v Olomouci"/>
    <d v="2019-06-07T00:00:00"/>
    <d v="2019-05-31T00:00:00"/>
    <s v="943001266"/>
    <s v="F STRAVA_CIZI"/>
    <s v="340860229,10870"/>
    <b v="1"/>
    <m/>
    <s v="Buzková Eva"/>
    <s v="Zaúčtováno"/>
    <m/>
    <m/>
    <m/>
    <m/>
    <x v="5"/>
    <d v="2019-06-10T06:41:37"/>
    <s v="Vedlejší činnost"/>
    <m/>
    <m/>
    <m/>
    <m/>
    <m/>
    <m/>
    <m/>
  </r>
  <r>
    <s v="FV-2019-43-001270"/>
    <x v="4"/>
    <s v="1180"/>
    <d v="2019-05-31T00:00:00"/>
    <m/>
    <n v="1213.04"/>
    <s v="9501"/>
    <s v="31105006"/>
    <s v="VC"/>
    <s v="STRAV: Provoz stravování - ostatní stravování"/>
    <s v="Univerzita Palackého v Olomouci"/>
    <d v="2019-06-07T00:00:00"/>
    <d v="2019-05-31T00:00:00"/>
    <s v="943001270"/>
    <s v="F STRAVA_CIZI"/>
    <s v="340861615,10870"/>
    <b v="1"/>
    <m/>
    <s v="Buzková Eva"/>
    <s v="Zaúčtováno"/>
    <m/>
    <m/>
    <m/>
    <m/>
    <x v="5"/>
    <d v="2019-06-10T06:41:38"/>
    <s v="Vedlejší činnost"/>
    <m/>
    <m/>
    <m/>
    <m/>
    <m/>
    <m/>
    <m/>
  </r>
  <r>
    <s v="FV-2019-43-001271"/>
    <x v="4"/>
    <s v="1180"/>
    <d v="2019-05-31T00:00:00"/>
    <m/>
    <n v="1940.87"/>
    <s v="9501"/>
    <s v="31105006"/>
    <s v="VC"/>
    <s v="STRAV: Provoz stravování - ostatní stravování"/>
    <s v="Veolia Energie ČR, a.s."/>
    <d v="2019-06-07T00:00:00"/>
    <d v="2019-05-31T00:00:00"/>
    <s v="943001271"/>
    <s v="F STRAVA_CIZI"/>
    <s v="340862202,10870"/>
    <b v="1"/>
    <m/>
    <s v="Buzková Eva"/>
    <s v="Zaúčtováno"/>
    <m/>
    <m/>
    <m/>
    <m/>
    <x v="5"/>
    <d v="2019-06-10T06:41:38"/>
    <s v="Vedlejší činnost"/>
    <m/>
    <m/>
    <m/>
    <m/>
    <m/>
    <m/>
    <m/>
  </r>
  <r>
    <s v="FV-2019-43-001272"/>
    <x v="4"/>
    <s v="1180"/>
    <d v="2019-05-31T00:00:00"/>
    <m/>
    <n v="19570.419999999998"/>
    <s v="9501"/>
    <s v="31105006"/>
    <s v="VC"/>
    <s v="STRAV: Provoz stravování - ostatní stravování"/>
    <s v="EXBIO Olomouc s.r.o."/>
    <d v="2019-06-07T00:00:00"/>
    <d v="2019-05-31T00:00:00"/>
    <s v="943001272"/>
    <s v="F STRAVA_CIZI"/>
    <s v="340862507,10870"/>
    <b v="1"/>
    <m/>
    <s v="Buzková Eva"/>
    <s v="Zaúčtováno"/>
    <m/>
    <m/>
    <m/>
    <m/>
    <x v="5"/>
    <d v="2019-06-10T06:41:39"/>
    <s v="Vedlejší činnost"/>
    <m/>
    <m/>
    <m/>
    <m/>
    <m/>
    <m/>
    <m/>
  </r>
  <r>
    <s v="FV-2019-43-001273"/>
    <x v="4"/>
    <s v="1180"/>
    <d v="2019-05-31T00:00:00"/>
    <m/>
    <n v="49118.92"/>
    <s v="9501"/>
    <s v="31105006"/>
    <s v="VC"/>
    <s v="STRAV: Provoz stravování - ostatní stravování"/>
    <s v="Mateřská škola                                              1. olomoucká sportovní s.r.o."/>
    <d v="2019-06-07T00:00:00"/>
    <d v="2019-05-31T00:00:00"/>
    <s v="943001273"/>
    <s v="F STRAVA_CIZI"/>
    <s v="340865629,10870"/>
    <b v="1"/>
    <m/>
    <s v="Buzková Eva"/>
    <s v="Zaúčtováno"/>
    <m/>
    <m/>
    <m/>
    <m/>
    <x v="5"/>
    <d v="2019-06-10T06:41:39"/>
    <s v="Vedlejší činnost"/>
    <m/>
    <m/>
    <m/>
    <m/>
    <m/>
    <m/>
    <m/>
  </r>
  <r>
    <s v="FV-2019-43-001274"/>
    <x v="5"/>
    <s v="1180"/>
    <d v="2019-05-31T00:00:00"/>
    <m/>
    <n v="1698.26"/>
    <s v="9501"/>
    <s v="31105006"/>
    <s v="VC"/>
    <s v="STRAV: Provoz stravování - ostatní stravování"/>
    <s v="Mateřská škola 1. olomoucká sportovní s.r.o."/>
    <d v="2019-06-07T00:00:00"/>
    <d v="2019-05-31T00:00:00"/>
    <s v="943001274"/>
    <s v="F STRAVA_CIZI"/>
    <s v="340866425,10870"/>
    <b v="1"/>
    <m/>
    <s v="Buzková Eva"/>
    <s v="Zaúčtováno"/>
    <m/>
    <m/>
    <m/>
    <m/>
    <x v="5"/>
    <d v="2019-06-10T06:41:39"/>
    <s v="Vedlejší činnost"/>
    <m/>
    <m/>
    <m/>
    <m/>
    <m/>
    <m/>
    <m/>
  </r>
  <r>
    <s v="FV-2019-43-001275"/>
    <x v="4"/>
    <s v="1180"/>
    <d v="2019-05-31T00:00:00"/>
    <m/>
    <n v="9422.61"/>
    <s v="9501"/>
    <s v="31105006"/>
    <s v="VC"/>
    <s v="STRAV: Provoz stravování - ostatní stravování"/>
    <s v="Jolana Látalová"/>
    <d v="2019-06-07T00:00:00"/>
    <d v="2019-05-31T00:00:00"/>
    <s v="943001275"/>
    <s v="F STRAVA_CIZI"/>
    <s v="340866898,10870"/>
    <b v="1"/>
    <m/>
    <s v="Buzková Eva"/>
    <s v="Zaúčtováno"/>
    <m/>
    <m/>
    <m/>
    <m/>
    <x v="5"/>
    <d v="2019-06-10T06:41:39"/>
    <s v="Vedlejší činnost"/>
    <m/>
    <m/>
    <m/>
    <m/>
    <m/>
    <m/>
    <m/>
  </r>
  <r>
    <s v="FV-2019-43-001276"/>
    <x v="4"/>
    <s v="1180"/>
    <d v="2019-05-31T00:00:00"/>
    <m/>
    <n v="2587.8200000000002"/>
    <s v="9501"/>
    <s v="31105006"/>
    <s v="VC"/>
    <s v="STRAV: Provoz stravování - ostatní stravování"/>
    <s v="Univerzita Palackého v Olomouci"/>
    <d v="2019-06-07T00:00:00"/>
    <d v="2019-05-31T00:00:00"/>
    <s v="943001276"/>
    <s v="F STRAVA_CIZI"/>
    <s v="340869452,10870"/>
    <b v="1"/>
    <m/>
    <s v="Buzková Eva"/>
    <s v="Zaúčtováno"/>
    <m/>
    <m/>
    <m/>
    <m/>
    <x v="5"/>
    <d v="2019-06-10T06:41:39"/>
    <s v="Vedlejší činnost"/>
    <m/>
    <m/>
    <m/>
    <m/>
    <m/>
    <m/>
    <m/>
  </r>
  <r>
    <s v="FV-2019-43-001316"/>
    <x v="11"/>
    <s v="1180"/>
    <d v="2019-06-21T00:00:00"/>
    <m/>
    <n v="889.57"/>
    <s v="9501"/>
    <s v="31105006"/>
    <s v="VC"/>
    <s v="STRAV: Provoz stravování - ostatní stravování"/>
    <s v="GUARANT International spol. s r.o."/>
    <d v="2019-06-27T00:00:00"/>
    <d v="2019-06-21T00:00:00"/>
    <s v="943001316"/>
    <s v="F STRAVA_CIZI"/>
    <s v="342648234,10870"/>
    <b v="1"/>
    <m/>
    <s v="Jakšová Jana"/>
    <s v="Zaúčtováno"/>
    <m/>
    <m/>
    <m/>
    <m/>
    <x v="6"/>
    <d v="2019-06-27T12:28:37"/>
    <s v="Vedlejší činnost"/>
    <m/>
    <m/>
    <m/>
    <m/>
    <m/>
    <m/>
    <m/>
  </r>
  <r>
    <s v="FV-2019-43-001505"/>
    <x v="4"/>
    <s v="1180"/>
    <d v="2019-06-30T00:00:00"/>
    <m/>
    <n v="6873.91"/>
    <s v="9501"/>
    <s v="31105006"/>
    <s v="VC"/>
    <s v="STRAV: Provoz stravování - ostatní stravování"/>
    <s v="ELPREMO, spol. s r.o."/>
    <d v="2019-07-03T00:00:00"/>
    <d v="2019-06-30T00:00:00"/>
    <s v="943001505"/>
    <s v="F STRAVA_CIZI"/>
    <s v="343145172,10870"/>
    <b v="1"/>
    <m/>
    <s v="Buzková Eva"/>
    <s v="Zaúčtováno"/>
    <m/>
    <m/>
    <m/>
    <m/>
    <x v="6"/>
    <d v="2019-07-03T11:54:04"/>
    <s v="Vedlejší činnost"/>
    <m/>
    <m/>
    <m/>
    <m/>
    <m/>
    <m/>
    <m/>
  </r>
  <r>
    <s v="FV-2019-43-001506"/>
    <x v="4"/>
    <s v="1180"/>
    <d v="2019-06-30T00:00:00"/>
    <m/>
    <n v="2426.09"/>
    <s v="9501"/>
    <s v="31105006"/>
    <s v="VC"/>
    <s v="STRAV: Provoz stravování - ostatní stravování"/>
    <s v="Veolia Energie ČR, a.s."/>
    <d v="2019-07-08T00:00:00"/>
    <d v="2019-06-30T00:00:00"/>
    <s v="943001506"/>
    <s v="F STRAVA_CIZI"/>
    <s v="343446525,10870"/>
    <b v="1"/>
    <m/>
    <s v="Buzková Eva"/>
    <s v="Zaúčtováno"/>
    <m/>
    <m/>
    <m/>
    <m/>
    <x v="6"/>
    <d v="2019-07-09T06:39:07"/>
    <s v="Vedlejší činnost"/>
    <m/>
    <m/>
    <m/>
    <m/>
    <m/>
    <m/>
    <m/>
  </r>
  <r>
    <s v="FV-2019-43-001507"/>
    <x v="4"/>
    <s v="1180"/>
    <d v="2019-06-30T00:00:00"/>
    <m/>
    <n v="15769.55"/>
    <s v="9501"/>
    <s v="31105006"/>
    <s v="VC"/>
    <s v="STRAV: Provoz stravování - ostatní stravování"/>
    <s v="EXBIO Olomouc s.r.o."/>
    <d v="2019-07-08T00:00:00"/>
    <d v="2019-06-30T00:00:00"/>
    <s v="943001507"/>
    <s v="F STRAVA_CIZI"/>
    <s v="343447787,10870"/>
    <b v="1"/>
    <m/>
    <s v="Buzková Eva"/>
    <s v="Zaúčtováno"/>
    <m/>
    <m/>
    <m/>
    <m/>
    <x v="6"/>
    <d v="2019-07-09T06:39:08"/>
    <s v="Vedlejší činnost"/>
    <m/>
    <m/>
    <m/>
    <m/>
    <m/>
    <m/>
    <m/>
  </r>
  <r>
    <s v="FV-2019-43-001508"/>
    <x v="4"/>
    <s v="1180"/>
    <d v="2019-06-30T00:00:00"/>
    <m/>
    <n v="46838.93"/>
    <s v="9501"/>
    <s v="31105006"/>
    <s v="VC"/>
    <s v="STRAV: Provoz stravování - ostatní stravování"/>
    <s v="Mateřská škola                                              1. olomoucká sportovní s.r.o."/>
    <d v="2019-07-08T00:00:00"/>
    <d v="2019-06-30T00:00:00"/>
    <s v="943001508"/>
    <s v="F STRAVA_CIZI"/>
    <s v="343448356,10870"/>
    <b v="1"/>
    <m/>
    <s v="Buzková Eva"/>
    <s v="Zaúčtováno"/>
    <m/>
    <m/>
    <m/>
    <m/>
    <x v="6"/>
    <d v="2019-07-09T06:39:08"/>
    <s v="Vedlejší činnost"/>
    <m/>
    <m/>
    <m/>
    <m/>
    <m/>
    <m/>
    <m/>
  </r>
  <r>
    <s v="FV-2019-43-001509"/>
    <x v="5"/>
    <s v="1180"/>
    <d v="2019-06-30T00:00:00"/>
    <m/>
    <n v="1698.26"/>
    <s v="9501"/>
    <s v="31105006"/>
    <s v="VC"/>
    <s v="STRAV: Provoz stravování - ostatní stravování"/>
    <s v="Mateřská škola 1. olomoucká sportovní s.r.o."/>
    <d v="2019-07-08T00:00:00"/>
    <d v="2019-06-30T00:00:00"/>
    <s v="943001509"/>
    <s v="F STRAVA_CIZI"/>
    <s v="343448771,10870"/>
    <b v="1"/>
    <m/>
    <s v="Buzková Eva"/>
    <s v="Zaúčtováno"/>
    <m/>
    <m/>
    <m/>
    <m/>
    <x v="6"/>
    <d v="2019-07-09T06:39:08"/>
    <s v="Vedlejší činnost"/>
    <m/>
    <m/>
    <m/>
    <m/>
    <m/>
    <m/>
    <m/>
  </r>
  <r>
    <s v="FV-2019-43-001510"/>
    <x v="4"/>
    <s v="1180"/>
    <d v="2019-06-30T00:00:00"/>
    <m/>
    <n v="8973.91"/>
    <s v="9501"/>
    <s v="31105006"/>
    <s v="VC"/>
    <s v="STRAV: Provoz stravování - ostatní stravování"/>
    <s v="Jolana Látalová"/>
    <d v="2019-07-08T00:00:00"/>
    <d v="2019-06-30T00:00:00"/>
    <s v="943001510"/>
    <s v="F STRAVA_CIZI"/>
    <s v="343449621,10870"/>
    <b v="1"/>
    <m/>
    <s v="Buzková Eva"/>
    <s v="Zaúčtováno"/>
    <m/>
    <m/>
    <m/>
    <m/>
    <x v="6"/>
    <d v="2019-07-09T06:39:09"/>
    <s v="Vedlejší činnost"/>
    <m/>
    <m/>
    <m/>
    <m/>
    <m/>
    <m/>
    <m/>
  </r>
  <r>
    <s v="FV-2019-43-001513"/>
    <x v="4"/>
    <s v="1180"/>
    <d v="2019-06-30T00:00:00"/>
    <m/>
    <n v="2830.43"/>
    <s v="9501"/>
    <s v="31105006"/>
    <s v="VC"/>
    <s v="STRAV: Provoz stravování - ostatní stravování"/>
    <s v="Univerzita Palackého v Olomouci"/>
    <d v="2019-07-08T00:00:00"/>
    <d v="2019-06-30T00:00:00"/>
    <s v="943001513"/>
    <s v="F STRAVA_CIZI"/>
    <s v="343460675,10870"/>
    <b v="1"/>
    <m/>
    <s v="Buzková Eva"/>
    <s v="Zaúčtováno"/>
    <m/>
    <m/>
    <m/>
    <m/>
    <x v="6"/>
    <d v="2019-07-09T06:39:10"/>
    <s v="Vedlejší činnost"/>
    <m/>
    <m/>
    <m/>
    <m/>
    <m/>
    <m/>
    <m/>
  </r>
  <r>
    <s v="FV-2019-43-001516"/>
    <x v="4"/>
    <s v="1180"/>
    <d v="2019-06-30T00:00:00"/>
    <m/>
    <n v="1213.04"/>
    <s v="9501"/>
    <s v="31105006"/>
    <s v="VC"/>
    <s v="STRAV: Provoz stravování - ostatní stravování"/>
    <s v="Univerzita Palackého v Olomouci"/>
    <d v="2019-07-08T00:00:00"/>
    <d v="2019-06-30T00:00:00"/>
    <s v="943001516"/>
    <s v="F STRAVA_CIZI"/>
    <s v="343462843,10870"/>
    <b v="1"/>
    <m/>
    <s v="Buzková Eva"/>
    <s v="Zaúčtováno"/>
    <m/>
    <m/>
    <m/>
    <m/>
    <x v="6"/>
    <d v="2019-07-09T06:39:11"/>
    <s v="Vedlejší činnost"/>
    <m/>
    <m/>
    <m/>
    <m/>
    <m/>
    <m/>
    <m/>
  </r>
  <r>
    <s v="FV-2019-43-001519"/>
    <x v="12"/>
    <s v="1180"/>
    <d v="2019-06-30T00:00:00"/>
    <m/>
    <n v="153813.98000000001"/>
    <s v="9501"/>
    <s v="31105006"/>
    <s v="VC"/>
    <s v="STRAV: Provoz stravování - ostatní stravování"/>
    <s v="Univerzita Palackého v Olomouci"/>
    <d v="2019-07-08T00:00:00"/>
    <d v="2019-06-30T00:00:00"/>
    <s v="943001519"/>
    <s v="F STRAVA_CIZI"/>
    <s v="343468929,10870"/>
    <b v="1"/>
    <m/>
    <s v="Buzková Eva"/>
    <s v="Zaúčtováno"/>
    <m/>
    <m/>
    <m/>
    <m/>
    <x v="6"/>
    <d v="2019-07-15T06:12:33"/>
    <s v="Vedlejší činnost"/>
    <m/>
    <m/>
    <m/>
    <m/>
    <m/>
    <m/>
    <m/>
  </r>
  <r>
    <s v="FV-2019-43-001719"/>
    <x v="4"/>
    <s v="1180"/>
    <d v="2019-07-31T00:00:00"/>
    <m/>
    <n v="7601.73"/>
    <s v="9501"/>
    <s v="31105006"/>
    <s v="VC"/>
    <s v="STRAV: Provoz stravování - ostatní stravování"/>
    <s v="ELPREMO, spol. s r.o."/>
    <d v="2019-08-02T00:00:00"/>
    <d v="2019-07-31T00:00:00"/>
    <s v="943001719"/>
    <s v="F STRAVA_CIZI"/>
    <s v="346036574,10870"/>
    <b v="1"/>
    <m/>
    <s v="Buzková Eva"/>
    <s v="Zaúčtováno"/>
    <m/>
    <m/>
    <m/>
    <m/>
    <x v="7"/>
    <d v="2019-08-02T14:12:53"/>
    <s v="Vedlejší činnost"/>
    <m/>
    <m/>
    <m/>
    <m/>
    <m/>
    <m/>
    <m/>
  </r>
  <r>
    <s v="FV-2019-43-001728"/>
    <x v="13"/>
    <s v="1180"/>
    <d v="2019-07-31T00:00:00"/>
    <m/>
    <n v="128987.01"/>
    <s v="9501"/>
    <s v="31105006"/>
    <s v="VC"/>
    <s v="STRAV: Provoz stravování - ostatní stravování"/>
    <s v="Univerzita Palackého v Olomouci"/>
    <d v="2019-08-09T00:00:00"/>
    <d v="2019-07-31T00:00:00"/>
    <s v="943001728"/>
    <s v="F STRAVA_CIZI"/>
    <s v="346888328,10870"/>
    <b v="1"/>
    <m/>
    <s v="Buzková Eva"/>
    <s v="Zaúčtováno"/>
    <m/>
    <m/>
    <m/>
    <m/>
    <x v="7"/>
    <d v="2019-08-09T08:55:41"/>
    <s v="Vedlejší činnost"/>
    <m/>
    <m/>
    <m/>
    <m/>
    <m/>
    <m/>
    <m/>
  </r>
  <r>
    <s v="FV-2019-43-001731"/>
    <x v="4"/>
    <s v="1180"/>
    <d v="2019-07-31T00:00:00"/>
    <m/>
    <n v="1860.01"/>
    <s v="9501"/>
    <s v="31105006"/>
    <s v="VC"/>
    <s v="STRAV: Provoz stravování - ostatní stravování"/>
    <s v="Veolia Energie ČR, a.s."/>
    <d v="2019-08-09T00:00:00"/>
    <d v="2019-07-31T00:00:00"/>
    <s v="943001731"/>
    <s v="F STRAVA_CIZI"/>
    <s v="346890524,10870"/>
    <b v="1"/>
    <m/>
    <s v="Buzková Eva"/>
    <s v="Zaúčtováno"/>
    <m/>
    <m/>
    <m/>
    <m/>
    <x v="7"/>
    <d v="2019-08-09T08:55:43"/>
    <s v="Vedlejší činnost"/>
    <m/>
    <m/>
    <m/>
    <m/>
    <m/>
    <m/>
    <m/>
  </r>
  <r>
    <s v="FV-2019-43-001732"/>
    <x v="4"/>
    <s v="1180"/>
    <d v="2019-07-31T00:00:00"/>
    <m/>
    <n v="19570.54"/>
    <s v="9501"/>
    <s v="31105006"/>
    <s v="VC"/>
    <s v="STRAV: Provoz stravování - ostatní stravování"/>
    <s v="EXBIO Olomouc s.r.o."/>
    <d v="2019-08-09T00:00:00"/>
    <d v="2019-07-31T00:00:00"/>
    <s v="943001732"/>
    <s v="F STRAVA_CIZI"/>
    <s v="346891878,10870"/>
    <b v="1"/>
    <m/>
    <s v="Buzková Eva"/>
    <s v="Zaúčtováno"/>
    <m/>
    <m/>
    <m/>
    <m/>
    <x v="7"/>
    <d v="2019-08-09T08:55:43"/>
    <s v="Vedlejší činnost"/>
    <m/>
    <m/>
    <m/>
    <m/>
    <m/>
    <m/>
    <m/>
  </r>
  <r>
    <s v="FV-2019-43-001733"/>
    <x v="4"/>
    <s v="1180"/>
    <d v="2019-07-31T00:00:00"/>
    <m/>
    <n v="42774.6"/>
    <s v="9501"/>
    <s v="31105006"/>
    <s v="VC"/>
    <s v="STRAV: Provoz stravování - ostatní stravování"/>
    <s v="Mateřská škola                                              1. olomoucká sportovní s.r.o."/>
    <d v="2019-08-09T00:00:00"/>
    <d v="2019-07-31T00:00:00"/>
    <s v="943001733"/>
    <s v="F STRAVA_CIZI"/>
    <s v="346893431,10870"/>
    <b v="1"/>
    <m/>
    <s v="Buzková Eva"/>
    <s v="Zaúčtováno"/>
    <m/>
    <m/>
    <m/>
    <m/>
    <x v="7"/>
    <d v="2019-08-09T08:55:44"/>
    <s v="Vedlejší činnost"/>
    <m/>
    <m/>
    <m/>
    <m/>
    <m/>
    <m/>
    <m/>
  </r>
  <r>
    <s v="FV-2019-43-001734"/>
    <x v="4"/>
    <s v="1180"/>
    <d v="2019-07-31T00:00:00"/>
    <m/>
    <n v="9870.9599999999991"/>
    <s v="9501"/>
    <s v="31105006"/>
    <s v="VC"/>
    <s v="STRAV: Provoz stravování - ostatní stravování"/>
    <s v="Jolana Látalová"/>
    <d v="2019-08-09T00:00:00"/>
    <d v="2019-07-31T00:00:00"/>
    <s v="943001734"/>
    <s v="F STRAVA_CIZI"/>
    <s v="346895007,10870"/>
    <b v="1"/>
    <m/>
    <s v="Buzková Eva"/>
    <s v="Zaúčtováno"/>
    <m/>
    <m/>
    <m/>
    <m/>
    <x v="7"/>
    <d v="2019-08-09T08:55:45"/>
    <s v="Vedlejší činnost"/>
    <m/>
    <m/>
    <m/>
    <m/>
    <m/>
    <m/>
    <m/>
  </r>
  <r>
    <s v="FV-2019-43-001735"/>
    <x v="4"/>
    <s v="1180"/>
    <d v="2019-07-31T00:00:00"/>
    <m/>
    <n v="7601.78"/>
    <s v="9501"/>
    <s v="31105006"/>
    <s v="VC"/>
    <s v="STRAV: Provoz stravování - ostatní stravování"/>
    <s v="ELPREMO, spol. s r.o."/>
    <d v="2019-08-09T00:00:00"/>
    <d v="2019-07-31T00:00:00"/>
    <s v="943001735"/>
    <s v="F STRAVA_CIZI"/>
    <s v="346895737,10870"/>
    <b v="1"/>
    <m/>
    <s v="Buzková Eva"/>
    <s v="Zaúčtováno"/>
    <m/>
    <m/>
    <m/>
    <m/>
    <x v="7"/>
    <d v="2019-08-09T08:55:46"/>
    <s v="Vedlejší činnost"/>
    <m/>
    <m/>
    <m/>
    <m/>
    <m/>
    <m/>
    <m/>
  </r>
  <r>
    <s v="FV-2019-43-001737"/>
    <x v="4"/>
    <s v="1180"/>
    <d v="2019-07-31T00:00:00"/>
    <m/>
    <n v="2102.62"/>
    <s v="9501"/>
    <s v="31105006"/>
    <s v="VC"/>
    <s v="STRAV: Provoz stravování - ostatní stravování"/>
    <s v="Univerzita Palackého v Olomouci"/>
    <d v="2019-08-09T00:00:00"/>
    <d v="2019-07-31T00:00:00"/>
    <s v="943001737"/>
    <s v="F STRAVA_CIZI"/>
    <s v="346897296,10870"/>
    <b v="1"/>
    <m/>
    <s v="Buzková Eva"/>
    <s v="Zaúčtováno"/>
    <m/>
    <m/>
    <m/>
    <m/>
    <x v="7"/>
    <d v="2019-08-09T13:40:42"/>
    <s v="Vedlejší činnost"/>
    <m/>
    <m/>
    <m/>
    <m/>
    <m/>
    <m/>
    <m/>
  </r>
  <r>
    <s v="FV-2019-43-001739"/>
    <x v="4"/>
    <s v="1180"/>
    <d v="2019-07-31T00:00:00"/>
    <m/>
    <n v="808.7"/>
    <s v="9501"/>
    <s v="31105006"/>
    <s v="VC"/>
    <s v="STRAV: Provoz stravování - ostatní stravování"/>
    <s v="Univerzita Palackého v Olomouci"/>
    <d v="2019-08-09T00:00:00"/>
    <d v="2019-07-31T00:00:00"/>
    <s v="943001739"/>
    <s v="F STRAVA_CIZI"/>
    <s v="346903129,10870"/>
    <b v="1"/>
    <m/>
    <s v="Buzková Eva"/>
    <s v="Zaúčtováno"/>
    <m/>
    <m/>
    <m/>
    <m/>
    <x v="7"/>
    <d v="2019-08-09T13:40:43"/>
    <s v="Vedlejší činnost"/>
    <m/>
    <m/>
    <m/>
    <m/>
    <m/>
    <m/>
    <m/>
  </r>
  <r>
    <s v="FV-2019-43-001903"/>
    <x v="4"/>
    <s v="1180"/>
    <d v="2019-08-31T00:00:00"/>
    <m/>
    <n v="9947.01"/>
    <s v="9501"/>
    <s v="31105006"/>
    <s v="VC"/>
    <s v="STRAV: Provoz stravování - ostatní stravování"/>
    <s v="ELPREMO, spol. s r.o."/>
    <d v="2019-09-03T00:00:00"/>
    <d v="2019-08-31T00:00:00"/>
    <s v="943001903"/>
    <s v="F STRAVA_CIZI"/>
    <s v="349376805,10870"/>
    <b v="1"/>
    <m/>
    <s v="Buzková Eva"/>
    <s v="Zaúčtováno"/>
    <m/>
    <m/>
    <m/>
    <m/>
    <x v="0"/>
    <d v="2019-09-04T06:59:40"/>
    <s v="Vedlejší činnost"/>
    <m/>
    <m/>
    <m/>
    <m/>
    <m/>
    <m/>
    <m/>
  </r>
  <r>
    <s v="FV-2019-43-001926"/>
    <x v="4"/>
    <s v="1180"/>
    <d v="2019-08-28T00:00:00"/>
    <m/>
    <n v="128340"/>
    <s v="9501"/>
    <s v="31105006"/>
    <s v="VC"/>
    <s v="STRAV: Provoz stravování - ostatní stravování"/>
    <s v="Univerzita Palackého v Olomouci"/>
    <d v="2019-09-05T00:00:00"/>
    <d v="2019-08-28T00:00:00"/>
    <s v="943001926"/>
    <s v="F STRAVA_CIZI"/>
    <s v="349737326,10870"/>
    <b v="1"/>
    <m/>
    <s v="Buzková Eva"/>
    <s v="Zaúčtováno"/>
    <m/>
    <m/>
    <m/>
    <m/>
    <x v="0"/>
    <d v="2019-09-06T06:44:59"/>
    <s v="Vedlejší činnost"/>
    <m/>
    <m/>
    <m/>
    <m/>
    <m/>
    <m/>
    <m/>
  </r>
  <r>
    <s v="FV-2019-43-001927"/>
    <x v="14"/>
    <s v="150"/>
    <d v="2019-08-23T00:00:00"/>
    <m/>
    <n v="20.66"/>
    <s v="9503"/>
    <s v="31105006"/>
    <s v="VC"/>
    <s v="STRAV: Provoz stravování - Kantýna"/>
    <s v="Univerzita Palackého v Olomouci"/>
    <d v="2019-09-05T00:00:00"/>
    <d v="2019-08-23T00:00:00"/>
    <s v="943001927"/>
    <s v="F STRAVA_CIZI"/>
    <s v="349739135,10870"/>
    <b v="1"/>
    <m/>
    <s v="Buzková Eva"/>
    <s v="Zaúčtováno"/>
    <m/>
    <m/>
    <m/>
    <m/>
    <x v="0"/>
    <d v="2019-09-06T06:45:01"/>
    <s v="Vedlejší činnost"/>
    <m/>
    <m/>
    <m/>
    <m/>
    <m/>
    <m/>
    <m/>
  </r>
  <r>
    <s v="FV-2019-43-001929"/>
    <x v="4"/>
    <s v="1180"/>
    <d v="2019-08-23T00:00:00"/>
    <m/>
    <n v="2102.62"/>
    <s v="9501"/>
    <s v="31105006"/>
    <s v="VC"/>
    <s v="STRAV: Provoz stravování - ostatní stravování"/>
    <s v="Veolia Energie ČR, a.s."/>
    <d v="2019-09-05T00:00:00"/>
    <d v="2019-08-23T00:00:00"/>
    <s v="943001929"/>
    <s v="F STRAVA_CIZI"/>
    <s v="349745349,10870"/>
    <b v="1"/>
    <m/>
    <s v="Buzková Eva"/>
    <s v="Zaúčtováno"/>
    <m/>
    <m/>
    <m/>
    <m/>
    <x v="0"/>
    <d v="2019-09-06T06:45:02"/>
    <s v="Vedlejší činnost"/>
    <m/>
    <m/>
    <m/>
    <m/>
    <m/>
    <m/>
    <m/>
  </r>
  <r>
    <s v="FV-2019-43-001930"/>
    <x v="4"/>
    <s v="1180"/>
    <d v="2019-08-28T00:00:00"/>
    <m/>
    <n v="17872.27"/>
    <s v="9501"/>
    <s v="31105006"/>
    <s v="VC"/>
    <s v="STRAV: Provoz stravování - ostatní stravování"/>
    <s v="EXBIO Olomouc s.r.o."/>
    <d v="2019-09-05T00:00:00"/>
    <d v="2019-08-28T00:00:00"/>
    <s v="943001930"/>
    <s v="F STRAVA_CIZI"/>
    <s v="349746650,10870"/>
    <b v="1"/>
    <m/>
    <s v="Buzková Eva"/>
    <s v="Zaúčtováno"/>
    <m/>
    <m/>
    <m/>
    <m/>
    <x v="0"/>
    <d v="2019-09-06T06:45:03"/>
    <s v="Vedlejší činnost"/>
    <m/>
    <m/>
    <m/>
    <m/>
    <m/>
    <m/>
    <m/>
  </r>
  <r>
    <s v="FV-2019-43-001931"/>
    <x v="4"/>
    <s v="1180"/>
    <d v="2019-08-28T00:00:00"/>
    <m/>
    <n v="33010.43"/>
    <s v="9501"/>
    <s v="31105006"/>
    <s v="VC"/>
    <s v="STRAV: Provoz stravování - ostatní stravování"/>
    <s v="Mateřská škola                                              1. olomoucká sportovní s.r.o."/>
    <d v="2019-09-05T00:00:00"/>
    <d v="2019-08-28T00:00:00"/>
    <s v="943001931"/>
    <s v="F STRAVA_CIZI"/>
    <s v="349747491,10870"/>
    <b v="1"/>
    <m/>
    <s v="Buzková Eva"/>
    <s v="Zaúčtováno"/>
    <m/>
    <m/>
    <m/>
    <m/>
    <x v="0"/>
    <d v="2019-09-06T06:45:03"/>
    <s v="Vedlejší činnost"/>
    <m/>
    <m/>
    <m/>
    <m/>
    <m/>
    <m/>
    <m/>
  </r>
  <r>
    <s v="FV-2019-43-001932"/>
    <x v="4"/>
    <s v="1180"/>
    <d v="2019-08-28T00:00:00"/>
    <m/>
    <n v="5384.16"/>
    <s v="9501"/>
    <s v="31105006"/>
    <s v="VC"/>
    <s v="STRAV: Provoz stravování - ostatní stravování"/>
    <s v="Jolana Látalová"/>
    <d v="2019-09-05T00:00:00"/>
    <d v="2019-08-28T00:00:00"/>
    <s v="943001932"/>
    <s v="F STRAVA_CIZI"/>
    <s v="349762020,10870"/>
    <b v="1"/>
    <m/>
    <s v="Buzková Eva"/>
    <s v="Zaúčtováno"/>
    <m/>
    <m/>
    <m/>
    <m/>
    <x v="0"/>
    <d v="2019-09-06T06:45:05"/>
    <s v="Vedlejší činnost"/>
    <m/>
    <m/>
    <m/>
    <m/>
    <m/>
    <m/>
    <m/>
  </r>
  <r>
    <s v="FV-2019-43-001934"/>
    <x v="4"/>
    <s v="1180"/>
    <d v="2019-08-28T00:00:00"/>
    <m/>
    <n v="808.7"/>
    <s v="9501"/>
    <s v="31105006"/>
    <s v="VC"/>
    <s v="STRAV: Provoz stravování - ostatní stravování"/>
    <s v="Univerzita Palackého v Olomouci"/>
    <d v="2019-09-05T00:00:00"/>
    <d v="2019-08-28T00:00:00"/>
    <s v="943001934"/>
    <s v="F STRAVA_CIZI"/>
    <s v="349771110,10870"/>
    <b v="1"/>
    <m/>
    <s v="Buzková Eva"/>
    <s v="Zaúčtováno"/>
    <m/>
    <m/>
    <m/>
    <m/>
    <x v="0"/>
    <d v="2019-09-06T06:45:05"/>
    <s v="Vedlejší činnost"/>
    <m/>
    <m/>
    <m/>
    <m/>
    <m/>
    <m/>
    <m/>
  </r>
  <r>
    <s v="FV-2019-43-001935"/>
    <x v="4"/>
    <s v="1180"/>
    <d v="2019-08-28T00:00:00"/>
    <m/>
    <n v="646.96"/>
    <s v="9501"/>
    <s v="31105006"/>
    <s v="VC"/>
    <s v="STRAV: Provoz stravování - ostatní stravování"/>
    <s v="Univerzita Palackého v Olomouci"/>
    <d v="2019-09-05T00:00:00"/>
    <d v="2019-08-28T00:00:00"/>
    <s v="943001935"/>
    <s v="F STRAVA_CIZI"/>
    <s v="349776474,10870"/>
    <b v="1"/>
    <m/>
    <s v="Buzková Eva"/>
    <s v="Zaúčtováno"/>
    <m/>
    <m/>
    <m/>
    <m/>
    <x v="0"/>
    <d v="2019-09-06T06:45:06"/>
    <s v="Vedlejší činnost"/>
    <m/>
    <m/>
    <m/>
    <m/>
    <m/>
    <m/>
    <m/>
  </r>
  <r>
    <s v="FV-2019-43-002172"/>
    <x v="4"/>
    <s v="1180"/>
    <d v="2019-09-30T00:00:00"/>
    <m/>
    <n v="6550.47"/>
    <s v="9501"/>
    <s v="31105006"/>
    <m/>
    <s v="STRAV: Provoz stravování - ostatní stravování"/>
    <s v="ELPREMO, spol. s r.o."/>
    <d v="2019-10-04T00:00:00"/>
    <d v="2019-09-30T00:00:00"/>
    <s v="943002172"/>
    <s v="F STRAVA_CIZI"/>
    <s v="353829388,10870"/>
    <b v="0"/>
    <m/>
    <s v="Buzková Eva"/>
    <s v="Zaúčtováno"/>
    <m/>
    <m/>
    <m/>
    <m/>
    <x v="8"/>
    <d v="2019-10-07T06:45:42"/>
    <m/>
    <m/>
    <m/>
    <m/>
    <m/>
    <m/>
    <m/>
    <m/>
  </r>
  <r>
    <s v="FV-2019-43-002227"/>
    <x v="4"/>
    <s v="1180"/>
    <d v="2019-09-30T00:00:00"/>
    <m/>
    <n v="1698.27"/>
    <s v="9501"/>
    <s v="31105006"/>
    <m/>
    <s v="STRAV: Provoz stravování - ostatní stravování"/>
    <s v="Univerzita Palackého v Olomouci"/>
    <d v="2019-10-10T00:00:00"/>
    <d v="2019-09-30T00:00:00"/>
    <s v="943002227"/>
    <s v="F STRAVA_CIZI"/>
    <s v="355255073,10870"/>
    <b v="0"/>
    <m/>
    <s v="Buzková Eva"/>
    <s v="Zaúčtováno"/>
    <m/>
    <m/>
    <m/>
    <m/>
    <x v="8"/>
    <d v="2019-10-11T06:38:28"/>
    <m/>
    <m/>
    <m/>
    <m/>
    <m/>
    <m/>
    <m/>
    <m/>
  </r>
  <r>
    <s v="FV-2019-43-002228"/>
    <x v="4"/>
    <s v="1180"/>
    <d v="2019-09-30T00:00:00"/>
    <m/>
    <n v="180986.16"/>
    <s v="9501"/>
    <s v="31105006"/>
    <m/>
    <s v="STRAV: Provoz stravování - ostatní stravování"/>
    <s v="Univerzita Palackého v Olomouci"/>
    <d v="2019-10-10T00:00:00"/>
    <d v="2019-09-30T00:00:00"/>
    <s v="943002228"/>
    <s v="F STRAVA_CIZI"/>
    <s v="355255869,10870"/>
    <b v="0"/>
    <m/>
    <s v="Buzková Eva"/>
    <s v="Zaúčtováno"/>
    <m/>
    <m/>
    <m/>
    <m/>
    <x v="8"/>
    <d v="2019-10-11T06:38:28"/>
    <m/>
    <m/>
    <m/>
    <m/>
    <m/>
    <m/>
    <m/>
    <m/>
  </r>
  <r>
    <s v="FV-2019-43-002230"/>
    <x v="14"/>
    <s v="150"/>
    <d v="2019-09-30T00:00:00"/>
    <m/>
    <n v="66.94"/>
    <s v="9503"/>
    <s v="31105006"/>
    <m/>
    <s v="STRAV: Provoz stravování - Kantýna"/>
    <s v="Univerzita Palackého v Olomouci"/>
    <d v="2019-10-10T00:00:00"/>
    <d v="2019-09-30T00:00:00"/>
    <s v="943002230"/>
    <s v="F STRAVA_CIZI"/>
    <s v="355261593,10870"/>
    <b v="0"/>
    <m/>
    <s v="Buzková Eva"/>
    <s v="Zaúčtováno"/>
    <m/>
    <m/>
    <m/>
    <m/>
    <x v="8"/>
    <d v="2019-10-11T06:38:29"/>
    <m/>
    <m/>
    <m/>
    <m/>
    <m/>
    <m/>
    <m/>
    <m/>
  </r>
  <r>
    <s v="FV-2019-43-002231"/>
    <x v="4"/>
    <s v="1180"/>
    <d v="2019-09-30T00:00:00"/>
    <m/>
    <n v="2830.45"/>
    <s v="9501"/>
    <s v="31105006"/>
    <m/>
    <s v="STRAV: Provoz stravování - ostatní stravování"/>
    <s v="Veolia Energie ČR, a.s."/>
    <d v="2019-10-10T00:00:00"/>
    <d v="2019-09-30T00:00:00"/>
    <s v="943002231"/>
    <s v="F STRAVA_CIZI"/>
    <s v="355262005,10870"/>
    <b v="0"/>
    <m/>
    <s v="Buzková Eva"/>
    <s v="Zaúčtováno"/>
    <m/>
    <m/>
    <m/>
    <m/>
    <x v="8"/>
    <d v="2019-10-11T06:38:30"/>
    <m/>
    <m/>
    <m/>
    <m/>
    <m/>
    <m/>
    <m/>
    <m/>
  </r>
  <r>
    <s v="FV-2019-43-002232"/>
    <x v="4"/>
    <s v="1180"/>
    <d v="2019-09-30T00:00:00"/>
    <m/>
    <n v="18680.87"/>
    <s v="9501"/>
    <s v="31105006"/>
    <m/>
    <s v="STRAV: Provoz stravování - ostatní stravování"/>
    <s v="EXBIO Olomouc s.r.o."/>
    <d v="2019-10-10T00:00:00"/>
    <d v="2019-09-30T00:00:00"/>
    <s v="943002232"/>
    <s v="F STRAVA_CIZI"/>
    <s v="355262423,10870"/>
    <b v="0"/>
    <m/>
    <s v="Buzková Eva"/>
    <s v="Zaúčtováno"/>
    <m/>
    <m/>
    <m/>
    <m/>
    <x v="8"/>
    <d v="2019-10-11T07:58:52"/>
    <m/>
    <m/>
    <m/>
    <m/>
    <m/>
    <m/>
    <m/>
    <m/>
  </r>
  <r>
    <s v="FV-2019-43-002233"/>
    <x v="4"/>
    <s v="1180"/>
    <d v="2019-09-30T00:00:00"/>
    <m/>
    <n v="9422.2800000000007"/>
    <s v="9501"/>
    <s v="31105006"/>
    <m/>
    <s v="STRAV: Provoz stravování - ostatní stravování"/>
    <s v="Jolana Látalová"/>
    <d v="2019-10-10T00:00:00"/>
    <d v="2019-09-30T00:00:00"/>
    <s v="943002233"/>
    <s v="F STRAVA_CIZI"/>
    <s v="355263047,10870"/>
    <b v="0"/>
    <m/>
    <s v="Buzková Eva"/>
    <s v="Zaúčtováno"/>
    <m/>
    <m/>
    <m/>
    <m/>
    <x v="8"/>
    <d v="2019-10-11T07:58:50"/>
    <m/>
    <m/>
    <m/>
    <m/>
    <m/>
    <m/>
    <m/>
    <m/>
  </r>
  <r>
    <s v="FV-2019-43-002235"/>
    <x v="4"/>
    <s v="1180"/>
    <d v="2019-09-30T00:00:00"/>
    <m/>
    <n v="1374.79"/>
    <s v="9501"/>
    <s v="31105006"/>
    <m/>
    <s v="STRAV: Provoz stravování - ostatní stravování"/>
    <s v="Univerzita Palackého v Olomouci"/>
    <d v="2019-10-10T00:00:00"/>
    <d v="2019-09-30T00:00:00"/>
    <s v="943002235"/>
    <s v="F STRAVA_CIZI"/>
    <s v="355264293,10870"/>
    <b v="0"/>
    <m/>
    <s v="Buzková Eva"/>
    <s v="Zaúčtováno"/>
    <m/>
    <m/>
    <m/>
    <m/>
    <x v="8"/>
    <d v="2019-10-11T06:38:30"/>
    <m/>
    <m/>
    <m/>
    <m/>
    <m/>
    <m/>
    <m/>
    <m/>
  </r>
  <r>
    <s v="FV-2019-43-002238"/>
    <x v="4"/>
    <s v="1180"/>
    <d v="2019-09-30T00:00:00"/>
    <m/>
    <n v="50804.13"/>
    <s v="9501"/>
    <s v="31105006"/>
    <m/>
    <s v="STRAV: Provoz stravování - ostatní stravování"/>
    <s v="Mateřská škola 1. olomoucká sportovní s.r.o."/>
    <d v="2019-10-11T00:00:00"/>
    <d v="2019-09-30T00:00:00"/>
    <s v="943002238"/>
    <s v="F STRAVA_CIZI"/>
    <s v="355294233,10870"/>
    <b v="0"/>
    <m/>
    <s v="Buzková Eva"/>
    <s v="Zaúčtováno"/>
    <m/>
    <m/>
    <m/>
    <m/>
    <x v="8"/>
    <d v="2019-10-11T07:58:51"/>
    <m/>
    <m/>
    <m/>
    <m/>
    <m/>
    <m/>
    <m/>
    <m/>
  </r>
  <r>
    <s v="ID-2019-01-000063"/>
    <x v="15"/>
    <s v="1180"/>
    <d v="2019-01-31T00:00:00"/>
    <m/>
    <n v="14960.87"/>
    <s v="9501"/>
    <s v="33168000"/>
    <s v="VC"/>
    <s v="STRAV: Provoz stravování - ostatní stravování"/>
    <m/>
    <d v="2019-01-31T00:00:00"/>
    <d v="2019-01-31T00:00:00"/>
    <m/>
    <m/>
    <s v="326902871,10870"/>
    <b v="1"/>
    <m/>
    <s v="Reifová Milada"/>
    <s v="Zaúčtováno"/>
    <m/>
    <m/>
    <m/>
    <m/>
    <x v="1"/>
    <d v="2019-02-12T10:04:36"/>
    <s v="Vedlejší činnost"/>
    <m/>
    <m/>
    <m/>
    <m/>
    <m/>
    <m/>
    <m/>
  </r>
  <r>
    <s v="ID-2019-01-000080"/>
    <x v="16"/>
    <s v="1180"/>
    <d v="2019-02-28T00:00:00"/>
    <m/>
    <n v="17063.48"/>
    <s v="9501"/>
    <s v="33168000"/>
    <s v="VC"/>
    <s v="STRAV: Provoz stravování - ostatní stravování"/>
    <m/>
    <d v="2019-02-28T00:00:00"/>
    <d v="2019-02-28T00:00:00"/>
    <m/>
    <m/>
    <s v="330097123,10870"/>
    <b v="1"/>
    <m/>
    <s v="Reifová Milada"/>
    <s v="Zaúčtováno"/>
    <m/>
    <m/>
    <m/>
    <m/>
    <x v="2"/>
    <d v="2019-03-11T08:48:30"/>
    <s v="Vedlejší činnost"/>
    <m/>
    <m/>
    <m/>
    <m/>
    <m/>
    <m/>
    <m/>
  </r>
  <r>
    <s v="ID-2019-01-000118"/>
    <x v="17"/>
    <s v="1180"/>
    <d v="2019-03-31T00:00:00"/>
    <m/>
    <n v="14233.05"/>
    <s v="9501"/>
    <s v="33168000"/>
    <s v="VC"/>
    <s v="STRAV: Provoz stravování - ostatní stravování"/>
    <m/>
    <d v="2019-03-31T00:00:00"/>
    <d v="2019-03-31T00:00:00"/>
    <m/>
    <m/>
    <s v="333855601,10870"/>
    <b v="1"/>
    <m/>
    <s v="Reifová Milada"/>
    <s v="Zaúčtováno"/>
    <m/>
    <m/>
    <m/>
    <m/>
    <x v="3"/>
    <d v="2019-04-10T09:01:32"/>
    <s v="Vedlejší činnost"/>
    <m/>
    <m/>
    <m/>
    <m/>
    <m/>
    <m/>
    <m/>
  </r>
  <r>
    <s v="ID-2019-01-000154"/>
    <x v="18"/>
    <s v="1180"/>
    <d v="2019-04-30T00:00:00"/>
    <m/>
    <n v="16726.96"/>
    <s v="9501"/>
    <s v="33168000"/>
    <s v="VC"/>
    <s v="STRAV: Provoz stravování - ostatní stravování"/>
    <m/>
    <d v="2019-04-30T00:00:00"/>
    <d v="2019-04-30T00:00:00"/>
    <m/>
    <m/>
    <s v="338321753,10870"/>
    <b v="1"/>
    <m/>
    <s v="Reifová Milada"/>
    <s v="Zaúčtováno"/>
    <m/>
    <m/>
    <m/>
    <m/>
    <x v="4"/>
    <d v="2019-05-13T10:43:53"/>
    <s v="Vedlejší činnost"/>
    <m/>
    <m/>
    <m/>
    <m/>
    <m/>
    <m/>
    <m/>
  </r>
  <r>
    <s v="ID-2019-01-000436"/>
    <x v="19"/>
    <s v="1180"/>
    <d v="2019-05-31T00:00:00"/>
    <m/>
    <n v="16254.79"/>
    <s v="9501"/>
    <s v="33168000"/>
    <s v="VC"/>
    <s v="STRAV: Provoz stravování - ostatní stravování"/>
    <m/>
    <d v="2019-05-31T00:00:00"/>
    <d v="2019-05-31T00:00:00"/>
    <m/>
    <m/>
    <s v="341290412,10870"/>
    <b v="1"/>
    <m/>
    <s v="Reifová Milada"/>
    <s v="Zaúčtováno"/>
    <m/>
    <m/>
    <m/>
    <m/>
    <x v="5"/>
    <d v="2019-06-11T08:30:13"/>
    <s v="Vedlejší činnost"/>
    <m/>
    <m/>
    <m/>
    <m/>
    <m/>
    <m/>
    <m/>
  </r>
  <r>
    <s v="ID-2019-01-000471"/>
    <x v="20"/>
    <s v="1180"/>
    <d v="2019-06-30T00:00:00"/>
    <m/>
    <n v="14381.75"/>
    <s v="9501"/>
    <s v="33168000"/>
    <s v="VC"/>
    <s v="STRAV: Provoz stravování - ostatní stravování"/>
    <m/>
    <d v="2019-06-30T00:00:00"/>
    <d v="2019-06-30T00:00:00"/>
    <m/>
    <m/>
    <s v="343966461,10870"/>
    <b v="1"/>
    <m/>
    <s v="Reifová Milada"/>
    <s v="Zaúčtováno"/>
    <m/>
    <m/>
    <m/>
    <m/>
    <x v="6"/>
    <d v="2019-07-10T08:59:47"/>
    <s v="Vedlejší činnost"/>
    <m/>
    <m/>
    <m/>
    <m/>
    <m/>
    <m/>
    <m/>
  </r>
  <r>
    <s v="ID-2019-01-000517"/>
    <x v="21"/>
    <s v="1180"/>
    <d v="2019-07-31T00:00:00"/>
    <m/>
    <n v="13990.44"/>
    <s v="9501"/>
    <s v="33168000"/>
    <s v="VC"/>
    <s v="STRAV: Provoz stravování - ostatní stravování"/>
    <m/>
    <d v="2019-07-31T00:00:00"/>
    <d v="2019-07-31T00:00:00"/>
    <m/>
    <m/>
    <s v="346884452,10870"/>
    <b v="1"/>
    <m/>
    <s v="Reifová Milada"/>
    <s v="Zaúčtováno"/>
    <m/>
    <m/>
    <m/>
    <m/>
    <x v="7"/>
    <d v="2019-08-09T07:44:48"/>
    <s v="Vedlejší činnost"/>
    <m/>
    <m/>
    <m/>
    <m/>
    <m/>
    <m/>
    <m/>
  </r>
  <r>
    <s v="ID-2019-01-000553"/>
    <x v="22"/>
    <s v="1180"/>
    <d v="2019-08-31T00:00:00"/>
    <m/>
    <n v="12010.43"/>
    <s v="9501"/>
    <s v="33168000"/>
    <s v="VC"/>
    <s v="STRAV: Provoz stravování - ostatní stravování"/>
    <m/>
    <d v="2019-08-31T00:00:00"/>
    <d v="2019-08-31T00:00:00"/>
    <m/>
    <m/>
    <s v="350774668,10870"/>
    <b v="1"/>
    <m/>
    <s v="Reifová Milada"/>
    <s v="Zaúčtováno"/>
    <m/>
    <m/>
    <m/>
    <m/>
    <x v="0"/>
    <d v="2019-09-11T08:19:40"/>
    <s v="Vedlejší činnost"/>
    <m/>
    <m/>
    <m/>
    <m/>
    <m/>
    <m/>
    <m/>
  </r>
  <r>
    <s v="ID-2019-01-000580"/>
    <x v="23"/>
    <s v="1180"/>
    <d v="2019-09-30T00:00:00"/>
    <m/>
    <n v="17293.05"/>
    <s v="9501"/>
    <s v="33168000"/>
    <m/>
    <s v="STRAV: Provoz stravování - ostatní stravování"/>
    <m/>
    <d v="2019-09-30T00:00:00"/>
    <d v="2019-09-30T00:00:00"/>
    <m/>
    <m/>
    <s v="355300892,10870"/>
    <b v="0"/>
    <m/>
    <s v="Reifová Milada"/>
    <s v="Zaúčtováno"/>
    <m/>
    <m/>
    <m/>
    <m/>
    <x v="8"/>
    <d v="2019-10-11T07:29:25"/>
    <m/>
    <m/>
    <m/>
    <m/>
    <m/>
    <m/>
    <m/>
    <m/>
  </r>
  <r>
    <s v="ID-2019-400-000398"/>
    <x v="24"/>
    <s v="1180"/>
    <d v="2019-08-20T00:00:00"/>
    <m/>
    <n v="-1779.2"/>
    <s v="9501"/>
    <s v="39520001"/>
    <s v="VC"/>
    <s v="STRAV: Provoz stravování - ostatní stravování"/>
    <s v="Smutný Štěpán"/>
    <d v="2019-08-20T00:00:00"/>
    <d v="2019-08-20T00:00:00"/>
    <m/>
    <m/>
    <s v="348831544,10870"/>
    <b v="1"/>
    <m/>
    <s v="Reifová Milada"/>
    <s v="Zaúčtováno"/>
    <m/>
    <m/>
    <m/>
    <m/>
    <x v="0"/>
    <d v="2019-08-26T13:10:55"/>
    <s v="Vedlejší činnost"/>
    <m/>
    <m/>
    <m/>
    <m/>
    <m/>
    <m/>
    <m/>
  </r>
  <r>
    <s v="ID-2019-91-000003"/>
    <x v="25"/>
    <s v="1180"/>
    <d v="2019-01-31T00:00:00"/>
    <m/>
    <n v="29598.26"/>
    <s v="9501"/>
    <s v="32403511"/>
    <s v="VC"/>
    <s v="STRAV: Provoz stravování - ostatní stravování"/>
    <m/>
    <d v="2019-01-31T00:00:00"/>
    <d v="2019-01-31T00:00:00"/>
    <m/>
    <m/>
    <s v="326615334,10870"/>
    <b v="1"/>
    <m/>
    <s v="Lexová Martina"/>
    <s v="Zaúčtováno"/>
    <m/>
    <m/>
    <m/>
    <m/>
    <x v="1"/>
    <d v="2019-02-11T08:31:45"/>
    <s v="Vedlejší činnost"/>
    <m/>
    <m/>
    <m/>
    <m/>
    <m/>
    <m/>
    <m/>
  </r>
  <r>
    <s v="ID-2019-91-000006"/>
    <x v="26"/>
    <s v="1180"/>
    <d v="2019-02-28T00:00:00"/>
    <m/>
    <n v="28142.61"/>
    <s v="9501"/>
    <s v="32403511"/>
    <s v="VC"/>
    <s v="STRAV: Provoz stravování - ostatní stravování"/>
    <m/>
    <d v="2019-02-28T00:00:00"/>
    <d v="2019-02-28T00:00:00"/>
    <m/>
    <m/>
    <s v="329826119,10870"/>
    <b v="1"/>
    <m/>
    <s v="Lexová Martina"/>
    <s v="Zaúčtováno"/>
    <m/>
    <m/>
    <m/>
    <m/>
    <x v="2"/>
    <d v="2019-03-08T08:41:35"/>
    <s v="Vedlejší činnost"/>
    <m/>
    <m/>
    <m/>
    <m/>
    <m/>
    <m/>
    <m/>
  </r>
  <r>
    <s v="ID-2019-91-000009"/>
    <x v="27"/>
    <s v="1180"/>
    <d v="2019-03-31T00:00:00"/>
    <m/>
    <n v="34531.300000000003"/>
    <s v="9501"/>
    <s v="32403511"/>
    <s v="VC"/>
    <s v="STRAV: Provoz stravování - ostatní stravování"/>
    <m/>
    <d v="2019-03-31T00:00:00"/>
    <d v="2019-03-31T00:00:00"/>
    <m/>
    <m/>
    <s v="333382730,10870"/>
    <b v="1"/>
    <m/>
    <s v="Lexová Martina"/>
    <s v="Zaúčtováno"/>
    <m/>
    <m/>
    <m/>
    <m/>
    <x v="3"/>
    <d v="2019-04-08T11:42:44"/>
    <s v="Vedlejší činnost"/>
    <m/>
    <m/>
    <m/>
    <m/>
    <m/>
    <m/>
    <m/>
  </r>
  <r>
    <s v="ID-2019-91-000013"/>
    <x v="28"/>
    <s v="1180"/>
    <d v="2019-04-30T00:00:00"/>
    <m/>
    <n v="36472.17"/>
    <s v="9501"/>
    <s v="32403511"/>
    <s v="VC"/>
    <s v="STRAV: Provoz stravování - ostatní stravování"/>
    <m/>
    <d v="2019-04-30T00:00:00"/>
    <d v="2019-04-30T00:00:00"/>
    <m/>
    <m/>
    <s v="337563606,10870"/>
    <b v="1"/>
    <m/>
    <s v="Lexová Martina"/>
    <s v="Zaúčtováno"/>
    <m/>
    <m/>
    <m/>
    <m/>
    <x v="4"/>
    <d v="2019-05-09T12:46:09"/>
    <s v="Vedlejší činnost"/>
    <m/>
    <m/>
    <m/>
    <m/>
    <m/>
    <m/>
    <m/>
  </r>
  <r>
    <s v="ID-2019-91-000016"/>
    <x v="28"/>
    <s v="1180"/>
    <d v="2019-05-31T00:00:00"/>
    <m/>
    <n v="31458.26"/>
    <s v="9501"/>
    <s v="32403511"/>
    <s v="VC"/>
    <s v="STRAV: Provoz stravování - ostatní stravování"/>
    <m/>
    <d v="2019-05-31T00:00:00"/>
    <d v="2019-05-31T00:00:00"/>
    <m/>
    <m/>
    <s v="340858945,10870"/>
    <b v="1"/>
    <m/>
    <s v="Lexová Martina"/>
    <s v="Zaúčtováno"/>
    <m/>
    <m/>
    <m/>
    <m/>
    <x v="5"/>
    <d v="2019-06-07T13:12:10"/>
    <s v="Vedlejší činnost"/>
    <m/>
    <m/>
    <m/>
    <m/>
    <m/>
    <m/>
    <m/>
  </r>
  <r>
    <s v="ID-2019-91-000019"/>
    <x v="28"/>
    <s v="1180"/>
    <d v="2019-06-30T00:00:00"/>
    <m/>
    <n v="27010.43"/>
    <s v="9501"/>
    <s v="32403511"/>
    <s v="VC"/>
    <s v="STRAV: Provoz stravování - ostatní stravování"/>
    <m/>
    <d v="2019-06-30T00:00:00"/>
    <d v="2019-06-30T00:00:00"/>
    <m/>
    <m/>
    <s v="343709054,10870"/>
    <b v="1"/>
    <m/>
    <s v="Lexová Martina"/>
    <s v="Zaúčtováno"/>
    <m/>
    <m/>
    <m/>
    <m/>
    <x v="6"/>
    <d v="2019-07-09T11:48:03"/>
    <s v="Vedlejší činnost"/>
    <m/>
    <m/>
    <m/>
    <m/>
    <m/>
    <m/>
    <m/>
  </r>
  <r>
    <s v="ID-2019-91-000022"/>
    <x v="28"/>
    <s v="1180"/>
    <d v="2019-07-31T00:00:00"/>
    <m/>
    <n v="30326.09"/>
    <s v="9501"/>
    <s v="32403511"/>
    <s v="VC"/>
    <s v="STRAV: Provoz stravování - ostatní stravování"/>
    <m/>
    <d v="2019-07-31T00:00:00"/>
    <d v="2019-07-31T00:00:00"/>
    <m/>
    <m/>
    <s v="346582246,10870"/>
    <b v="1"/>
    <m/>
    <s v="Lexová Martina"/>
    <s v="Zaúčtováno"/>
    <m/>
    <m/>
    <m/>
    <m/>
    <x v="7"/>
    <d v="2019-08-07T13:10:38"/>
    <s v="Vedlejší činnost"/>
    <m/>
    <m/>
    <m/>
    <m/>
    <m/>
    <m/>
    <m/>
  </r>
  <r>
    <s v="ID-2019-91-000025"/>
    <x v="28"/>
    <s v="1180"/>
    <d v="2019-08-31T00:00:00"/>
    <m/>
    <n v="29032.17"/>
    <s v="9501"/>
    <s v="32403511"/>
    <s v="VC"/>
    <s v="STRAV: Provoz stravování - ostatní stravování"/>
    <m/>
    <d v="2019-08-31T00:00:00"/>
    <d v="2019-08-31T00:00:00"/>
    <m/>
    <m/>
    <s v="350068499,10870"/>
    <b v="1"/>
    <m/>
    <s v="Lexová Martina"/>
    <s v="Zaúčtováno"/>
    <m/>
    <m/>
    <m/>
    <m/>
    <x v="0"/>
    <d v="2019-09-09T10:08:04"/>
    <s v="Vedlejší činnost"/>
    <m/>
    <m/>
    <m/>
    <m/>
    <m/>
    <m/>
    <m/>
  </r>
  <r>
    <s v="ID-2019-91-000028"/>
    <x v="28"/>
    <s v="1180"/>
    <d v="2019-09-30T00:00:00"/>
    <m/>
    <n v="33480"/>
    <s v="9501"/>
    <s v="32403511"/>
    <m/>
    <s v="STRAV: Provoz stravování - ostatní stravování"/>
    <m/>
    <d v="2019-09-30T00:00:00"/>
    <d v="2019-09-30T00:00:00"/>
    <m/>
    <m/>
    <s v="354560465,10870"/>
    <b v="0"/>
    <m/>
    <s v="Lexová Martina"/>
    <s v="Zaúčtováno"/>
    <m/>
    <m/>
    <m/>
    <m/>
    <x v="8"/>
    <d v="2019-10-08T13:25:24"/>
    <m/>
    <m/>
    <m/>
    <m/>
    <m/>
    <m/>
    <m/>
    <m/>
  </r>
  <r>
    <m/>
    <x v="29"/>
    <m/>
    <m/>
    <m/>
    <m/>
    <m/>
    <m/>
    <m/>
    <m/>
    <m/>
    <m/>
    <m/>
    <m/>
    <m/>
    <m/>
    <m/>
    <m/>
    <m/>
    <m/>
    <m/>
    <m/>
    <m/>
    <m/>
    <x v="9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ID-2019-01-000063"/>
    <x v="0"/>
    <s v="1180"/>
    <d v="2019-01-31T00:00:00"/>
    <m/>
    <n v="1016625.66"/>
    <s v="9501"/>
    <s v="33168000"/>
    <s v="HC"/>
    <s v="STRAV: Provoz stravování - ostatní stravování"/>
    <m/>
    <d v="2019-01-31T00:00:00"/>
    <d v="2019-01-31T00:00:00"/>
    <m/>
    <m/>
    <s v="326902871,10870"/>
    <b v="1"/>
    <m/>
    <s v="Reifová Milada"/>
    <s v="Zaúčtováno"/>
    <m/>
    <m/>
    <m/>
    <m/>
    <x v="0"/>
    <d v="2019-02-12T10:04:36"/>
    <s v="Hlavní činnost"/>
    <m/>
    <m/>
    <m/>
    <m/>
    <m/>
    <m/>
  </r>
  <r>
    <s v="ID-2019-01-000080"/>
    <x v="1"/>
    <s v="1180"/>
    <d v="2019-02-28T00:00:00"/>
    <m/>
    <n v="903012.61"/>
    <s v="9501"/>
    <s v="33168000"/>
    <s v="HC"/>
    <s v="STRAV: Provoz stravování - ostatní stravování"/>
    <m/>
    <d v="2019-02-28T00:00:00"/>
    <d v="2019-02-28T00:00:00"/>
    <m/>
    <m/>
    <s v="330097123,10870"/>
    <b v="1"/>
    <m/>
    <s v="Reifová Milada"/>
    <s v="Zaúčtováno"/>
    <m/>
    <m/>
    <m/>
    <m/>
    <x v="1"/>
    <d v="2019-03-11T08:48:30"/>
    <s v="Hlavní činnost"/>
    <m/>
    <m/>
    <m/>
    <m/>
    <m/>
    <m/>
  </r>
  <r>
    <s v="ID-2019-01-000118"/>
    <x v="2"/>
    <s v="1180"/>
    <d v="2019-03-31T00:00:00"/>
    <m/>
    <n v="934911.3"/>
    <s v="9501"/>
    <s v="33168000"/>
    <s v="HC"/>
    <s v="STRAV: Provoz stravování - ostatní stravování"/>
    <m/>
    <d v="2019-03-31T00:00:00"/>
    <d v="2019-03-31T00:00:00"/>
    <m/>
    <m/>
    <s v="333855601,10870"/>
    <b v="1"/>
    <m/>
    <s v="Reifová Milada"/>
    <s v="Zaúčtováno"/>
    <m/>
    <m/>
    <m/>
    <m/>
    <x v="2"/>
    <d v="2019-04-10T09:01:31"/>
    <s v="Hlavní činnost"/>
    <m/>
    <m/>
    <m/>
    <m/>
    <m/>
    <m/>
  </r>
  <r>
    <s v="ID-2019-01-000154"/>
    <x v="3"/>
    <s v="1180"/>
    <d v="2019-04-30T00:00:00"/>
    <m/>
    <n v="925210"/>
    <s v="9501"/>
    <s v="33168000"/>
    <s v="HC"/>
    <s v="STRAV: Provoz stravování - ostatní stravování"/>
    <m/>
    <d v="2019-04-30T00:00:00"/>
    <d v="2019-04-30T00:00:00"/>
    <m/>
    <m/>
    <s v="338321753,10870"/>
    <b v="1"/>
    <m/>
    <s v="Reifová Milada"/>
    <s v="Zaúčtováno"/>
    <m/>
    <m/>
    <m/>
    <m/>
    <x v="3"/>
    <d v="2019-05-13T10:43:52"/>
    <s v="Hlavní činnost"/>
    <m/>
    <m/>
    <m/>
    <m/>
    <m/>
    <m/>
  </r>
  <r>
    <s v="ID-2019-01-000436"/>
    <x v="4"/>
    <s v="1180"/>
    <d v="2019-05-31T00:00:00"/>
    <m/>
    <n v="955457.83"/>
    <s v="9501"/>
    <s v="33168000"/>
    <s v="HC"/>
    <s v="STRAV: Provoz stravování - ostatní stravování"/>
    <m/>
    <d v="2019-05-31T00:00:00"/>
    <d v="2019-05-31T00:00:00"/>
    <m/>
    <m/>
    <s v="341290412,10870"/>
    <b v="1"/>
    <m/>
    <s v="Reifová Milada"/>
    <s v="Zaúčtováno"/>
    <m/>
    <m/>
    <m/>
    <m/>
    <x v="4"/>
    <d v="2019-06-11T08:30:12"/>
    <s v="Hlavní činnost"/>
    <m/>
    <m/>
    <m/>
    <m/>
    <m/>
    <m/>
  </r>
  <r>
    <s v="ID-2019-01-000471"/>
    <x v="5"/>
    <s v="1180"/>
    <d v="2019-06-30T00:00:00"/>
    <m/>
    <n v="888927.83"/>
    <s v="9501"/>
    <s v="33168000"/>
    <s v="HC"/>
    <s v="STRAV: Provoz stravování - ostatní stravování"/>
    <m/>
    <d v="2019-06-30T00:00:00"/>
    <d v="2019-06-30T00:00:00"/>
    <m/>
    <m/>
    <s v="343966461,10870"/>
    <b v="1"/>
    <m/>
    <s v="Reifová Milada"/>
    <s v="Zaúčtováno"/>
    <m/>
    <m/>
    <m/>
    <m/>
    <x v="5"/>
    <d v="2019-07-10T08:59:47"/>
    <s v="Hlavní činnost"/>
    <m/>
    <m/>
    <m/>
    <m/>
    <m/>
    <m/>
  </r>
  <r>
    <s v="ID-2019-01-000517"/>
    <x v="6"/>
    <s v="1180"/>
    <d v="2019-07-31T00:00:00"/>
    <m/>
    <n v="840159.57"/>
    <s v="9501"/>
    <s v="33168000"/>
    <s v="HC"/>
    <s v="STRAV: Provoz stravování - ostatní stravování"/>
    <m/>
    <d v="2019-07-31T00:00:00"/>
    <d v="2019-07-31T00:00:00"/>
    <m/>
    <m/>
    <s v="346884452,10870"/>
    <b v="1"/>
    <m/>
    <s v="Reifová Milada"/>
    <s v="Zaúčtováno"/>
    <m/>
    <m/>
    <m/>
    <m/>
    <x v="6"/>
    <d v="2019-08-09T07:44:48"/>
    <s v="Hlavní činnost"/>
    <m/>
    <m/>
    <m/>
    <m/>
    <m/>
    <m/>
  </r>
  <r>
    <s v="ID-2019-01-000553"/>
    <x v="7"/>
    <s v="1180"/>
    <d v="2019-08-31T00:00:00"/>
    <m/>
    <n v="844633.48"/>
    <s v="9501"/>
    <s v="33168000"/>
    <s v="HC"/>
    <s v="STRAV: Provoz stravování - ostatní stravování"/>
    <m/>
    <d v="2019-08-31T00:00:00"/>
    <d v="2019-08-31T00:00:00"/>
    <m/>
    <m/>
    <s v="350774668,10870"/>
    <b v="1"/>
    <m/>
    <s v="Reifová Milada"/>
    <s v="Zaúčtováno"/>
    <m/>
    <m/>
    <m/>
    <m/>
    <x v="7"/>
    <d v="2019-09-11T08:19:40"/>
    <s v="Hlavní činnost"/>
    <m/>
    <m/>
    <m/>
    <m/>
    <m/>
    <m/>
  </r>
  <r>
    <s v="ID-2019-01-000580"/>
    <x v="8"/>
    <s v="1180"/>
    <d v="2019-09-30T00:00:00"/>
    <m/>
    <n v="961471.31"/>
    <s v="9501"/>
    <s v="33168000"/>
    <m/>
    <s v="STRAV: Provoz stravování - ostatní stravování"/>
    <m/>
    <d v="2019-09-30T00:00:00"/>
    <d v="2019-09-30T00:00:00"/>
    <m/>
    <m/>
    <s v="355300892,10870"/>
    <b v="0"/>
    <m/>
    <s v="Reifová Milada"/>
    <s v="Zaúčtováno"/>
    <m/>
    <m/>
    <m/>
    <m/>
    <x v="8"/>
    <d v="2019-10-11T07:29:25"/>
    <m/>
    <m/>
    <m/>
    <m/>
    <m/>
    <m/>
    <m/>
  </r>
  <r>
    <s v="ID-2019-400-000398"/>
    <x v="9"/>
    <s v="1180"/>
    <d v="2019-08-20T00:00:00"/>
    <m/>
    <n v="497.41"/>
    <s v="9501"/>
    <s v="39520001"/>
    <s v="HC"/>
    <s v="STRAV: Provoz stravování - ostatní stravování"/>
    <s v="Smutný Štěpán"/>
    <d v="2019-08-20T00:00:00"/>
    <d v="2019-08-20T00:00:00"/>
    <m/>
    <m/>
    <s v="348831544,10870"/>
    <b v="1"/>
    <m/>
    <s v="Reifová Milada"/>
    <s v="Zaúčtováno"/>
    <m/>
    <m/>
    <m/>
    <m/>
    <x v="7"/>
    <d v="2019-08-26T13:10:55"/>
    <s v="Hlavní činnost"/>
    <m/>
    <m/>
    <m/>
    <m/>
    <m/>
    <m/>
  </r>
  <r>
    <s v="ID-2019-91-000003"/>
    <x v="10"/>
    <s v="1180"/>
    <d v="2019-01-31T00:00:00"/>
    <m/>
    <n v="64543.48"/>
    <s v="9501"/>
    <s v="32403411"/>
    <s v="HC"/>
    <s v="STRAV: Provoz stravování - ostatní stravování"/>
    <m/>
    <d v="2019-01-31T00:00:00"/>
    <d v="2019-01-31T00:00:00"/>
    <m/>
    <m/>
    <s v="326615334,10870"/>
    <b v="1"/>
    <m/>
    <s v="Lexová Martina"/>
    <s v="Zaúčtováno"/>
    <m/>
    <m/>
    <m/>
    <m/>
    <x v="0"/>
    <d v="2019-02-11T08:31:44"/>
    <s v="Hlavní činnost"/>
    <m/>
    <m/>
    <m/>
    <m/>
    <m/>
    <m/>
  </r>
  <r>
    <s v="ID-2019-91-000006"/>
    <x v="11"/>
    <s v="1180"/>
    <d v="2019-02-28T00:00:00"/>
    <m/>
    <n v="61604.35"/>
    <s v="9501"/>
    <s v="32403411"/>
    <s v="HC"/>
    <s v="STRAV: Provoz stravování - ostatní stravování"/>
    <m/>
    <d v="2019-02-28T00:00:00"/>
    <d v="2019-02-28T00:00:00"/>
    <m/>
    <m/>
    <s v="329826119,10870"/>
    <b v="1"/>
    <m/>
    <s v="Lexová Martina"/>
    <s v="Zaúčtováno"/>
    <m/>
    <m/>
    <m/>
    <m/>
    <x v="1"/>
    <d v="2019-03-08T08:41:34"/>
    <s v="Hlavní činnost"/>
    <m/>
    <m/>
    <m/>
    <m/>
    <m/>
    <m/>
  </r>
  <r>
    <s v="ID-2019-91-000009"/>
    <x v="12"/>
    <s v="1180"/>
    <d v="2019-03-31T00:00:00"/>
    <m/>
    <n v="64738.26"/>
    <s v="9501"/>
    <s v="32403411"/>
    <s v="HC"/>
    <s v="STRAV: Provoz stravování - ostatní stravování"/>
    <m/>
    <d v="2019-03-31T00:00:00"/>
    <d v="2019-03-31T00:00:00"/>
    <m/>
    <m/>
    <s v="333382730,10870"/>
    <b v="1"/>
    <m/>
    <s v="Lexová Martina"/>
    <s v="Zaúčtováno"/>
    <m/>
    <m/>
    <m/>
    <m/>
    <x v="2"/>
    <d v="2019-04-08T11:42:43"/>
    <s v="Hlavní činnost"/>
    <m/>
    <m/>
    <m/>
    <m/>
    <m/>
    <m/>
  </r>
  <r>
    <s v="ID-2019-91-000013"/>
    <x v="13"/>
    <s v="1180"/>
    <d v="2019-04-30T00:00:00"/>
    <m/>
    <n v="61125.22"/>
    <s v="9501"/>
    <s v="32403411"/>
    <s v="HC"/>
    <s v="STRAV: Provoz stravování - ostatní stravování"/>
    <m/>
    <d v="2019-04-30T00:00:00"/>
    <d v="2019-04-30T00:00:00"/>
    <m/>
    <m/>
    <s v="337563606,10870"/>
    <b v="1"/>
    <m/>
    <s v="Lexová Martina"/>
    <s v="Zaúčtováno"/>
    <m/>
    <m/>
    <m/>
    <m/>
    <x v="3"/>
    <d v="2019-05-09T12:46:08"/>
    <s v="Hlavní činnost"/>
    <m/>
    <m/>
    <m/>
    <m/>
    <m/>
    <m/>
  </r>
  <r>
    <s v="ID-2019-91-000016"/>
    <x v="13"/>
    <s v="1180"/>
    <d v="2019-05-31T00:00:00"/>
    <m/>
    <n v="64493.91"/>
    <s v="9501"/>
    <s v="32403411"/>
    <s v="HC"/>
    <s v="STRAV: Provoz stravování - ostatní stravování"/>
    <m/>
    <d v="2019-05-31T00:00:00"/>
    <d v="2019-05-31T00:00:00"/>
    <m/>
    <m/>
    <s v="340858945,10870"/>
    <b v="1"/>
    <m/>
    <s v="Lexová Martina"/>
    <s v="Zaúčtováno"/>
    <m/>
    <m/>
    <m/>
    <m/>
    <x v="4"/>
    <d v="2019-06-07T13:12:10"/>
    <s v="Hlavní činnost"/>
    <m/>
    <m/>
    <m/>
    <m/>
    <m/>
    <m/>
  </r>
  <r>
    <s v="ID-2019-91-000019"/>
    <x v="13"/>
    <s v="1180"/>
    <d v="2019-06-30T00:00:00"/>
    <m/>
    <n v="54530"/>
    <s v="9501"/>
    <s v="32403411"/>
    <s v="HC"/>
    <s v="STRAV: Provoz stravování - ostatní stravování"/>
    <m/>
    <d v="2019-06-30T00:00:00"/>
    <d v="2019-06-30T00:00:00"/>
    <m/>
    <m/>
    <s v="343709054,10870"/>
    <b v="1"/>
    <m/>
    <s v="Lexová Martina"/>
    <s v="Zaúčtováno"/>
    <m/>
    <m/>
    <m/>
    <m/>
    <x v="5"/>
    <d v="2019-07-09T11:48:03"/>
    <s v="Hlavní činnost"/>
    <m/>
    <m/>
    <m/>
    <m/>
    <m/>
    <m/>
  </r>
  <r>
    <s v="ID-2019-91-000022"/>
    <x v="13"/>
    <s v="1180"/>
    <d v="2019-07-31T00:00:00"/>
    <m/>
    <n v="54942.17"/>
    <s v="9501"/>
    <s v="32403411"/>
    <s v="HC"/>
    <s v="STRAV: Provoz stravování - ostatní stravování"/>
    <m/>
    <d v="2019-07-31T00:00:00"/>
    <d v="2019-07-31T00:00:00"/>
    <m/>
    <m/>
    <s v="346582246,10870"/>
    <b v="1"/>
    <m/>
    <s v="Lexová Martina"/>
    <s v="Zaúčtováno"/>
    <m/>
    <m/>
    <m/>
    <m/>
    <x v="6"/>
    <d v="2019-08-07T13:10:38"/>
    <s v="Hlavní činnost"/>
    <m/>
    <m/>
    <m/>
    <m/>
    <m/>
    <m/>
  </r>
  <r>
    <s v="ID-2019-91-000025"/>
    <x v="13"/>
    <s v="1180"/>
    <d v="2019-08-31T00:00:00"/>
    <m/>
    <n v="54363.040000000001"/>
    <s v="9501"/>
    <s v="32403411"/>
    <s v="HC"/>
    <s v="STRAV: Provoz stravování - ostatní stravování"/>
    <m/>
    <d v="2019-08-31T00:00:00"/>
    <d v="2019-08-31T00:00:00"/>
    <m/>
    <m/>
    <s v="350068499,10870"/>
    <b v="1"/>
    <m/>
    <s v="Lexová Martina"/>
    <s v="Zaúčtováno"/>
    <m/>
    <m/>
    <m/>
    <m/>
    <x v="7"/>
    <d v="2019-09-09T10:08:04"/>
    <s v="Hlavní činnost"/>
    <m/>
    <m/>
    <m/>
    <m/>
    <m/>
    <m/>
  </r>
  <r>
    <s v="ID-2019-91-000028"/>
    <x v="13"/>
    <s v="1180"/>
    <d v="2019-09-30T00:00:00"/>
    <m/>
    <n v="60250"/>
    <s v="9501"/>
    <s v="32403411"/>
    <m/>
    <s v="STRAV: Provoz stravování - ostatní stravování"/>
    <m/>
    <d v="2019-09-30T00:00:00"/>
    <d v="2019-09-30T00:00:00"/>
    <m/>
    <m/>
    <s v="354560465,10870"/>
    <b v="0"/>
    <m/>
    <s v="Lexová Martina"/>
    <s v="Zaúčtováno"/>
    <m/>
    <m/>
    <m/>
    <m/>
    <x v="8"/>
    <d v="2019-10-08T13:25:24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ID-2019-91-000001"/>
    <x v="0"/>
    <s v="000"/>
    <d v="2019-01-31T00:00:00"/>
    <n v="145541.62"/>
    <m/>
    <s v="9501"/>
    <s v="50116402"/>
    <s v="HC"/>
    <s v="STRAV: Provoz stravování - ostatní stravování"/>
    <m/>
    <d v="2019-01-31T00:00:00"/>
    <m/>
    <m/>
    <m/>
    <s v="326491493,10870"/>
    <b v="1"/>
    <m/>
    <s v="Buzková Eva"/>
    <s v="Zaúčtováno"/>
    <m/>
    <m/>
    <m/>
    <m/>
    <x v="0"/>
    <d v="2019-02-15T09:28:49"/>
    <s v="Hlavní činnost"/>
    <m/>
    <m/>
    <m/>
    <m/>
    <m/>
    <m/>
    <m/>
  </r>
  <r>
    <s v="ID-2019-91-000004"/>
    <x v="1"/>
    <s v="000"/>
    <d v="2019-02-28T00:00:00"/>
    <n v="175080.84"/>
    <m/>
    <s v="9501"/>
    <s v="50116402"/>
    <s v="HC"/>
    <s v="STRAV: Provoz stravování - ostatní stravování"/>
    <m/>
    <d v="2019-02-28T00:00:00"/>
    <m/>
    <m/>
    <m/>
    <s v="329754695,10870"/>
    <b v="1"/>
    <m/>
    <s v="Lexová Martina"/>
    <s v="Zaúčtováno"/>
    <m/>
    <m/>
    <m/>
    <m/>
    <x v="1"/>
    <d v="2019-03-07T13:30:09"/>
    <s v="Hlavní činnost"/>
    <m/>
    <m/>
    <m/>
    <m/>
    <m/>
    <m/>
    <m/>
  </r>
  <r>
    <s v="ID-2019-91-000007"/>
    <x v="2"/>
    <s v="000"/>
    <d v="2019-03-31T00:00:00"/>
    <n v="221751.86"/>
    <m/>
    <s v="9501"/>
    <s v="50116402"/>
    <s v="HC"/>
    <s v="STRAV: Provoz stravování - ostatní stravování"/>
    <m/>
    <d v="2019-03-31T00:00:00"/>
    <m/>
    <m/>
    <m/>
    <s v="333312210,10870"/>
    <b v="1"/>
    <m/>
    <s v="Lexová Martina"/>
    <s v="Zaúčtováno"/>
    <m/>
    <m/>
    <m/>
    <m/>
    <x v="2"/>
    <d v="2019-04-08T09:57:24"/>
    <s v="Hlavní činnost"/>
    <m/>
    <m/>
    <m/>
    <m/>
    <m/>
    <m/>
    <m/>
  </r>
  <r>
    <s v="ID-2019-91-000011"/>
    <x v="3"/>
    <s v="000"/>
    <d v="2019-04-30T00:00:00"/>
    <n v="230595.18"/>
    <m/>
    <s v="9501"/>
    <s v="50116402"/>
    <s v="HC"/>
    <s v="STRAV: Provoz stravování - ostatní stravování"/>
    <m/>
    <d v="2019-04-30T00:00:00"/>
    <m/>
    <m/>
    <m/>
    <s v="337552861,10870"/>
    <b v="1"/>
    <m/>
    <s v="Lexová Martina"/>
    <s v="Zaúčtováno"/>
    <m/>
    <m/>
    <m/>
    <m/>
    <x v="3"/>
    <d v="2019-05-09T12:45:43"/>
    <s v="Hlavní činnost"/>
    <m/>
    <m/>
    <m/>
    <m/>
    <m/>
    <m/>
    <m/>
  </r>
  <r>
    <s v="ID-2019-91-000014"/>
    <x v="3"/>
    <s v="000"/>
    <d v="2019-05-31T00:00:00"/>
    <n v="176436.34"/>
    <m/>
    <s v="9501"/>
    <s v="50116402"/>
    <s v="HC"/>
    <s v="STRAV: Provoz stravování - ostatní stravování"/>
    <m/>
    <d v="2019-05-31T00:00:00"/>
    <m/>
    <m/>
    <m/>
    <s v="340843445,10870"/>
    <b v="1"/>
    <m/>
    <s v="Lexová Martina"/>
    <s v="Zaúčtováno"/>
    <m/>
    <m/>
    <m/>
    <m/>
    <x v="4"/>
    <d v="2019-06-07T13:10:19"/>
    <s v="Hlavní činnost"/>
    <m/>
    <m/>
    <m/>
    <m/>
    <m/>
    <m/>
    <m/>
  </r>
  <r>
    <s v="ID-2019-91-000017"/>
    <x v="3"/>
    <s v="000"/>
    <d v="2019-06-30T00:00:00"/>
    <n v="50264.39"/>
    <m/>
    <s v="9501"/>
    <s v="50116402"/>
    <s v="HC"/>
    <s v="STRAV: Provoz stravování - ostatní stravování"/>
    <m/>
    <d v="2019-06-30T00:00:00"/>
    <m/>
    <m/>
    <m/>
    <s v="343687384,10870"/>
    <b v="1"/>
    <m/>
    <s v="Lexová Martina"/>
    <s v="Zaúčtováno"/>
    <m/>
    <m/>
    <m/>
    <m/>
    <x v="5"/>
    <d v="2019-07-09T10:19:35"/>
    <s v="Hlavní činnost"/>
    <m/>
    <m/>
    <m/>
    <m/>
    <m/>
    <m/>
    <m/>
  </r>
  <r>
    <s v="ID-2019-91-000020"/>
    <x v="3"/>
    <s v="000"/>
    <d v="2019-07-31T00:00:00"/>
    <n v="35286.160000000003"/>
    <m/>
    <s v="9501"/>
    <s v="50116402"/>
    <s v="HC"/>
    <s v="STRAV: Provoz stravování - ostatní stravování"/>
    <m/>
    <d v="2019-07-31T00:00:00"/>
    <m/>
    <m/>
    <m/>
    <s v="346514335,10870"/>
    <b v="1"/>
    <m/>
    <s v="Lexová Martina"/>
    <s v="Zaúčtováno"/>
    <m/>
    <m/>
    <m/>
    <m/>
    <x v="6"/>
    <d v="2019-08-07T09:39:21"/>
    <s v="Hlavní činnost"/>
    <m/>
    <m/>
    <m/>
    <m/>
    <m/>
    <m/>
    <m/>
  </r>
  <r>
    <s v="ID-2019-91-000023"/>
    <x v="3"/>
    <s v="000"/>
    <d v="2019-08-31T00:00:00"/>
    <n v="32008.59"/>
    <m/>
    <s v="9501"/>
    <s v="50116402"/>
    <s v="HC"/>
    <s v="STRAV: Provoz stravování - ostatní stravování"/>
    <m/>
    <d v="2019-08-31T00:00:00"/>
    <m/>
    <m/>
    <m/>
    <s v="350038389,10870"/>
    <b v="1"/>
    <m/>
    <s v="Lexová Martina"/>
    <s v="Zaúčtováno"/>
    <m/>
    <m/>
    <m/>
    <m/>
    <x v="7"/>
    <d v="2019-09-09T09:41:59"/>
    <s v="Hlavní činnost"/>
    <m/>
    <m/>
    <m/>
    <m/>
    <m/>
    <m/>
    <m/>
  </r>
  <r>
    <s v="ID-2019-91-000026"/>
    <x v="3"/>
    <n v="0"/>
    <d v="2019-09-30T00:00:00"/>
    <n v="103995.8"/>
    <m/>
    <n v="9501"/>
    <n v="50116402"/>
    <m/>
    <s v="STRAV: Provoz stravování - ostatní stravování"/>
    <m/>
    <d v="2019-09-30T00:00:00"/>
    <m/>
    <m/>
    <m/>
    <n v="354534350.10869998"/>
    <s v="Ne"/>
    <m/>
    <s v="Lexová Martina"/>
    <s v="Zaúčtováno"/>
    <m/>
    <m/>
    <m/>
    <m/>
    <x v="8"/>
    <d v="2019-10-08T11:18:41"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ID-2019-56-000012"/>
    <x v="0"/>
    <s v="000"/>
    <d v="2019-01-01T00:00:00"/>
    <n v="1771994.73"/>
    <m/>
    <s v="9501"/>
    <s v="13204002"/>
    <s v="HC"/>
    <s v="STRAV: Provoz stravování - ostatní stravování"/>
    <s v="Fakultní nemocnice Olomouc"/>
    <d v="2019-01-01T00:00:00"/>
    <m/>
    <m/>
    <m/>
    <s v="326476456,10870"/>
    <b v="1"/>
    <s v="STRAV_ZAM"/>
    <s v="Lexová Martina"/>
    <s v="Zaúčtováno"/>
    <s v="Import výdejek ze skladu Anete &quot;8305/&quot;"/>
    <m/>
    <m/>
    <m/>
    <x v="0"/>
    <d v="2019-02-08T14:40:33"/>
    <s v="Hlavní činnost"/>
    <s v="Stravování zaměstnanci"/>
    <m/>
    <m/>
    <m/>
    <m/>
    <m/>
    <m/>
  </r>
  <r>
    <s v="ID-2019-56-000013"/>
    <x v="0"/>
    <s v="000"/>
    <d v="2019-01-07T00:00:00"/>
    <n v="-1375.95"/>
    <m/>
    <s v="9501"/>
    <s v="13204002"/>
    <s v="HC"/>
    <s v="STRAV: Provoz stravování - ostatní stravování"/>
    <s v="Fakultní nemocnice Olomouc"/>
    <d v="2019-01-07T00:00:00"/>
    <m/>
    <m/>
    <m/>
    <s v="326485285,10870"/>
    <b v="1"/>
    <s v="STRAV_ZAM"/>
    <s v="Lexová Martina"/>
    <s v="Zaúčtováno"/>
    <s v="Import vratek ze skladu Anete &quot;/8305&quot;"/>
    <m/>
    <m/>
    <m/>
    <x v="0"/>
    <d v="2019-02-08T14:40:33"/>
    <s v="Hlavní činnost"/>
    <s v="Stravování zaměstnanci"/>
    <m/>
    <m/>
    <m/>
    <m/>
    <m/>
    <m/>
  </r>
  <r>
    <s v="ID-2019-56-000049"/>
    <x v="0"/>
    <s v="000"/>
    <d v="2019-02-01T00:00:00"/>
    <n v="1609332.47"/>
    <m/>
    <s v="9501"/>
    <s v="13204002"/>
    <s v="HC"/>
    <s v="STRAV: Provoz stravování - ostatní stravování"/>
    <s v="Fakultní nemocnice Olomouc"/>
    <d v="2019-02-01T00:00:00"/>
    <m/>
    <m/>
    <m/>
    <s v="329721842,10870"/>
    <b v="1"/>
    <s v="STRAV_ZAM"/>
    <s v="Lexová Martina"/>
    <s v="Zaúčtováno"/>
    <s v="Import výdejek ze skladu Anete &quot;8305/&quot;"/>
    <m/>
    <m/>
    <m/>
    <x v="1"/>
    <d v="2019-03-07T12:46:33"/>
    <s v="Hlavní činnost"/>
    <s v="Stravování zaměstnanci"/>
    <m/>
    <m/>
    <m/>
    <m/>
    <m/>
    <m/>
  </r>
  <r>
    <s v="ID-2019-56-000050"/>
    <x v="0"/>
    <s v="000"/>
    <d v="2019-02-04T00:00:00"/>
    <n v="-11167.51"/>
    <m/>
    <s v="9501"/>
    <s v="13204002"/>
    <s v="HC"/>
    <s v="STRAV: Provoz stravování - ostatní stravování"/>
    <s v="Fakultní nemocnice Olomouc"/>
    <d v="2019-02-04T00:00:00"/>
    <m/>
    <m/>
    <m/>
    <s v="329730152,10870"/>
    <b v="1"/>
    <s v="STRAV_ZAM"/>
    <s v="Lexová Martina"/>
    <s v="Zaúčtováno"/>
    <s v="Import vratek ze skladu Anete &quot;/8305&quot;"/>
    <m/>
    <m/>
    <m/>
    <x v="1"/>
    <d v="2019-03-07T12:46:33"/>
    <s v="Hlavní činnost"/>
    <s v="Stravování zaměstnanci"/>
    <m/>
    <m/>
    <m/>
    <m/>
    <m/>
    <m/>
  </r>
  <r>
    <s v="ID-2019-56-000061"/>
    <x v="1"/>
    <s v="000"/>
    <d v="2019-02-28T00:00:00"/>
    <n v="1726.5"/>
    <m/>
    <s v="9501"/>
    <s v="13204002"/>
    <s v="HC"/>
    <s v="STRAV: Provoz stravování - ostatní stravování"/>
    <m/>
    <d v="2019-02-28T00:00:00"/>
    <m/>
    <m/>
    <m/>
    <s v="329873090,10870"/>
    <b v="1"/>
    <m/>
    <s v="Lexová Martina"/>
    <s v="Zaúčtováno"/>
    <s v="STRAV_PREVOD_POC"/>
    <m/>
    <m/>
    <m/>
    <x v="1"/>
    <d v="2019-03-08T10:12:03"/>
    <s v="Hlavní činnost"/>
    <m/>
    <m/>
    <m/>
    <m/>
    <m/>
    <m/>
    <m/>
  </r>
  <r>
    <s v="ID-2019-56-000078"/>
    <x v="0"/>
    <s v="000"/>
    <d v="2019-03-01T00:00:00"/>
    <n v="1767503.5"/>
    <m/>
    <s v="9501"/>
    <s v="13204002"/>
    <s v="HC"/>
    <s v="STRAV: Provoz stravování - ostatní stravování"/>
    <s v="Fakultní nemocnice Olomouc"/>
    <d v="2019-03-01T00:00:00"/>
    <m/>
    <m/>
    <m/>
    <s v="333291501,10870"/>
    <b v="1"/>
    <s v="STRAV_ZAM"/>
    <s v="Lexová Martina"/>
    <s v="Zaúčtováno"/>
    <s v="Import výdejek ze skladu Anete &quot;8305/&quot;"/>
    <m/>
    <m/>
    <m/>
    <x v="2"/>
    <d v="2019-04-08T09:50:20"/>
    <s v="Hlavní činnost"/>
    <s v="Stravování zaměstnanci"/>
    <m/>
    <m/>
    <m/>
    <m/>
    <m/>
    <m/>
  </r>
  <r>
    <s v="ID-2019-56-000079"/>
    <x v="0"/>
    <s v="000"/>
    <d v="2019-03-05T00:00:00"/>
    <n v="-502.56"/>
    <m/>
    <s v="9501"/>
    <s v="13204002"/>
    <s v="HC"/>
    <s v="STRAV: Provoz stravování - ostatní stravování"/>
    <s v="Fakultní nemocnice Olomouc"/>
    <d v="2019-03-05T00:00:00"/>
    <m/>
    <m/>
    <m/>
    <s v="333300075,10870"/>
    <b v="1"/>
    <s v="STRAV_ZAM"/>
    <s v="Lexová Martina"/>
    <s v="Zaúčtováno"/>
    <s v="Import vratek ze skladu Anete &quot;/8305&quot;"/>
    <m/>
    <m/>
    <m/>
    <x v="2"/>
    <d v="2019-04-08T09:50:20"/>
    <s v="Hlavní činnost"/>
    <s v="Stravování zaměstnanci"/>
    <m/>
    <m/>
    <m/>
    <m/>
    <m/>
    <m/>
  </r>
  <r>
    <s v="ID-2019-56-000117"/>
    <x v="0"/>
    <s v="000"/>
    <d v="2019-04-01T00:00:00"/>
    <n v="1744726.64"/>
    <m/>
    <s v="9501"/>
    <s v="13204002"/>
    <s v="HC"/>
    <s v="STRAV: Provoz stravování - ostatní stravování"/>
    <s v="Fakultní nemocnice Olomouc"/>
    <d v="2019-04-01T00:00:00"/>
    <m/>
    <m/>
    <m/>
    <s v="337797193,10870"/>
    <b v="1"/>
    <s v="STRAV_ZAM"/>
    <s v="Lexová Martina"/>
    <s v="Zaúčtováno"/>
    <s v="Import výdejek ze skladu Anete &quot;8305/&quot;"/>
    <m/>
    <m/>
    <m/>
    <x v="3"/>
    <d v="2019-05-10T09:08:23"/>
    <s v="Hlavní činnost"/>
    <s v="Stravování zaměstnanci"/>
    <m/>
    <m/>
    <m/>
    <m/>
    <m/>
    <m/>
  </r>
  <r>
    <s v="ID-2019-56-000118"/>
    <x v="0"/>
    <s v="000"/>
    <d v="2019-04-01T00:00:00"/>
    <n v="-1652.59"/>
    <m/>
    <s v="9501"/>
    <s v="13204002"/>
    <s v="HC"/>
    <s v="STRAV: Provoz stravování - ostatní stravování"/>
    <s v="Fakultní nemocnice Olomouc"/>
    <d v="2019-04-01T00:00:00"/>
    <m/>
    <m/>
    <m/>
    <s v="337805340,10870"/>
    <b v="1"/>
    <s v="STRAV_ZAM"/>
    <s v="Lexová Martina"/>
    <s v="Zaúčtováno"/>
    <s v="Import vratek ze skladu Anete &quot;/8305&quot;"/>
    <m/>
    <m/>
    <m/>
    <x v="3"/>
    <d v="2019-05-10T09:08:23"/>
    <s v="Hlavní činnost"/>
    <s v="Stravování zaměstnanci"/>
    <m/>
    <m/>
    <m/>
    <m/>
    <m/>
    <m/>
  </r>
  <r>
    <s v="ID-2019-56-000145"/>
    <x v="0"/>
    <s v="000"/>
    <d v="2019-05-01T00:00:00"/>
    <n v="1740703.92"/>
    <m/>
    <s v="9501"/>
    <s v="13204002"/>
    <s v="HC"/>
    <s v="STRAV: Provoz stravování - ostatní stravování"/>
    <s v="Fakultní nemocnice Olomouc"/>
    <d v="2019-05-01T00:00:00"/>
    <m/>
    <m/>
    <m/>
    <s v="340910585,10870"/>
    <b v="1"/>
    <s v="STRAV_ZAM"/>
    <s v="Lexová Martina"/>
    <s v="Zaúčtováno"/>
    <s v="Import výdejek ze skladu Anete &quot;8305/&quot;"/>
    <m/>
    <m/>
    <m/>
    <x v="4"/>
    <d v="2019-06-07T14:14:53"/>
    <s v="Hlavní činnost"/>
    <s v="Stravování zaměstnanci"/>
    <m/>
    <m/>
    <m/>
    <m/>
    <m/>
    <m/>
  </r>
  <r>
    <s v="ID-2019-56-000146"/>
    <x v="0"/>
    <s v="000"/>
    <d v="2019-05-13T00:00:00"/>
    <n v="-3186.08"/>
    <m/>
    <s v="9501"/>
    <s v="13204002"/>
    <s v="HC"/>
    <s v="STRAV: Provoz stravování - ostatní stravování"/>
    <s v="Fakultní nemocnice Olomouc"/>
    <d v="2019-05-13T00:00:00"/>
    <m/>
    <m/>
    <m/>
    <s v="340919006,10870"/>
    <b v="1"/>
    <s v="STRAV_ZAM"/>
    <s v="Lexová Martina"/>
    <s v="Zaúčtováno"/>
    <s v="Import vratek ze skladu Anete &quot;/8305&quot;"/>
    <m/>
    <m/>
    <m/>
    <x v="4"/>
    <d v="2019-06-07T14:14:53"/>
    <s v="Hlavní činnost"/>
    <s v="Stravování zaměstnanci"/>
    <m/>
    <m/>
    <m/>
    <m/>
    <m/>
    <m/>
  </r>
  <r>
    <s v="ID-2019-56-000170"/>
    <x v="0"/>
    <s v="000"/>
    <d v="2019-06-01T00:00:00"/>
    <n v="1491440.77"/>
    <m/>
    <s v="9501"/>
    <s v="13204002"/>
    <s v="HC"/>
    <s v="STRAV: Provoz stravování - ostatní stravování"/>
    <s v="Fakultní nemocnice Olomouc"/>
    <d v="2019-06-01T00:00:00"/>
    <m/>
    <m/>
    <m/>
    <s v="343575638,10870"/>
    <b v="1"/>
    <s v="STRAV_ZAM"/>
    <s v="Lexová Martina"/>
    <s v="Zaúčtováno"/>
    <s v="Import výdejek ze skladu Anete &quot;8305/&quot;"/>
    <m/>
    <m/>
    <m/>
    <x v="5"/>
    <d v="2019-07-08T14:15:02"/>
    <s v="Hlavní činnost"/>
    <s v="Stravování zaměstnanci"/>
    <m/>
    <m/>
    <m/>
    <m/>
    <m/>
    <m/>
  </r>
  <r>
    <s v="ID-2019-56-000171"/>
    <x v="0"/>
    <s v="000"/>
    <d v="2019-06-11T00:00:00"/>
    <n v="-162.69"/>
    <m/>
    <s v="9501"/>
    <s v="13204002"/>
    <s v="HC"/>
    <s v="STRAV: Provoz stravování - ostatní stravování"/>
    <s v="Fakultní nemocnice Olomouc"/>
    <d v="2019-06-11T00:00:00"/>
    <m/>
    <m/>
    <m/>
    <s v="343583976,10870"/>
    <b v="1"/>
    <s v="STRAV_ZAM"/>
    <s v="Lexová Martina"/>
    <s v="Zaúčtováno"/>
    <s v="Import vratek ze skladu Anete &quot;/8305&quot;"/>
    <m/>
    <m/>
    <m/>
    <x v="5"/>
    <d v="2019-07-08T14:15:02"/>
    <s v="Hlavní činnost"/>
    <s v="Stravování zaměstnanci"/>
    <m/>
    <m/>
    <m/>
    <m/>
    <m/>
    <m/>
  </r>
  <r>
    <s v="ID-2019-56-000195"/>
    <x v="0"/>
    <s v="000"/>
    <d v="2019-07-01T00:00:00"/>
    <n v="1499040.9"/>
    <m/>
    <s v="9501"/>
    <s v="13204002"/>
    <s v="HC"/>
    <s v="STRAV: Provoz stravování - ostatní stravování"/>
    <s v="Fakultní nemocnice Olomouc"/>
    <d v="2019-07-01T00:00:00"/>
    <m/>
    <m/>
    <m/>
    <s v="346447338,10870"/>
    <b v="1"/>
    <s v="STRAV_ZAM"/>
    <s v="Lexová Martina"/>
    <s v="Zaúčtováno"/>
    <s v="Import výdejek ze skladu Anete &quot;8305/&quot;"/>
    <m/>
    <m/>
    <m/>
    <x v="6"/>
    <d v="2019-08-06T13:51:40"/>
    <s v="Hlavní činnost"/>
    <s v="Stravování zaměstnanci"/>
    <m/>
    <m/>
    <m/>
    <m/>
    <m/>
    <m/>
  </r>
  <r>
    <s v="ID-2019-56-000196"/>
    <x v="0"/>
    <s v="000"/>
    <d v="2019-07-10T00:00:00"/>
    <n v="-85.93"/>
    <m/>
    <s v="9501"/>
    <s v="13204002"/>
    <s v="HC"/>
    <s v="STRAV: Provoz stravování - ostatní stravování"/>
    <s v="Fakultní nemocnice Olomouc"/>
    <d v="2019-07-10T00:00:00"/>
    <m/>
    <m/>
    <m/>
    <s v="346457153,10870"/>
    <b v="1"/>
    <s v="STRAV_ZAM"/>
    <s v="Lexová Martina"/>
    <s v="Zaúčtováno"/>
    <s v="Import vratek ze skladu Anete &quot;/8305&quot;"/>
    <m/>
    <m/>
    <m/>
    <x v="6"/>
    <d v="2019-08-06T13:51:40"/>
    <s v="Hlavní činnost"/>
    <s v="Stravování zaměstnanci"/>
    <m/>
    <m/>
    <m/>
    <m/>
    <m/>
    <m/>
  </r>
  <r>
    <s v="ID-2019-56-000223"/>
    <x v="0"/>
    <s v="000"/>
    <d v="2019-08-01T00:00:00"/>
    <n v="1324849.72"/>
    <m/>
    <s v="9501"/>
    <s v="13204002"/>
    <s v="HC"/>
    <s v="STRAV: Provoz stravování - ostatní stravování"/>
    <s v="Fakultní nemocnice Olomouc"/>
    <d v="2019-08-01T00:00:00"/>
    <m/>
    <m/>
    <m/>
    <s v="350499105,10870"/>
    <b v="1"/>
    <s v="STRAV_ZAM"/>
    <s v="Lexová Martina"/>
    <s v="Zaúčtováno"/>
    <s v="Import výdejek ze skladu Anete &quot;8305/&quot;"/>
    <m/>
    <m/>
    <m/>
    <x v="7"/>
    <d v="2019-09-10T09:27:31"/>
    <s v="Hlavní činnost"/>
    <s v="Stravování zaměstnanci"/>
    <m/>
    <m/>
    <m/>
    <m/>
    <m/>
    <m/>
  </r>
  <r>
    <s v="ID-2019-56-000224"/>
    <x v="0"/>
    <s v="000"/>
    <d v="2019-08-01T00:00:00"/>
    <n v="-2708.63"/>
    <m/>
    <s v="9501"/>
    <s v="13204002"/>
    <s v="HC"/>
    <s v="STRAV: Provoz stravování - ostatní stravování"/>
    <s v="Fakultní nemocnice Olomouc"/>
    <d v="2019-08-01T00:00:00"/>
    <m/>
    <m/>
    <m/>
    <s v="350507175,10870"/>
    <b v="1"/>
    <s v="STRAV_ZAM"/>
    <s v="Lexová Martina"/>
    <s v="Zaúčtováno"/>
    <s v="Import vratek ze skladu Anete &quot;/8305&quot;"/>
    <m/>
    <m/>
    <m/>
    <x v="7"/>
    <d v="2019-09-10T09:27:31"/>
    <s v="Hlavní činnost"/>
    <s v="Stravování zaměstnanci"/>
    <m/>
    <m/>
    <m/>
    <m/>
    <m/>
    <m/>
  </r>
  <r>
    <s v="ID-2019-56-000247"/>
    <x v="0"/>
    <s v="000"/>
    <d v="2019-09-01T00:00:00"/>
    <n v="1670336.05"/>
    <m/>
    <s v="9501"/>
    <s v="13204002"/>
    <m/>
    <s v="STRAV: Provoz stravování - ostatní stravování"/>
    <s v="Fakultní nemocnice Olomouc"/>
    <d v="2019-09-01T00:00:00"/>
    <m/>
    <m/>
    <m/>
    <s v="354371566,10870"/>
    <b v="0"/>
    <s v="STRAV_ZAM"/>
    <s v="Lexová Martina"/>
    <s v="Zaúčtováno"/>
    <s v="Import výdejek ze skladu Anete &quot;8305/&quot;"/>
    <m/>
    <m/>
    <m/>
    <x v="8"/>
    <d v="2019-10-08T12:05:41"/>
    <m/>
    <s v="Stravování zaměstnanci"/>
    <m/>
    <m/>
    <m/>
    <m/>
    <m/>
    <m/>
  </r>
  <r>
    <s v="ID-2019-56-000248"/>
    <x v="0"/>
    <s v="000"/>
    <d v="2019-09-19T00:00:00"/>
    <n v="-4574.1400000000003"/>
    <m/>
    <s v="9501"/>
    <s v="13204002"/>
    <m/>
    <s v="STRAV: Provoz stravování - ostatní stravování"/>
    <s v="Fakultní nemocnice Olomouc"/>
    <d v="2019-09-19T00:00:00"/>
    <m/>
    <m/>
    <m/>
    <s v="354380273,10870"/>
    <b v="0"/>
    <s v="STRAV_ZAM"/>
    <s v="Lexová Martina"/>
    <s v="Zaúčtováno"/>
    <s v="Import vratek ze skladu Anete &quot;/8305&quot;"/>
    <m/>
    <m/>
    <m/>
    <x v="8"/>
    <d v="2019-10-08T12:05:41"/>
    <m/>
    <s v="Stravování zaměstnanci"/>
    <m/>
    <m/>
    <m/>
    <m/>
    <m/>
    <m/>
  </r>
  <r>
    <s v="ID-2019-91-000001"/>
    <x v="2"/>
    <s v="000"/>
    <d v="2019-01-31T00:00:00"/>
    <m/>
    <n v="145541.62"/>
    <s v="9501"/>
    <s v="50116403"/>
    <s v="HC"/>
    <s v="STRAV: Provoz stravování - ostatní stravování"/>
    <m/>
    <d v="2019-01-31T00:00:00"/>
    <m/>
    <m/>
    <m/>
    <s v="326491493,10870"/>
    <b v="1"/>
    <m/>
    <s v="Buzková Eva"/>
    <s v="Zaúčtováno"/>
    <m/>
    <m/>
    <m/>
    <m/>
    <x v="0"/>
    <d v="2019-02-15T09:28:49"/>
    <s v="Hlavní činnost"/>
    <m/>
    <m/>
    <m/>
    <m/>
    <m/>
    <m/>
    <m/>
  </r>
  <r>
    <s v="ID-2019-91-000002"/>
    <x v="3"/>
    <s v="000"/>
    <d v="2019-01-31T00:00:00"/>
    <m/>
    <n v="100695.61"/>
    <s v="9501"/>
    <s v="39520002"/>
    <s v="HC"/>
    <s v="STRAV: Provoz stravování - ostatní stravování"/>
    <m/>
    <d v="2019-01-31T00:00:00"/>
    <m/>
    <m/>
    <m/>
    <s v="326491823,10870"/>
    <b v="1"/>
    <m/>
    <s v="Buzková Eva"/>
    <s v="Zaúčtováno"/>
    <m/>
    <m/>
    <m/>
    <m/>
    <x v="0"/>
    <d v="2019-02-15T09:28:49"/>
    <s v="Hlavní činnost"/>
    <m/>
    <m/>
    <m/>
    <m/>
    <m/>
    <m/>
    <m/>
  </r>
  <r>
    <s v="ID-2019-91-000004"/>
    <x v="4"/>
    <s v="000"/>
    <d v="2019-02-28T00:00:00"/>
    <m/>
    <n v="175080.84"/>
    <s v="9501"/>
    <s v="50116403"/>
    <s v="HC"/>
    <s v="STRAV: Provoz stravování - ostatní stravování"/>
    <m/>
    <d v="2019-02-28T00:00:00"/>
    <m/>
    <m/>
    <m/>
    <s v="329754695,10870"/>
    <b v="1"/>
    <m/>
    <s v="Lexová Martina"/>
    <s v="Zaúčtováno"/>
    <m/>
    <m/>
    <m/>
    <m/>
    <x v="1"/>
    <d v="2019-03-07T13:30:09"/>
    <s v="Hlavní činnost"/>
    <m/>
    <m/>
    <m/>
    <m/>
    <m/>
    <m/>
    <m/>
  </r>
  <r>
    <s v="ID-2019-91-000005"/>
    <x v="5"/>
    <s v="000"/>
    <d v="2019-02-28T00:00:00"/>
    <m/>
    <n v="94067.21"/>
    <s v="9501"/>
    <s v="50116502"/>
    <s v="HC"/>
    <s v="STRAV: Provoz stravování - ostatní stravování"/>
    <m/>
    <d v="2019-02-28T00:00:00"/>
    <m/>
    <m/>
    <m/>
    <s v="329755840,10870"/>
    <b v="1"/>
    <m/>
    <s v="Lexová Martina"/>
    <s v="Zaúčtováno"/>
    <m/>
    <m/>
    <m/>
    <m/>
    <x v="1"/>
    <d v="2019-03-07T13:30:10"/>
    <s v="Hlavní činnost"/>
    <m/>
    <m/>
    <m/>
    <m/>
    <m/>
    <m/>
    <m/>
  </r>
  <r>
    <s v="ID-2019-91-000007"/>
    <x v="6"/>
    <s v="000"/>
    <d v="2019-03-31T00:00:00"/>
    <m/>
    <n v="221751.86"/>
    <s v="9501"/>
    <s v="50116403"/>
    <s v="HC"/>
    <s v="STRAV: Provoz stravování - ostatní stravování"/>
    <m/>
    <d v="2019-03-31T00:00:00"/>
    <m/>
    <m/>
    <m/>
    <s v="333312210,10870"/>
    <b v="1"/>
    <m/>
    <s v="Lexová Martina"/>
    <s v="Zaúčtováno"/>
    <m/>
    <m/>
    <m/>
    <m/>
    <x v="2"/>
    <d v="2019-04-08T09:57:24"/>
    <s v="Hlavní činnost"/>
    <m/>
    <m/>
    <m/>
    <m/>
    <m/>
    <m/>
    <m/>
  </r>
  <r>
    <s v="ID-2019-91-000008"/>
    <x v="7"/>
    <s v="000"/>
    <d v="2019-03-31T00:00:00"/>
    <m/>
    <n v="102146.18"/>
    <s v="9501"/>
    <s v="39520000"/>
    <s v="HC"/>
    <s v="STRAV: Provoz stravování - ostatní stravování"/>
    <m/>
    <d v="2019-03-31T00:00:00"/>
    <m/>
    <m/>
    <m/>
    <s v="333313505,10870"/>
    <b v="1"/>
    <m/>
    <s v="Buzková Eva"/>
    <s v="Zaúčtováno"/>
    <m/>
    <m/>
    <m/>
    <m/>
    <x v="2"/>
    <d v="2019-04-17T06:56:39"/>
    <s v="Hlavní činnost"/>
    <m/>
    <m/>
    <m/>
    <m/>
    <m/>
    <m/>
    <m/>
  </r>
  <r>
    <s v="ID-2019-91-000010"/>
    <x v="8"/>
    <s v="000"/>
    <d v="2019-03-31T00:00:00"/>
    <m/>
    <n v="94067.21"/>
    <s v="9501"/>
    <s v="39520000"/>
    <s v="HC"/>
    <s v="STRAV: Provoz stravování - ostatní stravování"/>
    <m/>
    <d v="2019-03-31T00:00:00"/>
    <m/>
    <m/>
    <m/>
    <s v="335076247,10870"/>
    <b v="1"/>
    <m/>
    <s v="Buzková Eva"/>
    <s v="Zaúčtováno"/>
    <s v="Odvozeno z interního dokladu č. ID-2019-91-000005"/>
    <m/>
    <m/>
    <m/>
    <x v="2"/>
    <d v="2019-04-17T06:52:45"/>
    <s v="Hlavní činnost"/>
    <m/>
    <m/>
    <m/>
    <m/>
    <m/>
    <m/>
    <m/>
  </r>
  <r>
    <s v="ID-2019-91-000010"/>
    <x v="8"/>
    <s v="000"/>
    <d v="2019-03-31T00:00:00"/>
    <m/>
    <n v="-94067.21"/>
    <s v="9501"/>
    <s v="50116502"/>
    <s v="HC"/>
    <s v="STRAV: Provoz stravování - ostatní stravování"/>
    <m/>
    <d v="2019-03-31T00:00:00"/>
    <m/>
    <m/>
    <m/>
    <s v="335076247,10870"/>
    <b v="1"/>
    <m/>
    <s v="Buzková Eva"/>
    <s v="Zaúčtováno"/>
    <s v="Odvozeno z interního dokladu č. ID-2019-91-000005"/>
    <m/>
    <m/>
    <m/>
    <x v="2"/>
    <d v="2019-04-17T06:52:45"/>
    <s v="Hlavní činnost"/>
    <m/>
    <m/>
    <m/>
    <m/>
    <m/>
    <m/>
    <m/>
  </r>
  <r>
    <s v="ID-2019-91-000011"/>
    <x v="9"/>
    <s v="000"/>
    <d v="2019-04-30T00:00:00"/>
    <m/>
    <n v="230595.18"/>
    <s v="9501"/>
    <s v="50116403"/>
    <s v="HC"/>
    <s v="STRAV: Provoz stravování - ostatní stravování"/>
    <m/>
    <d v="2019-04-30T00:00:00"/>
    <m/>
    <m/>
    <m/>
    <s v="337552861,10870"/>
    <b v="1"/>
    <m/>
    <s v="Lexová Martina"/>
    <s v="Zaúčtováno"/>
    <m/>
    <m/>
    <m/>
    <m/>
    <x v="3"/>
    <d v="2019-05-09T12:45:43"/>
    <s v="Hlavní činnost"/>
    <m/>
    <m/>
    <m/>
    <m/>
    <m/>
    <m/>
    <m/>
  </r>
  <r>
    <s v="ID-2019-91-000012"/>
    <x v="10"/>
    <s v="000"/>
    <d v="2019-04-30T00:00:00"/>
    <m/>
    <n v="107444.45"/>
    <s v="9501"/>
    <s v="39520002"/>
    <s v="HC"/>
    <s v="STRAV: Provoz stravování - ostatní stravování"/>
    <m/>
    <d v="2019-04-30T00:00:00"/>
    <m/>
    <m/>
    <m/>
    <s v="337553326,10870"/>
    <b v="1"/>
    <m/>
    <s v="Lexová Martina"/>
    <s v="Zaúčtováno"/>
    <m/>
    <m/>
    <m/>
    <m/>
    <x v="3"/>
    <d v="2019-05-09T12:45:43"/>
    <s v="Hlavní činnost"/>
    <m/>
    <m/>
    <m/>
    <m/>
    <m/>
    <m/>
    <m/>
  </r>
  <r>
    <s v="ID-2019-91-000014"/>
    <x v="9"/>
    <s v="000"/>
    <d v="2019-05-31T00:00:00"/>
    <m/>
    <n v="176436.34"/>
    <s v="9501"/>
    <s v="50116403"/>
    <s v="HC"/>
    <s v="STRAV: Provoz stravování - ostatní stravování"/>
    <m/>
    <d v="2019-05-31T00:00:00"/>
    <m/>
    <m/>
    <m/>
    <s v="340843445,10870"/>
    <b v="1"/>
    <m/>
    <s v="Lexová Martina"/>
    <s v="Zaúčtováno"/>
    <m/>
    <m/>
    <m/>
    <m/>
    <x v="4"/>
    <d v="2019-06-07T13:10:19"/>
    <s v="Hlavní činnost"/>
    <m/>
    <m/>
    <m/>
    <m/>
    <m/>
    <m/>
    <m/>
  </r>
  <r>
    <s v="ID-2019-91-000015"/>
    <x v="10"/>
    <s v="000"/>
    <d v="2019-05-31T00:00:00"/>
    <m/>
    <n v="101857.48"/>
    <s v="9501"/>
    <s v="39520002"/>
    <s v="HC"/>
    <s v="STRAV: Provoz stravování - ostatní stravování"/>
    <m/>
    <d v="2019-05-31T00:00:00"/>
    <m/>
    <m/>
    <m/>
    <s v="340844304,10870"/>
    <b v="1"/>
    <m/>
    <s v="Lexová Martina"/>
    <s v="Zaúčtováno"/>
    <m/>
    <m/>
    <m/>
    <m/>
    <x v="4"/>
    <d v="2019-06-07T13:10:20"/>
    <s v="Hlavní činnost"/>
    <m/>
    <m/>
    <m/>
    <m/>
    <m/>
    <m/>
    <m/>
  </r>
  <r>
    <s v="ID-2019-91-000017"/>
    <x v="9"/>
    <s v="000"/>
    <d v="2019-06-30T00:00:00"/>
    <m/>
    <n v="50264.39"/>
    <s v="9501"/>
    <s v="50116403"/>
    <s v="HC"/>
    <s v="STRAV: Provoz stravování - ostatní stravování"/>
    <m/>
    <d v="2019-06-30T00:00:00"/>
    <m/>
    <m/>
    <m/>
    <s v="343687384,10870"/>
    <b v="1"/>
    <m/>
    <s v="Lexová Martina"/>
    <s v="Zaúčtováno"/>
    <m/>
    <m/>
    <m/>
    <m/>
    <x v="5"/>
    <d v="2019-07-09T10:19:35"/>
    <s v="Hlavní činnost"/>
    <m/>
    <m/>
    <m/>
    <m/>
    <m/>
    <m/>
    <m/>
  </r>
  <r>
    <s v="ID-2019-91-000018"/>
    <x v="10"/>
    <s v="000"/>
    <d v="2019-06-30T00:00:00"/>
    <m/>
    <n v="90772.77"/>
    <s v="9501"/>
    <s v="39520002"/>
    <s v="HC"/>
    <s v="STRAV: Provoz stravování - ostatní stravování"/>
    <m/>
    <d v="2019-06-30T00:00:00"/>
    <m/>
    <m/>
    <m/>
    <s v="343688433,10870"/>
    <b v="1"/>
    <m/>
    <s v="Lexová Martina"/>
    <s v="Zaúčtováno"/>
    <m/>
    <m/>
    <m/>
    <m/>
    <x v="5"/>
    <d v="2019-07-09T10:23:05"/>
    <s v="Hlavní činnost"/>
    <m/>
    <m/>
    <m/>
    <m/>
    <m/>
    <m/>
    <m/>
  </r>
  <r>
    <s v="ID-2019-91-000020"/>
    <x v="9"/>
    <s v="000"/>
    <d v="2019-07-31T00:00:00"/>
    <m/>
    <n v="35286.160000000003"/>
    <s v="9501"/>
    <s v="50116403"/>
    <s v="HC"/>
    <s v="STRAV: Provoz stravování - ostatní stravování"/>
    <m/>
    <d v="2019-07-31T00:00:00"/>
    <m/>
    <m/>
    <m/>
    <s v="346514335,10870"/>
    <b v="1"/>
    <m/>
    <s v="Lexová Martina"/>
    <s v="Zaúčtováno"/>
    <m/>
    <m/>
    <m/>
    <m/>
    <x v="6"/>
    <d v="2019-08-07T09:39:21"/>
    <s v="Hlavní činnost"/>
    <m/>
    <m/>
    <m/>
    <m/>
    <m/>
    <m/>
    <m/>
  </r>
  <r>
    <s v="ID-2019-91-000021"/>
    <x v="10"/>
    <s v="000"/>
    <d v="2019-07-31T00:00:00"/>
    <m/>
    <n v="88581.88"/>
    <s v="9501"/>
    <s v="39520002"/>
    <s v="HC"/>
    <s v="STRAV: Provoz stravování - ostatní stravování"/>
    <m/>
    <d v="2019-07-31T00:00:00"/>
    <m/>
    <m/>
    <m/>
    <s v="346517544,10870"/>
    <b v="1"/>
    <m/>
    <s v="Lexová Martina"/>
    <s v="Zaúčtováno"/>
    <m/>
    <m/>
    <m/>
    <m/>
    <x v="6"/>
    <d v="2019-08-07T09:50:24"/>
    <s v="Hlavní činnost"/>
    <m/>
    <m/>
    <m/>
    <m/>
    <m/>
    <m/>
    <m/>
  </r>
  <r>
    <s v="ID-2019-91-000023"/>
    <x v="9"/>
    <s v="000"/>
    <d v="2019-08-31T00:00:00"/>
    <m/>
    <n v="32008.59"/>
    <s v="9501"/>
    <s v="50116403"/>
    <s v="HC"/>
    <s v="STRAV: Provoz stravování - ostatní stravování"/>
    <m/>
    <d v="2019-08-31T00:00:00"/>
    <m/>
    <m/>
    <m/>
    <s v="350038389,10870"/>
    <b v="1"/>
    <m/>
    <s v="Lexová Martina"/>
    <s v="Zaúčtováno"/>
    <m/>
    <m/>
    <m/>
    <m/>
    <x v="7"/>
    <d v="2019-09-09T09:41:59"/>
    <s v="Hlavní činnost"/>
    <m/>
    <m/>
    <m/>
    <m/>
    <m/>
    <m/>
    <m/>
  </r>
  <r>
    <s v="ID-2019-91-000024"/>
    <x v="10"/>
    <s v="000"/>
    <d v="2019-08-31T00:00:00"/>
    <m/>
    <n v="76321.56"/>
    <s v="9501"/>
    <s v="39520002"/>
    <s v="HC"/>
    <s v="STRAV: Provoz stravování - ostatní stravování"/>
    <m/>
    <d v="2019-08-31T00:00:00"/>
    <m/>
    <m/>
    <m/>
    <s v="350041305,10870"/>
    <b v="1"/>
    <m/>
    <s v="Lexová Martina"/>
    <s v="Zaúčtováno"/>
    <m/>
    <m/>
    <m/>
    <m/>
    <x v="7"/>
    <d v="2019-09-09T09:41:59"/>
    <s v="Hlavní činnost"/>
    <m/>
    <m/>
    <m/>
    <m/>
    <m/>
    <m/>
    <m/>
  </r>
  <r>
    <s v="ID-2019-91-000026"/>
    <x v="9"/>
    <s v="000"/>
    <d v="2019-09-30T00:00:00"/>
    <m/>
    <n v="103995.8"/>
    <s v="9501"/>
    <s v="50116403"/>
    <m/>
    <s v="STRAV: Provoz stravování - ostatní stravování"/>
    <m/>
    <d v="2019-09-30T00:00:00"/>
    <m/>
    <m/>
    <m/>
    <s v="354534350,10870"/>
    <b v="0"/>
    <m/>
    <s v="Lexová Martina"/>
    <s v="Zaúčtováno"/>
    <m/>
    <m/>
    <m/>
    <m/>
    <x v="8"/>
    <d v="2019-10-08T11:18:41"/>
    <m/>
    <m/>
    <m/>
    <m/>
    <m/>
    <m/>
    <m/>
    <m/>
  </r>
  <r>
    <s v="ID-2019-91-000027"/>
    <x v="10"/>
    <s v="000"/>
    <d v="2019-09-30T00:00:00"/>
    <m/>
    <n v="105382.26"/>
    <s v="9501"/>
    <s v="39520002"/>
    <m/>
    <s v="STRAV: Provoz stravování - ostatní stravování"/>
    <m/>
    <d v="2019-09-30T00:00:00"/>
    <m/>
    <m/>
    <m/>
    <s v="354535015,10870"/>
    <b v="0"/>
    <m/>
    <s v="Lexová Martina"/>
    <s v="Zaúčtováno"/>
    <m/>
    <m/>
    <m/>
    <m/>
    <x v="8"/>
    <d v="2019-10-08T11:42:21"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ID-2019-91-000003"/>
    <x v="0"/>
    <s v="1180"/>
    <d v="2019-01-31T00:00:00"/>
    <m/>
    <n v="148369.57"/>
    <s v="9501"/>
    <s v="32403413"/>
    <s v="HC"/>
    <s v="STRAV: Provoz stravování - ostatní stravování"/>
    <m/>
    <d v="2019-01-31T00:00:00"/>
    <d v="2019-01-31T00:00:00"/>
    <m/>
    <m/>
    <s v="326615334,10870"/>
    <b v="1"/>
    <m/>
    <s v="Lexová Martina"/>
    <s v="Zaúčtováno"/>
    <m/>
    <m/>
    <m/>
    <m/>
    <x v="0"/>
    <d v="2019-02-11T08:31:45"/>
    <s v="Hlavní činnost"/>
    <m/>
    <m/>
    <m/>
    <m/>
    <m/>
    <m/>
    <m/>
  </r>
  <r>
    <s v="ID-2019-91-000006"/>
    <x v="1"/>
    <s v="1180"/>
    <d v="2019-02-28T00:00:00"/>
    <m/>
    <n v="182378.7"/>
    <s v="9501"/>
    <s v="32403413"/>
    <s v="HC"/>
    <s v="STRAV: Provoz stravování - ostatní stravování"/>
    <m/>
    <d v="2019-02-28T00:00:00"/>
    <d v="2019-02-28T00:00:00"/>
    <m/>
    <m/>
    <s v="329826119,10870"/>
    <b v="1"/>
    <m/>
    <s v="Lexová Martina"/>
    <s v="Zaúčtováno"/>
    <m/>
    <m/>
    <m/>
    <m/>
    <x v="1"/>
    <d v="2019-03-08T08:41:35"/>
    <s v="Hlavní činnost"/>
    <m/>
    <m/>
    <m/>
    <m/>
    <m/>
    <m/>
    <m/>
  </r>
  <r>
    <s v="ID-2019-91-000009"/>
    <x v="2"/>
    <s v="1180"/>
    <d v="2019-03-31T00:00:00"/>
    <m/>
    <n v="221570.87"/>
    <s v="9501"/>
    <s v="32403413"/>
    <s v="HC"/>
    <s v="STRAV: Provoz stravování - ostatní stravování"/>
    <m/>
    <d v="2019-03-31T00:00:00"/>
    <d v="2019-03-31T00:00:00"/>
    <m/>
    <m/>
    <s v="333382730,10870"/>
    <b v="1"/>
    <m/>
    <s v="Lexová Martina"/>
    <s v="Zaúčtováno"/>
    <m/>
    <m/>
    <m/>
    <m/>
    <x v="2"/>
    <d v="2019-04-08T11:42:44"/>
    <s v="Hlavní činnost"/>
    <m/>
    <m/>
    <m/>
    <m/>
    <m/>
    <m/>
    <m/>
  </r>
  <r>
    <s v="ID-2019-91-000013"/>
    <x v="3"/>
    <s v="1180"/>
    <d v="2019-04-30T00:00:00"/>
    <m/>
    <n v="232400.43"/>
    <s v="9501"/>
    <s v="32403413"/>
    <s v="HC"/>
    <s v="STRAV: Provoz stravování - ostatní stravování"/>
    <m/>
    <d v="2019-04-30T00:00:00"/>
    <d v="2019-04-30T00:00:00"/>
    <m/>
    <m/>
    <s v="337563606,10870"/>
    <b v="1"/>
    <m/>
    <s v="Lexová Martina"/>
    <s v="Zaúčtováno"/>
    <m/>
    <m/>
    <m/>
    <m/>
    <x v="3"/>
    <d v="2019-05-09T12:46:09"/>
    <s v="Hlavní činnost"/>
    <m/>
    <m/>
    <m/>
    <m/>
    <m/>
    <m/>
    <m/>
  </r>
  <r>
    <s v="ID-2019-91-000016"/>
    <x v="3"/>
    <s v="1180"/>
    <d v="2019-05-31T00:00:00"/>
    <m/>
    <n v="177585.22"/>
    <s v="9501"/>
    <s v="32403413"/>
    <s v="HC"/>
    <s v="STRAV: Provoz stravování - ostatní stravování"/>
    <m/>
    <d v="2019-05-31T00:00:00"/>
    <d v="2019-05-31T00:00:00"/>
    <m/>
    <m/>
    <s v="340858945,10870"/>
    <b v="1"/>
    <m/>
    <s v="Lexová Martina"/>
    <s v="Zaúčtováno"/>
    <m/>
    <m/>
    <m/>
    <m/>
    <x v="4"/>
    <d v="2019-06-07T13:12:10"/>
    <s v="Hlavní činnost"/>
    <m/>
    <m/>
    <m/>
    <m/>
    <m/>
    <m/>
    <m/>
  </r>
  <r>
    <s v="ID-2019-91-000019"/>
    <x v="3"/>
    <s v="1180"/>
    <d v="2019-06-30T00:00:00"/>
    <m/>
    <n v="50280.87"/>
    <s v="9501"/>
    <s v="32403413"/>
    <s v="HC"/>
    <s v="STRAV: Provoz stravování - ostatní stravování"/>
    <m/>
    <d v="2019-06-30T00:00:00"/>
    <d v="2019-06-30T00:00:00"/>
    <m/>
    <m/>
    <s v="343709054,10870"/>
    <b v="1"/>
    <m/>
    <s v="Lexová Martina"/>
    <s v="Zaúčtováno"/>
    <m/>
    <m/>
    <m/>
    <m/>
    <x v="5"/>
    <d v="2019-07-09T11:48:03"/>
    <s v="Hlavní činnost"/>
    <m/>
    <m/>
    <m/>
    <m/>
    <m/>
    <m/>
    <m/>
  </r>
  <r>
    <s v="ID-2019-91-000022"/>
    <x v="3"/>
    <s v="1180"/>
    <d v="2019-07-31T00:00:00"/>
    <m/>
    <n v="32963.910000000003"/>
    <s v="9501"/>
    <s v="32403413"/>
    <s v="HC"/>
    <s v="STRAV: Provoz stravování - ostatní stravování"/>
    <m/>
    <d v="2019-07-31T00:00:00"/>
    <d v="2019-07-31T00:00:00"/>
    <m/>
    <m/>
    <s v="346582246,10870"/>
    <b v="1"/>
    <m/>
    <s v="Lexová Martina"/>
    <s v="Zaúčtováno"/>
    <m/>
    <m/>
    <m/>
    <m/>
    <x v="6"/>
    <d v="2019-08-07T13:10:38"/>
    <s v="Hlavní činnost"/>
    <m/>
    <m/>
    <m/>
    <m/>
    <m/>
    <m/>
    <m/>
  </r>
  <r>
    <s v="ID-2019-91-000025"/>
    <x v="3"/>
    <s v="1180"/>
    <d v="2019-08-31T00:00:00"/>
    <m/>
    <n v="33943.910000000003"/>
    <s v="9501"/>
    <s v="32403413"/>
    <s v="HC"/>
    <s v="STRAV: Provoz stravování - ostatní stravování"/>
    <m/>
    <d v="2019-08-31T00:00:00"/>
    <d v="2019-08-31T00:00:00"/>
    <m/>
    <m/>
    <s v="350068499,10870"/>
    <b v="1"/>
    <m/>
    <s v="Lexová Martina"/>
    <s v="Zaúčtováno"/>
    <m/>
    <m/>
    <m/>
    <m/>
    <x v="7"/>
    <d v="2019-09-09T10:08:04"/>
    <s v="Hlavní činnost"/>
    <m/>
    <m/>
    <m/>
    <m/>
    <m/>
    <m/>
    <m/>
  </r>
  <r>
    <s v="ID-2019-91-000028"/>
    <x v="3"/>
    <s v="1180"/>
    <d v="2019-09-30T00:00:00"/>
    <m/>
    <n v="104605.22"/>
    <s v="9501"/>
    <s v="32403413"/>
    <m/>
    <s v="STRAV: Provoz stravování - ostatní stravování"/>
    <m/>
    <d v="2019-09-30T00:00:00"/>
    <d v="2019-09-30T00:00:00"/>
    <m/>
    <m/>
    <s v="354560465,10870"/>
    <b v="0"/>
    <m/>
    <s v="Lexová Martina"/>
    <s v="Zaúčtováno"/>
    <m/>
    <m/>
    <m/>
    <m/>
    <x v="8"/>
    <d v="2019-10-08T13:25:24"/>
    <m/>
    <m/>
    <m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FP-2019-10-000608"/>
    <x v="0"/>
    <s v="000"/>
    <d v="2019-01-31T00:00:00"/>
    <n v="31695.65"/>
    <m/>
    <s v="9501"/>
    <s v="39520002"/>
    <s v="HC"/>
    <s v="STRAV: Provoz stravování - ostatní stravování"/>
    <s v="Střední zdravotnická škola a Vyšší odborná škola zdravotnická Emanuela Pöttinga a Jazyková škola s právem státní jazykov"/>
    <d v="2019-02-07T00:00:00"/>
    <d v="2019-02-07T00:00:00"/>
    <s v="2019011"/>
    <m/>
    <s v="326217647,10870"/>
    <b v="1"/>
    <m/>
    <s v="Lexová Martina"/>
    <s v="Zaúčtováno"/>
    <s v="STRAV"/>
    <m/>
    <m/>
    <m/>
    <x v="0"/>
    <d v="2019-02-08T13:17:32"/>
    <s v="Hlavní činnost"/>
    <m/>
    <m/>
    <m/>
    <m/>
    <m/>
    <m/>
    <m/>
  </r>
  <r>
    <s v="FP-2019-10-001112"/>
    <x v="1"/>
    <s v="000"/>
    <d v="2019-02-28T00:00:00"/>
    <n v="28549.57"/>
    <m/>
    <s v="9501"/>
    <s v="39520002"/>
    <s v="HC"/>
    <s v="STRAV: Provoz stravování - ostatní stravování"/>
    <s v="Střední zdravotnická škola a Vyšší odborná škola zdravotnická Emanuela Pöttinga a Jazyková škola s právem státní jazykov"/>
    <d v="2019-03-05T00:00:00"/>
    <d v="2019-03-05T00:00:00"/>
    <s v="2019029"/>
    <m/>
    <s v="329104028,10870"/>
    <b v="1"/>
    <m/>
    <s v="Lexová Martina"/>
    <s v="Zaúčtováno"/>
    <s v="STRAV"/>
    <m/>
    <m/>
    <m/>
    <x v="1"/>
    <d v="2019-03-08T12:09:17"/>
    <s v="Hlavní činnost"/>
    <m/>
    <m/>
    <m/>
    <m/>
    <m/>
    <m/>
    <m/>
  </r>
  <r>
    <s v="FP-2019-10-001743"/>
    <x v="2"/>
    <s v="000"/>
    <d v="2019-03-29T00:00:00"/>
    <n v="30944.35"/>
    <m/>
    <s v="9501"/>
    <s v="39520002"/>
    <s v="HC"/>
    <s v="STRAV: Provoz stravování - ostatní stravování"/>
    <s v="Střední zdravotnická škola a Vyšší odborná škola zdravotnická Emanuela Pöttinga a Jazyková škola s právem státní jazykov"/>
    <d v="2019-04-03T00:00:00"/>
    <d v="2019-04-03T00:00:00"/>
    <s v="2019048"/>
    <m/>
    <s v="332784281,10870"/>
    <b v="1"/>
    <m/>
    <s v="Lexová Martina"/>
    <s v="Zaúčtováno"/>
    <s v="STRAV"/>
    <m/>
    <m/>
    <m/>
    <x v="2"/>
    <d v="2019-04-05T14:37:18"/>
    <s v="Hlavní činnost"/>
    <m/>
    <m/>
    <m/>
    <m/>
    <m/>
    <m/>
    <m/>
  </r>
  <r>
    <s v="FP-2019-10-002406"/>
    <x v="3"/>
    <s v="000"/>
    <d v="2019-04-30T00:00:00"/>
    <n v="29864.35"/>
    <m/>
    <s v="9501"/>
    <s v="39520002"/>
    <s v="HC"/>
    <s v="STRAV: Provoz stravování - ostatní stravování"/>
    <s v="Střední zdravotnická škola a Vyšší odborná škola zdravotnická Emanuela Pöttinga a Jazyková škola s právem státní jazykov"/>
    <d v="2019-05-03T00:00:00"/>
    <d v="2019-05-03T00:00:00"/>
    <s v="2019072"/>
    <m/>
    <s v="336927061,10870"/>
    <b v="1"/>
    <m/>
    <s v="Lexová Martina"/>
    <s v="Zaúčtováno"/>
    <s v="STRAV"/>
    <m/>
    <m/>
    <m/>
    <x v="3"/>
    <d v="2019-05-09T08:13:11"/>
    <s v="Hlavní činnost"/>
    <m/>
    <m/>
    <m/>
    <m/>
    <m/>
    <m/>
    <m/>
  </r>
  <r>
    <s v="FP-2019-10-003063"/>
    <x v="4"/>
    <s v="000"/>
    <d v="2019-05-31T00:00:00"/>
    <n v="31460.87"/>
    <m/>
    <s v="9501"/>
    <s v="39520002"/>
    <s v="HC"/>
    <s v="STRAV: Provoz stravování - ostatní stravování"/>
    <s v="Střední zdravotnická škola a Vyšší odborná škola zdravotnická Emanuela Pöttinga a Jazyková škola s právem státní jazykov"/>
    <d v="2019-06-04T00:00:00"/>
    <d v="2019-06-04T00:00:00"/>
    <s v="2019095"/>
    <m/>
    <s v="340147089,10870"/>
    <b v="1"/>
    <m/>
    <s v="Buzková Eva"/>
    <s v="Zaúčtováno"/>
    <s v="STRAV"/>
    <m/>
    <m/>
    <m/>
    <x v="4"/>
    <d v="2019-06-07T07:21:54"/>
    <s v="Hlavní činnost"/>
    <m/>
    <m/>
    <m/>
    <m/>
    <m/>
    <m/>
    <m/>
  </r>
  <r>
    <s v="FP-2019-10-003784"/>
    <x v="5"/>
    <s v="000"/>
    <d v="2019-06-30T00:00:00"/>
    <n v="28878.26"/>
    <m/>
    <s v="9501"/>
    <s v="39520002"/>
    <s v="HC"/>
    <s v="STRAV: Provoz stravování - ostatní stravování"/>
    <s v="Střední zdravotnická škola a Vyšší odborná škola zdravotnická Emanuela Pöttinga a Jazyková škola s právem státní jazykov"/>
    <d v="2019-07-03T00:00:00"/>
    <d v="2019-07-03T00:00:00"/>
    <s v="2019118"/>
    <m/>
    <s v="343152196,10870"/>
    <b v="1"/>
    <m/>
    <s v="Lexová Martina"/>
    <s v="Zaúčtováno"/>
    <s v="STRAV"/>
    <m/>
    <m/>
    <m/>
    <x v="5"/>
    <d v="2019-07-08T09:12:47"/>
    <s v="Hlavní činnost"/>
    <m/>
    <m/>
    <m/>
    <m/>
    <m/>
    <m/>
    <m/>
  </r>
  <r>
    <s v="FP-2019-10-004918"/>
    <x v="6"/>
    <s v="000"/>
    <d v="2019-08-31T00:00:00"/>
    <n v="18059.13"/>
    <m/>
    <s v="9501"/>
    <s v="39520002"/>
    <s v="HC"/>
    <s v="STRAV: Provoz stravování - ostatní stravování"/>
    <s v="Střední zdravotnická škola a Vyšší odborná škola zdravotnická Emanuela Pöttinga a Jazyková škola s právem státní jazykov"/>
    <d v="2019-09-05T00:00:00"/>
    <d v="2019-09-05T00:00:00"/>
    <s v="2019137"/>
    <m/>
    <s v="349753809,10870"/>
    <b v="1"/>
    <m/>
    <s v="Lexová Martina"/>
    <s v="Zaúčtováno"/>
    <s v="STRAV"/>
    <m/>
    <m/>
    <m/>
    <x v="6"/>
    <d v="2019-09-09T09:02:35"/>
    <s v="Hlavní činnost"/>
    <m/>
    <m/>
    <m/>
    <m/>
    <m/>
    <m/>
    <m/>
  </r>
  <r>
    <s v="FP-2019-10-005555"/>
    <x v="7"/>
    <s v="000"/>
    <d v="2019-09-30T00:00:00"/>
    <n v="33809.57"/>
    <m/>
    <s v="9501"/>
    <s v="39520002"/>
    <m/>
    <s v="STRAV: Provoz stravování - ostatní stravování"/>
    <s v="Střední zdravotnická škola a Vyšší odborná škola zdravotnická Emanuela Pöttinga a Jazyková škola s právem státní jazykov"/>
    <d v="2019-10-03T00:00:00"/>
    <d v="2019-10-03T00:00:00"/>
    <s v="2019154"/>
    <m/>
    <s v="353685412,10870"/>
    <b v="0"/>
    <m/>
    <s v="Buzková Eva"/>
    <s v="Zaúčtováno"/>
    <s v="STRAV"/>
    <m/>
    <m/>
    <m/>
    <x v="7"/>
    <d v="2019-10-07T06:42:45"/>
    <m/>
    <m/>
    <m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ID-2019-56-000003"/>
    <x v="0"/>
    <s v="000"/>
    <d v="2019-01-03T00:00:00"/>
    <n v="21674.799999999999"/>
    <m/>
    <s v="9501"/>
    <s v="13204002"/>
    <s v="VC"/>
    <s v="STRAV: Provoz stravování - ostatní stravování"/>
    <s v="Fakultní nemocnice Olomouc"/>
    <d v="2019-01-03T00:00:00"/>
    <m/>
    <m/>
    <m/>
    <s v="326425045,10870"/>
    <b v="1"/>
    <s v="STRAV_JESLE_MS"/>
    <s v="Lexová Martina"/>
    <s v="Zaúčtováno"/>
    <s v="Import výdejek ze skladu Anete &quot;8305/&quot;"/>
    <m/>
    <m/>
    <m/>
    <x v="0"/>
    <d v="2019-02-08T14:40:28"/>
    <s v="Vedlejší činnost"/>
    <s v="Stravování - jesle, MŠ"/>
    <m/>
    <m/>
    <m/>
    <m/>
    <m/>
    <m/>
  </r>
  <r>
    <s v="ID-2019-56-000038"/>
    <x v="0"/>
    <s v="000"/>
    <d v="2019-02-01T00:00:00"/>
    <n v="18714.87"/>
    <m/>
    <s v="9501"/>
    <s v="13204002"/>
    <s v="VC"/>
    <s v="STRAV: Provoz stravování - ostatní stravování"/>
    <s v="Fakultní nemocnice Olomouc"/>
    <d v="2019-02-01T00:00:00"/>
    <m/>
    <m/>
    <m/>
    <s v="329666176,10870"/>
    <b v="1"/>
    <s v="STRAV_JESLE_MS"/>
    <s v="Lexová Martina"/>
    <s v="Zaúčtováno"/>
    <s v="Import výdejek ze skladu Anete &quot;8305/&quot;"/>
    <m/>
    <m/>
    <m/>
    <x v="1"/>
    <d v="2019-03-07T12:46:21"/>
    <s v="Vedlejší činnost"/>
    <s v="Stravování - jesle, MŠ"/>
    <m/>
    <m/>
    <m/>
    <m/>
    <m/>
    <m/>
  </r>
  <r>
    <s v="ID-2019-56-000039"/>
    <x v="0"/>
    <s v="000"/>
    <d v="2019-02-15T00:00:00"/>
    <n v="-11.94"/>
    <m/>
    <s v="9501"/>
    <s v="13204002"/>
    <s v="VC"/>
    <s v="STRAV: Provoz stravování - ostatní stravování"/>
    <s v="Fakultní nemocnice Olomouc"/>
    <d v="2019-02-15T00:00:00"/>
    <m/>
    <m/>
    <m/>
    <s v="329668302,10870"/>
    <b v="1"/>
    <s v="STRAV_JESLE_MS"/>
    <s v="Lexová Martina"/>
    <s v="Zaúčtováno"/>
    <s v="Import vratek ze skladu Anete &quot;/8305&quot;"/>
    <m/>
    <m/>
    <m/>
    <x v="1"/>
    <d v="2019-03-07T12:46:21"/>
    <s v="Vedlejší činnost"/>
    <s v="Stravování - jesle, MŠ"/>
    <m/>
    <m/>
    <m/>
    <m/>
    <m/>
    <m/>
  </r>
  <r>
    <s v="ID-2019-56-000070"/>
    <x v="0"/>
    <s v="000"/>
    <d v="2019-03-01T00:00:00"/>
    <n v="18566.439999999999"/>
    <m/>
    <s v="9501"/>
    <s v="13204002"/>
    <s v="VC"/>
    <s v="STRAV: Provoz stravování - ostatní stravování"/>
    <s v="Fakultní nemocnice Olomouc"/>
    <d v="2019-03-01T00:00:00"/>
    <m/>
    <m/>
    <m/>
    <s v="333237013,10870"/>
    <b v="1"/>
    <s v="STRAV_JESLE_MS"/>
    <s v="Lexová Martina"/>
    <s v="Zaúčtováno"/>
    <s v="Import výdejek ze skladu Anete &quot;8305/&quot;"/>
    <m/>
    <m/>
    <m/>
    <x v="2"/>
    <d v="2019-04-08T09:50:12"/>
    <s v="Vedlejší činnost"/>
    <s v="Stravování - jesle, MŠ"/>
    <m/>
    <m/>
    <m/>
    <m/>
    <m/>
    <m/>
  </r>
  <r>
    <s v="ID-2019-56-000110"/>
    <x v="0"/>
    <s v="000"/>
    <d v="2019-04-01T00:00:00"/>
    <n v="21269.439999999999"/>
    <m/>
    <s v="9501"/>
    <s v="13204002"/>
    <s v="VC"/>
    <s v="STRAV: Provoz stravování - ostatní stravování"/>
    <s v="Fakultní nemocnice Olomouc"/>
    <d v="2019-04-01T00:00:00"/>
    <m/>
    <m/>
    <m/>
    <s v="337747269,10870"/>
    <b v="1"/>
    <s v="STRAV_JESLE_MS"/>
    <s v="Lexová Martina"/>
    <s v="Zaúčtováno"/>
    <s v="Import výdejek ze skladu Anete &quot;8305/&quot;"/>
    <m/>
    <m/>
    <m/>
    <x v="3"/>
    <d v="2019-05-10T09:08:09"/>
    <s v="Vedlejší činnost"/>
    <s v="Stravování - jesle, MŠ"/>
    <m/>
    <m/>
    <m/>
    <m/>
    <m/>
    <m/>
  </r>
  <r>
    <s v="ID-2019-56-000136"/>
    <x v="0"/>
    <s v="000"/>
    <d v="2019-05-02T00:00:00"/>
    <n v="24026.09"/>
    <m/>
    <s v="9501"/>
    <s v="13204002"/>
    <s v="VC"/>
    <s v="STRAV: Provoz stravování - ostatní stravování"/>
    <s v="Fakultní nemocnice Olomouc"/>
    <d v="2019-05-02T00:00:00"/>
    <m/>
    <m/>
    <m/>
    <s v="340862663,10870"/>
    <b v="1"/>
    <s v="STRAV_JESLE_MS"/>
    <s v="Lexová Martina"/>
    <s v="Zaúčtováno"/>
    <s v="Import výdejek ze skladu Anete &quot;8305/&quot;"/>
    <m/>
    <m/>
    <m/>
    <x v="4"/>
    <d v="2019-06-07T14:14:47"/>
    <s v="Vedlejší činnost"/>
    <s v="Stravování - jesle, MŠ"/>
    <m/>
    <m/>
    <m/>
    <m/>
    <m/>
    <m/>
  </r>
  <r>
    <s v="ID-2019-56-000162"/>
    <x v="0"/>
    <s v="000"/>
    <d v="2019-06-03T00:00:00"/>
    <n v="24553.82"/>
    <m/>
    <s v="9501"/>
    <s v="13204002"/>
    <s v="VC"/>
    <s v="STRAV: Provoz stravování - ostatní stravování"/>
    <s v="Fakultní nemocnice Olomouc"/>
    <d v="2019-06-03T00:00:00"/>
    <m/>
    <m/>
    <m/>
    <s v="343516086,10870"/>
    <b v="1"/>
    <s v="STRAV_JESLE_MS"/>
    <s v="Lexová Martina"/>
    <s v="Zaúčtováno"/>
    <s v="Import výdejek ze skladu Anete &quot;8305/&quot;"/>
    <m/>
    <m/>
    <m/>
    <x v="5"/>
    <d v="2019-07-08T14:14:56"/>
    <s v="Vedlejší činnost"/>
    <s v="Stravování - jesle, MŠ"/>
    <m/>
    <m/>
    <m/>
    <m/>
    <m/>
    <m/>
  </r>
  <r>
    <s v="ID-2019-56-000186"/>
    <x v="0"/>
    <s v="000"/>
    <d v="2019-07-01T00:00:00"/>
    <n v="22808.560000000001"/>
    <m/>
    <s v="9501"/>
    <s v="13204002"/>
    <s v="VC"/>
    <s v="STRAV: Provoz stravování - ostatní stravování"/>
    <s v="Fakultní nemocnice Olomouc"/>
    <d v="2019-07-01T00:00:00"/>
    <m/>
    <m/>
    <m/>
    <s v="346396720,10870"/>
    <b v="1"/>
    <s v="STRAV_JESLE_MS"/>
    <s v="Lexová Martina"/>
    <s v="Zaúčtováno"/>
    <s v="Import výdejek ze skladu Anete &quot;8305/&quot;"/>
    <m/>
    <m/>
    <m/>
    <x v="6"/>
    <d v="2019-08-06T13:51:33"/>
    <s v="Vedlejší činnost"/>
    <s v="Stravování - jesle, MŠ"/>
    <m/>
    <m/>
    <m/>
    <m/>
    <m/>
    <m/>
  </r>
  <r>
    <s v="ID-2019-56-000205"/>
    <x v="0"/>
    <s v="000"/>
    <d v="2019-07-11T00:00:00"/>
    <n v="257.76"/>
    <m/>
    <s v="9501"/>
    <s v="13204002"/>
    <s v="VC"/>
    <s v="STRAV: Provoz stravování - ostatní stravování"/>
    <s v="Fakultní nemocnice Olomouc"/>
    <d v="2019-07-11T00:00:00"/>
    <m/>
    <m/>
    <m/>
    <s v="346641917,10870"/>
    <b v="1"/>
    <s v="STRAV_JESLE_MS"/>
    <s v="Lexová Martina"/>
    <s v="Zaúčtováno"/>
    <s v="Import výdejek ze skladu Anete &quot;8305/&quot;"/>
    <m/>
    <m/>
    <m/>
    <x v="6"/>
    <d v="2019-08-08T07:44:57"/>
    <s v="Vedlejší činnost"/>
    <s v="Stravování - jesle, MŠ"/>
    <m/>
    <m/>
    <m/>
    <m/>
    <m/>
    <m/>
  </r>
  <r>
    <s v="ID-2019-56-000215"/>
    <x v="0"/>
    <s v="000"/>
    <d v="2019-08-01T00:00:00"/>
    <n v="16834.09"/>
    <m/>
    <s v="9501"/>
    <s v="13204002"/>
    <s v="VC"/>
    <s v="STRAV: Provoz stravování - ostatní stravování"/>
    <s v="Fakultní nemocnice Olomouc"/>
    <d v="2019-08-01T00:00:00"/>
    <m/>
    <m/>
    <m/>
    <s v="350453966,10870"/>
    <b v="1"/>
    <s v="STRAV_JESLE_MS"/>
    <s v="Lexová Martina"/>
    <s v="Zaúčtováno"/>
    <s v="Import výdejek ze skladu Anete &quot;8305/&quot;"/>
    <m/>
    <m/>
    <m/>
    <x v="7"/>
    <d v="2019-09-10T09:27:22"/>
    <s v="Vedlejší činnost"/>
    <s v="Stravování - jesle, MŠ"/>
    <m/>
    <m/>
    <m/>
    <m/>
    <m/>
    <m/>
  </r>
  <r>
    <s v="ID-2019-56-000238"/>
    <x v="0"/>
    <s v="000"/>
    <d v="2019-09-02T00:00:00"/>
    <n v="23147.21"/>
    <m/>
    <s v="9501"/>
    <s v="13204002"/>
    <m/>
    <s v="STRAV: Provoz stravování - ostatní stravování"/>
    <s v="Fakultní nemocnice Olomouc"/>
    <d v="2019-09-02T00:00:00"/>
    <m/>
    <m/>
    <m/>
    <s v="354325932,10870"/>
    <b v="0"/>
    <s v="STRAV_JESLE_MS"/>
    <s v="Lexová Martina"/>
    <s v="Zaúčtováno"/>
    <s v="Import výdejek ze skladu Anete &quot;8305/&quot;"/>
    <m/>
    <m/>
    <m/>
    <x v="8"/>
    <d v="2019-10-08T12:05:35"/>
    <m/>
    <s v="Stravování - jesle, MŠ"/>
    <m/>
    <m/>
    <m/>
    <m/>
    <m/>
    <m/>
  </r>
  <r>
    <s v="ID-2019-91-000002"/>
    <x v="1"/>
    <s v="000"/>
    <d v="2019-01-31T00:00:00"/>
    <n v="100695.61"/>
    <m/>
    <s v="9501"/>
    <s v="39520002"/>
    <s v="VC"/>
    <s v="STRAV: Provoz stravování - ostatní stravování"/>
    <m/>
    <d v="2019-01-31T00:00:00"/>
    <m/>
    <m/>
    <m/>
    <s v="326491823,10870"/>
    <b v="1"/>
    <m/>
    <s v="Buzková Eva"/>
    <s v="Zaúčtováno"/>
    <m/>
    <m/>
    <m/>
    <m/>
    <x v="0"/>
    <d v="2019-02-15T09:28:49"/>
    <s v="Vedlejší činnost"/>
    <m/>
    <m/>
    <m/>
    <m/>
    <m/>
    <m/>
    <m/>
  </r>
  <r>
    <s v="ID-2019-91-000005"/>
    <x v="2"/>
    <s v="000"/>
    <d v="2019-02-28T00:00:00"/>
    <n v="94067.21"/>
    <m/>
    <s v="9501"/>
    <s v="50116402"/>
    <s v="HC"/>
    <s v="STRAV: Provoz stravování - ostatní stravování"/>
    <m/>
    <d v="2019-02-28T00:00:00"/>
    <m/>
    <m/>
    <m/>
    <s v="329755840,10870"/>
    <b v="1"/>
    <m/>
    <s v="Lexová Martina"/>
    <s v="Zaúčtováno"/>
    <m/>
    <m/>
    <m/>
    <m/>
    <x v="1"/>
    <d v="2019-03-07T13:30:10"/>
    <s v="Hlavní činnost"/>
    <m/>
    <m/>
    <m/>
    <m/>
    <m/>
    <m/>
    <m/>
  </r>
  <r>
    <s v="ID-2019-91-000008"/>
    <x v="3"/>
    <s v="000"/>
    <d v="2019-03-31T00:00:00"/>
    <n v="102146.18"/>
    <m/>
    <s v="9501"/>
    <s v="39520000"/>
    <s v="VC"/>
    <s v="STRAV: Provoz stravování - ostatní stravování"/>
    <m/>
    <d v="2019-03-31T00:00:00"/>
    <m/>
    <m/>
    <m/>
    <s v="333313505,10870"/>
    <b v="1"/>
    <m/>
    <s v="Buzková Eva"/>
    <s v="Zaúčtováno"/>
    <m/>
    <m/>
    <m/>
    <m/>
    <x v="2"/>
    <d v="2019-04-17T06:56:39"/>
    <s v="Vedlejší činnost"/>
    <m/>
    <m/>
    <m/>
    <m/>
    <m/>
    <m/>
    <m/>
  </r>
  <r>
    <s v="ID-2019-91-000010"/>
    <x v="4"/>
    <s v="000"/>
    <d v="2019-03-31T00:00:00"/>
    <n v="94067.21"/>
    <m/>
    <s v="9501"/>
    <s v="39520000"/>
    <s v="VC"/>
    <s v="STRAV: Provoz stravování - ostatní stravování"/>
    <m/>
    <d v="2019-03-31T00:00:00"/>
    <m/>
    <m/>
    <m/>
    <s v="335076247,10870"/>
    <b v="1"/>
    <m/>
    <s v="Buzková Eva"/>
    <s v="Zaúčtováno"/>
    <s v="Odvozeno z interního dokladu č. ID-2019-91-000005"/>
    <m/>
    <m/>
    <m/>
    <x v="2"/>
    <d v="2019-04-17T06:52:45"/>
    <s v="Vedlejší činnost"/>
    <m/>
    <m/>
    <m/>
    <m/>
    <m/>
    <m/>
    <m/>
  </r>
  <r>
    <s v="ID-2019-91-000010"/>
    <x v="4"/>
    <s v="000"/>
    <d v="2019-03-31T00:00:00"/>
    <n v="-94067.21"/>
    <m/>
    <s v="9501"/>
    <s v="50116402"/>
    <s v="HC"/>
    <s v="STRAV: Provoz stravování - ostatní stravování"/>
    <m/>
    <d v="2019-03-31T00:00:00"/>
    <m/>
    <m/>
    <m/>
    <s v="335076247,10870"/>
    <b v="1"/>
    <m/>
    <s v="Buzková Eva"/>
    <s v="Zaúčtováno"/>
    <s v="Odvozeno z interního dokladu č. ID-2019-91-000005"/>
    <m/>
    <m/>
    <m/>
    <x v="2"/>
    <d v="2019-04-17T06:52:45"/>
    <s v="Hlavní činnost"/>
    <m/>
    <m/>
    <m/>
    <m/>
    <m/>
    <m/>
    <m/>
  </r>
  <r>
    <s v="ID-2019-91-000012"/>
    <x v="5"/>
    <s v="000"/>
    <d v="2019-04-30T00:00:00"/>
    <n v="107444.45"/>
    <m/>
    <s v="9501"/>
    <s v="39520002"/>
    <s v="VC"/>
    <s v="STRAV: Provoz stravování - ostatní stravování"/>
    <m/>
    <d v="2019-04-30T00:00:00"/>
    <m/>
    <m/>
    <m/>
    <s v="337553326,10870"/>
    <b v="1"/>
    <m/>
    <s v="Lexová Martina"/>
    <s v="Zaúčtováno"/>
    <m/>
    <m/>
    <m/>
    <m/>
    <x v="3"/>
    <d v="2019-05-09T12:45:43"/>
    <s v="Vedlejší činnost"/>
    <m/>
    <m/>
    <m/>
    <m/>
    <m/>
    <m/>
    <m/>
  </r>
  <r>
    <s v="ID-2019-91-000015"/>
    <x v="5"/>
    <s v="000"/>
    <d v="2019-05-31T00:00:00"/>
    <n v="101857.48"/>
    <m/>
    <s v="9501"/>
    <s v="39520002"/>
    <s v="VC"/>
    <s v="STRAV: Provoz stravování - ostatní stravování"/>
    <m/>
    <d v="2019-05-31T00:00:00"/>
    <m/>
    <m/>
    <m/>
    <s v="340844304,10870"/>
    <b v="1"/>
    <m/>
    <s v="Lexová Martina"/>
    <s v="Zaúčtováno"/>
    <m/>
    <m/>
    <m/>
    <m/>
    <x v="4"/>
    <d v="2019-06-07T13:10:20"/>
    <s v="Vedlejší činnost"/>
    <m/>
    <m/>
    <m/>
    <m/>
    <m/>
    <m/>
    <m/>
  </r>
  <r>
    <s v="ID-2019-91-000018"/>
    <x v="5"/>
    <s v="000"/>
    <d v="2019-06-30T00:00:00"/>
    <n v="90772.77"/>
    <m/>
    <s v="9501"/>
    <s v="39520002"/>
    <s v="VC"/>
    <s v="STRAV: Provoz stravování - ostatní stravování"/>
    <m/>
    <d v="2019-06-30T00:00:00"/>
    <m/>
    <m/>
    <m/>
    <s v="343688433,10870"/>
    <b v="1"/>
    <m/>
    <s v="Lexová Martina"/>
    <s v="Zaúčtováno"/>
    <m/>
    <m/>
    <m/>
    <m/>
    <x v="5"/>
    <d v="2019-07-09T10:23:05"/>
    <s v="Vedlejší činnost"/>
    <m/>
    <m/>
    <m/>
    <m/>
    <m/>
    <m/>
    <m/>
  </r>
  <r>
    <s v="ID-2019-91-000021"/>
    <x v="5"/>
    <s v="000"/>
    <d v="2019-07-31T00:00:00"/>
    <n v="88581.88"/>
    <m/>
    <s v="9501"/>
    <s v="39520002"/>
    <s v="VC"/>
    <s v="STRAV: Provoz stravování - ostatní stravování"/>
    <m/>
    <d v="2019-07-31T00:00:00"/>
    <m/>
    <m/>
    <m/>
    <s v="346517544,10870"/>
    <b v="1"/>
    <m/>
    <s v="Lexová Martina"/>
    <s v="Zaúčtováno"/>
    <m/>
    <m/>
    <m/>
    <m/>
    <x v="6"/>
    <d v="2019-08-07T09:50:24"/>
    <s v="Vedlejší činnost"/>
    <m/>
    <m/>
    <m/>
    <m/>
    <m/>
    <m/>
    <m/>
  </r>
  <r>
    <s v="ID-2019-91-000024"/>
    <x v="5"/>
    <s v="000"/>
    <d v="2019-08-31T00:00:00"/>
    <n v="76321.56"/>
    <m/>
    <s v="9501"/>
    <s v="39520002"/>
    <s v="VC"/>
    <s v="STRAV: Provoz stravování - ostatní stravování"/>
    <m/>
    <d v="2019-08-31T00:00:00"/>
    <m/>
    <m/>
    <m/>
    <s v="350041305,10870"/>
    <b v="1"/>
    <m/>
    <s v="Lexová Martina"/>
    <s v="Zaúčtováno"/>
    <m/>
    <m/>
    <m/>
    <m/>
    <x v="7"/>
    <d v="2019-09-09T09:41:59"/>
    <s v="Vedlejší činnost"/>
    <m/>
    <m/>
    <m/>
    <m/>
    <m/>
    <m/>
    <m/>
  </r>
  <r>
    <s v="ID-2019-91-000027"/>
    <x v="5"/>
    <s v="000"/>
    <d v="2019-09-30T00:00:00"/>
    <n v="105382.26"/>
    <m/>
    <s v="9501"/>
    <s v="39520002"/>
    <m/>
    <s v="STRAV: Provoz stravování - ostatní stravování"/>
    <m/>
    <d v="2019-09-30T00:00:00"/>
    <m/>
    <m/>
    <m/>
    <s v="354535015,10870"/>
    <b v="0"/>
    <m/>
    <s v="Lexová Martina"/>
    <s v="Zaúčtováno"/>
    <m/>
    <m/>
    <m/>
    <m/>
    <x v="8"/>
    <d v="2019-10-08T11:42:21"/>
    <m/>
    <m/>
    <m/>
    <m/>
    <m/>
    <m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FV-2019-43-000242"/>
    <x v="0"/>
    <s v="000"/>
    <d v="2019-01-31T00:00:00"/>
    <m/>
    <n v="72984.7"/>
    <s v="9501"/>
    <s v="31105006"/>
    <s v="VC"/>
    <s v="STRAV: Provoz stravování - ostatní stravování"/>
    <s v="Univerzita Palackého v Olomouci"/>
    <d v="2019-02-11T00:00:00"/>
    <d v="2019-01-31T00:00:00"/>
    <s v="943000242"/>
    <s v="F STRAVA UP"/>
    <s v="326654680,10870"/>
    <b v="1"/>
    <m/>
    <s v="Buzková Eva"/>
    <s v="Zaúčtováno"/>
    <m/>
    <m/>
    <m/>
    <m/>
    <x v="0"/>
    <d v="2019-02-12T07:25:39"/>
    <s v="Vedlejší činnost"/>
    <m/>
    <m/>
    <m/>
    <m/>
    <m/>
    <m/>
    <m/>
  </r>
  <r>
    <s v="FV-2019-43-000508"/>
    <x v="1"/>
    <s v="000"/>
    <d v="2019-02-28T00:00:00"/>
    <m/>
    <n v="94183.65"/>
    <s v="9501"/>
    <s v="31105006"/>
    <s v="VC"/>
    <s v="STRAV: Provoz stravování - ostatní stravování"/>
    <s v="Univerzita Palackého v Olomouci"/>
    <d v="2019-03-08T00:00:00"/>
    <d v="2019-02-28T00:00:00"/>
    <s v="943000508"/>
    <s v="F STRAVA UP"/>
    <s v="329831472,10870"/>
    <b v="1"/>
    <m/>
    <s v="Buzková Eva"/>
    <s v="Zaúčtováno"/>
    <m/>
    <m/>
    <m/>
    <m/>
    <x v="1"/>
    <d v="2019-03-08T13:52:22"/>
    <s v="Vedlejší činnost"/>
    <m/>
    <m/>
    <m/>
    <m/>
    <m/>
    <m/>
    <m/>
  </r>
  <r>
    <s v="FV-2019-43-000776"/>
    <x v="1"/>
    <s v="000"/>
    <d v="2019-03-31T00:00:00"/>
    <m/>
    <n v="113390.15"/>
    <s v="9501"/>
    <s v="31105006"/>
    <s v="VC"/>
    <s v="STRAV: Provoz stravování - ostatní stravování"/>
    <s v="Univerzita Palackého v Olomouci"/>
    <d v="2019-04-09T00:00:00"/>
    <d v="2019-03-31T00:00:00"/>
    <s v="943000776"/>
    <s v="F STRAVA UP"/>
    <s v="333714567,10870"/>
    <b v="1"/>
    <m/>
    <s v="Buzková Eva"/>
    <s v="Zaúčtováno"/>
    <m/>
    <m/>
    <m/>
    <m/>
    <x v="2"/>
    <d v="2019-04-10T08:57:47"/>
    <s v="Vedlejší činnost"/>
    <m/>
    <m/>
    <m/>
    <m/>
    <m/>
    <m/>
    <m/>
  </r>
  <r>
    <s v="FV-2019-43-001020"/>
    <x v="2"/>
    <s v="000"/>
    <d v="2019-04-30T00:00:00"/>
    <m/>
    <n v="116531.4"/>
    <s v="9501"/>
    <s v="31105006"/>
    <s v="VC"/>
    <s v="STRAV: Provoz stravování - ostatní stravování"/>
    <s v="Univerzita Palackého v Olomouci"/>
    <d v="2019-05-13T00:00:00"/>
    <d v="2019-04-30T00:00:00"/>
    <s v="943001020"/>
    <s v="F STRAVA UP"/>
    <s v="338256149,10870"/>
    <b v="1"/>
    <m/>
    <s v="Buzková Eva"/>
    <s v="Zaúčtováno"/>
    <m/>
    <m/>
    <m/>
    <m/>
    <x v="3"/>
    <d v="2019-05-14T06:18:31"/>
    <s v="Vedlejší činnost"/>
    <m/>
    <m/>
    <m/>
    <m/>
    <m/>
    <m/>
    <m/>
  </r>
  <r>
    <s v="FV-2019-43-001267"/>
    <x v="3"/>
    <s v="000"/>
    <d v="2019-05-31T00:00:00"/>
    <m/>
    <n v="84724"/>
    <s v="9501"/>
    <s v="31105006"/>
    <s v="VC"/>
    <s v="STRAV: Provoz stravování - ostatní stravování"/>
    <s v="Univerzita Palackého v Olomouci"/>
    <d v="2019-06-07T00:00:00"/>
    <d v="2019-05-31T00:00:00"/>
    <s v="943001267"/>
    <s v="F STRAVA UP"/>
    <s v="340860666,10870"/>
    <b v="1"/>
    <m/>
    <s v="Buzková Eva"/>
    <s v="Zaúčtováno"/>
    <m/>
    <m/>
    <m/>
    <m/>
    <x v="4"/>
    <d v="2019-06-10T06:41:37"/>
    <s v="Vedlejší činnost"/>
    <m/>
    <m/>
    <m/>
    <m/>
    <m/>
    <m/>
    <m/>
  </r>
  <r>
    <s v="FV-2019-43-001515"/>
    <x v="1"/>
    <s v="188"/>
    <d v="2019-06-30T00:00:00"/>
    <m/>
    <n v="21396.400000000001"/>
    <s v="9501"/>
    <s v="31105006"/>
    <s v="VC"/>
    <s v="STRAV: Provoz stravování - ostatní stravování"/>
    <s v="Univerzita Palackého v Olomouci"/>
    <d v="2019-07-08T00:00:00"/>
    <d v="2019-06-30T00:00:00"/>
    <s v="943001515"/>
    <s v="F STRAVA UP"/>
    <s v="343462222,10870"/>
    <b v="1"/>
    <m/>
    <s v="Buzková Eva"/>
    <s v="Zaúčtováno"/>
    <m/>
    <m/>
    <m/>
    <m/>
    <x v="5"/>
    <d v="2019-07-09T06:40:01"/>
    <s v="Vedlejší činnost"/>
    <m/>
    <m/>
    <m/>
    <m/>
    <m/>
    <m/>
    <m/>
  </r>
  <r>
    <s v="FV-2019-43-001729"/>
    <x v="1"/>
    <s v="000"/>
    <d v="2019-07-31T00:00:00"/>
    <m/>
    <n v="12475.25"/>
    <s v="9501"/>
    <s v="31105006"/>
    <s v="VC"/>
    <s v="STRAV: Provoz stravování - ostatní stravování"/>
    <s v="Univerzita Palackého v Olomouci"/>
    <d v="2019-08-09T00:00:00"/>
    <d v="2019-07-31T00:00:00"/>
    <s v="943001729"/>
    <s v="F STRAVA UP"/>
    <s v="346888597,10870"/>
    <b v="1"/>
    <m/>
    <s v="Buzková Eva"/>
    <s v="Zaúčtováno"/>
    <m/>
    <m/>
    <m/>
    <m/>
    <x v="6"/>
    <d v="2019-08-09T08:55:41"/>
    <s v="Vedlejší činnost"/>
    <m/>
    <m/>
    <m/>
    <m/>
    <m/>
    <m/>
    <m/>
  </r>
  <r>
    <s v="FV-2019-43-001928"/>
    <x v="1"/>
    <s v="188"/>
    <d v="2019-08-28T00:00:00"/>
    <m/>
    <n v="11488"/>
    <s v="9501"/>
    <s v="31105006"/>
    <s v="VC"/>
    <s v="STRAV: Provoz stravování - ostatní stravování"/>
    <s v="Univerzita Palackého v Olomouci"/>
    <d v="2019-09-05T00:00:00"/>
    <d v="2019-08-28T00:00:00"/>
    <s v="943001928"/>
    <s v="F STRAVA UP"/>
    <s v="349743562,10870"/>
    <b v="1"/>
    <m/>
    <s v="Buzková Eva"/>
    <s v="Zaúčtováno"/>
    <m/>
    <m/>
    <m/>
    <m/>
    <x v="7"/>
    <d v="2019-09-06T06:45:02"/>
    <s v="Vedlejší činnost"/>
    <m/>
    <m/>
    <m/>
    <m/>
    <m/>
    <m/>
    <m/>
  </r>
  <r>
    <s v="FV-2019-43-002229"/>
    <x v="1"/>
    <n v="188"/>
    <d v="2019-09-30T00:00:00"/>
    <m/>
    <n v="51247.25"/>
    <n v="9501"/>
    <n v="31105006"/>
    <s v="VC"/>
    <s v="STRAV: Provoz stravování - ostatní stravování"/>
    <s v="Univerzita Palackého v Olomouci"/>
    <d v="2019-10-10T00:00:00"/>
    <d v="2019-09-30T00:00:00"/>
    <n v="943002229"/>
    <s v="F STRAVA UP"/>
    <n v="355257310.10869998"/>
    <s v="Ne"/>
    <n v="4"/>
    <s v="Buzková Eva"/>
    <s v="Zaúčtováno"/>
    <m/>
    <m/>
    <m/>
    <m/>
    <x v="8"/>
    <d v="2019-10-11T07:58:51"/>
    <s v="Vedlejší činnost"/>
    <m/>
    <m/>
    <m/>
    <m/>
    <m/>
    <d v="2019-10-11T07:58:51"/>
    <s v="Vedlejší činno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5AB8E4-33EC-40FA-91DF-73BBCC4E61E4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9:K101" firstHeaderRow="1" firstDataRow="2" firstDataCol="1"/>
  <pivotFields count="34">
    <pivotField showAll="0"/>
    <pivotField axis="axisRow" showAll="0">
      <items count="12">
        <item x="7"/>
        <item x="8"/>
        <item x="1"/>
        <item x="3"/>
        <item x="5"/>
        <item x="6"/>
        <item x="0"/>
        <item x="2"/>
        <item x="4"/>
        <item x="9"/>
        <item h="1" x="10"/>
        <item t="default"/>
      </items>
    </pivotField>
    <pivotField showAll="0"/>
    <pivotField numFmtId="14" showAll="0"/>
    <pivotField showAll="0"/>
    <pivotField dataField="1" numFmtId="165"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DAL" fld="5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2C8E0A-E1A6-4305-BC46-5A3011319553}" name="Kontingenční tabulka7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30:K146" firstHeaderRow="1" firstDataRow="2" firstDataCol="1"/>
  <pivotFields count="33">
    <pivotField showAll="0"/>
    <pivotField axis="axisRow" showAll="0">
      <items count="15">
        <item x="13"/>
        <item x="10"/>
        <item x="11"/>
        <item x="12"/>
        <item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numFmtId="14" showAll="0"/>
    <pivotField showAll="0"/>
    <pivotField dataField="1" numFmtId="165" showAll="0"/>
    <pivotField showAll="0"/>
    <pivotField showAll="0"/>
    <pivotField showAll="0"/>
    <pivotField showAll="0"/>
    <pivotField showAll="0"/>
    <pivotField numFmtId="166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DAL" fld="5" baseField="0" baseItem="0" numFmtId="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4D84D-9FEB-4F16-9EC7-4902B5F37CAC}" name="Kontingenční tabulka4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4:K62" firstHeaderRow="1" firstDataRow="2" firstDataCol="1"/>
  <pivotFields count="34">
    <pivotField showAll="0"/>
    <pivotField axis="axisRow" showAll="0">
      <items count="7">
        <item x="5"/>
        <item x="1"/>
        <item x="2"/>
        <item x="4"/>
        <item x="3"/>
        <item x="0"/>
        <item t="default"/>
      </items>
    </pivotField>
    <pivotField showAll="0"/>
    <pivotField numFmtId="14" showAll="0"/>
    <pivotField dataField="1" numFmtId="165"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MD" fld="4" baseField="0" baseItem="0" numFmtId="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4AB8D6-5825-4173-90C0-245512925BBA}" name="Kontingenční tabulka5" cacheId="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13:K119" firstHeaderRow="1" firstDataRow="2" firstDataCol="1"/>
  <pivotFields count="34"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numFmtId="14" showAll="0"/>
    <pivotField showAll="0"/>
    <pivotField dataField="1" numFmtId="165" showAll="0"/>
    <pivotField showAll="0"/>
    <pivotField showAll="0"/>
    <pivotField showAll="0"/>
    <pivotField showAll="0"/>
    <pivotField showAll="0"/>
    <pivotField numFmtId="166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DAL" fld="5" baseField="0" baseItem="0" numFmtId="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632562-875D-4022-A6B8-AE62BEFA4B6A}" name="Kontingenční tabulka9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73:K204" firstHeaderRow="1" firstDataRow="2" firstDataCol="1"/>
  <pivotFields count="34">
    <pivotField showAll="0"/>
    <pivotField axis="axisRow" showAll="0">
      <items count="31">
        <item x="1"/>
        <item x="14"/>
        <item x="4"/>
        <item x="7"/>
        <item x="8"/>
        <item x="10"/>
        <item x="12"/>
        <item x="13"/>
        <item x="5"/>
        <item x="9"/>
        <item x="2"/>
        <item x="6"/>
        <item x="3"/>
        <item x="11"/>
        <item x="0"/>
        <item x="28"/>
        <item x="25"/>
        <item x="26"/>
        <item x="27"/>
        <item x="24"/>
        <item x="15"/>
        <item x="16"/>
        <item x="17"/>
        <item x="18"/>
        <item x="19"/>
        <item x="20"/>
        <item x="21"/>
        <item x="22"/>
        <item x="23"/>
        <item x="29"/>
        <item t="default"/>
      </items>
    </pivotField>
    <pivotField showAll="0"/>
    <pivotField numFmtId="14" showAll="0"/>
    <pivotField showAll="0"/>
    <pivotField dataField="1" numFmtId="165" showAll="0"/>
    <pivotField showAll="0"/>
    <pivotField showAll="0"/>
    <pivotField showAll="0"/>
    <pivotField showAll="0"/>
    <pivotField showAll="0"/>
    <pivotField numFmtId="166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x="1"/>
        <item x="2"/>
        <item x="3"/>
        <item x="4"/>
        <item x="5"/>
        <item x="6"/>
        <item x="7"/>
        <item x="0"/>
        <item x="8"/>
        <item h="1" x="9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DAL" fld="5" baseField="0" baseItem="0" numFmtId="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70FBE-D311-4DE0-9DD6-6CBFA1607C22}" name="Kontingenční tabulka2" cacheId="12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>
  <location ref="A34:K40" firstHeaderRow="1" firstDataRow="2" firstDataCol="1"/>
  <pivotFields count="34"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numFmtId="14" showAll="0"/>
    <pivotField dataField="1" numFmtId="165"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MD" fld="4" baseField="0" baseItem="0" numFmtId="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788A6-68FE-424B-BE7D-0811EF320204}" name="Kontingenční tabulka1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U19" firstHeaderRow="1" firstDataRow="3" firstDataCol="1"/>
  <pivotFields count="34">
    <pivotField showAll="0"/>
    <pivotField axis="axisRow" showAll="0">
      <items count="12">
        <item x="10"/>
        <item x="3"/>
        <item x="5"/>
        <item x="8"/>
        <item x="7"/>
        <item x="0"/>
        <item x="1"/>
        <item x="9"/>
        <item x="2"/>
        <item x="4"/>
        <item x="6"/>
        <item t="default"/>
      </items>
    </pivotField>
    <pivotField showAll="0"/>
    <pivotField numFmtId="14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24"/>
    <field x="-2"/>
  </colFields>
  <colItems count="2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 t="grand">
      <x/>
    </i>
    <i t="grand" i="1">
      <x/>
    </i>
  </colItems>
  <dataFields count="2">
    <dataField name="Součet z Částka MD" fld="4" baseField="0" baseItem="0" numFmtId="4"/>
    <dataField name="Součet z Částka DAL" fld="5" baseField="0" baseItem="0"/>
  </dataFields>
  <formats count="16">
    <format dxfId="21">
      <pivotArea outline="0" collapsedLevelsAreSubtotals="1" fieldPosition="0"/>
    </format>
    <format dxfId="20">
      <pivotArea grandRow="1" grandCol="1" outline="0" collapsedLevelsAreSubtotals="1" fieldPosition="0"/>
    </format>
    <format dxfId="19">
      <pivotArea field="1" type="button" dataOnly="0" labelOnly="1" outline="0" axis="axisRow" fieldPosition="0"/>
    </format>
    <format dxfId="18">
      <pivotArea field="2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">
      <pivotArea field="2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1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4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5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6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7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24" count="1" selected="0">
            <x v="8"/>
          </reference>
        </references>
      </pivotArea>
    </format>
    <format dxfId="7">
      <pivotArea dataOnly="0" labelOnly="1" fieldPosition="0">
        <references count="1">
          <reference field="24" count="3">
            <x v="0"/>
            <x v="1"/>
            <x v="2"/>
          </reference>
        </references>
      </pivotArea>
    </format>
    <format dxfId="6">
      <pivotArea dataOnly="0" labelOnly="1" fieldPosition="0">
        <references count="1">
          <reference field="2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4EABF2-F6D3-4816-A89D-65A84DFFCFCE}" name="Kontingenční tabulka8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60:K166" firstHeaderRow="1" firstDataRow="2" firstDataCol="1"/>
  <pivotFields count="34"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numFmtId="14" showAll="0"/>
    <pivotField showAll="0"/>
    <pivotField dataField="1" numFmtId="165" showAll="0"/>
    <pivotField showAll="0"/>
    <pivotField showAll="0"/>
    <pivotField showAll="0"/>
    <pivotField showAll="0"/>
    <pivotField showAll="0"/>
    <pivotField numFmtId="166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DAL" fld="5" baseField="0" baseItem="0" numFmtId="4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6FFD7D-9363-4A4B-898E-5B270B3CE1E7}" name="Kontingenční tabulka6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69:J79" firstHeaderRow="1" firstDataRow="2" firstDataCol="1"/>
  <pivotFields count="34">
    <pivotField showAll="0"/>
    <pivotField axis="axisRow" showAll="0">
      <items count="9">
        <item x="1"/>
        <item x="2"/>
        <item x="3"/>
        <item x="4"/>
        <item x="5"/>
        <item x="6"/>
        <item x="0"/>
        <item x="7"/>
        <item t="default"/>
      </items>
    </pivotField>
    <pivotField showAll="0"/>
    <pivotField numFmtId="14" showAll="0"/>
    <pivotField dataField="1" numFmtId="165" showAll="0"/>
    <pivotField showAll="0"/>
    <pivotField showAll="0"/>
    <pivotField showAll="0"/>
    <pivotField showAll="0"/>
    <pivotField showAll="0"/>
    <pivotField showAll="0"/>
    <pivotField numFmtId="166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MD" fld="4" baseField="0" baseItem="0" numFmtId="4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52:F71" totalsRowShown="0" headerRowDxfId="163" dataDxfId="162" tableBorderDxfId="161">
  <tableColumns count="6">
    <tableColumn id="1" xr3:uid="{00000000-0010-0000-0000-000001000000}" name="_" dataDxfId="160"/>
    <tableColumn id="2" xr3:uid="{00000000-0010-0000-0000-000002000000}" name="cena surovin/porce" dataDxfId="159"/>
    <tableColumn id="3" xr3:uid="{00000000-0010-0000-0000-000003000000}" name="počet porcí/rok" dataDxfId="158"/>
    <tableColumn id="5" xr3:uid="{00000000-0010-0000-0000-000005000000}" name="cena/porce" dataDxfId="157"/>
    <tableColumn id="7" xr3:uid="{00000000-0010-0000-0000-000007000000}" name="celková cena" dataDxfId="156"/>
    <tableColumn id="8" xr3:uid="{00000000-0010-0000-0000-000008000000}" name="účet" dataDxfId="155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ulka28" displayName="Tabulka28" ref="A2:F21" totalsRowShown="0" tableBorderDxfId="154">
  <tableColumns count="6">
    <tableColumn id="1" xr3:uid="{00000000-0010-0000-0100-000001000000}" name="_"/>
    <tableColumn id="2" xr3:uid="{00000000-0010-0000-0100-000002000000}" name="cena surovin/porce"/>
    <tableColumn id="3" xr3:uid="{00000000-0010-0000-0100-000003000000}" name="počet porcí/rok"/>
    <tableColumn id="5" xr3:uid="{00000000-0010-0000-0100-000005000000}" name="cena/porce"/>
    <tableColumn id="7" xr3:uid="{00000000-0010-0000-0100-000007000000}" name="celková cena" dataDxfId="153"/>
    <tableColumn id="8" xr3:uid="{00000000-0010-0000-0100-000008000000}" name="účet" dataDxfId="15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7" displayName="Tabulka7" ref="A49:N58" totalsRowCount="1" headerRowDxfId="151" dataDxfId="150" totalsRowDxfId="148" tableBorderDxfId="149" headerRowCellStyle="Normální 2" dataCellStyle="Normální 2" totalsRowCellStyle="Normální 2">
  <tableColumns count="14">
    <tableColumn id="1" xr3:uid="{00000000-0010-0000-0200-000001000000}" name="_" totalsRowLabel="celkem vč.pacientské" dataDxfId="147" totalsRowDxfId="146" dataCellStyle="Normální 2"/>
    <tableColumn id="2" xr3:uid="{00000000-0010-0000-0200-000002000000}" name="01/2016" totalsRowFunction="custom" dataDxfId="145" totalsRowDxfId="144" dataCellStyle="Normální 2">
      <totalsRowFormula>SUM(B56:B57)</totalsRowFormula>
    </tableColumn>
    <tableColumn id="3" xr3:uid="{00000000-0010-0000-0200-000003000000}" name="02/2016" totalsRowFunction="custom" dataDxfId="143" totalsRowDxfId="142" dataCellStyle="Normální 2">
      <totalsRowFormula>SUM(C56:C57)</totalsRowFormula>
    </tableColumn>
    <tableColumn id="4" xr3:uid="{00000000-0010-0000-0200-000004000000}" name="03/2016" totalsRowFunction="custom" dataDxfId="141" totalsRowDxfId="140" dataCellStyle="Normální 2">
      <totalsRowFormula>SUM(D56:D57)</totalsRowFormula>
    </tableColumn>
    <tableColumn id="5" xr3:uid="{00000000-0010-0000-0200-000005000000}" name="04/2016" totalsRowFunction="custom" dataDxfId="139" totalsRowDxfId="138" dataCellStyle="Normální 2">
      <totalsRowFormula>SUM(E56:E57)</totalsRowFormula>
    </tableColumn>
    <tableColumn id="6" xr3:uid="{00000000-0010-0000-0200-000006000000}" name="05/2016" totalsRowFunction="custom" dataDxfId="137" totalsRowDxfId="136" dataCellStyle="Normální 2">
      <totalsRowFormula>SUM(F56:F57)</totalsRowFormula>
    </tableColumn>
    <tableColumn id="7" xr3:uid="{00000000-0010-0000-0200-000007000000}" name="06/2016" totalsRowFunction="custom" dataDxfId="135" totalsRowDxfId="134" dataCellStyle="Normální 2">
      <totalsRowFormula>SUM(G56:G57)</totalsRowFormula>
    </tableColumn>
    <tableColumn id="8" xr3:uid="{00000000-0010-0000-0200-000008000000}" name="07/2016" totalsRowFunction="custom" dataDxfId="133" totalsRowDxfId="132" dataCellStyle="Normální 2">
      <totalsRowFormula>SUM(H56:H57)</totalsRowFormula>
    </tableColumn>
    <tableColumn id="9" xr3:uid="{00000000-0010-0000-0200-000009000000}" name="08/2016" totalsRowFunction="custom" dataDxfId="131" totalsRowDxfId="130" dataCellStyle="Normální 2">
      <totalsRowFormula>SUM(I56:I57)</totalsRowFormula>
    </tableColumn>
    <tableColumn id="10" xr3:uid="{00000000-0010-0000-0200-00000A000000}" name="09/2016" totalsRowFunction="custom" dataDxfId="129" totalsRowDxfId="128" dataCellStyle="Normální 2">
      <totalsRowFormula>SUM(J56:J57)</totalsRowFormula>
    </tableColumn>
    <tableColumn id="11" xr3:uid="{00000000-0010-0000-0200-00000B000000}" name="10/2016" totalsRowFunction="custom" dataDxfId="127" totalsRowDxfId="126" dataCellStyle="Normální 2">
      <totalsRowFormula>SUM(K56:K57)</totalsRowFormula>
    </tableColumn>
    <tableColumn id="12" xr3:uid="{00000000-0010-0000-0200-00000C000000}" name="11/2016" totalsRowFunction="custom" dataDxfId="125" totalsRowDxfId="124" dataCellStyle="Normální 2">
      <totalsRowFormula>SUM(L56:L57)</totalsRowFormula>
    </tableColumn>
    <tableColumn id="13" xr3:uid="{00000000-0010-0000-0200-00000D000000}" name="12/2016" totalsRowFunction="custom" dataDxfId="123" totalsRowDxfId="122" dataCellStyle="Normální 2">
      <totalsRowFormula>SUM(M56:M57)</totalsRowFormula>
    </tableColumn>
    <tableColumn id="14" xr3:uid="{00000000-0010-0000-0200-00000E000000}" name="Celkem" totalsRowFunction="custom" dataDxfId="121" totalsRowDxfId="120" dataCellStyle="Normální 2">
      <calculatedColumnFormula>SUM(B50:M50)</calculatedColumnFormula>
      <totalsRowFormula>SUM(B58:M58)</totalsRow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ulka74" displayName="Tabulka74" ref="A60:N69" totalsRowCount="1" headerRowDxfId="119" dataDxfId="118" totalsRowDxfId="116" tableBorderDxfId="117" headerRowCellStyle="Normální 2" dataCellStyle="Normální 2" totalsRowCellStyle="Normální 2">
  <tableColumns count="14">
    <tableColumn id="1" xr3:uid="{00000000-0010-0000-0300-000001000000}" name="_" totalsRowLabel="celkem vč.pacientské" dataDxfId="115" totalsRowDxfId="114" dataCellStyle="Normální 2"/>
    <tableColumn id="2" xr3:uid="{00000000-0010-0000-0300-000002000000}" name="01/2015" totalsRowFunction="custom" dataDxfId="113" totalsRowDxfId="112" dataCellStyle="Normální 2">
      <totalsRowFormula>SUM(B67:B68)</totalsRowFormula>
    </tableColumn>
    <tableColumn id="3" xr3:uid="{00000000-0010-0000-0300-000003000000}" name="02/2015" totalsRowFunction="custom" dataDxfId="111" totalsRowDxfId="110" dataCellStyle="Normální 2">
      <totalsRowFormula>SUM(C67:C68)</totalsRowFormula>
    </tableColumn>
    <tableColumn id="4" xr3:uid="{00000000-0010-0000-0300-000004000000}" name="03/2015" totalsRowFunction="custom" dataDxfId="109" totalsRowDxfId="108" dataCellStyle="Normální 2">
      <totalsRowFormula>SUM(D67:D68)</totalsRowFormula>
    </tableColumn>
    <tableColumn id="5" xr3:uid="{00000000-0010-0000-0300-000005000000}" name="04/2015" totalsRowFunction="custom" dataDxfId="107" totalsRowDxfId="106" dataCellStyle="Normální 2">
      <totalsRowFormula>SUM(E67:E68)</totalsRowFormula>
    </tableColumn>
    <tableColumn id="6" xr3:uid="{00000000-0010-0000-0300-000006000000}" name="05/2015" totalsRowFunction="custom" dataDxfId="105" totalsRowDxfId="104" dataCellStyle="Normální 2">
      <totalsRowFormula>SUM(F67:F68)</totalsRowFormula>
    </tableColumn>
    <tableColumn id="7" xr3:uid="{00000000-0010-0000-0300-000007000000}" name="06/2015" totalsRowFunction="custom" dataDxfId="103" totalsRowDxfId="102" dataCellStyle="Normální 2">
      <totalsRowFormula>SUM(G67:G68)</totalsRowFormula>
    </tableColumn>
    <tableColumn id="8" xr3:uid="{00000000-0010-0000-0300-000008000000}" name="07/2015" totalsRowFunction="custom" dataDxfId="101" totalsRowDxfId="100" dataCellStyle="Normální 2">
      <totalsRowFormula>SUM(H67:H68)</totalsRowFormula>
    </tableColumn>
    <tableColumn id="9" xr3:uid="{00000000-0010-0000-0300-000009000000}" name="08/2015" totalsRowFunction="custom" dataDxfId="99" totalsRowDxfId="98" dataCellStyle="Normální 2">
      <totalsRowFormula>SUM(I67:I68)</totalsRowFormula>
    </tableColumn>
    <tableColumn id="10" xr3:uid="{00000000-0010-0000-0300-00000A000000}" name="09/2015" totalsRowFunction="custom" dataDxfId="97" totalsRowDxfId="96" dataCellStyle="Normální 2">
      <totalsRowFormula>SUM(J67:J68)</totalsRowFormula>
    </tableColumn>
    <tableColumn id="11" xr3:uid="{00000000-0010-0000-0300-00000B000000}" name="10/2015" totalsRowFunction="custom" dataDxfId="95" totalsRowDxfId="94" dataCellStyle="Normální 2">
      <totalsRowFormula>SUM(K67:K68)</totalsRowFormula>
    </tableColumn>
    <tableColumn id="12" xr3:uid="{00000000-0010-0000-0300-00000C000000}" name="11/2015" totalsRowFunction="custom" dataDxfId="93" totalsRowDxfId="92" dataCellStyle="Normální 2">
      <totalsRowFormula>SUM(L67:L68)</totalsRowFormula>
    </tableColumn>
    <tableColumn id="13" xr3:uid="{00000000-0010-0000-0300-00000D000000}" name="12/2015" totalsRowFunction="custom" dataDxfId="91" totalsRowDxfId="90" dataCellStyle="Normální 2">
      <totalsRowFormula>SUM(M67:M68)</totalsRowFormula>
    </tableColumn>
    <tableColumn id="14" xr3:uid="{00000000-0010-0000-0300-00000E000000}" name="Celkem" totalsRowFunction="custom" dataDxfId="89" totalsRowDxfId="88" dataCellStyle="Normální 2">
      <calculatedColumnFormula>SUM(B61:M61)</calculatedColumnFormula>
      <totalsRowFormula>SUM(B69:M69)</totalsRowFormula>
    </tableColumn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ulka75" displayName="Tabulka75" ref="A19:N30" totalsRowCount="1" headerRowDxfId="87" dataDxfId="86" totalsRowDxfId="84" tableBorderDxfId="85" headerRowCellStyle="Normální 2" dataCellStyle="Normální 2" totalsRowCellStyle="Normální 2">
  <tableColumns count="14">
    <tableColumn id="1" xr3:uid="{00000000-0010-0000-0400-000001000000}" name="_" totalsRowLabel="celkem vč.pacientské" dataDxfId="83" totalsRowDxfId="82" dataCellStyle="Normální 2"/>
    <tableColumn id="2" xr3:uid="{00000000-0010-0000-0400-000002000000}" name="1 /2018" totalsRowFunction="custom" dataDxfId="81" totalsRowDxfId="80" dataCellStyle="Normální 2">
      <totalsRowFormula>SUM(B28:B29)</totalsRowFormula>
    </tableColumn>
    <tableColumn id="3" xr3:uid="{00000000-0010-0000-0400-000003000000}" name="2/2018" totalsRowFunction="custom" dataDxfId="79" totalsRowDxfId="78" dataCellStyle="Normální 2">
      <totalsRowFormula>SUM(C28:C29)</totalsRowFormula>
    </tableColumn>
    <tableColumn id="4" xr3:uid="{00000000-0010-0000-0400-000004000000}" name="3/2018" totalsRowFunction="custom" dataDxfId="77" totalsRowDxfId="76" dataCellStyle="Normální 2">
      <totalsRowFormula>SUM(D28:D29)</totalsRowFormula>
    </tableColumn>
    <tableColumn id="5" xr3:uid="{00000000-0010-0000-0400-000005000000}" name="4/2018" totalsRowFunction="custom" dataDxfId="75" totalsRowDxfId="74" dataCellStyle="Normální 2">
      <totalsRowFormula>SUM(E28:E29)</totalsRowFormula>
    </tableColumn>
    <tableColumn id="6" xr3:uid="{00000000-0010-0000-0400-000006000000}" name="5/2018" totalsRowFunction="custom" dataDxfId="73" totalsRowDxfId="72" dataCellStyle="Normální 2">
      <totalsRowFormula>SUM(F28:F29)</totalsRowFormula>
    </tableColumn>
    <tableColumn id="7" xr3:uid="{00000000-0010-0000-0400-000007000000}" name="6/2018" totalsRowFunction="custom" dataDxfId="71" totalsRowDxfId="70" dataCellStyle="Normální 2">
      <totalsRowFormula>SUM(G28:G29)</totalsRowFormula>
    </tableColumn>
    <tableColumn id="8" xr3:uid="{00000000-0010-0000-0400-000008000000}" name="7/2018" totalsRowFunction="custom" dataDxfId="69" totalsRowDxfId="68" dataCellStyle="Normální 2">
      <totalsRowFormula>SUM(H28:H29)</totalsRowFormula>
    </tableColumn>
    <tableColumn id="9" xr3:uid="{00000000-0010-0000-0400-000009000000}" name="8/2018" totalsRowFunction="custom" dataDxfId="67" totalsRowDxfId="66" dataCellStyle="Normální 2">
      <totalsRowFormula>SUM(I28:I29)</totalsRowFormula>
    </tableColumn>
    <tableColumn id="10" xr3:uid="{00000000-0010-0000-0400-00000A000000}" name="9/2018" totalsRowFunction="custom" dataDxfId="65" totalsRowDxfId="64" dataCellStyle="Normální 2">
      <totalsRowFormula>SUM(J28:J29)</totalsRowFormula>
    </tableColumn>
    <tableColumn id="11" xr3:uid="{00000000-0010-0000-0400-00000B000000}" name="10/2018" totalsRowFunction="custom" dataDxfId="63" totalsRowDxfId="62" dataCellStyle="Normální 2">
      <totalsRowFormula>SUM(K28:K29)</totalsRowFormula>
    </tableColumn>
    <tableColumn id="12" xr3:uid="{00000000-0010-0000-0400-00000C000000}" name="11/2018" totalsRowFunction="custom" dataDxfId="61" totalsRowDxfId="60" dataCellStyle="Normální 2">
      <totalsRowFormula>SUM(L28:L29)</totalsRowFormula>
    </tableColumn>
    <tableColumn id="13" xr3:uid="{00000000-0010-0000-0400-00000D000000}" name="12/2018" totalsRowFunction="custom" dataDxfId="59" totalsRowDxfId="58" dataCellStyle="Normální 2">
      <totalsRowFormula>SUM(M28:M29)</totalsRowFormula>
    </tableColumn>
    <tableColumn id="14" xr3:uid="{00000000-0010-0000-0400-00000E000000}" name="Celkem" totalsRowFunction="custom" dataDxfId="57" totalsRowDxfId="56" dataCellStyle="Normální 2">
      <calculatedColumnFormula>SUM(B20:M20)</calculatedColumnFormula>
      <totalsRowFormula>SUM(B30:M30)</totalsRow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ulka76" displayName="Tabulka76" ref="A3:N14" totalsRowCount="1" headerRowDxfId="55" dataDxfId="54" totalsRowDxfId="52" tableBorderDxfId="53" headerRowCellStyle="Normální 2" dataCellStyle="Normální 2" totalsRowCellStyle="Normální 2">
  <tableColumns count="14">
    <tableColumn id="1" xr3:uid="{00000000-0010-0000-0500-000001000000}" name="_" totalsRowLabel="celkem vč.pacientské" dataDxfId="51" totalsRowDxfId="50"/>
    <tableColumn id="2" xr3:uid="{00000000-0010-0000-0500-000002000000}" name="1 /2019" totalsRowFunction="custom" dataDxfId="49" totalsRowDxfId="48">
      <totalsRowFormula>SUM(B12:B13)</totalsRowFormula>
    </tableColumn>
    <tableColumn id="3" xr3:uid="{00000000-0010-0000-0500-000003000000}" name="2 /2019" totalsRowFunction="custom" dataDxfId="47" totalsRowDxfId="46" dataCellStyle="Normální 2">
      <totalsRowFormula>SUM(C12:C13)</totalsRowFormula>
    </tableColumn>
    <tableColumn id="4" xr3:uid="{00000000-0010-0000-0500-000004000000}" name="3 /2019" totalsRowFunction="custom" dataDxfId="45" totalsRowDxfId="44" dataCellStyle="Normální 2">
      <totalsRowFormula>SUM(D12:D13)</totalsRowFormula>
    </tableColumn>
    <tableColumn id="5" xr3:uid="{00000000-0010-0000-0500-000005000000}" name="4 /2019" totalsRowFunction="custom" dataDxfId="43" totalsRowDxfId="42" dataCellStyle="Normální 2">
      <calculatedColumnFormula>#REF!</calculatedColumnFormula>
      <totalsRowFormula>SUM(E12:E13)</totalsRowFormula>
    </tableColumn>
    <tableColumn id="6" xr3:uid="{00000000-0010-0000-0500-000006000000}" name="5 /2019" totalsRowFunction="custom" dataDxfId="41" totalsRowDxfId="40" dataCellStyle="Normální 2">
      <totalsRowFormula>SUM(F12:F13)</totalsRowFormula>
    </tableColumn>
    <tableColumn id="7" xr3:uid="{00000000-0010-0000-0500-000007000000}" name="6 /2019" totalsRowFunction="custom" dataDxfId="39" totalsRowDxfId="38" dataCellStyle="Normální 2">
      <totalsRowFormula>SUM(G12:G13)</totalsRowFormula>
    </tableColumn>
    <tableColumn id="8" xr3:uid="{00000000-0010-0000-0500-000008000000}" name="7 /2019" totalsRowFunction="custom" dataDxfId="37" totalsRowDxfId="36" dataCellStyle="Normální 2">
      <totalsRowFormula>SUM(H12:H13)</totalsRowFormula>
    </tableColumn>
    <tableColumn id="9" xr3:uid="{00000000-0010-0000-0500-000009000000}" name="8 /2019" totalsRowFunction="custom" dataDxfId="35" totalsRowDxfId="34" dataCellStyle="Normální 2">
      <totalsRowFormula>SUM(I12:I13)</totalsRowFormula>
    </tableColumn>
    <tableColumn id="10" xr3:uid="{00000000-0010-0000-0500-00000A000000}" name="9 /2019" totalsRowFunction="custom" dataDxfId="33" totalsRowDxfId="32" dataCellStyle="Normální 2">
      <totalsRowFormula>SUM(J12:J13)</totalsRowFormula>
    </tableColumn>
    <tableColumn id="11" xr3:uid="{00000000-0010-0000-0500-00000B000000}" name="10 /2019" totalsRowFunction="custom" dataDxfId="31" totalsRowDxfId="30" dataCellStyle="Normální 2">
      <totalsRowFormula>SUM(K12:K13)</totalsRowFormula>
    </tableColumn>
    <tableColumn id="12" xr3:uid="{00000000-0010-0000-0500-00000C000000}" name="11 /2019" totalsRowFunction="custom" dataDxfId="29" totalsRowDxfId="28" dataCellStyle="Normální 2">
      <totalsRowFormula>SUM(L12:L13)</totalsRowFormula>
    </tableColumn>
    <tableColumn id="13" xr3:uid="{00000000-0010-0000-0500-00000D000000}" name="12 /2019" totalsRowFunction="custom" dataDxfId="27" totalsRowDxfId="26" dataCellStyle="Normální 2">
      <totalsRowFormula>SUM(M12:M13)</totalsRowFormula>
    </tableColumn>
    <tableColumn id="14" xr3:uid="{00000000-0010-0000-0500-00000E000000}" name="Celkem" totalsRowFunction="custom" dataDxfId="25" totalsRowDxfId="24" dataCellStyle="Normální 2">
      <calculatedColumnFormula>SUM(B4:M4)</calculatedColumnFormula>
      <totalsRowFormula>SUM(B14:M14)</totalsRow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94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21.42578125" style="6" customWidth="1"/>
    <col min="2" max="2" width="25.42578125" style="6" customWidth="1"/>
    <col min="3" max="3" width="15.28515625" style="6" customWidth="1"/>
    <col min="4" max="4" width="13.7109375" style="6" bestFit="1" customWidth="1"/>
    <col min="5" max="5" width="16.140625" style="6" customWidth="1"/>
    <col min="6" max="6" width="15.140625" style="6" customWidth="1"/>
    <col min="7" max="7" width="16.5703125" style="6" customWidth="1"/>
    <col min="8" max="8" width="17.7109375" style="6" customWidth="1"/>
    <col min="9" max="9" width="39.140625" style="6" customWidth="1"/>
    <col min="10" max="10" width="13.85546875" style="6" bestFit="1" customWidth="1"/>
    <col min="11" max="11" width="32.7109375" style="6" customWidth="1"/>
    <col min="12" max="16384" width="9.140625" style="6"/>
  </cols>
  <sheetData>
    <row r="1" spans="1:11" ht="15.75" x14ac:dyDescent="0.25">
      <c r="A1" s="5" t="s">
        <v>303</v>
      </c>
      <c r="G1" s="7"/>
    </row>
    <row r="2" spans="1:11" x14ac:dyDescent="0.25">
      <c r="A2" s="8" t="s">
        <v>138</v>
      </c>
      <c r="B2" s="9" t="s">
        <v>139</v>
      </c>
      <c r="C2" s="9" t="s">
        <v>140</v>
      </c>
      <c r="D2" s="9" t="s">
        <v>141</v>
      </c>
      <c r="E2" s="9" t="s">
        <v>142</v>
      </c>
      <c r="F2" s="9" t="s">
        <v>143</v>
      </c>
      <c r="G2" s="350"/>
    </row>
    <row r="3" spans="1:11" x14ac:dyDescent="0.25">
      <c r="A3" s="10" t="s">
        <v>144</v>
      </c>
      <c r="C3" s="11">
        <f>'Počet porcí 2019'!P4</f>
        <v>500318.33333333337</v>
      </c>
      <c r="D3" s="12">
        <v>22.6</v>
      </c>
      <c r="E3" s="13">
        <f>D3*C3</f>
        <v>11307194.333333336</v>
      </c>
      <c r="F3" s="14" t="s">
        <v>145</v>
      </c>
      <c r="G3" s="15"/>
      <c r="J3" s="16"/>
      <c r="K3" s="11"/>
    </row>
    <row r="4" spans="1:11" x14ac:dyDescent="0.25">
      <c r="A4" s="10" t="s">
        <v>146</v>
      </c>
      <c r="D4" s="12">
        <f>9.83+2</f>
        <v>11.83</v>
      </c>
      <c r="E4" s="13">
        <f>C3*D4</f>
        <v>5918765.8833333338</v>
      </c>
      <c r="F4" s="14" t="s">
        <v>147</v>
      </c>
      <c r="G4" s="348"/>
      <c r="H4" s="17"/>
      <c r="I4" s="63"/>
      <c r="J4" s="16"/>
      <c r="K4" s="11"/>
    </row>
    <row r="5" spans="1:11" x14ac:dyDescent="0.25">
      <c r="A5" s="6" t="s">
        <v>148</v>
      </c>
      <c r="D5" s="12">
        <v>34.43</v>
      </c>
      <c r="E5" s="18">
        <f>SUM(E3:E4)</f>
        <v>17225960.216666669</v>
      </c>
      <c r="F5" s="19"/>
      <c r="G5" s="20"/>
      <c r="J5" s="16"/>
      <c r="K5" s="11"/>
    </row>
    <row r="6" spans="1:11" ht="15.75" thickBot="1" x14ac:dyDescent="0.3">
      <c r="A6" s="21" t="s">
        <v>149</v>
      </c>
      <c r="B6" s="22">
        <v>34.43</v>
      </c>
      <c r="C6" s="23"/>
      <c r="D6" s="24"/>
      <c r="E6" s="25">
        <f>B6*C3</f>
        <v>17225960.216666669</v>
      </c>
      <c r="F6" s="26" t="s">
        <v>150</v>
      </c>
      <c r="G6" s="349"/>
      <c r="J6" s="16"/>
      <c r="K6" s="11"/>
    </row>
    <row r="7" spans="1:11" ht="15.75" thickTop="1" x14ac:dyDescent="0.25">
      <c r="A7" s="10" t="s">
        <v>151</v>
      </c>
      <c r="B7" s="27"/>
      <c r="C7" s="11">
        <f>'Počet porcí 2019'!P5</f>
        <v>17925.333333333336</v>
      </c>
      <c r="D7" s="12">
        <v>20.393016268886832</v>
      </c>
      <c r="E7" s="13">
        <f>Tabulka28[[#This Row],[cena/porce]]*Tabulka28[[#This Row],[počet porcí/rok]]</f>
        <v>365551.61429188616</v>
      </c>
      <c r="F7" s="14" t="s">
        <v>145</v>
      </c>
      <c r="G7" s="20"/>
      <c r="J7" s="16"/>
      <c r="K7" s="11"/>
    </row>
    <row r="8" spans="1:11" x14ac:dyDescent="0.25">
      <c r="A8" s="10" t="s">
        <v>146</v>
      </c>
      <c r="B8" s="27"/>
      <c r="D8" s="12">
        <v>10.67</v>
      </c>
      <c r="E8" s="13">
        <f>C7*Tabulka28[[#This Row],[cena/porce]]</f>
        <v>191263.3066666667</v>
      </c>
      <c r="F8" s="14" t="s">
        <v>147</v>
      </c>
      <c r="G8" s="268"/>
      <c r="J8" s="16"/>
      <c r="K8" s="11"/>
    </row>
    <row r="9" spans="1:11" x14ac:dyDescent="0.25">
      <c r="A9" s="6" t="s">
        <v>148</v>
      </c>
      <c r="B9" s="27"/>
      <c r="D9" s="12">
        <f>+D8+D7</f>
        <v>31.063016268886834</v>
      </c>
      <c r="E9" s="18">
        <f>SUM(E7:E8)</f>
        <v>556814.92095855286</v>
      </c>
      <c r="F9" s="28"/>
    </row>
    <row r="10" spans="1:11" ht="15.75" thickBot="1" x14ac:dyDescent="0.3">
      <c r="A10" s="21" t="s">
        <v>152</v>
      </c>
      <c r="B10" s="29">
        <v>31.06</v>
      </c>
      <c r="C10" s="30"/>
      <c r="D10" s="31"/>
      <c r="E10" s="32">
        <f>Tabulka28[[#This Row],[cena surovin/porce]]*C7</f>
        <v>556760.85333333339</v>
      </c>
      <c r="F10" s="26" t="s">
        <v>150</v>
      </c>
      <c r="G10" s="268"/>
    </row>
    <row r="11" spans="1:11" ht="15.75" thickTop="1" x14ac:dyDescent="0.25">
      <c r="A11" s="10" t="s">
        <v>153</v>
      </c>
      <c r="C11" s="11">
        <f>'Počet porcí 2019'!P6+'Počet porcí 2019'!P11</f>
        <v>49255.133333333339</v>
      </c>
      <c r="D11" s="12">
        <v>34.43</v>
      </c>
      <c r="E11" s="13">
        <f>C11*D11</f>
        <v>1695854.2406666668</v>
      </c>
      <c r="F11" s="14" t="s">
        <v>154</v>
      </c>
    </row>
    <row r="12" spans="1:11" x14ac:dyDescent="0.25">
      <c r="A12" s="10"/>
      <c r="D12" s="12">
        <v>17.95</v>
      </c>
      <c r="E12" s="13">
        <f>C11*D12</f>
        <v>884129.64333333343</v>
      </c>
      <c r="F12" s="14" t="s">
        <v>155</v>
      </c>
    </row>
    <row r="13" spans="1:11" ht="15.75" thickBot="1" x14ac:dyDescent="0.3">
      <c r="A13" s="21" t="s">
        <v>156</v>
      </c>
      <c r="B13" s="22">
        <v>34.43</v>
      </c>
      <c r="C13" s="23"/>
      <c r="D13" s="24"/>
      <c r="E13" s="25">
        <f>B13*C11</f>
        <v>1695854.2406666668</v>
      </c>
      <c r="F13" s="26" t="s">
        <v>157</v>
      </c>
      <c r="H13" s="63"/>
    </row>
    <row r="14" spans="1:11" ht="15.75" thickTop="1" x14ac:dyDescent="0.25">
      <c r="A14" s="10" t="s">
        <v>158</v>
      </c>
      <c r="B14" s="12">
        <v>34.76</v>
      </c>
      <c r="C14" s="33">
        <f>'Počet porcí 2019'!P7</f>
        <v>33453.333333333336</v>
      </c>
      <c r="D14" s="12"/>
      <c r="E14" s="18">
        <f>B14*C14</f>
        <v>1162837.8666666667</v>
      </c>
      <c r="F14" s="19"/>
    </row>
    <row r="15" spans="1:11" x14ac:dyDescent="0.25">
      <c r="A15" s="10" t="s">
        <v>159</v>
      </c>
      <c r="B15" s="12">
        <v>15.071</v>
      </c>
      <c r="C15" s="33">
        <f>'Počet porcí 2019'!P10</f>
        <v>2876</v>
      </c>
      <c r="D15" s="12"/>
      <c r="E15" s="18">
        <f t="shared" ref="E15:E16" si="0">B15*C15</f>
        <v>43344.195999999996</v>
      </c>
      <c r="F15" s="19"/>
    </row>
    <row r="16" spans="1:11" x14ac:dyDescent="0.25">
      <c r="A16" s="10" t="s">
        <v>160</v>
      </c>
      <c r="B16" s="12">
        <v>18.489999999999998</v>
      </c>
      <c r="C16" s="33">
        <f>'Počet porcí 2019'!P9</f>
        <v>11044</v>
      </c>
      <c r="D16" s="12"/>
      <c r="E16" s="18">
        <f t="shared" si="0"/>
        <v>204203.55999999997</v>
      </c>
      <c r="F16" s="19"/>
    </row>
    <row r="17" spans="1:8" x14ac:dyDescent="0.25">
      <c r="A17" s="34" t="s">
        <v>148</v>
      </c>
      <c r="B17" s="34"/>
      <c r="C17" s="34"/>
      <c r="D17" s="35"/>
      <c r="E17" s="36">
        <f>SUM(E14:E16)</f>
        <v>1410385.6226666667</v>
      </c>
      <c r="F17" s="37" t="s">
        <v>161</v>
      </c>
    </row>
    <row r="18" spans="1:8" x14ac:dyDescent="0.25">
      <c r="A18" s="10" t="s">
        <v>162</v>
      </c>
      <c r="D18" s="12">
        <v>83.47</v>
      </c>
      <c r="E18" s="18">
        <f>C14*D18</f>
        <v>2792349.7333333334</v>
      </c>
      <c r="F18" s="19"/>
    </row>
    <row r="19" spans="1:8" x14ac:dyDescent="0.25">
      <c r="A19" s="10" t="s">
        <v>163</v>
      </c>
      <c r="D19" s="12">
        <v>36.520000000000003</v>
      </c>
      <c r="E19" s="18">
        <f>C15*D19</f>
        <v>105031.52</v>
      </c>
      <c r="F19" s="19"/>
    </row>
    <row r="20" spans="1:8" x14ac:dyDescent="0.25">
      <c r="A20" s="10" t="s">
        <v>164</v>
      </c>
      <c r="D20" s="12">
        <v>49.57</v>
      </c>
      <c r="E20" s="18">
        <f>C16*D20</f>
        <v>547451.07999999996</v>
      </c>
      <c r="F20" s="19"/>
    </row>
    <row r="21" spans="1:8" x14ac:dyDescent="0.25">
      <c r="A21" s="6" t="s">
        <v>148</v>
      </c>
      <c r="E21" s="13">
        <f>SUM(E18:E20)</f>
        <v>3444832.3333333335</v>
      </c>
      <c r="F21" s="14" t="s">
        <v>165</v>
      </c>
    </row>
    <row r="23" spans="1:8" x14ac:dyDescent="0.25">
      <c r="A23" s="20" t="s">
        <v>166</v>
      </c>
    </row>
    <row r="24" spans="1:8" x14ac:dyDescent="0.25">
      <c r="A24" s="38"/>
      <c r="B24" s="39" t="s">
        <v>167</v>
      </c>
      <c r="C24" s="39" t="s">
        <v>168</v>
      </c>
      <c r="D24" s="40" t="s">
        <v>169</v>
      </c>
      <c r="E24" s="41"/>
      <c r="F24" s="42" t="s">
        <v>170</v>
      </c>
      <c r="G24" s="281" t="s">
        <v>501</v>
      </c>
    </row>
    <row r="25" spans="1:8" x14ac:dyDescent="0.25">
      <c r="A25" s="300" t="s">
        <v>807</v>
      </c>
      <c r="B25" s="43">
        <f>'[1]2017 ceník'!C59</f>
        <v>39.369999999999997</v>
      </c>
      <c r="C25" s="43">
        <f>'2017 ceník'!C61</f>
        <v>10.73</v>
      </c>
      <c r="D25" s="44">
        <f>B25+C25</f>
        <v>50.099999999999994</v>
      </c>
      <c r="E25" s="11"/>
      <c r="F25" s="45">
        <f>+C31*D26</f>
        <v>319083.99171257491</v>
      </c>
      <c r="G25" s="299" t="s">
        <v>803</v>
      </c>
    </row>
    <row r="26" spans="1:8" x14ac:dyDescent="0.25">
      <c r="A26" s="303" t="s">
        <v>808</v>
      </c>
      <c r="B26" s="304">
        <v>39.369999999999997</v>
      </c>
      <c r="C26" s="304">
        <v>12.25</v>
      </c>
      <c r="D26" s="44">
        <f>+B26+C26</f>
        <v>51.62</v>
      </c>
      <c r="E26" s="11"/>
      <c r="F26" s="45"/>
      <c r="G26" s="299"/>
    </row>
    <row r="27" spans="1:8" x14ac:dyDescent="0.25">
      <c r="E27" s="11"/>
      <c r="F27" s="46"/>
    </row>
    <row r="28" spans="1:8" x14ac:dyDescent="0.25">
      <c r="A28" s="298" t="s">
        <v>806</v>
      </c>
      <c r="C28" s="18">
        <f>SUM(rozpočet!B79:H79)</f>
        <v>199452.18000000002</v>
      </c>
      <c r="D28" s="47"/>
    </row>
    <row r="29" spans="1:8" x14ac:dyDescent="0.25">
      <c r="A29" s="298" t="s">
        <v>804</v>
      </c>
      <c r="C29" s="48">
        <f>C28/D25</f>
        <v>3981.0814371257493</v>
      </c>
      <c r="D29" s="47"/>
      <c r="F29" s="14" t="s">
        <v>147</v>
      </c>
      <c r="H29" s="63"/>
    </row>
    <row r="30" spans="1:8" x14ac:dyDescent="0.25">
      <c r="A30" s="298" t="s">
        <v>805</v>
      </c>
      <c r="C30" s="48">
        <f>GETPIVOTDATA("Částka MD",rozpočet!$A$69,"Měsíc",9)/'R2020'!D26</f>
        <v>654.97036032545532</v>
      </c>
      <c r="D30" s="47"/>
      <c r="F30" s="14"/>
    </row>
    <row r="31" spans="1:8" x14ac:dyDescent="0.25">
      <c r="A31" s="298" t="s">
        <v>304</v>
      </c>
      <c r="C31" s="48">
        <f>SUM(C29:C30)/9*12</f>
        <v>6181.4023966016066</v>
      </c>
      <c r="D31" s="47" t="s">
        <v>175</v>
      </c>
      <c r="F31" s="49">
        <f>C31*C26</f>
        <v>75722.179358369685</v>
      </c>
    </row>
    <row r="32" spans="1:8" x14ac:dyDescent="0.25">
      <c r="C32" s="48"/>
      <c r="D32" s="47"/>
      <c r="F32" s="296"/>
    </row>
    <row r="33" spans="1:10" x14ac:dyDescent="0.25">
      <c r="C33" s="48"/>
      <c r="D33" s="47"/>
      <c r="F33" s="296"/>
    </row>
    <row r="34" spans="1:10" ht="15" customHeight="1" thickBot="1" x14ac:dyDescent="0.3">
      <c r="A34" s="5" t="s">
        <v>303</v>
      </c>
    </row>
    <row r="35" spans="1:10" s="287" customFormat="1" ht="33" customHeight="1" x14ac:dyDescent="0.25">
      <c r="A35" s="283" t="s">
        <v>176</v>
      </c>
      <c r="B35" s="284" t="s">
        <v>177</v>
      </c>
      <c r="C35" s="282" t="s">
        <v>525</v>
      </c>
      <c r="D35" s="282" t="s">
        <v>506</v>
      </c>
      <c r="E35" s="285" t="s">
        <v>507</v>
      </c>
      <c r="F35" s="286" t="s">
        <v>438</v>
      </c>
      <c r="G35" s="329" t="s">
        <v>526</v>
      </c>
      <c r="H35" s="330" t="s">
        <v>527</v>
      </c>
      <c r="I35" s="331" t="s">
        <v>523</v>
      </c>
    </row>
    <row r="36" spans="1:10" ht="22.5" customHeight="1" x14ac:dyDescent="0.25">
      <c r="A36" s="50" t="s">
        <v>150</v>
      </c>
      <c r="B36" s="289" t="s">
        <v>179</v>
      </c>
      <c r="C36" s="297">
        <f>E6+E10</f>
        <v>17782721.07</v>
      </c>
      <c r="D36" s="53">
        <v>16750</v>
      </c>
      <c r="E36" s="342">
        <v>16500</v>
      </c>
      <c r="F36" s="343">
        <f>+D36-E36</f>
        <v>250</v>
      </c>
      <c r="G36" s="332">
        <f>+GETPIVOTDATA("Součet z Částka MD",rozpočet!$A$5)/1000-GETPIVOTDATA("Součet z Částka DAL",rozpočet!$A$5)/1000</f>
        <v>12558.00894</v>
      </c>
      <c r="H36" s="333">
        <f>+G36+SUM('Počet porcí 2019'!K4:M4)*32.4/1000</f>
        <v>16535.443739999999</v>
      </c>
      <c r="I36" s="334"/>
    </row>
    <row r="37" spans="1:10" ht="15" customHeight="1" x14ac:dyDescent="0.25">
      <c r="A37" s="50" t="s">
        <v>157</v>
      </c>
      <c r="B37" s="51" t="s">
        <v>180</v>
      </c>
      <c r="C37" s="52">
        <f>E13</f>
        <v>1695854.2406666668</v>
      </c>
      <c r="D37" s="53">
        <v>1600</v>
      </c>
      <c r="E37" s="342">
        <v>1800</v>
      </c>
      <c r="F37" s="343">
        <f t="shared" ref="F37:F44" si="1">+D37-E37</f>
        <v>-200</v>
      </c>
      <c r="G37" s="332">
        <f>GETPIVOTDATA("Částka MD",rozpočet!$A$34)/1000</f>
        <v>1170.9607800000001</v>
      </c>
      <c r="H37" s="333">
        <f>+G37+(('Počet porcí 2019'!P11-'Počet porcí 2019'!N11+'Počet porcí 2019'!P6-'Počet porcí 2019'!N6)*32.43)/1000</f>
        <v>1590.6741640000002</v>
      </c>
      <c r="I37" s="334" t="s">
        <v>524</v>
      </c>
    </row>
    <row r="38" spans="1:10" ht="15" customHeight="1" x14ac:dyDescent="0.25">
      <c r="A38" s="50" t="s">
        <v>161</v>
      </c>
      <c r="B38" s="51" t="s">
        <v>181</v>
      </c>
      <c r="C38" s="341">
        <f>E17</f>
        <v>1410385.6226666667</v>
      </c>
      <c r="D38" s="294">
        <v>1350</v>
      </c>
      <c r="E38" s="342">
        <v>1350</v>
      </c>
      <c r="F38" s="343">
        <f t="shared" si="1"/>
        <v>0</v>
      </c>
      <c r="G38" s="332">
        <f>GETPIVOTDATA("Částka MD",rozpočet!$A$54)/1000</f>
        <v>1059.1105399999999</v>
      </c>
      <c r="H38" s="333">
        <f>+G38/9*12</f>
        <v>1412.1473866666665</v>
      </c>
      <c r="I38" s="334"/>
    </row>
    <row r="39" spans="1:10" ht="15" customHeight="1" thickBot="1" x14ac:dyDescent="0.3">
      <c r="A39" s="54" t="s">
        <v>170</v>
      </c>
      <c r="B39" s="55" t="s">
        <v>182</v>
      </c>
      <c r="C39" s="305">
        <f>F25</f>
        <v>319083.99171257491</v>
      </c>
      <c r="D39" s="57">
        <v>320</v>
      </c>
      <c r="E39" s="344">
        <v>300</v>
      </c>
      <c r="F39" s="345">
        <f t="shared" si="1"/>
        <v>20</v>
      </c>
      <c r="G39" s="335">
        <f>+GETPIVOTDATA("Částka MD",rozpočet!$A$69)/1000</f>
        <v>233.26175000000001</v>
      </c>
      <c r="H39" s="336">
        <f>+G39+((C31-C30-C29)*D26)/1000</f>
        <v>313.03274792814375</v>
      </c>
      <c r="I39" s="337" t="s">
        <v>810</v>
      </c>
    </row>
    <row r="40" spans="1:10" ht="15" customHeight="1" x14ac:dyDescent="0.25">
      <c r="A40" s="58" t="s">
        <v>147</v>
      </c>
      <c r="B40" s="59" t="s">
        <v>183</v>
      </c>
      <c r="C40" s="60">
        <f>E4+E8+F31</f>
        <v>6185751.3693583701</v>
      </c>
      <c r="D40" s="61">
        <v>5200</v>
      </c>
      <c r="E40" s="346">
        <v>5070</v>
      </c>
      <c r="F40" s="347">
        <f t="shared" si="1"/>
        <v>130</v>
      </c>
      <c r="G40" s="338">
        <f>GETPIVOTDATA("Částka DAL",rozpočet!$A$89)/1000</f>
        <v>3881.0014600000004</v>
      </c>
      <c r="H40" s="339">
        <f>+G40+(('Počet porcí 2019'!K4+'Počet porcí 2019'!L4+'Počet porcí 2019'!M4)*9.83)/1000+((C31-C30-C29)*12.25)/1000</f>
        <v>5106.6660815062596</v>
      </c>
      <c r="I40" s="340"/>
      <c r="J40" s="295"/>
    </row>
    <row r="41" spans="1:10" ht="15" customHeight="1" x14ac:dyDescent="0.25">
      <c r="A41" s="50" t="s">
        <v>155</v>
      </c>
      <c r="B41" s="51" t="s">
        <v>184</v>
      </c>
      <c r="C41" s="52">
        <f>E12</f>
        <v>884129.64333333343</v>
      </c>
      <c r="D41" s="53">
        <v>900</v>
      </c>
      <c r="E41" s="342">
        <v>1000</v>
      </c>
      <c r="F41" s="343">
        <f t="shared" si="1"/>
        <v>-100</v>
      </c>
      <c r="G41" s="332">
        <f>GETPIVOTDATA("Částka DAL",rozpočet!$A$113)/1000</f>
        <v>578.42079999999999</v>
      </c>
      <c r="H41" s="333">
        <f>+G41/8*12</f>
        <v>867.63120000000004</v>
      </c>
      <c r="I41" s="334"/>
    </row>
    <row r="42" spans="1:10" ht="15" customHeight="1" x14ac:dyDescent="0.25">
      <c r="A42" s="50" t="s">
        <v>145</v>
      </c>
      <c r="B42" s="51" t="s">
        <v>185</v>
      </c>
      <c r="C42" s="52">
        <f>E3+E7</f>
        <v>11672745.947625222</v>
      </c>
      <c r="D42" s="53">
        <v>11700</v>
      </c>
      <c r="E42" s="342">
        <v>11500</v>
      </c>
      <c r="F42" s="343">
        <f t="shared" si="1"/>
        <v>200</v>
      </c>
      <c r="G42" s="332">
        <f>GETPIVOTDATA("Částka DAL",rozpočet!$A$130)/1000</f>
        <v>8811.4974300000013</v>
      </c>
      <c r="H42" s="333">
        <f>+G42+(('Počet porcí 2019'!K4+'Počet porcí 2019'!L4+'Počet porcí 2019'!M4)*9.83)/1000+(('Počet porcí 2019'!P5-'Počet porcí 2019'!N5)*'R2020'!D8)/1000</f>
        <v>10066.047333333334</v>
      </c>
      <c r="I42" s="334"/>
    </row>
    <row r="43" spans="1:10" ht="15" customHeight="1" x14ac:dyDescent="0.25">
      <c r="A43" s="50" t="s">
        <v>154</v>
      </c>
      <c r="B43" s="51" t="s">
        <v>186</v>
      </c>
      <c r="C43" s="52">
        <f>E11</f>
        <v>1695854.2406666668</v>
      </c>
      <c r="D43" s="53">
        <v>1600</v>
      </c>
      <c r="E43" s="342">
        <v>1800</v>
      </c>
      <c r="F43" s="343">
        <f t="shared" si="1"/>
        <v>-200</v>
      </c>
      <c r="G43" s="332">
        <f>+GETPIVOTDATA("Částka DAL",rozpočet!$A$160)/1000</f>
        <v>1184.0987000000002</v>
      </c>
      <c r="H43" s="333">
        <f>+G43+(('Počet porcí 2019'!P11-'Počet porcí 2019'!N11)*'R2020'!D11)/1000</f>
        <v>1582.7682606666672</v>
      </c>
      <c r="I43" s="334"/>
    </row>
    <row r="44" spans="1:10" ht="15" customHeight="1" thickBot="1" x14ac:dyDescent="0.3">
      <c r="A44" s="54" t="s">
        <v>165</v>
      </c>
      <c r="B44" s="55" t="s">
        <v>187</v>
      </c>
      <c r="C44" s="56">
        <f>E21</f>
        <v>3444832.3333333335</v>
      </c>
      <c r="D44" s="57">
        <v>3400</v>
      </c>
      <c r="E44" s="344">
        <v>3300</v>
      </c>
      <c r="F44" s="345">
        <f t="shared" si="1"/>
        <v>100</v>
      </c>
      <c r="G44" s="335">
        <f>GETPIVOTDATA("Částka DAL",rozpočet!$A$173)/1000</f>
        <v>2701.1749499999992</v>
      </c>
      <c r="H44" s="336">
        <f>+G44+(('Počet porcí 2019'!P9-'Počet porcí 2019'!N9)*'R2020'!D20)/1000+(('Počet porcí 2019'!P10-'Počet porcí 2019'!N10)*'R2020'!D19)/1000+((('Počet porcí 2019'!P7-'Počet porcí 2019'!N7)*'R2020'!D18)/1000)</f>
        <v>3562.3830333333331</v>
      </c>
      <c r="I44" s="337"/>
    </row>
    <row r="45" spans="1:10" ht="15" customHeight="1" x14ac:dyDescent="0.25">
      <c r="C45" s="62"/>
      <c r="D45" s="62"/>
      <c r="E45" s="62"/>
    </row>
    <row r="46" spans="1:10" ht="15" customHeight="1" x14ac:dyDescent="0.25">
      <c r="H46" s="328"/>
    </row>
    <row r="47" spans="1:10" ht="15" customHeight="1" x14ac:dyDescent="0.25"/>
    <row r="48" spans="1:10" ht="15" customHeight="1" x14ac:dyDescent="0.25"/>
    <row r="49" spans="1:11" x14ac:dyDescent="0.25">
      <c r="A49" s="267" t="s">
        <v>437</v>
      </c>
      <c r="B49" s="268"/>
      <c r="C49" s="268"/>
      <c r="D49" s="268"/>
      <c r="E49" s="268"/>
      <c r="F49" s="268"/>
    </row>
    <row r="50" spans="1:11" x14ac:dyDescent="0.25">
      <c r="C50" s="11"/>
    </row>
    <row r="51" spans="1:11" ht="15.75" x14ac:dyDescent="0.25">
      <c r="A51" s="211" t="s">
        <v>137</v>
      </c>
      <c r="B51" s="212"/>
      <c r="C51" s="212"/>
      <c r="D51" s="212"/>
      <c r="E51" s="212"/>
      <c r="F51" s="212"/>
      <c r="G51" s="213"/>
    </row>
    <row r="52" spans="1:11" x14ac:dyDescent="0.25">
      <c r="A52" s="253" t="s">
        <v>138</v>
      </c>
      <c r="B52" s="254" t="s">
        <v>139</v>
      </c>
      <c r="C52" s="254" t="s">
        <v>140</v>
      </c>
      <c r="D52" s="254" t="s">
        <v>141</v>
      </c>
      <c r="E52" s="254" t="s">
        <v>142</v>
      </c>
      <c r="F52" s="254" t="s">
        <v>143</v>
      </c>
      <c r="G52" s="212"/>
    </row>
    <row r="53" spans="1:11" x14ac:dyDescent="0.25">
      <c r="A53" s="214" t="s">
        <v>144</v>
      </c>
      <c r="B53" s="212"/>
      <c r="C53" s="215">
        <v>497374.66666666669</v>
      </c>
      <c r="D53" s="216">
        <v>22.6</v>
      </c>
      <c r="E53" s="217">
        <f>D53*C53</f>
        <v>11240667.466666669</v>
      </c>
      <c r="F53" s="255" t="s">
        <v>145</v>
      </c>
      <c r="G53" s="218">
        <f>Tabulka2[[#This Row],[celková cena]]+E57</f>
        <v>11495797.695534622</v>
      </c>
      <c r="J53" s="16"/>
      <c r="K53" s="11"/>
    </row>
    <row r="54" spans="1:11" x14ac:dyDescent="0.25">
      <c r="A54" s="214" t="s">
        <v>146</v>
      </c>
      <c r="B54" s="212"/>
      <c r="C54" s="212"/>
      <c r="D54" s="216">
        <v>9.83</v>
      </c>
      <c r="E54" s="217">
        <f>C53*D54</f>
        <v>4889192.9733333336</v>
      </c>
      <c r="F54" s="255" t="s">
        <v>147</v>
      </c>
      <c r="G54" s="217">
        <f>E54+F79+E58</f>
        <v>5062906.3200238841</v>
      </c>
      <c r="H54" s="17"/>
      <c r="J54" s="16"/>
      <c r="K54" s="11"/>
    </row>
    <row r="55" spans="1:11" x14ac:dyDescent="0.25">
      <c r="A55" s="212" t="s">
        <v>148</v>
      </c>
      <c r="B55" s="212"/>
      <c r="C55" s="212"/>
      <c r="D55" s="216">
        <v>32.43</v>
      </c>
      <c r="E55" s="219">
        <f>SUM(E53:E54)</f>
        <v>16129860.440000001</v>
      </c>
      <c r="F55" s="256"/>
      <c r="G55" s="213"/>
      <c r="J55" s="16"/>
      <c r="K55" s="11"/>
    </row>
    <row r="56" spans="1:11" ht="15.75" thickBot="1" x14ac:dyDescent="0.3">
      <c r="A56" s="220" t="s">
        <v>149</v>
      </c>
      <c r="B56" s="221">
        <f>'[1]2017 ceník'!C6</f>
        <v>32.43</v>
      </c>
      <c r="C56" s="222"/>
      <c r="D56" s="223"/>
      <c r="E56" s="224">
        <f>B56*C53</f>
        <v>16129860.440000001</v>
      </c>
      <c r="F56" s="257" t="s">
        <v>150</v>
      </c>
      <c r="G56" s="218">
        <f>Tabulka2[[#This Row],[celková cena]]+E60</f>
        <v>16495961.029477336</v>
      </c>
      <c r="J56" s="16"/>
      <c r="K56" s="11"/>
    </row>
    <row r="57" spans="1:11" ht="15.75" thickTop="1" x14ac:dyDescent="0.25">
      <c r="A57" s="214" t="s">
        <v>151</v>
      </c>
      <c r="B57" s="225"/>
      <c r="C57" s="215">
        <v>12510.666666666668</v>
      </c>
      <c r="D57" s="216">
        <v>20.393016268886832</v>
      </c>
      <c r="E57" s="217">
        <f>Tabulka2[[#This Row],[cena/porce]]*Tabulka2[[#This Row],[počet porcí/rok]]</f>
        <v>255130.22886795356</v>
      </c>
      <c r="F57" s="255" t="s">
        <v>145</v>
      </c>
      <c r="G57" s="213"/>
      <c r="J57" s="16"/>
      <c r="K57" s="11"/>
    </row>
    <row r="58" spans="1:11" x14ac:dyDescent="0.25">
      <c r="A58" s="214" t="s">
        <v>146</v>
      </c>
      <c r="B58" s="225"/>
      <c r="C58" s="212"/>
      <c r="D58" s="216">
        <v>8.8700597311131677</v>
      </c>
      <c r="E58" s="217">
        <f>C57*Tabulka2[[#This Row],[cena/porce]]</f>
        <v>110970.36060937982</v>
      </c>
      <c r="F58" s="255" t="s">
        <v>147</v>
      </c>
      <c r="G58" s="212"/>
      <c r="J58" s="16"/>
      <c r="K58" s="11"/>
    </row>
    <row r="59" spans="1:11" x14ac:dyDescent="0.25">
      <c r="A59" s="212" t="s">
        <v>148</v>
      </c>
      <c r="B59" s="225"/>
      <c r="C59" s="212"/>
      <c r="D59" s="216">
        <v>29.263075999999998</v>
      </c>
      <c r="E59" s="219">
        <f>SUM(E57:E58)</f>
        <v>366100.58947733336</v>
      </c>
      <c r="F59" s="258"/>
      <c r="G59" s="212"/>
    </row>
    <row r="60" spans="1:11" ht="15.75" thickBot="1" x14ac:dyDescent="0.3">
      <c r="A60" s="220" t="s">
        <v>152</v>
      </c>
      <c r="B60" s="226">
        <f>'[1]2017 ceník'!C14</f>
        <v>29.263076000000002</v>
      </c>
      <c r="C60" s="227"/>
      <c r="D60" s="228"/>
      <c r="E60" s="229">
        <f>Tabulka2[[#This Row],[cena surovin/porce]]*C57</f>
        <v>366100.58947733341</v>
      </c>
      <c r="F60" s="257" t="s">
        <v>150</v>
      </c>
      <c r="G60" s="212"/>
    </row>
    <row r="61" spans="1:11" ht="15.75" thickTop="1" x14ac:dyDescent="0.25">
      <c r="A61" s="214" t="s">
        <v>153</v>
      </c>
      <c r="B61" s="212"/>
      <c r="C61" s="215">
        <v>55413.333333333336</v>
      </c>
      <c r="D61" s="216">
        <v>32.43</v>
      </c>
      <c r="E61" s="217">
        <f>C61*D61</f>
        <v>1797054.4000000001</v>
      </c>
      <c r="F61" s="255" t="s">
        <v>154</v>
      </c>
      <c r="G61" s="212"/>
    </row>
    <row r="62" spans="1:11" x14ac:dyDescent="0.25">
      <c r="A62" s="214"/>
      <c r="B62" s="212"/>
      <c r="C62" s="212"/>
      <c r="D62" s="216">
        <v>17.95</v>
      </c>
      <c r="E62" s="217">
        <f>C61*D62</f>
        <v>994669.33333333337</v>
      </c>
      <c r="F62" s="255" t="s">
        <v>155</v>
      </c>
      <c r="G62" s="212"/>
    </row>
    <row r="63" spans="1:11" ht="15.75" thickBot="1" x14ac:dyDescent="0.3">
      <c r="A63" s="220" t="s">
        <v>156</v>
      </c>
      <c r="B63" s="221">
        <f>'[1]2017 ceník'!C20</f>
        <v>32.43</v>
      </c>
      <c r="C63" s="222"/>
      <c r="D63" s="223"/>
      <c r="E63" s="224">
        <f>B63*C61</f>
        <v>1797054.4000000001</v>
      </c>
      <c r="F63" s="257" t="s">
        <v>157</v>
      </c>
      <c r="G63" s="212"/>
    </row>
    <row r="64" spans="1:11" ht="15.75" thickTop="1" x14ac:dyDescent="0.25">
      <c r="A64" s="214" t="s">
        <v>158</v>
      </c>
      <c r="B64" s="216">
        <f>'[1]2017 ceník'!C27</f>
        <v>32.43</v>
      </c>
      <c r="C64" s="215">
        <v>33006.666666666672</v>
      </c>
      <c r="D64" s="216"/>
      <c r="E64" s="219">
        <f>B64*C64</f>
        <v>1070406.2000000002</v>
      </c>
      <c r="F64" s="256"/>
      <c r="G64" s="212"/>
    </row>
    <row r="65" spans="1:7" x14ac:dyDescent="0.25">
      <c r="A65" s="214" t="s">
        <v>159</v>
      </c>
      <c r="B65" s="216">
        <f>'[1]2017 ceník'!C43</f>
        <v>15.02457943925234</v>
      </c>
      <c r="C65" s="215">
        <v>2816</v>
      </c>
      <c r="D65" s="216"/>
      <c r="E65" s="219">
        <f t="shared" ref="E65:E66" si="2">B65*C65</f>
        <v>42309.21570093459</v>
      </c>
      <c r="F65" s="256"/>
      <c r="G65" s="212"/>
    </row>
    <row r="66" spans="1:7" x14ac:dyDescent="0.25">
      <c r="A66" s="214" t="s">
        <v>160</v>
      </c>
      <c r="B66" s="216">
        <f>'[1]2017 ceník'!C51</f>
        <v>19.774596592332745</v>
      </c>
      <c r="C66" s="215">
        <v>10540</v>
      </c>
      <c r="D66" s="216"/>
      <c r="E66" s="219">
        <f t="shared" si="2"/>
        <v>208424.24808318712</v>
      </c>
      <c r="F66" s="256"/>
      <c r="G66" s="212"/>
    </row>
    <row r="67" spans="1:7" x14ac:dyDescent="0.25">
      <c r="A67" s="230" t="s">
        <v>148</v>
      </c>
      <c r="B67" s="230"/>
      <c r="C67" s="230"/>
      <c r="D67" s="231"/>
      <c r="E67" s="232">
        <f>SUM(E64:E66)</f>
        <v>1321139.6637841219</v>
      </c>
      <c r="F67" s="259" t="s">
        <v>161</v>
      </c>
      <c r="G67" s="212"/>
    </row>
    <row r="68" spans="1:7" x14ac:dyDescent="0.25">
      <c r="A68" s="214" t="s">
        <v>162</v>
      </c>
      <c r="B68" s="212"/>
      <c r="C68" s="212"/>
      <c r="D68" s="216">
        <v>80.873910656062634</v>
      </c>
      <c r="E68" s="219">
        <f>C64*D68</f>
        <v>2669378.2110544411</v>
      </c>
      <c r="F68" s="256"/>
      <c r="G68" s="212"/>
    </row>
    <row r="69" spans="1:7" x14ac:dyDescent="0.25">
      <c r="A69" s="214" t="s">
        <v>163</v>
      </c>
      <c r="B69" s="212"/>
      <c r="C69" s="212"/>
      <c r="D69" s="216">
        <v>37.395435890647583</v>
      </c>
      <c r="E69" s="219">
        <f>C65*D69</f>
        <v>105305.5474680636</v>
      </c>
      <c r="F69" s="256"/>
      <c r="G69" s="212"/>
    </row>
    <row r="70" spans="1:7" x14ac:dyDescent="0.25">
      <c r="A70" s="214" t="s">
        <v>164</v>
      </c>
      <c r="B70" s="212"/>
      <c r="C70" s="212"/>
      <c r="D70" s="216">
        <v>49.563077554663856</v>
      </c>
      <c r="E70" s="219">
        <f>C66*D70</f>
        <v>522394.83742615703</v>
      </c>
      <c r="F70" s="256"/>
      <c r="G70" s="212"/>
    </row>
    <row r="71" spans="1:7" x14ac:dyDescent="0.25">
      <c r="A71" s="212" t="s">
        <v>148</v>
      </c>
      <c r="B71" s="212"/>
      <c r="C71" s="212"/>
      <c r="D71" s="212"/>
      <c r="E71" s="217">
        <f>SUM(E68:E70)</f>
        <v>3297078.5959486617</v>
      </c>
      <c r="F71" s="255" t="s">
        <v>165</v>
      </c>
      <c r="G71" s="212"/>
    </row>
    <row r="72" spans="1:7" x14ac:dyDescent="0.25">
      <c r="A72" s="212"/>
      <c r="B72" s="212"/>
      <c r="C72" s="212"/>
      <c r="D72" s="212"/>
      <c r="E72" s="212"/>
      <c r="F72" s="212"/>
      <c r="G72" s="212"/>
    </row>
    <row r="73" spans="1:7" x14ac:dyDescent="0.25">
      <c r="A73" s="213" t="s">
        <v>166</v>
      </c>
      <c r="B73" s="212"/>
      <c r="C73" s="212"/>
      <c r="D73" s="212"/>
      <c r="E73" s="212"/>
      <c r="F73" s="212"/>
      <c r="G73" s="212"/>
    </row>
    <row r="74" spans="1:7" x14ac:dyDescent="0.25">
      <c r="A74" s="233"/>
      <c r="B74" s="234" t="s">
        <v>167</v>
      </c>
      <c r="C74" s="234" t="s">
        <v>168</v>
      </c>
      <c r="D74" s="235" t="s">
        <v>169</v>
      </c>
      <c r="E74" s="236"/>
      <c r="F74" s="255" t="s">
        <v>170</v>
      </c>
      <c r="G74" s="212"/>
    </row>
    <row r="75" spans="1:7" ht="15.75" x14ac:dyDescent="0.25">
      <c r="A75" s="211" t="s">
        <v>171</v>
      </c>
      <c r="B75" s="237">
        <f>'[1]2017 ceník'!C59</f>
        <v>39.369999999999997</v>
      </c>
      <c r="C75" s="237">
        <f>'[1]2017 ceník'!C61</f>
        <v>10.73</v>
      </c>
      <c r="D75" s="238">
        <f>B75+C75</f>
        <v>50.099999999999994</v>
      </c>
      <c r="E75" s="215"/>
      <c r="F75" s="260">
        <f>C77/9*12</f>
        <v>292956.53333333333</v>
      </c>
      <c r="G75" s="212"/>
    </row>
    <row r="76" spans="1:7" x14ac:dyDescent="0.25">
      <c r="A76" s="212"/>
      <c r="B76" s="212"/>
      <c r="C76" s="212"/>
      <c r="D76" s="212"/>
      <c r="E76" s="215"/>
      <c r="F76" s="239"/>
      <c r="G76" s="212"/>
    </row>
    <row r="77" spans="1:7" x14ac:dyDescent="0.25">
      <c r="A77" s="212" t="s">
        <v>172</v>
      </c>
      <c r="B77" s="212"/>
      <c r="C77" s="219">
        <v>219717.4</v>
      </c>
      <c r="D77" s="240"/>
      <c r="E77" s="212"/>
      <c r="F77" s="212"/>
      <c r="G77" s="212"/>
    </row>
    <row r="78" spans="1:7" x14ac:dyDescent="0.25">
      <c r="A78" s="212" t="s">
        <v>173</v>
      </c>
      <c r="B78" s="212"/>
      <c r="C78" s="241">
        <f>C77/D75</f>
        <v>4385.5768463073855</v>
      </c>
      <c r="D78" s="240"/>
      <c r="E78" s="212"/>
      <c r="F78" s="255" t="s">
        <v>147</v>
      </c>
      <c r="G78" s="212"/>
    </row>
    <row r="79" spans="1:7" x14ac:dyDescent="0.25">
      <c r="A79" s="212" t="s">
        <v>174</v>
      </c>
      <c r="B79" s="212"/>
      <c r="C79" s="241">
        <f>C78/9*12</f>
        <v>5847.4357950765134</v>
      </c>
      <c r="D79" s="240" t="s">
        <v>175</v>
      </c>
      <c r="E79" s="212"/>
      <c r="F79" s="260">
        <f>C79*C75</f>
        <v>62742.986081170988</v>
      </c>
      <c r="G79" s="212"/>
    </row>
    <row r="80" spans="1:7" ht="15.75" thickBot="1" x14ac:dyDescent="0.3">
      <c r="A80" s="212"/>
      <c r="B80" s="241"/>
      <c r="C80" s="240"/>
      <c r="D80" s="212"/>
      <c r="E80" s="212"/>
      <c r="F80" s="215"/>
      <c r="G80" s="212"/>
    </row>
    <row r="81" spans="1:7" x14ac:dyDescent="0.25">
      <c r="A81" s="261" t="s">
        <v>176</v>
      </c>
      <c r="B81" s="262" t="s">
        <v>177</v>
      </c>
      <c r="C81" s="263" t="s">
        <v>178</v>
      </c>
      <c r="D81" s="263" t="s">
        <v>136</v>
      </c>
      <c r="E81" s="212"/>
      <c r="F81" s="215"/>
      <c r="G81" s="212"/>
    </row>
    <row r="82" spans="1:7" x14ac:dyDescent="0.25">
      <c r="A82" s="242" t="s">
        <v>150</v>
      </c>
      <c r="B82" s="243" t="s">
        <v>179</v>
      </c>
      <c r="C82" s="244">
        <f>E56+E60</f>
        <v>16495961.029477336</v>
      </c>
      <c r="D82" s="201">
        <v>16500</v>
      </c>
      <c r="E82" s="212"/>
      <c r="F82" s="215"/>
      <c r="G82" s="212"/>
    </row>
    <row r="83" spans="1:7" x14ac:dyDescent="0.25">
      <c r="A83" s="242" t="s">
        <v>157</v>
      </c>
      <c r="B83" s="243" t="s">
        <v>180</v>
      </c>
      <c r="C83" s="244">
        <f>E63</f>
        <v>1797054.4000000001</v>
      </c>
      <c r="D83" s="201">
        <v>1800</v>
      </c>
      <c r="E83" s="212"/>
      <c r="F83" s="215"/>
      <c r="G83" s="212"/>
    </row>
    <row r="84" spans="1:7" x14ac:dyDescent="0.25">
      <c r="A84" s="242" t="s">
        <v>161</v>
      </c>
      <c r="B84" s="243" t="s">
        <v>181</v>
      </c>
      <c r="C84" s="244">
        <f>E67</f>
        <v>1321139.6637841219</v>
      </c>
      <c r="D84" s="201">
        <v>1350</v>
      </c>
      <c r="E84" s="212"/>
      <c r="F84" s="215"/>
      <c r="G84" s="212"/>
    </row>
    <row r="85" spans="1:7" ht="15.75" thickBot="1" x14ac:dyDescent="0.3">
      <c r="A85" s="245" t="s">
        <v>170</v>
      </c>
      <c r="B85" s="246" t="s">
        <v>182</v>
      </c>
      <c r="C85" s="247">
        <f>F75</f>
        <v>292956.53333333333</v>
      </c>
      <c r="D85" s="202">
        <v>300</v>
      </c>
      <c r="E85" s="212"/>
      <c r="F85" s="215"/>
      <c r="G85" s="212"/>
    </row>
    <row r="86" spans="1:7" x14ac:dyDescent="0.25">
      <c r="A86" s="248" t="s">
        <v>147</v>
      </c>
      <c r="B86" s="249" t="s">
        <v>183</v>
      </c>
      <c r="C86" s="250">
        <f>E54+E58+F79</f>
        <v>5062906.3200238841</v>
      </c>
      <c r="D86" s="203">
        <v>5070</v>
      </c>
      <c r="E86" s="212"/>
      <c r="F86" s="215"/>
      <c r="G86" s="212"/>
    </row>
    <row r="87" spans="1:7" x14ac:dyDescent="0.25">
      <c r="A87" s="242" t="s">
        <v>155</v>
      </c>
      <c r="B87" s="243" t="s">
        <v>184</v>
      </c>
      <c r="C87" s="244">
        <f>E62</f>
        <v>994669.33333333337</v>
      </c>
      <c r="D87" s="201">
        <v>1000</v>
      </c>
      <c r="E87" s="212"/>
      <c r="F87" s="215"/>
      <c r="G87" s="212"/>
    </row>
    <row r="88" spans="1:7" x14ac:dyDescent="0.25">
      <c r="A88" s="242" t="s">
        <v>145</v>
      </c>
      <c r="B88" s="243" t="s">
        <v>185</v>
      </c>
      <c r="C88" s="244">
        <f>E53+E57</f>
        <v>11495797.695534622</v>
      </c>
      <c r="D88" s="201">
        <v>11500</v>
      </c>
      <c r="E88" s="212"/>
      <c r="F88" s="215"/>
      <c r="G88" s="212"/>
    </row>
    <row r="89" spans="1:7" x14ac:dyDescent="0.25">
      <c r="A89" s="242" t="s">
        <v>154</v>
      </c>
      <c r="B89" s="243" t="s">
        <v>186</v>
      </c>
      <c r="C89" s="244">
        <f>E61</f>
        <v>1797054.4000000001</v>
      </c>
      <c r="D89" s="201">
        <v>1800</v>
      </c>
      <c r="E89" s="212"/>
      <c r="F89" s="215"/>
      <c r="G89" s="212"/>
    </row>
    <row r="90" spans="1:7" ht="15.75" thickBot="1" x14ac:dyDescent="0.3">
      <c r="A90" s="245" t="s">
        <v>165</v>
      </c>
      <c r="B90" s="246" t="s">
        <v>187</v>
      </c>
      <c r="C90" s="247">
        <f>E71</f>
        <v>3297078.5959486617</v>
      </c>
      <c r="D90" s="202">
        <v>3300</v>
      </c>
      <c r="E90" s="212"/>
      <c r="F90" s="215"/>
      <c r="G90" s="212"/>
    </row>
    <row r="91" spans="1:7" x14ac:dyDescent="0.25">
      <c r="A91" s="212"/>
      <c r="B91" s="212"/>
      <c r="C91" s="251">
        <f>SUM(C82:C90)</f>
        <v>42554617.971435286</v>
      </c>
      <c r="D91" s="252"/>
      <c r="E91" s="212"/>
      <c r="F91" s="212"/>
      <c r="G91" s="212"/>
    </row>
    <row r="92" spans="1:7" x14ac:dyDescent="0.25">
      <c r="C92" s="64"/>
    </row>
    <row r="94" spans="1:7" x14ac:dyDescent="0.25">
      <c r="A94" s="65"/>
      <c r="B94" s="66"/>
    </row>
  </sheetData>
  <phoneticPr fontId="58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94" fitToHeight="0" orientation="portrait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0" sqref="J10"/>
    </sheetView>
  </sheetViews>
  <sheetFormatPr defaultColWidth="9.140625" defaultRowHeight="15" x14ac:dyDescent="0.25"/>
  <cols>
    <col min="1" max="1" width="27" style="6" bestFit="1" customWidth="1"/>
    <col min="2" max="13" width="9.140625" style="6"/>
    <col min="14" max="14" width="11.85546875" style="6" bestFit="1" customWidth="1"/>
    <col min="15" max="15" width="4.140625" style="6" customWidth="1"/>
    <col min="16" max="16" width="29" style="6" bestFit="1" customWidth="1"/>
    <col min="17" max="17" width="9.140625" style="6"/>
    <col min="18" max="18" width="10.28515625" style="6" customWidth="1"/>
    <col min="19" max="16384" width="9.140625" style="6"/>
  </cols>
  <sheetData>
    <row r="1" spans="1:19" ht="15.75" x14ac:dyDescent="0.25">
      <c r="A1" s="67" t="s">
        <v>188</v>
      </c>
      <c r="B1" s="67">
        <v>9501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3" spans="1:19" x14ac:dyDescent="0.25">
      <c r="A3" s="168" t="s">
        <v>138</v>
      </c>
      <c r="B3" s="169" t="s">
        <v>290</v>
      </c>
      <c r="C3" s="169" t="s">
        <v>291</v>
      </c>
      <c r="D3" s="169" t="s">
        <v>292</v>
      </c>
      <c r="E3" s="169" t="s">
        <v>293</v>
      </c>
      <c r="F3" s="169" t="s">
        <v>294</v>
      </c>
      <c r="G3" s="169" t="s">
        <v>295</v>
      </c>
      <c r="H3" s="169" t="s">
        <v>296</v>
      </c>
      <c r="I3" s="169" t="s">
        <v>297</v>
      </c>
      <c r="J3" s="169" t="s">
        <v>298</v>
      </c>
      <c r="K3" s="169" t="s">
        <v>299</v>
      </c>
      <c r="L3" s="169" t="s">
        <v>300</v>
      </c>
      <c r="M3" s="169" t="s">
        <v>301</v>
      </c>
      <c r="N3" s="170" t="s">
        <v>201</v>
      </c>
      <c r="P3" s="76" t="s">
        <v>302</v>
      </c>
    </row>
    <row r="4" spans="1:19" x14ac:dyDescent="0.25">
      <c r="A4" s="171" t="s">
        <v>203</v>
      </c>
      <c r="B4" s="87">
        <f>43775+2720</f>
        <v>46495</v>
      </c>
      <c r="C4" s="87">
        <f>38858+2574</f>
        <v>41432</v>
      </c>
      <c r="D4" s="87">
        <f>40117+2711</f>
        <v>42828</v>
      </c>
      <c r="E4" s="87">
        <f>39799+2543</f>
        <v>42342</v>
      </c>
      <c r="F4" s="87">
        <f>41083+2679</f>
        <v>43762</v>
      </c>
      <c r="G4" s="87">
        <f>38152+2270</f>
        <v>40422</v>
      </c>
      <c r="H4" s="87">
        <f>36003+2310</f>
        <v>38313</v>
      </c>
      <c r="I4" s="87">
        <f>36009+2319</f>
        <v>38328</v>
      </c>
      <c r="J4" s="87">
        <f>41121+2515</f>
        <v>43636</v>
      </c>
      <c r="K4" s="87">
        <f>AVERAGE(Tabulka76[[#This Row],[1 /2019]:[6 /2019]])</f>
        <v>42880.166666666664</v>
      </c>
      <c r="L4" s="87">
        <f>AVERAGE(Tabulka76[[#This Row],[1 /2019]:[6 /2019]])</f>
        <v>42880.166666666664</v>
      </c>
      <c r="M4" s="87">
        <v>37000</v>
      </c>
      <c r="N4" s="95">
        <f t="shared" ref="N4:N13" si="0">SUM(B4:M4)</f>
        <v>500318.33333333337</v>
      </c>
      <c r="P4" s="81">
        <f>SUM(Tabulka76[[#This Row],[1 /2019]:[12 /2019]])</f>
        <v>500318.33333333337</v>
      </c>
    </row>
    <row r="5" spans="1:19" ht="24" x14ac:dyDescent="0.25">
      <c r="A5" s="315" t="s">
        <v>818</v>
      </c>
      <c r="B5" s="173">
        <v>1467</v>
      </c>
      <c r="C5" s="174">
        <v>1365</v>
      </c>
      <c r="D5" s="174">
        <v>1526</v>
      </c>
      <c r="E5" s="174">
        <v>1421</v>
      </c>
      <c r="F5" s="174">
        <v>1495</v>
      </c>
      <c r="G5" s="174">
        <v>1447</v>
      </c>
      <c r="H5" s="174">
        <v>1414</v>
      </c>
      <c r="I5" s="174">
        <v>1588</v>
      </c>
      <c r="J5" s="174">
        <v>1721</v>
      </c>
      <c r="K5" s="174"/>
      <c r="L5" s="174"/>
      <c r="M5" s="174"/>
      <c r="N5" s="175">
        <f t="shared" si="0"/>
        <v>13444</v>
      </c>
      <c r="P5" s="81">
        <f>'Počet porcí 2019'!$N5/9*12</f>
        <v>17925.333333333336</v>
      </c>
    </row>
    <row r="6" spans="1:19" x14ac:dyDescent="0.25">
      <c r="A6" s="171" t="s">
        <v>205</v>
      </c>
      <c r="B6" s="176">
        <v>484</v>
      </c>
      <c r="C6" s="87">
        <v>346</v>
      </c>
      <c r="D6" s="87">
        <v>478</v>
      </c>
      <c r="E6" s="87">
        <v>635</v>
      </c>
      <c r="F6" s="87">
        <v>726</v>
      </c>
      <c r="G6" s="87">
        <v>350</v>
      </c>
      <c r="H6" s="87">
        <v>316</v>
      </c>
      <c r="I6" s="87">
        <v>401</v>
      </c>
      <c r="J6" s="87">
        <v>353</v>
      </c>
      <c r="K6" s="87"/>
      <c r="L6" s="87"/>
      <c r="M6" s="87"/>
      <c r="N6" s="95">
        <f t="shared" si="0"/>
        <v>4089</v>
      </c>
      <c r="P6" s="81">
        <f>'Počet porcí 2019'!$N6/9*12</f>
        <v>5452</v>
      </c>
    </row>
    <row r="7" spans="1:19" x14ac:dyDescent="0.25">
      <c r="A7" s="171" t="s">
        <v>206</v>
      </c>
      <c r="B7" s="176">
        <f>2951</f>
        <v>2951</v>
      </c>
      <c r="C7" s="87">
        <f>361+2018+31+16+35+100+233</f>
        <v>2794</v>
      </c>
      <c r="D7" s="87">
        <f>427+2107+29+18+40+92+232</f>
        <v>2945</v>
      </c>
      <c r="E7" s="87">
        <f>601+2124+36+18+36+75+224</f>
        <v>3114</v>
      </c>
      <c r="F7" s="87">
        <f>400+2151+32+15+24+79+242</f>
        <v>2943</v>
      </c>
      <c r="G7" s="87">
        <f>345+1902+35+15+30+85+195</f>
        <v>2607</v>
      </c>
      <c r="H7" s="87">
        <f>375+1595+26+10+23+94+242</f>
        <v>2365</v>
      </c>
      <c r="I7" s="87">
        <f>359+1587+10+8+26+123+221</f>
        <v>2334</v>
      </c>
      <c r="J7" s="87">
        <f>414+2238+17+0+21+35+81+231</f>
        <v>3037</v>
      </c>
      <c r="K7" s="87"/>
      <c r="L7" s="177"/>
      <c r="M7" s="87"/>
      <c r="N7" s="95">
        <f t="shared" si="0"/>
        <v>25090</v>
      </c>
      <c r="P7" s="81">
        <f>'Počet porcí 2019'!$N7/9*12</f>
        <v>33453.333333333336</v>
      </c>
      <c r="R7" s="11"/>
      <c r="S7" s="316"/>
    </row>
    <row r="8" spans="1:19" x14ac:dyDescent="0.25">
      <c r="A8" s="172" t="s">
        <v>207</v>
      </c>
      <c r="B8" s="176">
        <v>197</v>
      </c>
      <c r="C8" s="87">
        <v>211</v>
      </c>
      <c r="D8" s="87">
        <v>185</v>
      </c>
      <c r="E8" s="87">
        <f>206+1</f>
        <v>207</v>
      </c>
      <c r="F8" s="174">
        <v>201</v>
      </c>
      <c r="G8" s="174">
        <f>177+1</f>
        <v>178</v>
      </c>
      <c r="H8" s="174">
        <v>173</v>
      </c>
      <c r="I8" s="174">
        <v>149</v>
      </c>
      <c r="J8" s="174">
        <v>214</v>
      </c>
      <c r="K8" s="174"/>
      <c r="L8" s="174"/>
      <c r="M8" s="174"/>
      <c r="N8" s="175">
        <f t="shared" si="0"/>
        <v>1715</v>
      </c>
      <c r="P8" s="81">
        <f>'Počet porcí 2019'!$N8/9*12</f>
        <v>2286.6666666666665</v>
      </c>
    </row>
    <row r="9" spans="1:19" x14ac:dyDescent="0.25">
      <c r="A9" s="89" t="s">
        <v>209</v>
      </c>
      <c r="B9" s="86">
        <f>988+13</f>
        <v>1001</v>
      </c>
      <c r="C9" s="78">
        <f>902+10</f>
        <v>912</v>
      </c>
      <c r="D9" s="78">
        <f>844+10</f>
        <v>854</v>
      </c>
      <c r="E9" s="78">
        <f>993+12</f>
        <v>1005</v>
      </c>
      <c r="F9" s="78">
        <f>991+21</f>
        <v>1012</v>
      </c>
      <c r="G9" s="78">
        <v>945</v>
      </c>
      <c r="H9" s="78">
        <v>863</v>
      </c>
      <c r="I9" s="78">
        <v>666</v>
      </c>
      <c r="J9" s="78">
        <v>1025</v>
      </c>
      <c r="K9" s="78"/>
      <c r="L9" s="78"/>
      <c r="M9" s="78"/>
      <c r="N9" s="90">
        <f t="shared" si="0"/>
        <v>8283</v>
      </c>
      <c r="P9" s="81">
        <f>'Počet porcí 2019'!$N9/9*12</f>
        <v>11044</v>
      </c>
      <c r="R9" s="11"/>
      <c r="S9" s="11"/>
    </row>
    <row r="10" spans="1:19" x14ac:dyDescent="0.25">
      <c r="A10" s="77" t="s">
        <v>208</v>
      </c>
      <c r="B10" s="86">
        <v>252</v>
      </c>
      <c r="C10" s="78">
        <v>240</v>
      </c>
      <c r="D10" s="78">
        <v>252</v>
      </c>
      <c r="E10" s="78">
        <v>240</v>
      </c>
      <c r="F10" s="78">
        <v>252</v>
      </c>
      <c r="G10" s="78">
        <f>21+240</f>
        <v>261</v>
      </c>
      <c r="H10" s="78">
        <v>264</v>
      </c>
      <c r="I10" s="78">
        <v>144</v>
      </c>
      <c r="J10" s="78">
        <v>252</v>
      </c>
      <c r="K10" s="78"/>
      <c r="L10" s="78"/>
      <c r="M10" s="78"/>
      <c r="N10" s="80">
        <f t="shared" si="0"/>
        <v>2157</v>
      </c>
      <c r="P10" s="81">
        <f>'Počet porcí 2019'!$N10/9*12</f>
        <v>2876</v>
      </c>
      <c r="R10" s="11"/>
      <c r="S10" s="11"/>
    </row>
    <row r="11" spans="1:19" ht="15.75" thickBot="1" x14ac:dyDescent="0.3">
      <c r="A11" s="171" t="s">
        <v>210</v>
      </c>
      <c r="B11" s="176">
        <v>4066</v>
      </c>
      <c r="C11" s="87">
        <v>5247</v>
      </c>
      <c r="D11" s="87">
        <v>6317</v>
      </c>
      <c r="E11" s="87">
        <v>6492</v>
      </c>
      <c r="F11" s="87">
        <v>4720</v>
      </c>
      <c r="G11" s="87">
        <v>1192</v>
      </c>
      <c r="H11" s="87">
        <v>695</v>
      </c>
      <c r="I11" s="87">
        <v>640</v>
      </c>
      <c r="J11" s="87">
        <v>2855</v>
      </c>
      <c r="K11" s="87"/>
      <c r="L11" s="87"/>
      <c r="M11" s="87"/>
      <c r="N11" s="95">
        <f t="shared" si="0"/>
        <v>32224</v>
      </c>
      <c r="P11" s="325">
        <f>SUM(Tabulka76[[#This Row],[1 /2019]:[9 /2019]])+AVERAGE(Tabulka76[[#This Row],[1 /2019]:[5 /2019]])*2+AVERAGE(Tabulka76[[#This Row],[6 /2019]:[8 /2019]])</f>
        <v>43803.133333333339</v>
      </c>
      <c r="S11" s="11"/>
    </row>
    <row r="12" spans="1:19" ht="15.75" thickTop="1" x14ac:dyDescent="0.25">
      <c r="A12" s="178" t="s">
        <v>211</v>
      </c>
      <c r="B12" s="179">
        <f>B4+B6+B7+B9+B10+B11</f>
        <v>55249</v>
      </c>
      <c r="C12" s="179">
        <f t="shared" ref="C12:M12" si="1">C4+C6+C7+C9+C10+C11</f>
        <v>50971</v>
      </c>
      <c r="D12" s="179">
        <f t="shared" si="1"/>
        <v>53674</v>
      </c>
      <c r="E12" s="179">
        <f t="shared" si="1"/>
        <v>53828</v>
      </c>
      <c r="F12" s="179">
        <f t="shared" si="1"/>
        <v>53415</v>
      </c>
      <c r="G12" s="179">
        <f t="shared" si="1"/>
        <v>45777</v>
      </c>
      <c r="H12" s="179">
        <f t="shared" si="1"/>
        <v>42816</v>
      </c>
      <c r="I12" s="179">
        <f t="shared" si="1"/>
        <v>42513</v>
      </c>
      <c r="J12" s="179">
        <f t="shared" si="1"/>
        <v>51158</v>
      </c>
      <c r="K12" s="179">
        <f t="shared" si="1"/>
        <v>42880.166666666664</v>
      </c>
      <c r="L12" s="179">
        <f t="shared" si="1"/>
        <v>42880.166666666664</v>
      </c>
      <c r="M12" s="179">
        <f t="shared" si="1"/>
        <v>37000</v>
      </c>
      <c r="N12" s="180">
        <f t="shared" si="0"/>
        <v>572161.33333333337</v>
      </c>
      <c r="P12" s="81">
        <f>'Počet porcí 2019'!$N12/9*12</f>
        <v>762881.77777777787</v>
      </c>
      <c r="R12" s="11"/>
      <c r="S12" s="11"/>
    </row>
    <row r="13" spans="1:19" ht="15.75" thickBot="1" x14ac:dyDescent="0.3">
      <c r="A13" s="171" t="s">
        <v>212</v>
      </c>
      <c r="B13" s="87">
        <v>28001</v>
      </c>
      <c r="C13" s="87">
        <v>25700</v>
      </c>
      <c r="D13" s="87">
        <v>28163</v>
      </c>
      <c r="E13" s="87">
        <v>27088</v>
      </c>
      <c r="F13" s="87">
        <v>28011</v>
      </c>
      <c r="G13" s="87">
        <v>27464</v>
      </c>
      <c r="H13" s="87">
        <v>22712</v>
      </c>
      <c r="I13" s="87">
        <v>22807</v>
      </c>
      <c r="J13" s="87"/>
      <c r="K13" s="87"/>
      <c r="L13" s="87"/>
      <c r="M13" s="87"/>
      <c r="N13" s="95">
        <f t="shared" si="0"/>
        <v>209946</v>
      </c>
      <c r="P13" s="81">
        <f>'Počet porcí 2019'!$N13/9*12</f>
        <v>279928</v>
      </c>
    </row>
    <row r="14" spans="1:19" ht="15.75" thickTop="1" x14ac:dyDescent="0.25">
      <c r="A14" s="181" t="s">
        <v>213</v>
      </c>
      <c r="B14" s="177">
        <f t="shared" ref="B14:M14" si="2">SUM(B12:B13)</f>
        <v>83250</v>
      </c>
      <c r="C14" s="177">
        <f t="shared" si="2"/>
        <v>76671</v>
      </c>
      <c r="D14" s="177">
        <f t="shared" si="2"/>
        <v>81837</v>
      </c>
      <c r="E14" s="177">
        <f t="shared" si="2"/>
        <v>80916</v>
      </c>
      <c r="F14" s="177">
        <f t="shared" si="2"/>
        <v>81426</v>
      </c>
      <c r="G14" s="177">
        <f t="shared" si="2"/>
        <v>73241</v>
      </c>
      <c r="H14" s="177">
        <f t="shared" si="2"/>
        <v>65528</v>
      </c>
      <c r="I14" s="177">
        <f t="shared" si="2"/>
        <v>65320</v>
      </c>
      <c r="J14" s="177">
        <f t="shared" si="2"/>
        <v>51158</v>
      </c>
      <c r="K14" s="177">
        <f t="shared" si="2"/>
        <v>42880.166666666664</v>
      </c>
      <c r="L14" s="177">
        <f t="shared" si="2"/>
        <v>42880.166666666664</v>
      </c>
      <c r="M14" s="177">
        <f t="shared" si="2"/>
        <v>37000</v>
      </c>
      <c r="N14" s="182">
        <f>SUM(B14:M14)</f>
        <v>782107.33333333326</v>
      </c>
      <c r="P14" s="92">
        <f t="shared" ref="P14" si="3">SUM(P4,P6:P7,P11:P13)</f>
        <v>1625836.5777777778</v>
      </c>
    </row>
    <row r="15" spans="1:19" ht="15.75" thickBot="1" x14ac:dyDescent="0.3">
      <c r="A15" s="183"/>
      <c r="B15" s="184">
        <f t="shared" ref="B15:M15" si="4">B12-B5-B8</f>
        <v>53585</v>
      </c>
      <c r="C15" s="184">
        <f t="shared" si="4"/>
        <v>49395</v>
      </c>
      <c r="D15" s="184">
        <f>D12-D5-D8</f>
        <v>51963</v>
      </c>
      <c r="E15" s="184">
        <f t="shared" si="4"/>
        <v>52200</v>
      </c>
      <c r="F15" s="184">
        <f t="shared" si="4"/>
        <v>51719</v>
      </c>
      <c r="G15" s="184">
        <f t="shared" si="4"/>
        <v>44152</v>
      </c>
      <c r="H15" s="184">
        <f t="shared" si="4"/>
        <v>41229</v>
      </c>
      <c r="I15" s="184">
        <f t="shared" si="4"/>
        <v>40776</v>
      </c>
      <c r="J15" s="184">
        <f t="shared" si="4"/>
        <v>49223</v>
      </c>
      <c r="K15" s="184">
        <f t="shared" si="4"/>
        <v>42880.166666666664</v>
      </c>
      <c r="L15" s="184">
        <f t="shared" si="4"/>
        <v>42880.166666666664</v>
      </c>
      <c r="M15" s="184">
        <f t="shared" si="4"/>
        <v>37000</v>
      </c>
      <c r="N15" s="185"/>
      <c r="P15" s="81">
        <f>'Počet porcí 2019'!$N15/9*12</f>
        <v>0</v>
      </c>
    </row>
    <row r="16" spans="1:19" ht="15.75" thickTop="1" x14ac:dyDescent="0.25">
      <c r="A16" s="186" t="s">
        <v>214</v>
      </c>
      <c r="B16" s="187">
        <f>26765+731</f>
        <v>27496</v>
      </c>
      <c r="C16" s="188">
        <f>24646+683</f>
        <v>25329</v>
      </c>
      <c r="D16" s="188">
        <f>26662+760</f>
        <v>27422</v>
      </c>
      <c r="E16" s="188">
        <f>26172+698</f>
        <v>26870</v>
      </c>
      <c r="F16" s="188">
        <f>26696+746+188</f>
        <v>27630</v>
      </c>
      <c r="G16" s="188">
        <f>25833+740+221</f>
        <v>26794</v>
      </c>
      <c r="H16" s="188">
        <f>21199+754+277</f>
        <v>22230</v>
      </c>
      <c r="I16" s="188">
        <f>21274+761+230</f>
        <v>22265</v>
      </c>
      <c r="J16" s="188"/>
      <c r="K16" s="188"/>
      <c r="L16" s="188"/>
      <c r="M16" s="188"/>
      <c r="N16" s="188">
        <f>SUM(B16:M16)</f>
        <v>206036</v>
      </c>
      <c r="P16" s="96">
        <f t="shared" ref="P16" si="5">SUM(P14:P15)</f>
        <v>1625836.5777777778</v>
      </c>
    </row>
    <row r="17" spans="1:18" x14ac:dyDescent="0.25">
      <c r="P17" s="33">
        <f t="shared" ref="P17" si="6">P14-P5-P8</f>
        <v>1605624.5777777778</v>
      </c>
    </row>
    <row r="19" spans="1:18" x14ac:dyDescent="0.25">
      <c r="A19" s="69" t="s">
        <v>138</v>
      </c>
      <c r="B19" s="70" t="s">
        <v>189</v>
      </c>
      <c r="C19" s="70" t="s">
        <v>190</v>
      </c>
      <c r="D19" s="71" t="s">
        <v>191</v>
      </c>
      <c r="E19" s="72" t="s">
        <v>192</v>
      </c>
      <c r="F19" s="70" t="s">
        <v>193</v>
      </c>
      <c r="G19" s="73" t="s">
        <v>194</v>
      </c>
      <c r="H19" s="74" t="s">
        <v>195</v>
      </c>
      <c r="I19" s="70" t="s">
        <v>196</v>
      </c>
      <c r="J19" s="70" t="s">
        <v>197</v>
      </c>
      <c r="K19" s="70" t="s">
        <v>198</v>
      </c>
      <c r="L19" s="70" t="s">
        <v>199</v>
      </c>
      <c r="M19" s="70" t="s">
        <v>200</v>
      </c>
      <c r="N19" s="75" t="s">
        <v>201</v>
      </c>
      <c r="P19" s="76" t="s">
        <v>202</v>
      </c>
    </row>
    <row r="20" spans="1:18" x14ac:dyDescent="0.25">
      <c r="A20" s="77" t="s">
        <v>203</v>
      </c>
      <c r="B20" s="78">
        <f>42886+2598+963</f>
        <v>46447</v>
      </c>
      <c r="C20" s="78">
        <f>38673+2399+1085</f>
        <v>42157</v>
      </c>
      <c r="D20" s="78">
        <f>972+42013</f>
        <v>42985</v>
      </c>
      <c r="E20" s="78">
        <f>40478+1081</f>
        <v>41559</v>
      </c>
      <c r="F20" s="78">
        <f>42748+1103</f>
        <v>43851</v>
      </c>
      <c r="G20" s="78">
        <f>41301+1153</f>
        <v>42454</v>
      </c>
      <c r="H20" s="78">
        <f>33550+841</f>
        <v>34391</v>
      </c>
      <c r="I20" s="78">
        <f>37983+1141</f>
        <v>39124</v>
      </c>
      <c r="J20" s="78">
        <f>39019+1044</f>
        <v>40063</v>
      </c>
      <c r="K20" s="78"/>
      <c r="L20" s="79"/>
      <c r="M20" s="78"/>
      <c r="N20" s="80">
        <f>SUM(B20:M20)</f>
        <v>373031</v>
      </c>
      <c r="P20" s="81">
        <f>'Počet porcí 2019'!$N20/9*12</f>
        <v>497374.66666666669</v>
      </c>
      <c r="R20" s="11"/>
    </row>
    <row r="21" spans="1:18" x14ac:dyDescent="0.25">
      <c r="A21" s="82" t="s">
        <v>204</v>
      </c>
      <c r="B21" s="83">
        <v>963</v>
      </c>
      <c r="C21" s="84">
        <v>1085</v>
      </c>
      <c r="D21" s="84">
        <v>972</v>
      </c>
      <c r="E21" s="84">
        <v>1081</v>
      </c>
      <c r="F21" s="84">
        <v>1103</v>
      </c>
      <c r="G21" s="84">
        <v>1153</v>
      </c>
      <c r="H21" s="84">
        <v>841</v>
      </c>
      <c r="I21" s="84">
        <v>1141</v>
      </c>
      <c r="J21" s="84">
        <v>1044</v>
      </c>
      <c r="K21" s="84"/>
      <c r="L21" s="84"/>
      <c r="M21" s="84"/>
      <c r="N21" s="85">
        <f>SUM(B21:M21)</f>
        <v>9383</v>
      </c>
      <c r="P21" s="81">
        <f>'Počet porcí 2019'!$N21/9*12</f>
        <v>12510.666666666668</v>
      </c>
      <c r="R21" s="11"/>
    </row>
    <row r="22" spans="1:18" x14ac:dyDescent="0.25">
      <c r="A22" s="77" t="s">
        <v>205</v>
      </c>
      <c r="B22" s="86">
        <v>365</v>
      </c>
      <c r="C22" s="78">
        <v>399</v>
      </c>
      <c r="D22" s="78">
        <v>342</v>
      </c>
      <c r="E22" s="78">
        <v>324</v>
      </c>
      <c r="F22" s="78">
        <v>435</v>
      </c>
      <c r="G22" s="78">
        <v>376</v>
      </c>
      <c r="H22" s="78">
        <v>252</v>
      </c>
      <c r="I22" s="78">
        <v>203</v>
      </c>
      <c r="J22" s="78">
        <v>299</v>
      </c>
      <c r="K22" s="78"/>
      <c r="L22" s="78"/>
      <c r="M22" s="78"/>
      <c r="N22" s="80">
        <f>SUM(B22:M22)</f>
        <v>2995</v>
      </c>
      <c r="P22" s="81">
        <f>'Počet porcí 2019'!$N22/9*12</f>
        <v>3993.333333333333</v>
      </c>
    </row>
    <row r="23" spans="1:18" x14ac:dyDescent="0.25">
      <c r="A23" s="77" t="s">
        <v>206</v>
      </c>
      <c r="B23" s="86">
        <f>324+2196+24+0+14+42+100+236</f>
        <v>2936</v>
      </c>
      <c r="C23" s="78">
        <f>806+2065+25+0+14+38+76+209</f>
        <v>3233</v>
      </c>
      <c r="D23" s="78">
        <f>358+2071+30+13+39+92+203</f>
        <v>2806</v>
      </c>
      <c r="E23" s="78">
        <f>344+2109+30+9+37+81+188</f>
        <v>2798</v>
      </c>
      <c r="F23" s="78">
        <f>142+368+2231+28+13+34+83+205</f>
        <v>3104</v>
      </c>
      <c r="G23" s="78">
        <f>124+287+2041+30+16+30+74+202</f>
        <v>2804</v>
      </c>
      <c r="H23" s="78">
        <f>90+240+1324+19+4+28+78+211</f>
        <v>1994</v>
      </c>
      <c r="I23" s="78">
        <f>137+236+1593+15+4+31+99+248</f>
        <v>2363</v>
      </c>
      <c r="J23" s="78">
        <f>154+294+1917+30+16+26+66+214</f>
        <v>2717</v>
      </c>
      <c r="K23" s="78"/>
      <c r="L23" s="87"/>
      <c r="M23" s="78"/>
      <c r="N23" s="80">
        <f t="shared" ref="N23:N29" si="7">SUM(B23:M23)</f>
        <v>24755</v>
      </c>
      <c r="P23" s="81">
        <f>'Počet porcí 2019'!$N23/9*12</f>
        <v>33006.666666666672</v>
      </c>
    </row>
    <row r="24" spans="1:18" x14ac:dyDescent="0.25">
      <c r="A24" s="82" t="s">
        <v>207</v>
      </c>
      <c r="B24" s="86"/>
      <c r="C24" s="88"/>
      <c r="D24" s="88"/>
      <c r="E24" s="88"/>
      <c r="F24" s="84">
        <v>142</v>
      </c>
      <c r="G24" s="84">
        <v>124</v>
      </c>
      <c r="H24" s="84">
        <v>90</v>
      </c>
      <c r="I24" s="84">
        <v>137</v>
      </c>
      <c r="J24" s="84">
        <v>154</v>
      </c>
      <c r="K24" s="84"/>
      <c r="L24" s="84"/>
      <c r="M24" s="84"/>
      <c r="N24" s="85">
        <f>SUM(B24:M24)</f>
        <v>647</v>
      </c>
      <c r="P24" s="81">
        <f>'Počet porcí 2019'!$N24/9*12</f>
        <v>862.66666666666663</v>
      </c>
    </row>
    <row r="25" spans="1:18" x14ac:dyDescent="0.25">
      <c r="A25" s="89" t="s">
        <v>208</v>
      </c>
      <c r="B25" s="86">
        <v>252</v>
      </c>
      <c r="C25" s="78">
        <v>240</v>
      </c>
      <c r="D25" s="78">
        <v>252</v>
      </c>
      <c r="E25" s="78">
        <v>240</v>
      </c>
      <c r="F25" s="78">
        <v>252</v>
      </c>
      <c r="G25" s="78">
        <v>252</v>
      </c>
      <c r="H25" s="78">
        <v>240</v>
      </c>
      <c r="I25" s="78">
        <v>156</v>
      </c>
      <c r="J25" s="78">
        <v>228</v>
      </c>
      <c r="K25" s="78"/>
      <c r="L25" s="78"/>
      <c r="M25" s="78"/>
      <c r="N25" s="90">
        <f>SUM(B25:M25)</f>
        <v>2112</v>
      </c>
      <c r="P25" s="81">
        <f>'Počet porcí 2019'!$N25/9*12</f>
        <v>2816</v>
      </c>
    </row>
    <row r="26" spans="1:18" x14ac:dyDescent="0.25">
      <c r="A26" s="89" t="s">
        <v>209</v>
      </c>
      <c r="B26" s="86">
        <f>39+904</f>
        <v>943</v>
      </c>
      <c r="C26" s="78">
        <f>762+37</f>
        <v>799</v>
      </c>
      <c r="D26" s="78">
        <f>838+41</f>
        <v>879</v>
      </c>
      <c r="E26" s="78">
        <f>880+37</f>
        <v>917</v>
      </c>
      <c r="F26" s="78">
        <f>904+38</f>
        <v>942</v>
      </c>
      <c r="G26" s="78">
        <f>980+38</f>
        <v>1018</v>
      </c>
      <c r="H26" s="78">
        <f>742+24</f>
        <v>766</v>
      </c>
      <c r="I26" s="78">
        <f>727+31</f>
        <v>758</v>
      </c>
      <c r="J26" s="78">
        <f>849+34</f>
        <v>883</v>
      </c>
      <c r="K26" s="78"/>
      <c r="L26" s="78"/>
      <c r="M26" s="78"/>
      <c r="N26" s="90">
        <f>SUM(B26:M26)</f>
        <v>7905</v>
      </c>
      <c r="P26" s="81">
        <f>'Počet porcí 2019'!$N26/9*12</f>
        <v>10540</v>
      </c>
    </row>
    <row r="27" spans="1:18" ht="15.75" thickBot="1" x14ac:dyDescent="0.3">
      <c r="A27" s="77" t="s">
        <v>210</v>
      </c>
      <c r="B27" s="86">
        <v>4251</v>
      </c>
      <c r="C27" s="78">
        <v>5991</v>
      </c>
      <c r="D27" s="78">
        <v>8071</v>
      </c>
      <c r="E27" s="78">
        <v>7362</v>
      </c>
      <c r="F27" s="78">
        <v>5944</v>
      </c>
      <c r="G27" s="78">
        <v>1611</v>
      </c>
      <c r="H27" s="78">
        <v>620</v>
      </c>
      <c r="I27" s="78">
        <v>539</v>
      </c>
      <c r="J27" s="78">
        <v>4176</v>
      </c>
      <c r="K27" s="78"/>
      <c r="L27" s="78"/>
      <c r="M27" s="78"/>
      <c r="N27" s="80">
        <f t="shared" si="7"/>
        <v>38565</v>
      </c>
      <c r="P27" s="81">
        <f>'Počet porcí 2019'!$N27/9*12</f>
        <v>51420</v>
      </c>
      <c r="R27" s="11"/>
    </row>
    <row r="28" spans="1:18" ht="15.75" thickTop="1" x14ac:dyDescent="0.25">
      <c r="A28" s="91" t="s">
        <v>211</v>
      </c>
      <c r="B28" s="92">
        <f>SUM(B20,B22:B27)</f>
        <v>55194</v>
      </c>
      <c r="C28" s="92">
        <f t="shared" ref="C28:E28" si="8">SUM(C20,C22:C27)</f>
        <v>52819</v>
      </c>
      <c r="D28" s="92">
        <f t="shared" si="8"/>
        <v>55335</v>
      </c>
      <c r="E28" s="92">
        <f t="shared" si="8"/>
        <v>53200</v>
      </c>
      <c r="F28" s="92">
        <f>SUM(F20,F22:F23,F25:F27)</f>
        <v>54528</v>
      </c>
      <c r="G28" s="92">
        <f>SUM(G20,G22:G23,G25:G27)</f>
        <v>48515</v>
      </c>
      <c r="H28" s="92">
        <f t="shared" ref="H28:M28" si="9">SUM(H20,H22:H23,H25:H27)</f>
        <v>38263</v>
      </c>
      <c r="I28" s="92">
        <f t="shared" si="9"/>
        <v>43143</v>
      </c>
      <c r="J28" s="92">
        <f t="shared" si="9"/>
        <v>48366</v>
      </c>
      <c r="K28" s="92">
        <f t="shared" si="9"/>
        <v>0</v>
      </c>
      <c r="L28" s="92">
        <f t="shared" si="9"/>
        <v>0</v>
      </c>
      <c r="M28" s="92">
        <f t="shared" si="9"/>
        <v>0</v>
      </c>
      <c r="N28" s="93">
        <f t="shared" si="7"/>
        <v>449363</v>
      </c>
      <c r="P28" s="92">
        <f t="shared" ref="P28" si="10">SUM(P20,P22:P23,P25:P27)</f>
        <v>599150.66666666663</v>
      </c>
    </row>
    <row r="29" spans="1:18" ht="15.75" thickBot="1" x14ac:dyDescent="0.3">
      <c r="A29" s="77" t="s">
        <v>212</v>
      </c>
      <c r="B29" s="78">
        <v>26829</v>
      </c>
      <c r="C29" s="78">
        <v>26206</v>
      </c>
      <c r="D29" s="78">
        <v>28556</v>
      </c>
      <c r="E29" s="78">
        <v>27278</v>
      </c>
      <c r="F29" s="78">
        <v>27116</v>
      </c>
      <c r="G29" s="78">
        <v>26495</v>
      </c>
      <c r="H29" s="78">
        <v>21676</v>
      </c>
      <c r="I29" s="78">
        <v>22853</v>
      </c>
      <c r="J29" s="78">
        <v>25396</v>
      </c>
      <c r="K29" s="78"/>
      <c r="L29" s="78"/>
      <c r="M29" s="78"/>
      <c r="N29" s="80">
        <f t="shared" si="7"/>
        <v>232405</v>
      </c>
      <c r="P29" s="81">
        <f>'Počet porcí 2019'!$N29/9*12</f>
        <v>309873.33333333331</v>
      </c>
    </row>
    <row r="30" spans="1:18" ht="15.75" thickTop="1" x14ac:dyDescent="0.25">
      <c r="A30" s="94" t="s">
        <v>213</v>
      </c>
      <c r="B30" s="87">
        <f t="shared" ref="B30:M30" si="11">SUM(B28:B29)</f>
        <v>82023</v>
      </c>
      <c r="C30" s="87">
        <f t="shared" si="11"/>
        <v>79025</v>
      </c>
      <c r="D30" s="87">
        <f t="shared" si="11"/>
        <v>83891</v>
      </c>
      <c r="E30" s="87">
        <f t="shared" si="11"/>
        <v>80478</v>
      </c>
      <c r="F30" s="87">
        <f t="shared" si="11"/>
        <v>81644</v>
      </c>
      <c r="G30" s="87">
        <f t="shared" si="11"/>
        <v>75010</v>
      </c>
      <c r="H30" s="87">
        <f t="shared" si="11"/>
        <v>59939</v>
      </c>
      <c r="I30" s="87">
        <f t="shared" si="11"/>
        <v>65996</v>
      </c>
      <c r="J30" s="87">
        <f t="shared" si="11"/>
        <v>73762</v>
      </c>
      <c r="K30" s="87">
        <f t="shared" si="11"/>
        <v>0</v>
      </c>
      <c r="L30" s="87">
        <f t="shared" si="11"/>
        <v>0</v>
      </c>
      <c r="M30" s="87">
        <f t="shared" si="11"/>
        <v>0</v>
      </c>
      <c r="N30" s="95">
        <f>SUM(B30:M30)</f>
        <v>681768</v>
      </c>
      <c r="P30" s="96">
        <f t="shared" ref="P30" si="12">SUM(P28:P29)</f>
        <v>909024</v>
      </c>
    </row>
    <row r="31" spans="1:18" x14ac:dyDescent="0.25">
      <c r="A31" s="97"/>
      <c r="B31" s="33">
        <f>B28-B21</f>
        <v>54231</v>
      </c>
      <c r="C31" s="33">
        <f>C28-C21</f>
        <v>51734</v>
      </c>
      <c r="D31" s="33">
        <f>D28-D21</f>
        <v>54363</v>
      </c>
      <c r="E31" s="33">
        <f>E28-E21</f>
        <v>52119</v>
      </c>
      <c r="F31" s="33">
        <f>F28-F21-F24</f>
        <v>53283</v>
      </c>
      <c r="G31" s="33">
        <f t="shared" ref="G31:M31" si="13">G28-G21-G24</f>
        <v>47238</v>
      </c>
      <c r="H31" s="33">
        <f t="shared" si="13"/>
        <v>37332</v>
      </c>
      <c r="I31" s="33">
        <f t="shared" si="13"/>
        <v>41865</v>
      </c>
      <c r="J31" s="33">
        <f t="shared" si="13"/>
        <v>47168</v>
      </c>
      <c r="K31" s="33">
        <f t="shared" si="13"/>
        <v>0</v>
      </c>
      <c r="L31" s="33">
        <f t="shared" si="13"/>
        <v>0</v>
      </c>
      <c r="M31" s="33">
        <f t="shared" si="13"/>
        <v>0</v>
      </c>
      <c r="N31" s="33"/>
      <c r="P31" s="33">
        <f t="shared" ref="P31" si="14">P28-P21-P24</f>
        <v>585777.33333333337</v>
      </c>
    </row>
    <row r="32" spans="1:18" x14ac:dyDescent="0.25">
      <c r="A32" s="98" t="s">
        <v>214</v>
      </c>
      <c r="B32" s="99">
        <v>26469</v>
      </c>
      <c r="C32" s="100">
        <v>25196</v>
      </c>
      <c r="D32" s="100">
        <v>27431</v>
      </c>
      <c r="E32" s="100">
        <v>26386</v>
      </c>
      <c r="F32" s="100">
        <v>25778</v>
      </c>
      <c r="G32" s="100">
        <v>25209</v>
      </c>
      <c r="H32" s="100">
        <v>20839</v>
      </c>
      <c r="I32" s="100">
        <v>21884</v>
      </c>
      <c r="J32" s="100">
        <v>24277</v>
      </c>
      <c r="K32" s="100"/>
      <c r="L32" s="100"/>
      <c r="M32" s="100"/>
      <c r="N32" s="100">
        <f>SUM(B32:M32)</f>
        <v>223469</v>
      </c>
    </row>
    <row r="34" spans="1:14" x14ac:dyDescent="0.25">
      <c r="A34" s="101" t="s">
        <v>138</v>
      </c>
      <c r="B34" s="102" t="s">
        <v>215</v>
      </c>
      <c r="C34" s="102" t="s">
        <v>216</v>
      </c>
      <c r="D34" s="103" t="s">
        <v>217</v>
      </c>
      <c r="E34" s="104" t="s">
        <v>218</v>
      </c>
      <c r="F34" s="102" t="s">
        <v>219</v>
      </c>
      <c r="G34" s="105" t="s">
        <v>220</v>
      </c>
      <c r="H34" s="106" t="s">
        <v>221</v>
      </c>
      <c r="I34" s="102" t="s">
        <v>222</v>
      </c>
      <c r="J34" s="102" t="s">
        <v>223</v>
      </c>
      <c r="K34" s="102" t="s">
        <v>224</v>
      </c>
      <c r="L34" s="102" t="s">
        <v>225</v>
      </c>
      <c r="M34" s="102" t="s">
        <v>226</v>
      </c>
      <c r="N34" s="76" t="s">
        <v>201</v>
      </c>
    </row>
    <row r="35" spans="1:14" x14ac:dyDescent="0.25">
      <c r="A35" s="107" t="s">
        <v>203</v>
      </c>
      <c r="B35" s="81">
        <v>41748</v>
      </c>
      <c r="C35" s="81">
        <v>38062</v>
      </c>
      <c r="D35" s="81">
        <v>43713</v>
      </c>
      <c r="E35" s="81">
        <v>35881</v>
      </c>
      <c r="F35" s="81">
        <v>40391</v>
      </c>
      <c r="G35" s="81">
        <v>40455</v>
      </c>
      <c r="H35" s="81">
        <v>28595</v>
      </c>
      <c r="I35" s="81">
        <v>35536</v>
      </c>
      <c r="J35" s="81">
        <v>36848</v>
      </c>
      <c r="K35" s="81">
        <v>44985</v>
      </c>
      <c r="L35" s="81">
        <v>44103</v>
      </c>
      <c r="M35" s="81">
        <v>35435</v>
      </c>
      <c r="N35" s="81">
        <f>SUM(B35:M35)</f>
        <v>465752</v>
      </c>
    </row>
    <row r="36" spans="1:14" s="112" customFormat="1" ht="12" x14ac:dyDescent="0.2">
      <c r="A36" s="108" t="s">
        <v>204</v>
      </c>
      <c r="B36" s="109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493</v>
      </c>
      <c r="I36" s="110">
        <v>748</v>
      </c>
      <c r="J36" s="111">
        <v>790</v>
      </c>
      <c r="K36" s="111">
        <v>850</v>
      </c>
      <c r="L36" s="111">
        <v>938</v>
      </c>
      <c r="M36" s="111">
        <v>750</v>
      </c>
      <c r="N36" s="110">
        <f>SUM(B36:M36)</f>
        <v>4569</v>
      </c>
    </row>
    <row r="37" spans="1:14" x14ac:dyDescent="0.25">
      <c r="A37" s="107" t="s">
        <v>205</v>
      </c>
      <c r="B37" s="113">
        <v>248</v>
      </c>
      <c r="C37" s="81">
        <v>300</v>
      </c>
      <c r="D37" s="81">
        <v>390</v>
      </c>
      <c r="E37" s="81">
        <v>330</v>
      </c>
      <c r="F37" s="81">
        <v>271</v>
      </c>
      <c r="G37" s="81">
        <v>160</v>
      </c>
      <c r="H37" s="81">
        <v>100</v>
      </c>
      <c r="I37" s="81">
        <v>110</v>
      </c>
      <c r="J37" s="81">
        <v>200</v>
      </c>
      <c r="K37" s="81">
        <v>297</v>
      </c>
      <c r="L37" s="81">
        <v>395</v>
      </c>
      <c r="M37" s="81">
        <v>211</v>
      </c>
      <c r="N37" s="81">
        <f t="shared" ref="N37:N41" si="15">SUM(B37:M37)</f>
        <v>3012</v>
      </c>
    </row>
    <row r="38" spans="1:14" x14ac:dyDescent="0.25">
      <c r="A38" s="107" t="s">
        <v>206</v>
      </c>
      <c r="B38" s="113">
        <v>3842</v>
      </c>
      <c r="C38" s="81">
        <v>3553</v>
      </c>
      <c r="D38" s="81">
        <v>3971</v>
      </c>
      <c r="E38" s="81">
        <v>3289</v>
      </c>
      <c r="F38" s="81">
        <v>3723</v>
      </c>
      <c r="G38" s="81">
        <v>3586</v>
      </c>
      <c r="H38" s="81">
        <v>2400</v>
      </c>
      <c r="I38" s="81">
        <v>2300</v>
      </c>
      <c r="J38" s="81">
        <v>2800</v>
      </c>
      <c r="K38" s="81">
        <v>3050</v>
      </c>
      <c r="L38" s="81">
        <v>2922</v>
      </c>
      <c r="M38" s="81">
        <f>226+1521+12+8+29+91+163</f>
        <v>2050</v>
      </c>
      <c r="N38" s="81">
        <f t="shared" si="15"/>
        <v>37486</v>
      </c>
    </row>
    <row r="39" spans="1:14" x14ac:dyDescent="0.25">
      <c r="A39" s="89" t="s">
        <v>208</v>
      </c>
      <c r="B39" s="114">
        <v>220</v>
      </c>
      <c r="C39" s="81">
        <v>200</v>
      </c>
      <c r="D39" s="81">
        <v>230</v>
      </c>
      <c r="E39" s="81">
        <v>180</v>
      </c>
      <c r="F39" s="81">
        <v>212</v>
      </c>
      <c r="G39" s="81">
        <v>220</v>
      </c>
      <c r="H39" s="81">
        <v>188</v>
      </c>
      <c r="I39" s="114">
        <v>140</v>
      </c>
      <c r="J39" s="114">
        <v>228</v>
      </c>
      <c r="K39" s="114">
        <v>264</v>
      </c>
      <c r="L39" s="114">
        <v>252</v>
      </c>
      <c r="M39" s="114">
        <v>192</v>
      </c>
      <c r="N39" s="81">
        <f t="shared" si="15"/>
        <v>2526</v>
      </c>
    </row>
    <row r="40" spans="1:14" x14ac:dyDescent="0.25">
      <c r="A40" s="89" t="s">
        <v>209</v>
      </c>
      <c r="B40" s="114">
        <v>854</v>
      </c>
      <c r="C40" s="81">
        <v>719</v>
      </c>
      <c r="D40" s="81">
        <v>847</v>
      </c>
      <c r="E40" s="81">
        <v>734</v>
      </c>
      <c r="F40" s="81">
        <v>901</v>
      </c>
      <c r="G40" s="81">
        <v>925</v>
      </c>
      <c r="H40" s="81">
        <v>639</v>
      </c>
      <c r="I40" s="114">
        <v>663</v>
      </c>
      <c r="J40" s="114">
        <v>773</v>
      </c>
      <c r="K40" s="114">
        <v>843</v>
      </c>
      <c r="L40" s="114">
        <v>820</v>
      </c>
      <c r="M40" s="114">
        <f>619+28</f>
        <v>647</v>
      </c>
      <c r="N40" s="81">
        <f t="shared" si="15"/>
        <v>9365</v>
      </c>
    </row>
    <row r="41" spans="1:14" ht="15.75" thickBot="1" x14ac:dyDescent="0.3">
      <c r="A41" s="107" t="s">
        <v>210</v>
      </c>
      <c r="B41" s="113">
        <v>3499</v>
      </c>
      <c r="C41" s="81">
        <v>4406</v>
      </c>
      <c r="D41" s="81">
        <v>9402</v>
      </c>
      <c r="E41" s="81">
        <v>7323</v>
      </c>
      <c r="F41" s="81">
        <v>6258</v>
      </c>
      <c r="G41" s="81">
        <v>1577</v>
      </c>
      <c r="H41" s="81">
        <v>700</v>
      </c>
      <c r="I41" s="81">
        <v>700</v>
      </c>
      <c r="J41" s="81">
        <v>4000</v>
      </c>
      <c r="K41" s="81">
        <v>8242</v>
      </c>
      <c r="L41" s="81">
        <v>8655</v>
      </c>
      <c r="M41" s="81">
        <v>5940</v>
      </c>
      <c r="N41" s="81">
        <f t="shared" si="15"/>
        <v>60702</v>
      </c>
    </row>
    <row r="42" spans="1:14" ht="15.75" thickTop="1" x14ac:dyDescent="0.25">
      <c r="A42" s="115" t="s">
        <v>211</v>
      </c>
      <c r="B42" s="92">
        <f>SUM(B35,B37:B41)</f>
        <v>50411</v>
      </c>
      <c r="C42" s="92">
        <f t="shared" ref="C42:M42" si="16">SUM(C35,C37:C41)</f>
        <v>47240</v>
      </c>
      <c r="D42" s="92">
        <f t="shared" si="16"/>
        <v>58553</v>
      </c>
      <c r="E42" s="92">
        <f t="shared" si="16"/>
        <v>47737</v>
      </c>
      <c r="F42" s="92">
        <f t="shared" si="16"/>
        <v>51756</v>
      </c>
      <c r="G42" s="92">
        <f t="shared" si="16"/>
        <v>46923</v>
      </c>
      <c r="H42" s="92">
        <f t="shared" si="16"/>
        <v>32622</v>
      </c>
      <c r="I42" s="92">
        <f t="shared" si="16"/>
        <v>39449</v>
      </c>
      <c r="J42" s="92">
        <f t="shared" si="16"/>
        <v>44849</v>
      </c>
      <c r="K42" s="92">
        <f t="shared" si="16"/>
        <v>57681</v>
      </c>
      <c r="L42" s="92">
        <f t="shared" si="16"/>
        <v>57147</v>
      </c>
      <c r="M42" s="92">
        <f t="shared" si="16"/>
        <v>44475</v>
      </c>
      <c r="N42" s="92">
        <f>SUM(B42:M42)</f>
        <v>578843</v>
      </c>
    </row>
    <row r="43" spans="1:14" ht="15.75" thickBot="1" x14ac:dyDescent="0.3">
      <c r="A43" s="107" t="s">
        <v>212</v>
      </c>
      <c r="B43" s="81">
        <v>27061</v>
      </c>
      <c r="C43" s="81">
        <v>26192</v>
      </c>
      <c r="D43" s="81">
        <v>28741</v>
      </c>
      <c r="E43" s="81">
        <v>25955</v>
      </c>
      <c r="F43" s="81">
        <v>27247</v>
      </c>
      <c r="G43" s="81">
        <v>26754</v>
      </c>
      <c r="H43" s="81">
        <v>20510</v>
      </c>
      <c r="I43" s="81">
        <v>22346</v>
      </c>
      <c r="J43" s="81">
        <v>25570</v>
      </c>
      <c r="K43" s="81">
        <v>27551</v>
      </c>
      <c r="L43" s="81">
        <v>27531</v>
      </c>
      <c r="M43" s="81">
        <v>22035</v>
      </c>
      <c r="N43" s="81">
        <f t="shared" ref="N43" si="17">SUM(B43:M43)</f>
        <v>307493</v>
      </c>
    </row>
    <row r="44" spans="1:14" ht="15.75" thickTop="1" x14ac:dyDescent="0.25">
      <c r="A44" s="116" t="s">
        <v>213</v>
      </c>
      <c r="B44" s="96">
        <f t="shared" ref="B44:M44" si="18">SUM(B42:B43)</f>
        <v>77472</v>
      </c>
      <c r="C44" s="96">
        <f t="shared" si="18"/>
        <v>73432</v>
      </c>
      <c r="D44" s="96">
        <f t="shared" si="18"/>
        <v>87294</v>
      </c>
      <c r="E44" s="96">
        <f t="shared" si="18"/>
        <v>73692</v>
      </c>
      <c r="F44" s="96">
        <f t="shared" si="18"/>
        <v>79003</v>
      </c>
      <c r="G44" s="96">
        <f t="shared" si="18"/>
        <v>73677</v>
      </c>
      <c r="H44" s="96">
        <f t="shared" si="18"/>
        <v>53132</v>
      </c>
      <c r="I44" s="96">
        <f t="shared" si="18"/>
        <v>61795</v>
      </c>
      <c r="J44" s="96">
        <f t="shared" si="18"/>
        <v>70419</v>
      </c>
      <c r="K44" s="96">
        <f t="shared" si="18"/>
        <v>85232</v>
      </c>
      <c r="L44" s="96">
        <f t="shared" si="18"/>
        <v>84678</v>
      </c>
      <c r="M44" s="96">
        <f t="shared" si="18"/>
        <v>66510</v>
      </c>
      <c r="N44" s="96">
        <f>SUM(B44:M44)</f>
        <v>886336</v>
      </c>
    </row>
    <row r="46" spans="1:14" x14ac:dyDescent="0.25">
      <c r="A46" s="98" t="s">
        <v>214</v>
      </c>
      <c r="B46" s="99">
        <v>26736</v>
      </c>
      <c r="C46" s="100">
        <v>25822</v>
      </c>
      <c r="D46" s="100">
        <v>28018</v>
      </c>
      <c r="E46" s="100">
        <v>25455</v>
      </c>
      <c r="F46" s="100">
        <v>26902</v>
      </c>
      <c r="G46" s="100">
        <v>26287</v>
      </c>
      <c r="H46" s="100">
        <v>20406</v>
      </c>
      <c r="I46" s="100">
        <v>21918</v>
      </c>
      <c r="J46" s="100">
        <v>24997</v>
      </c>
      <c r="K46" s="100">
        <v>26895</v>
      </c>
      <c r="L46" s="100">
        <v>26684</v>
      </c>
      <c r="M46" s="100">
        <v>21503</v>
      </c>
      <c r="N46" s="100">
        <f>SUM(B46:M46)</f>
        <v>301623</v>
      </c>
    </row>
    <row r="47" spans="1:14" x14ac:dyDescent="0.25">
      <c r="B47" s="117"/>
      <c r="C47" s="118"/>
      <c r="D47" s="118"/>
      <c r="E47" s="118"/>
      <c r="F47" s="118"/>
      <c r="G47" s="118"/>
      <c r="H47" s="118"/>
      <c r="I47" s="118"/>
      <c r="N47" s="11"/>
    </row>
    <row r="48" spans="1:14" x14ac:dyDescent="0.25">
      <c r="B48" s="117"/>
      <c r="C48" s="118"/>
      <c r="D48" s="118"/>
      <c r="E48" s="118"/>
      <c r="F48" s="118"/>
      <c r="G48" s="118"/>
      <c r="H48" s="118"/>
      <c r="I48" s="118"/>
      <c r="N48" s="11"/>
    </row>
    <row r="49" spans="1:16" x14ac:dyDescent="0.25">
      <c r="A49" s="69" t="s">
        <v>138</v>
      </c>
      <c r="B49" s="119" t="s">
        <v>227</v>
      </c>
      <c r="C49" s="119" t="s">
        <v>228</v>
      </c>
      <c r="D49" s="119" t="s">
        <v>229</v>
      </c>
      <c r="E49" s="119" t="s">
        <v>230</v>
      </c>
      <c r="F49" s="119" t="s">
        <v>231</v>
      </c>
      <c r="G49" s="119" t="s">
        <v>232</v>
      </c>
      <c r="H49" s="119" t="s">
        <v>233</v>
      </c>
      <c r="I49" s="119" t="s">
        <v>234</v>
      </c>
      <c r="J49" s="119" t="s">
        <v>235</v>
      </c>
      <c r="K49" s="119" t="s">
        <v>236</v>
      </c>
      <c r="L49" s="119" t="s">
        <v>237</v>
      </c>
      <c r="M49" s="119" t="s">
        <v>238</v>
      </c>
      <c r="N49" s="75" t="s">
        <v>201</v>
      </c>
    </row>
    <row r="50" spans="1:16" x14ac:dyDescent="0.25">
      <c r="A50" s="120" t="s">
        <v>239</v>
      </c>
      <c r="B50" s="121">
        <v>37185</v>
      </c>
      <c r="C50" s="78">
        <v>36929</v>
      </c>
      <c r="D50" s="78">
        <v>38969</v>
      </c>
      <c r="E50" s="78">
        <v>38333</v>
      </c>
      <c r="F50" s="78">
        <v>40151</v>
      </c>
      <c r="G50" s="78">
        <v>38666</v>
      </c>
      <c r="H50" s="78">
        <v>29548</v>
      </c>
      <c r="I50" s="78">
        <v>34487</v>
      </c>
      <c r="J50" s="78">
        <v>37488</v>
      </c>
      <c r="K50" s="78">
        <v>37858</v>
      </c>
      <c r="L50" s="78">
        <v>39530</v>
      </c>
      <c r="M50" s="78"/>
      <c r="N50" s="80">
        <f>SUM(B50:M50)</f>
        <v>409144</v>
      </c>
      <c r="P50" s="11"/>
    </row>
    <row r="51" spans="1:16" x14ac:dyDescent="0.25">
      <c r="A51" s="120" t="s">
        <v>240</v>
      </c>
      <c r="B51" s="86">
        <v>230</v>
      </c>
      <c r="C51" s="78">
        <v>210</v>
      </c>
      <c r="D51" s="78">
        <v>181</v>
      </c>
      <c r="E51" s="78">
        <v>211</v>
      </c>
      <c r="F51" s="78">
        <v>241</v>
      </c>
      <c r="G51" s="78">
        <v>172</v>
      </c>
      <c r="H51" s="78">
        <v>150</v>
      </c>
      <c r="I51" s="78">
        <v>158</v>
      </c>
      <c r="J51" s="78">
        <v>314</v>
      </c>
      <c r="K51" s="78">
        <v>315</v>
      </c>
      <c r="L51" s="78">
        <v>289</v>
      </c>
      <c r="M51" s="122"/>
      <c r="N51" s="80">
        <f t="shared" ref="N51:N55" si="19">SUM(B51:M51)</f>
        <v>2471</v>
      </c>
    </row>
    <row r="52" spans="1:16" x14ac:dyDescent="0.25">
      <c r="A52" s="120" t="s">
        <v>162</v>
      </c>
      <c r="B52" s="86">
        <f>2685+215+196+22+25+79+144</f>
        <v>3366</v>
      </c>
      <c r="C52" s="78">
        <f>2653+228+215+18+16+113+140+9+8</f>
        <v>3400</v>
      </c>
      <c r="D52" s="78">
        <f>2850+260+215+17+25+123+143</f>
        <v>3633</v>
      </c>
      <c r="E52" s="78">
        <f>2921+229+216+18+25+91+148</f>
        <v>3648</v>
      </c>
      <c r="F52" s="78">
        <f>3212+273+207+17+23+126+151+18</f>
        <v>4027</v>
      </c>
      <c r="G52" s="78">
        <f>2906+248+199+17+30+89+153</f>
        <v>3642</v>
      </c>
      <c r="H52" s="78">
        <f>1816+182+136+19+14+13+106+16</f>
        <v>2302</v>
      </c>
      <c r="I52" s="78">
        <f>2193+208+183+20+8+22+140+13</f>
        <v>2787</v>
      </c>
      <c r="J52" s="78">
        <f>2927+200+188+15+16+109+116+4+48</f>
        <v>3623</v>
      </c>
      <c r="K52" s="78">
        <f>3033+241+177+19+25+123+124</f>
        <v>3742</v>
      </c>
      <c r="L52" s="78">
        <f>3179+252+192+31+28+141+124+65</f>
        <v>4012</v>
      </c>
      <c r="M52" s="122"/>
      <c r="N52" s="80">
        <f t="shared" si="19"/>
        <v>38182</v>
      </c>
    </row>
    <row r="53" spans="1:16" x14ac:dyDescent="0.25">
      <c r="A53" s="123" t="s">
        <v>163</v>
      </c>
      <c r="B53" s="124">
        <v>286</v>
      </c>
      <c r="C53" s="78">
        <v>296</v>
      </c>
      <c r="D53" s="78">
        <v>308</v>
      </c>
      <c r="E53" s="78">
        <v>296</v>
      </c>
      <c r="F53" s="78">
        <v>324</v>
      </c>
      <c r="G53" s="78">
        <v>300</v>
      </c>
      <c r="H53" s="78">
        <v>204</v>
      </c>
      <c r="I53" s="124">
        <v>130</v>
      </c>
      <c r="J53" s="124">
        <v>210</v>
      </c>
      <c r="K53" s="124">
        <v>200</v>
      </c>
      <c r="L53" s="124">
        <v>208</v>
      </c>
      <c r="M53" s="122"/>
      <c r="N53" s="80">
        <f t="shared" si="19"/>
        <v>2762</v>
      </c>
    </row>
    <row r="54" spans="1:16" x14ac:dyDescent="0.25">
      <c r="A54" s="123" t="s">
        <v>164</v>
      </c>
      <c r="B54" s="124">
        <v>918</v>
      </c>
      <c r="C54" s="78">
        <v>895</v>
      </c>
      <c r="D54" s="78">
        <v>943</v>
      </c>
      <c r="E54" s="78">
        <v>1010</v>
      </c>
      <c r="F54" s="78">
        <v>1051</v>
      </c>
      <c r="G54" s="78">
        <v>1010</v>
      </c>
      <c r="H54" s="78">
        <v>686</v>
      </c>
      <c r="I54" s="124">
        <v>697</v>
      </c>
      <c r="J54" s="124">
        <v>772</v>
      </c>
      <c r="K54" s="124">
        <v>813</v>
      </c>
      <c r="L54" s="124">
        <v>802</v>
      </c>
      <c r="M54" s="122"/>
      <c r="N54" s="80">
        <f t="shared" si="19"/>
        <v>9597</v>
      </c>
    </row>
    <row r="55" spans="1:16" ht="15.75" thickBot="1" x14ac:dyDescent="0.3">
      <c r="A55" s="120" t="s">
        <v>241</v>
      </c>
      <c r="B55" s="86">
        <v>2841</v>
      </c>
      <c r="C55" s="78">
        <v>5106</v>
      </c>
      <c r="D55" s="78">
        <v>9250</v>
      </c>
      <c r="E55" s="78">
        <v>8639</v>
      </c>
      <c r="F55" s="78">
        <v>6701</v>
      </c>
      <c r="G55" s="78">
        <v>1543</v>
      </c>
      <c r="H55" s="78">
        <v>823</v>
      </c>
      <c r="I55" s="78">
        <v>851</v>
      </c>
      <c r="J55" s="78">
        <v>4267</v>
      </c>
      <c r="K55" s="78">
        <v>10509</v>
      </c>
      <c r="L55" s="78">
        <v>10796</v>
      </c>
      <c r="M55" s="122"/>
      <c r="N55" s="80">
        <f t="shared" si="19"/>
        <v>61326</v>
      </c>
    </row>
    <row r="56" spans="1:16" ht="15.75" thickTop="1" x14ac:dyDescent="0.25">
      <c r="A56" s="91" t="s">
        <v>211</v>
      </c>
      <c r="B56" s="92">
        <f>SUM(B50:B55)</f>
        <v>44826</v>
      </c>
      <c r="C56" s="92">
        <f>SUM(C50:C55)</f>
        <v>46836</v>
      </c>
      <c r="D56" s="92">
        <f>SUM(D50:D55)</f>
        <v>53284</v>
      </c>
      <c r="E56" s="92">
        <f t="shared" ref="E56:M56" si="20">SUM(E50:E55)</f>
        <v>52137</v>
      </c>
      <c r="F56" s="92">
        <f t="shared" si="20"/>
        <v>52495</v>
      </c>
      <c r="G56" s="92">
        <f t="shared" si="20"/>
        <v>45333</v>
      </c>
      <c r="H56" s="92">
        <f t="shared" si="20"/>
        <v>33713</v>
      </c>
      <c r="I56" s="92">
        <f t="shared" si="20"/>
        <v>39110</v>
      </c>
      <c r="J56" s="92">
        <f t="shared" si="20"/>
        <v>46674</v>
      </c>
      <c r="K56" s="92">
        <f t="shared" si="20"/>
        <v>53437</v>
      </c>
      <c r="L56" s="92">
        <f t="shared" si="20"/>
        <v>55637</v>
      </c>
      <c r="M56" s="92">
        <f t="shared" si="20"/>
        <v>0</v>
      </c>
      <c r="N56" s="93">
        <f>SUM(B56:M56)</f>
        <v>523482</v>
      </c>
    </row>
    <row r="57" spans="1:16" x14ac:dyDescent="0.25">
      <c r="A57" s="120" t="s">
        <v>242</v>
      </c>
      <c r="B57" s="78">
        <v>25348</v>
      </c>
      <c r="C57" s="78">
        <v>25850</v>
      </c>
      <c r="D57" s="78">
        <v>27561</v>
      </c>
      <c r="E57" s="78">
        <v>27607</v>
      </c>
      <c r="F57" s="78">
        <v>27834</v>
      </c>
      <c r="G57" s="78">
        <v>26072</v>
      </c>
      <c r="H57" s="78">
        <v>21227</v>
      </c>
      <c r="I57" s="78">
        <v>21595</v>
      </c>
      <c r="J57" s="78">
        <v>25135</v>
      </c>
      <c r="K57" s="78">
        <v>27745</v>
      </c>
      <c r="L57" s="78">
        <v>26774</v>
      </c>
      <c r="M57" s="78"/>
      <c r="N57" s="80">
        <f t="shared" ref="N57" si="21">SUM(B57:M57)</f>
        <v>282748</v>
      </c>
    </row>
    <row r="58" spans="1:16" x14ac:dyDescent="0.25">
      <c r="A58" s="94" t="s">
        <v>213</v>
      </c>
      <c r="B58" s="87">
        <f t="shared" ref="B58:M58" si="22">SUM(B56:B57)</f>
        <v>70174</v>
      </c>
      <c r="C58" s="87">
        <f t="shared" si="22"/>
        <v>72686</v>
      </c>
      <c r="D58" s="87">
        <f t="shared" si="22"/>
        <v>80845</v>
      </c>
      <c r="E58" s="87">
        <f t="shared" si="22"/>
        <v>79744</v>
      </c>
      <c r="F58" s="87">
        <f t="shared" si="22"/>
        <v>80329</v>
      </c>
      <c r="G58" s="87">
        <f t="shared" si="22"/>
        <v>71405</v>
      </c>
      <c r="H58" s="87">
        <f t="shared" si="22"/>
        <v>54940</v>
      </c>
      <c r="I58" s="87">
        <f t="shared" si="22"/>
        <v>60705</v>
      </c>
      <c r="J58" s="87">
        <f t="shared" si="22"/>
        <v>71809</v>
      </c>
      <c r="K58" s="87">
        <f t="shared" si="22"/>
        <v>81182</v>
      </c>
      <c r="L58" s="87">
        <f t="shared" si="22"/>
        <v>82411</v>
      </c>
      <c r="M58" s="87">
        <f t="shared" si="22"/>
        <v>0</v>
      </c>
      <c r="N58" s="95">
        <f>SUM(B58:M58)</f>
        <v>806230</v>
      </c>
    </row>
    <row r="60" spans="1:16" x14ac:dyDescent="0.25">
      <c r="A60" s="69" t="s">
        <v>138</v>
      </c>
      <c r="B60" s="119" t="s">
        <v>243</v>
      </c>
      <c r="C60" s="119" t="s">
        <v>244</v>
      </c>
      <c r="D60" s="119" t="s">
        <v>245</v>
      </c>
      <c r="E60" s="119" t="s">
        <v>246</v>
      </c>
      <c r="F60" s="119" t="s">
        <v>247</v>
      </c>
      <c r="G60" s="119" t="s">
        <v>248</v>
      </c>
      <c r="H60" s="119" t="s">
        <v>249</v>
      </c>
      <c r="I60" s="119" t="s">
        <v>250</v>
      </c>
      <c r="J60" s="119" t="s">
        <v>251</v>
      </c>
      <c r="K60" s="119" t="s">
        <v>252</v>
      </c>
      <c r="L60" s="119" t="s">
        <v>253</v>
      </c>
      <c r="M60" s="119" t="s">
        <v>254</v>
      </c>
      <c r="N60" s="75" t="s">
        <v>201</v>
      </c>
    </row>
    <row r="61" spans="1:16" x14ac:dyDescent="0.25">
      <c r="A61" s="120" t="s">
        <v>239</v>
      </c>
      <c r="B61" s="121">
        <v>36316</v>
      </c>
      <c r="C61" s="78">
        <v>33882</v>
      </c>
      <c r="D61" s="78">
        <v>38952</v>
      </c>
      <c r="E61" s="78">
        <v>36459</v>
      </c>
      <c r="F61" s="78">
        <v>33786</v>
      </c>
      <c r="G61" s="78">
        <v>36395</v>
      </c>
      <c r="H61" s="78">
        <v>31797</v>
      </c>
      <c r="I61" s="78">
        <v>30459</v>
      </c>
      <c r="J61" s="78">
        <v>36214</v>
      </c>
      <c r="K61" s="78">
        <f>37153</f>
        <v>37153</v>
      </c>
      <c r="L61" s="79">
        <f>35620</f>
        <v>35620</v>
      </c>
      <c r="M61" s="78"/>
      <c r="N61" s="80">
        <f>SUM(B61:M61)</f>
        <v>387033</v>
      </c>
      <c r="P61" s="11"/>
    </row>
    <row r="62" spans="1:16" x14ac:dyDescent="0.25">
      <c r="A62" s="120" t="s">
        <v>240</v>
      </c>
      <c r="B62" s="86">
        <v>227</v>
      </c>
      <c r="C62" s="78">
        <v>282</v>
      </c>
      <c r="D62" s="78">
        <v>207</v>
      </c>
      <c r="E62" s="78">
        <v>124</v>
      </c>
      <c r="F62" s="78">
        <v>181</v>
      </c>
      <c r="G62" s="78">
        <v>206</v>
      </c>
      <c r="H62" s="78">
        <v>158</v>
      </c>
      <c r="I62" s="78">
        <v>183</v>
      </c>
      <c r="J62" s="78">
        <v>279</v>
      </c>
      <c r="K62" s="78">
        <f>306</f>
        <v>306</v>
      </c>
      <c r="L62" s="78">
        <v>335</v>
      </c>
      <c r="M62" s="122"/>
      <c r="N62" s="80">
        <f>SUM(B62:M62)</f>
        <v>2488</v>
      </c>
    </row>
    <row r="63" spans="1:16" x14ac:dyDescent="0.25">
      <c r="A63" s="120" t="s">
        <v>162</v>
      </c>
      <c r="B63" s="124">
        <f>37+1+8+2547+274+202+48+22+36+110+52</f>
        <v>3337</v>
      </c>
      <c r="C63" s="78">
        <f>57+8+12+2620+246+193+40+18+60+42+121</f>
        <v>3417</v>
      </c>
      <c r="D63" s="78">
        <f>44+11+5+1+2998+299+215+16+21+59+73+123+2</f>
        <v>3867</v>
      </c>
      <c r="E63" s="78">
        <f>2697+272+192+34+17+44+72+99+6</f>
        <v>3433</v>
      </c>
      <c r="F63" s="78">
        <f>2611+278+191+37+18+41+58+131+19+6+8</f>
        <v>3398</v>
      </c>
      <c r="G63" s="78">
        <f>2876+258+217+51+17+61+42+146+11</f>
        <v>3679</v>
      </c>
      <c r="H63" s="78">
        <f>1982+198+187+28+21+38+32+113+17</f>
        <v>2616</v>
      </c>
      <c r="I63" s="78">
        <f>1956+208+173+18+25+27+121+11</f>
        <v>2539</v>
      </c>
      <c r="J63" s="125">
        <f>2662+327+200+21+39+48+131+1+16</f>
        <v>3445</v>
      </c>
      <c r="K63" s="125">
        <f>1+2701+288+207+16+32+70+130</f>
        <v>3445</v>
      </c>
      <c r="L63" s="126">
        <f>2769+223+197+18+33+85+149+2+6</f>
        <v>3482</v>
      </c>
      <c r="M63" s="122"/>
      <c r="N63" s="80">
        <f t="shared" ref="N63:N68" si="23">SUM(B63:M63)</f>
        <v>36658</v>
      </c>
    </row>
    <row r="64" spans="1:16" x14ac:dyDescent="0.25">
      <c r="A64" s="123" t="s">
        <v>163</v>
      </c>
      <c r="B64" s="124">
        <v>276</v>
      </c>
      <c r="C64" s="78">
        <v>280</v>
      </c>
      <c r="D64" s="78">
        <v>324</v>
      </c>
      <c r="E64" s="78">
        <v>312</v>
      </c>
      <c r="F64" s="78">
        <v>280</v>
      </c>
      <c r="G64" s="78">
        <v>326</v>
      </c>
      <c r="H64" s="78">
        <v>250</v>
      </c>
      <c r="I64" s="124">
        <v>120</v>
      </c>
      <c r="J64" s="125">
        <v>226</v>
      </c>
      <c r="K64" s="125">
        <v>226</v>
      </c>
      <c r="L64" s="125">
        <v>114</v>
      </c>
      <c r="M64" s="122"/>
      <c r="N64" s="80">
        <f>SUM(C64:M64)</f>
        <v>2458</v>
      </c>
    </row>
    <row r="65" spans="1:14" x14ac:dyDescent="0.25">
      <c r="A65" s="123" t="s">
        <v>164</v>
      </c>
      <c r="B65" s="124">
        <v>1113</v>
      </c>
      <c r="C65" s="78">
        <v>974</v>
      </c>
      <c r="D65" s="78">
        <v>1279</v>
      </c>
      <c r="E65" s="78">
        <v>1241</v>
      </c>
      <c r="F65" s="78">
        <v>1137</v>
      </c>
      <c r="G65" s="78">
        <v>1099</v>
      </c>
      <c r="H65" s="78">
        <v>838</v>
      </c>
      <c r="I65" s="124">
        <v>583</v>
      </c>
      <c r="J65" s="125">
        <v>886</v>
      </c>
      <c r="K65" s="125">
        <v>889</v>
      </c>
      <c r="L65" s="125">
        <v>882</v>
      </c>
      <c r="M65" s="122"/>
      <c r="N65" s="80">
        <f>SUM(C65:M65)</f>
        <v>9808</v>
      </c>
    </row>
    <row r="66" spans="1:14" ht="15.75" thickBot="1" x14ac:dyDescent="0.3">
      <c r="A66" s="120" t="s">
        <v>241</v>
      </c>
      <c r="B66" s="86">
        <v>1944</v>
      </c>
      <c r="C66" s="78">
        <v>3338</v>
      </c>
      <c r="D66" s="78">
        <v>7128</v>
      </c>
      <c r="E66" s="78">
        <v>6385</v>
      </c>
      <c r="F66" s="78">
        <v>4723</v>
      </c>
      <c r="G66" s="78">
        <v>1168</v>
      </c>
      <c r="H66" s="78">
        <v>773</v>
      </c>
      <c r="I66" s="78">
        <f>754</f>
        <v>754</v>
      </c>
      <c r="J66" s="127">
        <v>4777</v>
      </c>
      <c r="K66" s="127">
        <v>8966</v>
      </c>
      <c r="L66" s="125">
        <v>8282</v>
      </c>
      <c r="M66" s="122"/>
      <c r="N66" s="80">
        <f t="shared" si="23"/>
        <v>48238</v>
      </c>
    </row>
    <row r="67" spans="1:14" ht="15.75" thickTop="1" x14ac:dyDescent="0.25">
      <c r="A67" s="91" t="s">
        <v>211</v>
      </c>
      <c r="B67" s="92">
        <f>SUM(B61:B66)</f>
        <v>43213</v>
      </c>
      <c r="C67" s="92">
        <f>SUM(C61:C66)</f>
        <v>42173</v>
      </c>
      <c r="D67" s="92">
        <f>SUM(D61:D66)</f>
        <v>51757</v>
      </c>
      <c r="E67" s="92">
        <f t="shared" ref="E67:M67" si="24">SUM(E61:E66)</f>
        <v>47954</v>
      </c>
      <c r="F67" s="92">
        <f t="shared" si="24"/>
        <v>43505</v>
      </c>
      <c r="G67" s="92">
        <f t="shared" si="24"/>
        <v>42873</v>
      </c>
      <c r="H67" s="92">
        <f t="shared" si="24"/>
        <v>36432</v>
      </c>
      <c r="I67" s="92">
        <f t="shared" si="24"/>
        <v>34638</v>
      </c>
      <c r="J67" s="92">
        <f t="shared" si="24"/>
        <v>45827</v>
      </c>
      <c r="K67" s="92">
        <f t="shared" si="24"/>
        <v>50985</v>
      </c>
      <c r="L67" s="92">
        <f t="shared" si="24"/>
        <v>48715</v>
      </c>
      <c r="M67" s="92">
        <f t="shared" si="24"/>
        <v>0</v>
      </c>
      <c r="N67" s="93">
        <f>SUM(B67:M67)</f>
        <v>488072</v>
      </c>
    </row>
    <row r="68" spans="1:14" x14ac:dyDescent="0.25">
      <c r="A68" s="120" t="s">
        <v>242</v>
      </c>
      <c r="B68" s="78">
        <v>25306</v>
      </c>
      <c r="C68" s="78">
        <v>24594</v>
      </c>
      <c r="D68" s="78">
        <v>29028</v>
      </c>
      <c r="E68" s="78">
        <v>26877</v>
      </c>
      <c r="F68" s="78">
        <v>27058</v>
      </c>
      <c r="G68" s="78">
        <v>26423</v>
      </c>
      <c r="H68" s="78">
        <v>22096</v>
      </c>
      <c r="I68" s="78">
        <v>20865</v>
      </c>
      <c r="J68" s="125">
        <v>24969</v>
      </c>
      <c r="K68" s="125">
        <v>25749</v>
      </c>
      <c r="L68" s="125">
        <v>26292</v>
      </c>
      <c r="M68" s="78"/>
      <c r="N68" s="80">
        <f t="shared" si="23"/>
        <v>279257</v>
      </c>
    </row>
    <row r="69" spans="1:14" x14ac:dyDescent="0.25">
      <c r="A69" s="94" t="s">
        <v>213</v>
      </c>
      <c r="B69" s="87">
        <f t="shared" ref="B69:M69" si="25">SUM(B67:B68)</f>
        <v>68519</v>
      </c>
      <c r="C69" s="87">
        <f t="shared" si="25"/>
        <v>66767</v>
      </c>
      <c r="D69" s="87">
        <f t="shared" si="25"/>
        <v>80785</v>
      </c>
      <c r="E69" s="87">
        <f t="shared" si="25"/>
        <v>74831</v>
      </c>
      <c r="F69" s="87">
        <f t="shared" si="25"/>
        <v>70563</v>
      </c>
      <c r="G69" s="87">
        <f t="shared" si="25"/>
        <v>69296</v>
      </c>
      <c r="H69" s="87">
        <f t="shared" si="25"/>
        <v>58528</v>
      </c>
      <c r="I69" s="87">
        <f t="shared" si="25"/>
        <v>55503</v>
      </c>
      <c r="J69" s="87">
        <f t="shared" si="25"/>
        <v>70796</v>
      </c>
      <c r="K69" s="87">
        <f t="shared" si="25"/>
        <v>76734</v>
      </c>
      <c r="L69" s="87">
        <f t="shared" si="25"/>
        <v>75007</v>
      </c>
      <c r="M69" s="87">
        <f t="shared" si="25"/>
        <v>0</v>
      </c>
      <c r="N69" s="95">
        <f>SUM(B69:M69)</f>
        <v>767329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7"/>
  <sheetViews>
    <sheetView workbookViewId="0">
      <selection activeCell="F25" sqref="F25"/>
    </sheetView>
  </sheetViews>
  <sheetFormatPr defaultColWidth="9.140625" defaultRowHeight="15" x14ac:dyDescent="0.25"/>
  <cols>
    <col min="1" max="1" width="45.5703125" style="6" customWidth="1"/>
    <col min="2" max="2" width="5.5703125" style="6" bestFit="1" customWidth="1"/>
    <col min="3" max="3" width="26.5703125" style="6" bestFit="1" customWidth="1"/>
    <col min="4" max="8" width="9.140625" style="6"/>
    <col min="9" max="9" width="17.42578125" style="6" customWidth="1"/>
    <col min="10" max="16384" width="9.140625" style="6"/>
  </cols>
  <sheetData>
    <row r="1" spans="1:5" ht="26.25" x14ac:dyDescent="0.4">
      <c r="A1" s="351" t="s">
        <v>255</v>
      </c>
      <c r="B1" s="351"/>
      <c r="C1" s="351"/>
    </row>
    <row r="2" spans="1:5" ht="15.75" x14ac:dyDescent="0.25">
      <c r="A2" s="128"/>
      <c r="B2" s="129"/>
      <c r="C2" s="130"/>
    </row>
    <row r="3" spans="1:5" ht="15.75" x14ac:dyDescent="0.25">
      <c r="A3" s="131" t="s">
        <v>256</v>
      </c>
      <c r="B3" s="129"/>
      <c r="C3" s="129"/>
    </row>
    <row r="4" spans="1:5" x14ac:dyDescent="0.25">
      <c r="A4" s="132" t="s">
        <v>257</v>
      </c>
      <c r="B4" s="132"/>
      <c r="C4" s="133">
        <v>22.6</v>
      </c>
    </row>
    <row r="5" spans="1:5" x14ac:dyDescent="0.25">
      <c r="A5" s="134" t="s">
        <v>258</v>
      </c>
      <c r="B5" s="134"/>
      <c r="C5" s="135">
        <v>9.83</v>
      </c>
      <c r="E5" s="150">
        <f>+C4+C5</f>
        <v>32.43</v>
      </c>
    </row>
    <row r="6" spans="1:5" x14ac:dyDescent="0.25">
      <c r="A6" s="132" t="s">
        <v>259</v>
      </c>
      <c r="B6" s="132"/>
      <c r="C6" s="133">
        <v>32.43</v>
      </c>
      <c r="E6" s="150">
        <f>+E5+C7</f>
        <v>35.82</v>
      </c>
    </row>
    <row r="7" spans="1:5" x14ac:dyDescent="0.25">
      <c r="A7" s="132" t="s">
        <v>260</v>
      </c>
      <c r="B7" s="132"/>
      <c r="C7" s="133">
        <v>3.39</v>
      </c>
    </row>
    <row r="8" spans="1:5" ht="15.75" thickBot="1" x14ac:dyDescent="0.3">
      <c r="A8" s="136" t="s">
        <v>261</v>
      </c>
      <c r="B8" s="136"/>
      <c r="C8" s="137">
        <v>0.01</v>
      </c>
    </row>
    <row r="9" spans="1:5" ht="15.75" thickBot="1" x14ac:dyDescent="0.3">
      <c r="A9" s="138" t="s">
        <v>262</v>
      </c>
      <c r="B9" s="139"/>
      <c r="C9" s="140">
        <v>26.000000000000004</v>
      </c>
    </row>
    <row r="10" spans="1:5" x14ac:dyDescent="0.25">
      <c r="A10" s="141"/>
      <c r="B10" s="129"/>
      <c r="C10" s="129"/>
    </row>
    <row r="11" spans="1:5" ht="15.75" x14ac:dyDescent="0.25">
      <c r="A11" s="131" t="s">
        <v>263</v>
      </c>
      <c r="B11" s="129"/>
      <c r="C11" s="129"/>
    </row>
    <row r="12" spans="1:5" x14ac:dyDescent="0.25">
      <c r="A12" s="132" t="s">
        <v>257</v>
      </c>
      <c r="B12" s="132"/>
      <c r="C12" s="133">
        <v>20.393016268886832</v>
      </c>
    </row>
    <row r="13" spans="1:5" x14ac:dyDescent="0.25">
      <c r="A13" s="134" t="s">
        <v>258</v>
      </c>
      <c r="B13" s="134"/>
      <c r="C13" s="135">
        <v>8.8700597311131677</v>
      </c>
    </row>
    <row r="14" spans="1:5" x14ac:dyDescent="0.25">
      <c r="A14" s="132" t="s">
        <v>259</v>
      </c>
      <c r="B14" s="132"/>
      <c r="C14" s="133">
        <v>29.263076000000002</v>
      </c>
      <c r="E14" s="6">
        <f>+C14/1.15</f>
        <v>25.446153043478265</v>
      </c>
    </row>
    <row r="15" spans="1:5" x14ac:dyDescent="0.25">
      <c r="A15" s="132" t="s">
        <v>260</v>
      </c>
      <c r="B15" s="132"/>
      <c r="C15" s="133">
        <v>3.0589524403330248</v>
      </c>
    </row>
    <row r="16" spans="1:5" ht="15.75" thickBot="1" x14ac:dyDescent="0.3">
      <c r="A16" s="136" t="s">
        <v>261</v>
      </c>
      <c r="B16" s="136"/>
      <c r="C16" s="137">
        <v>0.05</v>
      </c>
    </row>
    <row r="17" spans="1:4" ht="15.75" thickBot="1" x14ac:dyDescent="0.3">
      <c r="A17" s="138" t="s">
        <v>262</v>
      </c>
      <c r="B17" s="139"/>
      <c r="C17" s="140">
        <v>23.501968709219856</v>
      </c>
    </row>
    <row r="18" spans="1:4" x14ac:dyDescent="0.25">
      <c r="A18" s="129"/>
      <c r="B18" s="129"/>
      <c r="C18" s="129"/>
    </row>
    <row r="19" spans="1:4" ht="15.75" x14ac:dyDescent="0.25">
      <c r="A19" s="131" t="s">
        <v>264</v>
      </c>
      <c r="B19" s="142"/>
      <c r="C19" s="142"/>
    </row>
    <row r="20" spans="1:4" x14ac:dyDescent="0.25">
      <c r="A20" s="132" t="s">
        <v>265</v>
      </c>
      <c r="B20" s="132"/>
      <c r="C20" s="143">
        <v>32.43</v>
      </c>
    </row>
    <row r="21" spans="1:4" x14ac:dyDescent="0.25">
      <c r="A21" s="132" t="s">
        <v>266</v>
      </c>
      <c r="B21" s="132"/>
      <c r="C21" s="133">
        <v>4.8644999999999996</v>
      </c>
    </row>
    <row r="22" spans="1:4" x14ac:dyDescent="0.25">
      <c r="A22" s="136" t="s">
        <v>261</v>
      </c>
      <c r="B22" s="136"/>
      <c r="C22" s="137">
        <v>0.18260000000000001</v>
      </c>
    </row>
    <row r="23" spans="1:4" ht="15.75" thickBot="1" x14ac:dyDescent="0.3">
      <c r="A23" s="132" t="s">
        <v>267</v>
      </c>
      <c r="B23" s="144"/>
      <c r="C23" s="145">
        <v>2.7390000000000001E-2</v>
      </c>
    </row>
    <row r="24" spans="1:4" ht="15.75" thickBot="1" x14ac:dyDescent="0.3">
      <c r="A24" s="138" t="s">
        <v>262</v>
      </c>
      <c r="B24" s="139"/>
      <c r="C24" s="140">
        <v>37.504489999999997</v>
      </c>
    </row>
    <row r="25" spans="1:4" x14ac:dyDescent="0.25">
      <c r="A25" s="129"/>
      <c r="B25" s="129"/>
      <c r="C25" s="129"/>
    </row>
    <row r="26" spans="1:4" ht="15.75" x14ac:dyDescent="0.25">
      <c r="A26" s="131" t="s">
        <v>268</v>
      </c>
      <c r="B26" s="131"/>
      <c r="C26" s="129"/>
    </row>
    <row r="27" spans="1:4" ht="15.75" x14ac:dyDescent="0.25">
      <c r="A27" s="132" t="s">
        <v>265</v>
      </c>
      <c r="B27" s="146"/>
      <c r="C27" s="147">
        <v>32.43</v>
      </c>
    </row>
    <row r="28" spans="1:4" x14ac:dyDescent="0.25">
      <c r="A28" s="132" t="s">
        <v>269</v>
      </c>
      <c r="B28" s="148">
        <v>1.26</v>
      </c>
      <c r="C28" s="147">
        <v>41.091736960056942</v>
      </c>
    </row>
    <row r="29" spans="1:4" x14ac:dyDescent="0.25">
      <c r="A29" s="132" t="s">
        <v>270</v>
      </c>
      <c r="B29" s="148">
        <v>0.1</v>
      </c>
      <c r="C29" s="147">
        <v>7.3521736960056945</v>
      </c>
    </row>
    <row r="30" spans="1:4" x14ac:dyDescent="0.25">
      <c r="A30" s="132" t="s">
        <v>271</v>
      </c>
      <c r="B30" s="132"/>
      <c r="C30" s="147">
        <v>12.131086598409395</v>
      </c>
    </row>
    <row r="31" spans="1:4" ht="15.75" thickBot="1" x14ac:dyDescent="0.3">
      <c r="A31" s="136" t="s">
        <v>261</v>
      </c>
      <c r="B31" s="136"/>
      <c r="C31" s="149">
        <v>0</v>
      </c>
    </row>
    <row r="32" spans="1:4" ht="15.75" thickBot="1" x14ac:dyDescent="0.3">
      <c r="A32" s="138" t="s">
        <v>262</v>
      </c>
      <c r="B32" s="139"/>
      <c r="C32" s="140">
        <v>93.00499725447203</v>
      </c>
      <c r="D32" s="150">
        <f>C32-C30</f>
        <v>80.873910656062634</v>
      </c>
    </row>
    <row r="33" spans="1:4" x14ac:dyDescent="0.25">
      <c r="A33" s="129"/>
      <c r="B33" s="129"/>
      <c r="C33" s="129"/>
    </row>
    <row r="34" spans="1:4" ht="15.75" x14ac:dyDescent="0.25">
      <c r="A34" s="131" t="s">
        <v>272</v>
      </c>
      <c r="B34" s="129"/>
      <c r="C34" s="129"/>
    </row>
    <row r="35" spans="1:4" x14ac:dyDescent="0.25">
      <c r="A35" s="132" t="s">
        <v>265</v>
      </c>
      <c r="B35" s="132"/>
      <c r="C35" s="147">
        <v>32.43</v>
      </c>
    </row>
    <row r="36" spans="1:4" x14ac:dyDescent="0.25">
      <c r="A36" s="132" t="s">
        <v>269</v>
      </c>
      <c r="B36" s="148">
        <v>1.26</v>
      </c>
      <c r="C36" s="147">
        <v>41.091736960056949</v>
      </c>
    </row>
    <row r="37" spans="1:4" x14ac:dyDescent="0.25">
      <c r="A37" s="132" t="s">
        <v>270</v>
      </c>
      <c r="B37" s="148">
        <v>0.1</v>
      </c>
      <c r="C37" s="147">
        <v>7.3521736960056963</v>
      </c>
    </row>
    <row r="38" spans="1:4" x14ac:dyDescent="0.25">
      <c r="A38" s="132" t="s">
        <v>271</v>
      </c>
      <c r="B38" s="132"/>
      <c r="C38" s="147">
        <v>12.131086598409397</v>
      </c>
    </row>
    <row r="39" spans="1:4" ht="15.75" thickBot="1" x14ac:dyDescent="0.3">
      <c r="A39" s="136" t="s">
        <v>261</v>
      </c>
      <c r="B39" s="136"/>
      <c r="C39" s="149">
        <v>0</v>
      </c>
    </row>
    <row r="40" spans="1:4" ht="15.75" thickBot="1" x14ac:dyDescent="0.3">
      <c r="A40" s="138" t="s">
        <v>262</v>
      </c>
      <c r="B40" s="139"/>
      <c r="C40" s="140">
        <v>93.004997254472045</v>
      </c>
      <c r="D40" s="150">
        <f>C40-C38</f>
        <v>80.873910656062648</v>
      </c>
    </row>
    <row r="41" spans="1:4" x14ac:dyDescent="0.25">
      <c r="A41" s="129"/>
      <c r="B41" s="129"/>
      <c r="C41" s="129"/>
    </row>
    <row r="42" spans="1:4" ht="15.75" x14ac:dyDescent="0.25">
      <c r="A42" s="131" t="s">
        <v>273</v>
      </c>
      <c r="B42" s="131"/>
      <c r="C42" s="129"/>
    </row>
    <row r="43" spans="1:4" x14ac:dyDescent="0.25">
      <c r="A43" s="132" t="s">
        <v>265</v>
      </c>
      <c r="B43" s="132"/>
      <c r="C43" s="151">
        <v>15.02457943925234</v>
      </c>
    </row>
    <row r="44" spans="1:4" x14ac:dyDescent="0.25">
      <c r="A44" s="132" t="s">
        <v>269</v>
      </c>
      <c r="B44" s="148">
        <v>1.26</v>
      </c>
      <c r="C44" s="147">
        <v>18.971271370427282</v>
      </c>
    </row>
    <row r="45" spans="1:4" x14ac:dyDescent="0.25">
      <c r="A45" s="132" t="s">
        <v>270</v>
      </c>
      <c r="B45" s="148">
        <v>0.1</v>
      </c>
      <c r="C45" s="147">
        <v>3.3995850809679626</v>
      </c>
    </row>
    <row r="46" spans="1:4" x14ac:dyDescent="0.25">
      <c r="A46" s="132" t="s">
        <v>271</v>
      </c>
      <c r="B46" s="132"/>
      <c r="C46" s="147">
        <v>5.6093153835971377</v>
      </c>
    </row>
    <row r="47" spans="1:4" ht="15.75" thickBot="1" x14ac:dyDescent="0.3">
      <c r="A47" s="136" t="s">
        <v>261</v>
      </c>
      <c r="B47" s="136"/>
      <c r="C47" s="149">
        <v>0</v>
      </c>
    </row>
    <row r="48" spans="1:4" ht="15.75" thickBot="1" x14ac:dyDescent="0.3">
      <c r="A48" s="138" t="s">
        <v>262</v>
      </c>
      <c r="B48" s="139"/>
      <c r="C48" s="140">
        <v>43.004751274244718</v>
      </c>
      <c r="D48" s="150">
        <f>C48-C46</f>
        <v>37.395435890647583</v>
      </c>
    </row>
    <row r="49" spans="1:4" x14ac:dyDescent="0.25">
      <c r="A49" s="129"/>
      <c r="B49" s="129"/>
      <c r="C49" s="129"/>
    </row>
    <row r="50" spans="1:4" x14ac:dyDescent="0.25">
      <c r="A50" s="141" t="s">
        <v>274</v>
      </c>
      <c r="B50" s="129"/>
      <c r="C50" s="129"/>
    </row>
    <row r="51" spans="1:4" x14ac:dyDescent="0.25">
      <c r="A51" s="132" t="s">
        <v>265</v>
      </c>
      <c r="B51" s="132"/>
      <c r="C51" s="143">
        <v>19.774596592332745</v>
      </c>
    </row>
    <row r="52" spans="1:4" x14ac:dyDescent="0.25">
      <c r="A52" s="132" t="s">
        <v>275</v>
      </c>
      <c r="B52" s="148">
        <v>1.26</v>
      </c>
      <c r="C52" s="133">
        <v>25.282746639179852</v>
      </c>
    </row>
    <row r="53" spans="1:4" x14ac:dyDescent="0.25">
      <c r="A53" s="132" t="s">
        <v>270</v>
      </c>
      <c r="B53" s="148">
        <v>0.1</v>
      </c>
      <c r="C53" s="147">
        <v>4.5057343231512599</v>
      </c>
    </row>
    <row r="54" spans="1:4" x14ac:dyDescent="0.25">
      <c r="A54" s="132" t="s">
        <v>271</v>
      </c>
      <c r="B54" s="132"/>
      <c r="C54" s="133">
        <v>7.4344616331995779</v>
      </c>
    </row>
    <row r="55" spans="1:4" ht="15.75" thickBot="1" x14ac:dyDescent="0.3">
      <c r="A55" s="136" t="s">
        <v>261</v>
      </c>
      <c r="B55" s="136"/>
      <c r="C55" s="137">
        <v>0</v>
      </c>
    </row>
    <row r="56" spans="1:4" ht="15.75" thickBot="1" x14ac:dyDescent="0.3">
      <c r="A56" s="138" t="s">
        <v>262</v>
      </c>
      <c r="B56" s="152"/>
      <c r="C56" s="140">
        <v>56.997539187863431</v>
      </c>
      <c r="D56" s="150">
        <f>C56-C54</f>
        <v>49.563077554663856</v>
      </c>
    </row>
    <row r="57" spans="1:4" x14ac:dyDescent="0.25">
      <c r="A57" s="129"/>
      <c r="B57" s="129"/>
      <c r="C57" s="153"/>
    </row>
    <row r="58" spans="1:4" x14ac:dyDescent="0.25">
      <c r="A58" s="141" t="s">
        <v>276</v>
      </c>
      <c r="B58" s="129"/>
      <c r="C58" s="153"/>
    </row>
    <row r="59" spans="1:4" x14ac:dyDescent="0.25">
      <c r="A59" s="154" t="s">
        <v>277</v>
      </c>
      <c r="B59" s="155"/>
      <c r="C59" s="156">
        <v>39.369999999999997</v>
      </c>
    </row>
    <row r="60" spans="1:4" x14ac:dyDescent="0.25">
      <c r="A60" s="157" t="s">
        <v>278</v>
      </c>
      <c r="B60" s="158"/>
      <c r="C60" s="159">
        <v>23</v>
      </c>
    </row>
    <row r="61" spans="1:4" x14ac:dyDescent="0.25">
      <c r="A61" s="160" t="s">
        <v>279</v>
      </c>
      <c r="B61" s="161"/>
      <c r="C61" s="162">
        <v>10.73</v>
      </c>
      <c r="D61" s="20">
        <v>12.25</v>
      </c>
    </row>
    <row r="62" spans="1:4" ht="15.75" thickBot="1" x14ac:dyDescent="0.3">
      <c r="A62" s="163" t="s">
        <v>280</v>
      </c>
      <c r="B62" s="164"/>
      <c r="C62" s="165">
        <v>73.099999999999994</v>
      </c>
    </row>
    <row r="63" spans="1:4" ht="15.75" thickBot="1" x14ac:dyDescent="0.3">
      <c r="A63" s="138" t="s">
        <v>262</v>
      </c>
      <c r="B63" s="152"/>
      <c r="C63" s="140">
        <v>26</v>
      </c>
    </row>
    <row r="64" spans="1:4" x14ac:dyDescent="0.25">
      <c r="A64" s="129"/>
      <c r="B64" s="129"/>
      <c r="C64" s="129"/>
    </row>
    <row r="65" spans="1:3" x14ac:dyDescent="0.25">
      <c r="A65" s="129" t="s">
        <v>281</v>
      </c>
      <c r="B65" s="129"/>
      <c r="C65" s="129"/>
    </row>
    <row r="66" spans="1:3" x14ac:dyDescent="0.25">
      <c r="A66" s="129"/>
      <c r="B66" s="129"/>
      <c r="C66" s="129"/>
    </row>
    <row r="67" spans="1:3" x14ac:dyDescent="0.25">
      <c r="A67" s="129"/>
      <c r="B67" s="129"/>
      <c r="C67" s="129"/>
    </row>
    <row r="68" spans="1:3" x14ac:dyDescent="0.25">
      <c r="A68" s="129"/>
      <c r="B68" s="129"/>
      <c r="C68" s="129"/>
    </row>
    <row r="69" spans="1:3" x14ac:dyDescent="0.25">
      <c r="A69" s="129"/>
      <c r="B69" s="129"/>
      <c r="C69" s="129"/>
    </row>
    <row r="70" spans="1:3" x14ac:dyDescent="0.25">
      <c r="A70" s="129" t="s">
        <v>282</v>
      </c>
      <c r="B70" s="129"/>
      <c r="C70" s="129" t="s">
        <v>283</v>
      </c>
    </row>
    <row r="71" spans="1:3" x14ac:dyDescent="0.25">
      <c r="A71" s="129" t="s">
        <v>284</v>
      </c>
      <c r="B71" s="129"/>
      <c r="C71" s="129" t="s">
        <v>285</v>
      </c>
    </row>
    <row r="72" spans="1:3" x14ac:dyDescent="0.25">
      <c r="A72" s="129"/>
      <c r="B72" s="129"/>
      <c r="C72" s="129"/>
    </row>
    <row r="73" spans="1:3" x14ac:dyDescent="0.25">
      <c r="A73" s="129"/>
      <c r="B73" s="129"/>
      <c r="C73" s="129"/>
    </row>
    <row r="74" spans="1:3" x14ac:dyDescent="0.25">
      <c r="A74" s="129"/>
      <c r="B74" s="129"/>
      <c r="C74" s="129"/>
    </row>
    <row r="75" spans="1:3" x14ac:dyDescent="0.25">
      <c r="A75" s="129"/>
      <c r="B75" s="129"/>
      <c r="C75" s="129"/>
    </row>
    <row r="76" spans="1:3" x14ac:dyDescent="0.25">
      <c r="A76" s="166" t="s">
        <v>286</v>
      </c>
      <c r="B76" s="129"/>
      <c r="C76" s="129"/>
    </row>
    <row r="77" spans="1:3" x14ac:dyDescent="0.25">
      <c r="A77" s="129" t="s">
        <v>287</v>
      </c>
      <c r="B77" s="129"/>
      <c r="C77" s="129"/>
    </row>
  </sheetData>
  <mergeCells count="1">
    <mergeCell ref="A1:C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2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4"/>
  <sheetViews>
    <sheetView topLeftCell="A31" workbookViewId="0">
      <selection activeCell="A193" sqref="A193"/>
    </sheetView>
  </sheetViews>
  <sheetFormatPr defaultRowHeight="12.75" x14ac:dyDescent="0.2"/>
  <cols>
    <col min="1" max="1" width="38.140625" customWidth="1"/>
    <col min="2" max="2" width="18" bestFit="1" customWidth="1"/>
    <col min="3" max="16" width="11.5703125" customWidth="1"/>
    <col min="17" max="19" width="15.5703125" bestFit="1" customWidth="1"/>
    <col min="20" max="21" width="16.42578125" bestFit="1" customWidth="1"/>
  </cols>
  <sheetData>
    <row r="1" spans="1:21" ht="15.75" customHeight="1" x14ac:dyDescent="0.25">
      <c r="A1" s="189" t="s">
        <v>305</v>
      </c>
    </row>
    <row r="2" spans="1:21" ht="15.75" customHeight="1" x14ac:dyDescent="0.25">
      <c r="A2" s="189" t="s">
        <v>306</v>
      </c>
    </row>
    <row r="4" spans="1:21" x14ac:dyDescent="0.2">
      <c r="A4" s="206" t="s">
        <v>150</v>
      </c>
    </row>
    <row r="5" spans="1:21" x14ac:dyDescent="0.2">
      <c r="B5" s="1" t="s">
        <v>132</v>
      </c>
    </row>
    <row r="6" spans="1:21" ht="25.5" x14ac:dyDescent="0.2">
      <c r="B6" s="326">
        <v>1</v>
      </c>
      <c r="C6" s="326"/>
      <c r="D6" s="326">
        <v>2</v>
      </c>
      <c r="E6" s="326"/>
      <c r="F6" s="326">
        <v>3</v>
      </c>
      <c r="G6" s="326"/>
      <c r="H6" s="326">
        <v>4</v>
      </c>
      <c r="I6" s="326"/>
      <c r="J6">
        <v>5</v>
      </c>
      <c r="L6">
        <v>6</v>
      </c>
      <c r="N6">
        <v>7</v>
      </c>
      <c r="P6">
        <v>8</v>
      </c>
      <c r="R6">
        <v>9</v>
      </c>
      <c r="T6" s="293" t="s">
        <v>521</v>
      </c>
      <c r="U6" s="293" t="s">
        <v>522</v>
      </c>
    </row>
    <row r="7" spans="1:21" s="293" customFormat="1" ht="25.5" x14ac:dyDescent="0.2">
      <c r="A7" s="292" t="s">
        <v>134</v>
      </c>
      <c r="B7" s="293" t="s">
        <v>135</v>
      </c>
      <c r="C7" s="293" t="s">
        <v>349</v>
      </c>
      <c r="D7" s="293" t="s">
        <v>135</v>
      </c>
      <c r="E7" s="293" t="s">
        <v>349</v>
      </c>
      <c r="F7" s="293" t="s">
        <v>135</v>
      </c>
      <c r="G7" s="293" t="s">
        <v>349</v>
      </c>
      <c r="H7" s="293" t="s">
        <v>135</v>
      </c>
      <c r="I7" s="293" t="s">
        <v>349</v>
      </c>
      <c r="J7" s="293" t="s">
        <v>135</v>
      </c>
      <c r="K7" s="293" t="s">
        <v>349</v>
      </c>
      <c r="L7" s="293" t="s">
        <v>135</v>
      </c>
      <c r="M7" s="293" t="s">
        <v>349</v>
      </c>
      <c r="N7" s="293" t="s">
        <v>135</v>
      </c>
      <c r="O7" s="293" t="s">
        <v>349</v>
      </c>
      <c r="P7" s="293" t="s">
        <v>135</v>
      </c>
      <c r="Q7" s="293" t="s">
        <v>349</v>
      </c>
      <c r="R7" s="293" t="s">
        <v>135</v>
      </c>
      <c r="S7" s="293" t="s">
        <v>349</v>
      </c>
    </row>
    <row r="8" spans="1:21" x14ac:dyDescent="0.2">
      <c r="A8" s="2" t="s">
        <v>113</v>
      </c>
      <c r="B8" s="3"/>
      <c r="C8" s="3"/>
      <c r="D8" s="3"/>
      <c r="E8" s="3"/>
      <c r="F8" s="3"/>
      <c r="G8" s="3"/>
      <c r="H8" s="3"/>
      <c r="I8" s="3">
        <v>107444.45</v>
      </c>
      <c r="J8" s="3"/>
      <c r="K8" s="3">
        <v>101857.48</v>
      </c>
      <c r="L8" s="3"/>
      <c r="M8" s="3">
        <v>90772.77</v>
      </c>
      <c r="N8" s="3"/>
      <c r="O8" s="3">
        <v>88581.88</v>
      </c>
      <c r="P8" s="3"/>
      <c r="Q8" s="3">
        <v>76321.56</v>
      </c>
      <c r="R8" s="3"/>
      <c r="S8" s="3">
        <v>105382.26</v>
      </c>
      <c r="T8" s="3"/>
      <c r="U8" s="3">
        <v>570360.4</v>
      </c>
    </row>
    <row r="9" spans="1:21" x14ac:dyDescent="0.2">
      <c r="A9" s="2" t="s">
        <v>88</v>
      </c>
      <c r="B9" s="3"/>
      <c r="C9" s="3">
        <v>100695.61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v>100695.61</v>
      </c>
    </row>
    <row r="10" spans="1:21" x14ac:dyDescent="0.2">
      <c r="A10" s="2" t="s">
        <v>95</v>
      </c>
      <c r="B10" s="3"/>
      <c r="C10" s="3"/>
      <c r="D10" s="3"/>
      <c r="E10" s="3">
        <v>94067.21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>
        <v>94067.21</v>
      </c>
    </row>
    <row r="11" spans="1:21" x14ac:dyDescent="0.2">
      <c r="A11" s="2" t="s">
        <v>106</v>
      </c>
      <c r="B11" s="3"/>
      <c r="C11" s="3"/>
      <c r="D11" s="3"/>
      <c r="E11" s="3"/>
      <c r="F11" s="3"/>
      <c r="G11" s="3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v>0</v>
      </c>
    </row>
    <row r="12" spans="1:21" x14ac:dyDescent="0.2">
      <c r="A12" s="2" t="s">
        <v>102</v>
      </c>
      <c r="B12" s="3"/>
      <c r="C12" s="3"/>
      <c r="D12" s="3"/>
      <c r="E12" s="3"/>
      <c r="F12" s="3"/>
      <c r="G12" s="3">
        <v>102146.18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v>102146.18</v>
      </c>
    </row>
    <row r="13" spans="1:21" x14ac:dyDescent="0.2">
      <c r="A13" s="2" t="s">
        <v>34</v>
      </c>
      <c r="B13" s="3">
        <v>1770618.78</v>
      </c>
      <c r="C13" s="3"/>
      <c r="D13" s="3">
        <v>1598164.96</v>
      </c>
      <c r="E13" s="3"/>
      <c r="F13" s="3">
        <v>1767000.94</v>
      </c>
      <c r="G13" s="3"/>
      <c r="H13" s="3">
        <v>1743074.0499999998</v>
      </c>
      <c r="I13" s="3"/>
      <c r="J13" s="3">
        <v>1737517.8399999999</v>
      </c>
      <c r="K13" s="3"/>
      <c r="L13" s="3">
        <v>1491278.08</v>
      </c>
      <c r="M13" s="3"/>
      <c r="N13" s="3">
        <v>1498954.97</v>
      </c>
      <c r="O13" s="3"/>
      <c r="P13" s="3">
        <v>1322141.0900000001</v>
      </c>
      <c r="Q13" s="3"/>
      <c r="R13" s="3">
        <v>1665761.9100000001</v>
      </c>
      <c r="S13" s="3"/>
      <c r="T13" s="3">
        <v>14594512.620000001</v>
      </c>
      <c r="U13" s="3"/>
    </row>
    <row r="14" spans="1:21" x14ac:dyDescent="0.2">
      <c r="A14" s="2" t="s">
        <v>55</v>
      </c>
      <c r="B14" s="3"/>
      <c r="C14" s="3"/>
      <c r="D14" s="3">
        <v>1726.5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>
        <v>1726.5</v>
      </c>
      <c r="U14" s="3"/>
    </row>
    <row r="15" spans="1:21" x14ac:dyDescent="0.2">
      <c r="A15" s="2" t="s">
        <v>110</v>
      </c>
      <c r="B15" s="3"/>
      <c r="C15" s="3"/>
      <c r="D15" s="3"/>
      <c r="E15" s="3"/>
      <c r="F15" s="3"/>
      <c r="G15" s="3"/>
      <c r="H15" s="3"/>
      <c r="I15" s="3">
        <v>230595.18</v>
      </c>
      <c r="J15" s="3"/>
      <c r="K15" s="3">
        <v>176436.34</v>
      </c>
      <c r="L15" s="3"/>
      <c r="M15" s="3">
        <v>50264.39</v>
      </c>
      <c r="N15" s="3"/>
      <c r="O15" s="3">
        <v>35286.160000000003</v>
      </c>
      <c r="P15" s="3"/>
      <c r="Q15" s="3">
        <v>32008.59</v>
      </c>
      <c r="R15" s="3"/>
      <c r="S15" s="3">
        <v>103995.8</v>
      </c>
      <c r="T15" s="3"/>
      <c r="U15" s="3">
        <v>628586.46000000008</v>
      </c>
    </row>
    <row r="16" spans="1:21" x14ac:dyDescent="0.2">
      <c r="A16" s="2" t="s">
        <v>83</v>
      </c>
      <c r="B16" s="3"/>
      <c r="C16" s="3">
        <v>145541.62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145541.62</v>
      </c>
    </row>
    <row r="17" spans="1:21" x14ac:dyDescent="0.2">
      <c r="A17" s="2" t="s">
        <v>92</v>
      </c>
      <c r="B17" s="3"/>
      <c r="C17" s="3"/>
      <c r="D17" s="3"/>
      <c r="E17" s="3">
        <v>175080.84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>
        <v>175080.84</v>
      </c>
    </row>
    <row r="18" spans="1:21" x14ac:dyDescent="0.2">
      <c r="A18" s="2" t="s">
        <v>99</v>
      </c>
      <c r="B18" s="3"/>
      <c r="C18" s="3"/>
      <c r="D18" s="3"/>
      <c r="E18" s="3"/>
      <c r="F18" s="3"/>
      <c r="G18" s="3">
        <v>221751.86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>
        <v>221751.86</v>
      </c>
    </row>
    <row r="19" spans="1:21" x14ac:dyDescent="0.2">
      <c r="A19" s="2" t="s">
        <v>133</v>
      </c>
      <c r="B19" s="3">
        <v>1770618.78</v>
      </c>
      <c r="C19" s="3">
        <v>246237.22999999998</v>
      </c>
      <c r="D19" s="3">
        <v>1599891.46</v>
      </c>
      <c r="E19" s="3">
        <v>269148.05</v>
      </c>
      <c r="F19" s="3">
        <v>1767000.94</v>
      </c>
      <c r="G19" s="3">
        <v>323898.03999999998</v>
      </c>
      <c r="H19" s="3">
        <v>1743074.0499999998</v>
      </c>
      <c r="I19" s="3">
        <v>338039.63</v>
      </c>
      <c r="J19" s="3">
        <v>1737517.8399999999</v>
      </c>
      <c r="K19" s="3">
        <v>278293.82</v>
      </c>
      <c r="L19" s="3">
        <v>1491278.08</v>
      </c>
      <c r="M19" s="3">
        <v>141037.16</v>
      </c>
      <c r="N19" s="3">
        <v>1498954.97</v>
      </c>
      <c r="O19" s="3">
        <v>123868.04000000001</v>
      </c>
      <c r="P19" s="3">
        <v>1322141.0900000001</v>
      </c>
      <c r="Q19" s="3">
        <v>108330.15</v>
      </c>
      <c r="R19" s="3">
        <v>1665761.9100000001</v>
      </c>
      <c r="S19" s="3">
        <v>209378.06</v>
      </c>
      <c r="T19" s="4">
        <v>14596239.120000001</v>
      </c>
      <c r="U19" s="4">
        <v>2038230.1800000002</v>
      </c>
    </row>
    <row r="20" spans="1:21" x14ac:dyDescent="0.2">
      <c r="A20" s="2"/>
      <c r="B20" s="3"/>
      <c r="C20" s="3"/>
      <c r="D20" s="3"/>
      <c r="E20" s="3"/>
      <c r="F20" s="3"/>
      <c r="G20" s="3"/>
      <c r="H20" s="3"/>
      <c r="I20" s="3"/>
      <c r="J20" s="3"/>
      <c r="K20" s="290"/>
    </row>
    <row r="22" spans="1:21" x14ac:dyDescent="0.2">
      <c r="A22" s="312" t="s">
        <v>811</v>
      </c>
      <c r="B22" s="352">
        <f>+GETPIVOTDATA("Součet z Částka MD",$A$5)-GETPIVOTDATA("Součet z Částka DAL",$A$5)</f>
        <v>12558008.940000001</v>
      </c>
      <c r="C22" s="353"/>
      <c r="E22" s="269" t="s">
        <v>288</v>
      </c>
      <c r="F22" s="270"/>
      <c r="G22" s="271">
        <f>(+(GETPIVOTDATA("Součet z Částka MD",$A$5,"Měsíc",1)+GETPIVOTDATA("Součet z Částka MD",$A$5,"Měsíc",2)+GETPIVOTDATA("Součet z Částka MD",$A$5,"Měsíc",3)+GETPIVOTDATA("Součet z Částka MD",$A$5,"Měsíc",4)+GETPIVOTDATA("Součet z Částka MD",$A$5,"Měsíc",5)-GETPIVOTDATA("Součet z Částka DAL",$A$5,"Měsíc",1)-GETPIVOTDATA("Součet z Částka DAL",$A$5,"Měsíc",2)-GETPIVOTDATA("Součet z Částka DAL",$A$5,"Měsíc",3)-GETPIVOTDATA("Součet z Částka DAL",$A$5,"Měsíc",4)-GETPIVOTDATA("Součet z Částka DAL",$A$5,"Měsíc",5))/5)</f>
        <v>1432497.26</v>
      </c>
    </row>
    <row r="23" spans="1:21" x14ac:dyDescent="0.2">
      <c r="A23" s="310" t="s">
        <v>812</v>
      </c>
      <c r="B23" s="309" t="s">
        <v>813</v>
      </c>
      <c r="C23" s="309" t="s">
        <v>814</v>
      </c>
      <c r="E23" s="314" t="s">
        <v>817</v>
      </c>
      <c r="F23" s="273"/>
      <c r="G23" s="274">
        <v>1202000</v>
      </c>
    </row>
    <row r="24" spans="1:21" x14ac:dyDescent="0.2">
      <c r="A24" s="310" t="s">
        <v>815</v>
      </c>
      <c r="B24" s="311">
        <f>SUM('Počet porcí 2019'!B5:J5)</f>
        <v>13444</v>
      </c>
      <c r="C24" s="311">
        <f>SUM('Počet porcí 2019'!B4:J4)</f>
        <v>377558</v>
      </c>
      <c r="E24" s="208"/>
      <c r="F24" s="208"/>
      <c r="G24" s="209"/>
    </row>
    <row r="25" spans="1:21" s="167" customFormat="1" ht="25.5" x14ac:dyDescent="0.2">
      <c r="A25" s="327" t="s">
        <v>848</v>
      </c>
      <c r="B25" s="311">
        <f>+(38116.82+32835.48+46240.92+36028.09+42453.83+33387.14+38847.68+35371.01+42894.97)</f>
        <v>346175.94000000006</v>
      </c>
      <c r="C25" s="311">
        <f>+B22-B25</f>
        <v>12211833.000000002</v>
      </c>
      <c r="D25"/>
      <c r="E25"/>
      <c r="F25"/>
      <c r="G25"/>
      <c r="H25"/>
      <c r="I25"/>
      <c r="J25"/>
      <c r="L25" s="3"/>
    </row>
    <row r="26" spans="1:21" s="291" customFormat="1" x14ac:dyDescent="0.2">
      <c r="A26" s="312" t="s">
        <v>816</v>
      </c>
      <c r="B26" s="313">
        <f>+B25/B24</f>
        <v>25.749474858673018</v>
      </c>
      <c r="C26" s="313">
        <f>+C25/C24</f>
        <v>32.344257041302271</v>
      </c>
      <c r="D26"/>
      <c r="E26"/>
      <c r="F26"/>
      <c r="G26"/>
      <c r="H26"/>
      <c r="I26"/>
      <c r="J26"/>
    </row>
    <row r="27" spans="1:21" s="167" customFormat="1" x14ac:dyDescent="0.2">
      <c r="A27"/>
      <c r="B27"/>
      <c r="C27"/>
      <c r="D27"/>
      <c r="E27"/>
      <c r="F27"/>
      <c r="G27"/>
      <c r="H27"/>
      <c r="I27"/>
      <c r="J27"/>
    </row>
    <row r="28" spans="1:21" s="167" customFormat="1" x14ac:dyDescent="0.2">
      <c r="A28"/>
      <c r="B28"/>
      <c r="C28"/>
      <c r="D28" s="308"/>
      <c r="E28" s="308"/>
      <c r="F28" s="308"/>
      <c r="G28"/>
      <c r="H28"/>
      <c r="I28"/>
      <c r="J28"/>
      <c r="M28" s="306"/>
      <c r="N28" s="306"/>
      <c r="O28" s="306"/>
      <c r="P28" s="306"/>
      <c r="Q28" s="306"/>
    </row>
    <row r="29" spans="1:21" s="167" customFormat="1" x14ac:dyDescent="0.2">
      <c r="A29"/>
      <c r="B29"/>
      <c r="C29"/>
      <c r="D29"/>
      <c r="E29"/>
      <c r="F29"/>
      <c r="G29"/>
      <c r="H29"/>
      <c r="I29"/>
      <c r="J29"/>
      <c r="M29" s="306"/>
      <c r="N29" s="306"/>
      <c r="O29" s="306"/>
      <c r="P29" s="306"/>
      <c r="Q29" s="306"/>
    </row>
    <row r="30" spans="1:21" s="167" customFormat="1" x14ac:dyDescent="0.2">
      <c r="A30"/>
      <c r="B30"/>
      <c r="C30"/>
      <c r="D30"/>
      <c r="E30"/>
      <c r="F30"/>
      <c r="G30"/>
      <c r="H30"/>
      <c r="I30"/>
      <c r="J30"/>
      <c r="M30" s="306"/>
      <c r="N30" s="306"/>
      <c r="O30" s="306"/>
      <c r="P30" s="306"/>
      <c r="Q30" s="306"/>
    </row>
    <row r="31" spans="1:21" s="167" customFormat="1" x14ac:dyDescent="0.2">
      <c r="A31" s="275"/>
      <c r="B31" s="275"/>
      <c r="C31" s="275"/>
      <c r="D31" s="275"/>
      <c r="E31" s="276"/>
      <c r="F31" s="276"/>
      <c r="G31" s="276"/>
      <c r="H31" s="276"/>
      <c r="I31" s="276"/>
      <c r="M31" s="306"/>
      <c r="N31" s="306"/>
      <c r="O31" s="306"/>
      <c r="P31" s="306"/>
      <c r="Q31" s="306"/>
    </row>
    <row r="32" spans="1:21" s="167" customFormat="1" x14ac:dyDescent="0.2">
      <c r="A32"/>
      <c r="B32"/>
      <c r="C32"/>
      <c r="D32"/>
      <c r="Q32" s="307"/>
    </row>
    <row r="33" spans="1:16" s="167" customFormat="1" x14ac:dyDescent="0.2">
      <c r="A33" s="206" t="s">
        <v>157</v>
      </c>
      <c r="B33"/>
      <c r="C33"/>
      <c r="D33"/>
      <c r="P33" s="307"/>
    </row>
    <row r="34" spans="1:16" s="167" customFormat="1" x14ac:dyDescent="0.2">
      <c r="A34" s="1" t="s">
        <v>135</v>
      </c>
      <c r="B34" s="1" t="s">
        <v>132</v>
      </c>
      <c r="C34"/>
      <c r="D34"/>
      <c r="E34"/>
      <c r="F34"/>
      <c r="G34"/>
      <c r="H34"/>
      <c r="I34"/>
      <c r="J34"/>
      <c r="K34"/>
    </row>
    <row r="35" spans="1:16" s="167" customFormat="1" x14ac:dyDescent="0.2">
      <c r="A35" s="1" t="s">
        <v>134</v>
      </c>
      <c r="B35">
        <v>1</v>
      </c>
      <c r="C35">
        <v>2</v>
      </c>
      <c r="D35">
        <v>3</v>
      </c>
      <c r="E35">
        <v>4</v>
      </c>
      <c r="F35">
        <v>5</v>
      </c>
      <c r="G35">
        <v>6</v>
      </c>
      <c r="H35">
        <v>7</v>
      </c>
      <c r="I35">
        <v>8</v>
      </c>
      <c r="J35">
        <v>9</v>
      </c>
      <c r="K35" t="s">
        <v>133</v>
      </c>
    </row>
    <row r="36" spans="1:16" s="167" customFormat="1" x14ac:dyDescent="0.2">
      <c r="A36" s="2" t="s">
        <v>110</v>
      </c>
      <c r="B36" s="3"/>
      <c r="C36" s="3"/>
      <c r="D36" s="3"/>
      <c r="E36" s="3">
        <v>230595.18</v>
      </c>
      <c r="F36" s="3">
        <v>176436.34</v>
      </c>
      <c r="G36" s="3">
        <v>50264.39</v>
      </c>
      <c r="H36" s="3">
        <v>35286.160000000003</v>
      </c>
      <c r="I36" s="3">
        <v>32008.59</v>
      </c>
      <c r="J36" s="3">
        <v>103995.8</v>
      </c>
      <c r="K36" s="3">
        <v>628586.46000000008</v>
      </c>
    </row>
    <row r="37" spans="1:16" s="167" customFormat="1" x14ac:dyDescent="0.2">
      <c r="A37" s="2" t="s">
        <v>83</v>
      </c>
      <c r="B37" s="3">
        <v>145541.62</v>
      </c>
      <c r="C37" s="3"/>
      <c r="D37" s="3"/>
      <c r="E37" s="3"/>
      <c r="F37" s="3"/>
      <c r="G37" s="3"/>
      <c r="H37" s="3"/>
      <c r="I37" s="3"/>
      <c r="J37" s="3"/>
      <c r="K37" s="3">
        <v>145541.62</v>
      </c>
    </row>
    <row r="38" spans="1:16" s="167" customFormat="1" x14ac:dyDescent="0.2">
      <c r="A38" s="2" t="s">
        <v>92</v>
      </c>
      <c r="B38" s="3"/>
      <c r="C38" s="3">
        <v>175080.84</v>
      </c>
      <c r="D38" s="3"/>
      <c r="E38" s="3"/>
      <c r="F38" s="3"/>
      <c r="G38" s="3"/>
      <c r="H38" s="3"/>
      <c r="I38" s="3"/>
      <c r="J38" s="3"/>
      <c r="K38" s="3">
        <v>175080.84</v>
      </c>
    </row>
    <row r="39" spans="1:16" s="167" customFormat="1" x14ac:dyDescent="0.2">
      <c r="A39" s="2" t="s">
        <v>99</v>
      </c>
      <c r="B39" s="3"/>
      <c r="C39" s="3"/>
      <c r="D39" s="3">
        <v>221751.86</v>
      </c>
      <c r="E39" s="3"/>
      <c r="F39" s="3"/>
      <c r="G39" s="3"/>
      <c r="H39" s="3"/>
      <c r="I39" s="3"/>
      <c r="J39" s="3"/>
      <c r="K39" s="3">
        <v>221751.86</v>
      </c>
    </row>
    <row r="40" spans="1:16" s="167" customFormat="1" x14ac:dyDescent="0.2">
      <c r="A40" s="2" t="s">
        <v>133</v>
      </c>
      <c r="B40" s="3">
        <v>145541.62</v>
      </c>
      <c r="C40" s="3">
        <v>175080.84</v>
      </c>
      <c r="D40" s="3">
        <v>221751.86</v>
      </c>
      <c r="E40" s="3">
        <v>230595.18</v>
      </c>
      <c r="F40" s="3">
        <v>176436.34</v>
      </c>
      <c r="G40" s="3">
        <v>50264.39</v>
      </c>
      <c r="H40" s="3">
        <v>35286.160000000003</v>
      </c>
      <c r="I40" s="3">
        <v>32008.59</v>
      </c>
      <c r="J40" s="3">
        <v>103995.8</v>
      </c>
      <c r="K40" s="3">
        <v>1170960.78</v>
      </c>
    </row>
    <row r="41" spans="1:16" s="167" customFormat="1" x14ac:dyDescent="0.2">
      <c r="A41" s="2"/>
      <c r="B41" s="3"/>
      <c r="C41" s="3"/>
      <c r="D41" s="3"/>
      <c r="E41" s="3"/>
      <c r="F41" s="3"/>
      <c r="G41" s="3"/>
      <c r="H41" s="3"/>
      <c r="I41" s="3"/>
      <c r="J41" s="3"/>
    </row>
    <row r="42" spans="1:16" s="167" customFormat="1" x14ac:dyDescent="0.2">
      <c r="A42" s="2"/>
      <c r="B42" s="3"/>
      <c r="C42" s="3"/>
      <c r="D42" s="3"/>
      <c r="E42" s="3"/>
      <c r="F42" s="3"/>
      <c r="G42" s="3"/>
      <c r="H42" s="3"/>
      <c r="I42" s="3"/>
      <c r="J42" s="3"/>
      <c r="K42" s="167">
        <f>+GETPIVOTDATA("Částka MD",$A$34)/9*12</f>
        <v>1561281.04</v>
      </c>
    </row>
    <row r="43" spans="1:16" s="167" customFormat="1" x14ac:dyDescent="0.2">
      <c r="A43" s="2"/>
      <c r="B43" s="3"/>
      <c r="C43" s="3"/>
      <c r="D43" s="3"/>
      <c r="E43" s="3"/>
      <c r="F43" s="3"/>
      <c r="G43" s="3"/>
      <c r="H43" s="3"/>
      <c r="I43" s="3"/>
      <c r="J43" s="3"/>
    </row>
    <row r="44" spans="1:16" s="167" customFormat="1" x14ac:dyDescent="0.2">
      <c r="A44" s="2"/>
      <c r="B44" s="3"/>
      <c r="C44" s="3"/>
      <c r="D44" s="3"/>
      <c r="E44" s="3"/>
      <c r="F44" s="3"/>
      <c r="G44" s="3"/>
      <c r="H44" s="3"/>
      <c r="I44" s="3"/>
      <c r="J44" s="3"/>
    </row>
    <row r="45" spans="1:16" s="167" customFormat="1" x14ac:dyDescent="0.2">
      <c r="A45"/>
      <c r="B45" t="s">
        <v>520</v>
      </c>
      <c r="C45"/>
      <c r="D45"/>
    </row>
    <row r="46" spans="1:16" s="167" customFormat="1" x14ac:dyDescent="0.2">
      <c r="A46"/>
      <c r="B46"/>
      <c r="C46"/>
      <c r="D46"/>
      <c r="E46" s="269" t="s">
        <v>288</v>
      </c>
      <c r="F46" s="270"/>
      <c r="G46" s="271">
        <f>AVERAGE(B40:F40)</f>
        <v>189881.16800000001</v>
      </c>
    </row>
    <row r="47" spans="1:16" s="167" customFormat="1" x14ac:dyDescent="0.2">
      <c r="A47"/>
      <c r="B47"/>
      <c r="C47"/>
      <c r="D47"/>
      <c r="E47" s="272" t="s">
        <v>289</v>
      </c>
      <c r="F47" s="273"/>
      <c r="G47" s="274">
        <f>AVERAGE(G40:I40)</f>
        <v>39186.379999999997</v>
      </c>
    </row>
    <row r="48" spans="1:16" s="167" customFormat="1" x14ac:dyDescent="0.2">
      <c r="A48"/>
      <c r="B48"/>
      <c r="C48"/>
      <c r="D48"/>
    </row>
    <row r="49" spans="1:11" s="204" customFormat="1" x14ac:dyDescent="0.2">
      <c r="A49" s="205" t="s">
        <v>439</v>
      </c>
      <c r="B49" s="205">
        <f>+GETPIVOTDATA("Částka MD",$A$34,"Měsíc",1)/+('Počet porcí 2019'!B6+'Počet porcí 2019'!B11)</f>
        <v>31.987169230769229</v>
      </c>
      <c r="C49" s="205">
        <f>+GETPIVOTDATA("Částka MD",$A$34,"Měsíc",2)/+('Počet porcí 2019'!C6+'Počet porcí 2019'!C11)</f>
        <v>31.303565170749149</v>
      </c>
      <c r="D49" s="205">
        <f>+GETPIVOTDATA("Částka MD",$A$34,"Měsíc",3)/+('Počet porcí 2019'!D6+'Počet porcí 2019'!D11)</f>
        <v>32.634563649742454</v>
      </c>
      <c r="E49" s="205">
        <f>+GETPIVOTDATA("Částka MD",$A$34,"Měsíc",4)/+('Počet porcí 2019'!E6+'Počet porcí 2019'!E11)</f>
        <v>32.355153641083206</v>
      </c>
      <c r="F49" s="205">
        <f>+GETPIVOTDATA("Částka MD",$A$34,"Měsíc",5)/+('Počet porcí 2019'!F6+'Počet porcí 2019'!F11)</f>
        <v>32.397418288652219</v>
      </c>
      <c r="G49" s="205">
        <f>+GETPIVOTDATA("Částka MD",$A$34,"Měsíc",6)/+('Počet porcí 2019'!G6+'Počet porcí 2019'!G11)</f>
        <v>32.596880674448769</v>
      </c>
      <c r="H49" s="205">
        <f>+GETPIVOTDATA("Částka MD",$A$34,"Měsíc",7)/+('Počet porcí 2019'!H6+'Počet porcí 2019'!H11)</f>
        <v>34.902235410484671</v>
      </c>
      <c r="I49" s="205">
        <f>+GETPIVOTDATA("Částka MD",$A$34,"Měsíc",8)/(+('Počet porcí 2019'!I6+'Počet porcí 2019'!I11))</f>
        <v>30.747925072046108</v>
      </c>
      <c r="J49" s="321">
        <f>+GETPIVOTDATA("Částka MD",$A$34,"Měsíc",9)/+('Počet porcí 2019'!J11+'Počet porcí 2019'!J6)</f>
        <v>32.417643391521196</v>
      </c>
    </row>
    <row r="50" spans="1:11" s="204" customFormat="1" x14ac:dyDescent="0.2">
      <c r="A50" s="207"/>
      <c r="B50" s="207"/>
      <c r="C50" s="207"/>
      <c r="D50" s="207"/>
      <c r="E50" s="207"/>
      <c r="F50" s="207"/>
      <c r="G50" s="207"/>
      <c r="H50" s="207"/>
      <c r="I50" s="207"/>
    </row>
    <row r="51" spans="1:11" s="204" customFormat="1" x14ac:dyDescent="0.2">
      <c r="A51" s="207"/>
      <c r="B51" s="207"/>
      <c r="C51" s="207"/>
      <c r="D51" s="207"/>
      <c r="E51" s="207"/>
      <c r="F51" s="207"/>
      <c r="G51" s="207"/>
      <c r="H51" s="207"/>
      <c r="I51" s="207"/>
    </row>
    <row r="52" spans="1:11" s="204" customFormat="1" x14ac:dyDescent="0.2">
      <c r="A52" s="207"/>
      <c r="B52" s="207"/>
      <c r="C52" s="207"/>
      <c r="D52" s="207"/>
      <c r="E52" s="207"/>
      <c r="F52" s="207"/>
      <c r="G52" s="207"/>
      <c r="H52" s="207"/>
      <c r="I52" s="207"/>
    </row>
    <row r="53" spans="1:11" s="204" customFormat="1" x14ac:dyDescent="0.2">
      <c r="A53" s="206" t="s">
        <v>469</v>
      </c>
      <c r="B53" s="207"/>
      <c r="C53" s="207"/>
      <c r="D53" s="207"/>
      <c r="E53" s="207"/>
      <c r="F53" s="207"/>
      <c r="G53" s="207"/>
      <c r="H53" s="207"/>
      <c r="I53" s="207"/>
    </row>
    <row r="54" spans="1:11" s="204" customFormat="1" x14ac:dyDescent="0.2">
      <c r="A54" s="1" t="s">
        <v>135</v>
      </c>
      <c r="B54" s="1" t="s">
        <v>132</v>
      </c>
      <c r="C54"/>
      <c r="D54"/>
      <c r="E54"/>
      <c r="F54"/>
      <c r="G54"/>
      <c r="H54"/>
      <c r="I54"/>
      <c r="J54"/>
      <c r="K54"/>
    </row>
    <row r="55" spans="1:11" s="204" customFormat="1" x14ac:dyDescent="0.2">
      <c r="A55" s="1" t="s">
        <v>134</v>
      </c>
      <c r="B55">
        <v>1</v>
      </c>
      <c r="C55">
        <v>2</v>
      </c>
      <c r="D55">
        <v>3</v>
      </c>
      <c r="E55">
        <v>4</v>
      </c>
      <c r="F55">
        <v>5</v>
      </c>
      <c r="G55">
        <v>6</v>
      </c>
      <c r="H55">
        <v>7</v>
      </c>
      <c r="I55">
        <v>8</v>
      </c>
      <c r="J55">
        <v>9</v>
      </c>
      <c r="K55" t="s">
        <v>133</v>
      </c>
    </row>
    <row r="56" spans="1:11" s="204" customFormat="1" x14ac:dyDescent="0.2">
      <c r="A56" s="2" t="s">
        <v>113</v>
      </c>
      <c r="B56" s="3"/>
      <c r="C56" s="3"/>
      <c r="D56" s="3"/>
      <c r="E56" s="3">
        <v>107444.45</v>
      </c>
      <c r="F56" s="3">
        <v>101857.48</v>
      </c>
      <c r="G56" s="3">
        <v>90772.77</v>
      </c>
      <c r="H56" s="3">
        <v>88581.88</v>
      </c>
      <c r="I56" s="3">
        <v>76321.56</v>
      </c>
      <c r="J56" s="3">
        <v>105382.26</v>
      </c>
      <c r="K56" s="3">
        <v>570360.4</v>
      </c>
    </row>
    <row r="57" spans="1:11" s="204" customFormat="1" x14ac:dyDescent="0.2">
      <c r="A57" s="2" t="s">
        <v>88</v>
      </c>
      <c r="B57" s="3">
        <v>100695.61</v>
      </c>
      <c r="C57" s="3"/>
      <c r="D57" s="3"/>
      <c r="E57" s="3"/>
      <c r="F57" s="3"/>
      <c r="G57" s="3"/>
      <c r="H57" s="3"/>
      <c r="I57" s="3"/>
      <c r="J57" s="3"/>
      <c r="K57" s="3">
        <v>100695.61</v>
      </c>
    </row>
    <row r="58" spans="1:11" s="204" customFormat="1" x14ac:dyDescent="0.2">
      <c r="A58" s="2" t="s">
        <v>95</v>
      </c>
      <c r="B58" s="3"/>
      <c r="C58" s="3">
        <v>94067.21</v>
      </c>
      <c r="D58" s="3"/>
      <c r="E58" s="3"/>
      <c r="F58" s="3"/>
      <c r="G58" s="3"/>
      <c r="H58" s="3"/>
      <c r="I58" s="3"/>
      <c r="J58" s="3"/>
      <c r="K58" s="3">
        <v>94067.21</v>
      </c>
    </row>
    <row r="59" spans="1:11" s="204" customFormat="1" x14ac:dyDescent="0.2">
      <c r="A59" s="2" t="s">
        <v>106</v>
      </c>
      <c r="B59" s="3"/>
      <c r="C59" s="3"/>
      <c r="D59" s="3">
        <v>0</v>
      </c>
      <c r="E59" s="3"/>
      <c r="F59" s="3"/>
      <c r="G59" s="3"/>
      <c r="H59" s="3"/>
      <c r="I59" s="3"/>
      <c r="J59" s="3"/>
      <c r="K59" s="3">
        <v>0</v>
      </c>
    </row>
    <row r="60" spans="1:11" s="204" customFormat="1" x14ac:dyDescent="0.2">
      <c r="A60" s="2" t="s">
        <v>102</v>
      </c>
      <c r="B60" s="3"/>
      <c r="C60" s="3"/>
      <c r="D60" s="3">
        <v>102146.18</v>
      </c>
      <c r="E60" s="3"/>
      <c r="F60" s="3"/>
      <c r="G60" s="3"/>
      <c r="H60" s="3"/>
      <c r="I60" s="3"/>
      <c r="J60" s="3"/>
      <c r="K60" s="3">
        <v>102146.18</v>
      </c>
    </row>
    <row r="61" spans="1:11" s="204" customFormat="1" x14ac:dyDescent="0.2">
      <c r="A61" s="2" t="s">
        <v>34</v>
      </c>
      <c r="B61" s="3">
        <v>21674.799999999999</v>
      </c>
      <c r="C61" s="3">
        <v>18702.93</v>
      </c>
      <c r="D61" s="3">
        <v>18566.439999999999</v>
      </c>
      <c r="E61" s="3">
        <v>21269.439999999999</v>
      </c>
      <c r="F61" s="3">
        <v>24026.09</v>
      </c>
      <c r="G61" s="3">
        <v>24553.82</v>
      </c>
      <c r="H61" s="3">
        <v>23066.32</v>
      </c>
      <c r="I61" s="3">
        <v>16834.09</v>
      </c>
      <c r="J61" s="3">
        <v>23147.21</v>
      </c>
      <c r="K61" s="3">
        <v>191841.13999999998</v>
      </c>
    </row>
    <row r="62" spans="1:11" s="204" customFormat="1" x14ac:dyDescent="0.2">
      <c r="A62" s="2" t="s">
        <v>133</v>
      </c>
      <c r="B62" s="3">
        <v>122370.41</v>
      </c>
      <c r="C62" s="3">
        <v>112770.14000000001</v>
      </c>
      <c r="D62" s="3">
        <v>120712.62</v>
      </c>
      <c r="E62" s="3">
        <v>128713.89</v>
      </c>
      <c r="F62" s="3">
        <v>125883.56999999999</v>
      </c>
      <c r="G62" s="3">
        <v>115326.59</v>
      </c>
      <c r="H62" s="3">
        <v>111648.20000000001</v>
      </c>
      <c r="I62" s="3">
        <v>93155.65</v>
      </c>
      <c r="J62" s="3">
        <v>128529.47</v>
      </c>
      <c r="K62" s="3">
        <v>1059110.5399999998</v>
      </c>
    </row>
    <row r="63" spans="1:11" s="204" customFormat="1" x14ac:dyDescent="0.2">
      <c r="A63"/>
      <c r="B63"/>
      <c r="C63"/>
      <c r="D63" s="207"/>
      <c r="E63" s="207"/>
      <c r="F63" s="207"/>
      <c r="G63" s="207"/>
      <c r="H63" s="207"/>
      <c r="I63" s="207"/>
    </row>
    <row r="64" spans="1:11" s="204" customFormat="1" x14ac:dyDescent="0.2">
      <c r="A64"/>
      <c r="B64"/>
      <c r="C64"/>
      <c r="D64" s="207"/>
      <c r="E64" s="269" t="s">
        <v>288</v>
      </c>
      <c r="F64" s="270"/>
      <c r="G64" s="271">
        <f>AVERAGE(B62:F62)</f>
        <v>122090.126</v>
      </c>
      <c r="H64" s="207"/>
      <c r="I64" s="207"/>
    </row>
    <row r="65" spans="1:10" s="204" customFormat="1" x14ac:dyDescent="0.2">
      <c r="A65"/>
      <c r="B65"/>
      <c r="C65"/>
      <c r="D65" s="207"/>
      <c r="E65" s="272" t="s">
        <v>289</v>
      </c>
      <c r="F65" s="273"/>
      <c r="G65" s="274">
        <f>AVERAGE(G62:I62)</f>
        <v>106710.14666666667</v>
      </c>
      <c r="H65" s="207"/>
      <c r="I65" s="207"/>
    </row>
    <row r="66" spans="1:10" s="204" customFormat="1" x14ac:dyDescent="0.2">
      <c r="A66"/>
      <c r="B66"/>
      <c r="C66"/>
      <c r="D66" s="207"/>
      <c r="E66" s="207"/>
      <c r="F66" s="207"/>
      <c r="G66" s="207"/>
      <c r="H66" s="207"/>
      <c r="I66" s="207"/>
    </row>
    <row r="67" spans="1:10" s="204" customFormat="1" x14ac:dyDescent="0.2">
      <c r="A67"/>
      <c r="B67"/>
      <c r="C67"/>
      <c r="D67" s="207"/>
      <c r="E67" s="207"/>
      <c r="F67" s="207"/>
      <c r="G67" s="207"/>
      <c r="H67" s="207"/>
      <c r="I67" s="207"/>
    </row>
    <row r="68" spans="1:10" s="204" customFormat="1" x14ac:dyDescent="0.2">
      <c r="A68" s="206" t="s">
        <v>504</v>
      </c>
      <c r="B68"/>
      <c r="C68"/>
      <c r="D68" s="207"/>
      <c r="E68" s="207"/>
      <c r="F68" s="207"/>
      <c r="G68" s="207"/>
      <c r="H68" s="207"/>
      <c r="I68" s="207"/>
    </row>
    <row r="69" spans="1:10" s="204" customFormat="1" x14ac:dyDescent="0.2">
      <c r="A69" s="1" t="s">
        <v>135</v>
      </c>
      <c r="B69" s="1" t="s">
        <v>132</v>
      </c>
      <c r="C69"/>
      <c r="D69"/>
      <c r="E69"/>
      <c r="F69"/>
      <c r="G69"/>
      <c r="H69"/>
      <c r="I69"/>
      <c r="J69"/>
    </row>
    <row r="70" spans="1:10" s="204" customFormat="1" x14ac:dyDescent="0.2">
      <c r="A70" s="1" t="s">
        <v>134</v>
      </c>
      <c r="B70">
        <v>1</v>
      </c>
      <c r="C70">
        <v>2</v>
      </c>
      <c r="D70">
        <v>3</v>
      </c>
      <c r="E70">
        <v>4</v>
      </c>
      <c r="F70">
        <v>5</v>
      </c>
      <c r="G70">
        <v>6</v>
      </c>
      <c r="H70">
        <v>8</v>
      </c>
      <c r="I70">
        <v>9</v>
      </c>
      <c r="J70" t="s">
        <v>133</v>
      </c>
    </row>
    <row r="71" spans="1:10" s="204" customFormat="1" x14ac:dyDescent="0.2">
      <c r="A71" s="2" t="s">
        <v>477</v>
      </c>
      <c r="B71" s="3"/>
      <c r="C71" s="3">
        <v>28549.57</v>
      </c>
      <c r="D71" s="3"/>
      <c r="E71" s="3"/>
      <c r="F71" s="3"/>
      <c r="G71" s="3"/>
      <c r="H71" s="3"/>
      <c r="I71" s="3"/>
      <c r="J71" s="3">
        <v>28549.57</v>
      </c>
    </row>
    <row r="72" spans="1:10" s="204" customFormat="1" x14ac:dyDescent="0.2">
      <c r="A72" s="2" t="s">
        <v>481</v>
      </c>
      <c r="B72" s="3"/>
      <c r="C72" s="3"/>
      <c r="D72" s="3">
        <v>30944.35</v>
      </c>
      <c r="E72" s="3"/>
      <c r="F72" s="3"/>
      <c r="G72" s="3"/>
      <c r="H72" s="3"/>
      <c r="I72" s="3"/>
      <c r="J72" s="3">
        <v>30944.35</v>
      </c>
    </row>
    <row r="73" spans="1:10" s="204" customFormat="1" x14ac:dyDescent="0.2">
      <c r="A73" s="2" t="s">
        <v>485</v>
      </c>
      <c r="B73" s="3"/>
      <c r="C73" s="3"/>
      <c r="D73" s="3"/>
      <c r="E73" s="3">
        <v>29864.35</v>
      </c>
      <c r="F73" s="3"/>
      <c r="G73" s="3"/>
      <c r="H73" s="3"/>
      <c r="I73" s="3"/>
      <c r="J73" s="3">
        <v>29864.35</v>
      </c>
    </row>
    <row r="74" spans="1:10" s="204" customFormat="1" x14ac:dyDescent="0.2">
      <c r="A74" s="2" t="s">
        <v>489</v>
      </c>
      <c r="B74" s="3"/>
      <c r="C74" s="3"/>
      <c r="D74" s="3"/>
      <c r="E74" s="3"/>
      <c r="F74" s="3">
        <v>31460.87</v>
      </c>
      <c r="G74" s="3"/>
      <c r="H74" s="3"/>
      <c r="I74" s="3"/>
      <c r="J74" s="3">
        <v>31460.87</v>
      </c>
    </row>
    <row r="75" spans="1:10" s="204" customFormat="1" x14ac:dyDescent="0.2">
      <c r="A75" s="2" t="s">
        <v>493</v>
      </c>
      <c r="B75" s="3"/>
      <c r="C75" s="3"/>
      <c r="D75" s="3"/>
      <c r="E75" s="3"/>
      <c r="F75" s="3"/>
      <c r="G75" s="3">
        <v>28878.26</v>
      </c>
      <c r="H75" s="3"/>
      <c r="I75" s="3"/>
      <c r="J75" s="3">
        <v>28878.26</v>
      </c>
    </row>
    <row r="76" spans="1:10" s="204" customFormat="1" x14ac:dyDescent="0.2">
      <c r="A76" s="2" t="s">
        <v>497</v>
      </c>
      <c r="B76" s="3"/>
      <c r="C76" s="3"/>
      <c r="D76" s="3"/>
      <c r="E76" s="3"/>
      <c r="F76" s="3"/>
      <c r="G76" s="3"/>
      <c r="H76" s="3">
        <v>18059.13</v>
      </c>
      <c r="I76" s="3"/>
      <c r="J76" s="3">
        <v>18059.13</v>
      </c>
    </row>
    <row r="77" spans="1:10" s="204" customFormat="1" x14ac:dyDescent="0.2">
      <c r="A77" s="2" t="s">
        <v>471</v>
      </c>
      <c r="B77" s="3">
        <v>31695.65</v>
      </c>
      <c r="C77" s="3"/>
      <c r="D77" s="3"/>
      <c r="E77" s="3"/>
      <c r="F77" s="3"/>
      <c r="G77" s="3"/>
      <c r="H77" s="3"/>
      <c r="I77" s="3"/>
      <c r="J77" s="3">
        <v>31695.65</v>
      </c>
    </row>
    <row r="78" spans="1:10" s="204" customFormat="1" x14ac:dyDescent="0.2">
      <c r="A78" s="2" t="s">
        <v>501</v>
      </c>
      <c r="B78" s="3"/>
      <c r="C78" s="3"/>
      <c r="D78" s="3"/>
      <c r="E78" s="3"/>
      <c r="F78" s="3"/>
      <c r="G78" s="3"/>
      <c r="H78" s="3"/>
      <c r="I78" s="3">
        <v>33809.57</v>
      </c>
      <c r="J78" s="3">
        <v>33809.57</v>
      </c>
    </row>
    <row r="79" spans="1:10" s="204" customFormat="1" x14ac:dyDescent="0.2">
      <c r="A79" s="2" t="s">
        <v>133</v>
      </c>
      <c r="B79" s="3">
        <v>31695.65</v>
      </c>
      <c r="C79" s="3">
        <v>28549.57</v>
      </c>
      <c r="D79" s="3">
        <v>30944.35</v>
      </c>
      <c r="E79" s="3">
        <v>29864.35</v>
      </c>
      <c r="F79" s="3">
        <v>31460.87</v>
      </c>
      <c r="G79" s="3">
        <v>28878.26</v>
      </c>
      <c r="H79" s="3">
        <v>18059.13</v>
      </c>
      <c r="I79" s="3">
        <v>33809.57</v>
      </c>
      <c r="J79" s="3">
        <v>233261.75</v>
      </c>
    </row>
    <row r="80" spans="1:10" s="204" customFormat="1" x14ac:dyDescent="0.2">
      <c r="A80" s="2"/>
      <c r="B80" s="3"/>
      <c r="C80" s="3"/>
      <c r="D80" s="3"/>
      <c r="E80" s="3"/>
      <c r="F80" s="3"/>
      <c r="G80" s="3"/>
      <c r="H80" s="3"/>
      <c r="I80" s="3"/>
      <c r="J80" s="3"/>
    </row>
    <row r="81" spans="1:12" s="204" customFormat="1" x14ac:dyDescent="0.2">
      <c r="A81" s="301" t="s">
        <v>809</v>
      </c>
      <c r="B81" s="302">
        <f>+GETPIVOTDATA("Částka MD",$A$69,"Měsíc",1)/50.1</f>
        <v>632.64770459081842</v>
      </c>
      <c r="C81" s="302">
        <f>+GETPIVOTDATA("Částka MD",$A$69,"Měsíc",2)/50.1</f>
        <v>569.85169660678639</v>
      </c>
      <c r="D81" s="302">
        <f>+GETPIVOTDATA("Částka MD",$A$69,"Měsíc",3)/50.1</f>
        <v>617.65169660678635</v>
      </c>
      <c r="E81" s="302">
        <f>+GETPIVOTDATA("Částka MD",$A$69,"Měsíc",4)/50.1</f>
        <v>596.09481037924149</v>
      </c>
      <c r="F81" s="302">
        <f>+GETPIVOTDATA("Částka MD",$A$69,"Měsíc",5)/50.1</f>
        <v>627.96147704590817</v>
      </c>
      <c r="G81" s="302">
        <f>+GETPIVOTDATA("Částka MD",$A$69,"Měsíc",6)/50.1</f>
        <v>576.412375249501</v>
      </c>
      <c r="H81" s="302">
        <f>+GETPIVOTDATA("Částka MD",$A$69,"Měsíc",8)/50.1</f>
        <v>360.46167664670662</v>
      </c>
      <c r="I81" s="302">
        <f>+GETPIVOTDATA("Částka MD",$A$69,"Měsíc",9)/51.62</f>
        <v>654.97036032545532</v>
      </c>
      <c r="J81" s="3"/>
    </row>
    <row r="82" spans="1:12" s="204" customFormat="1" x14ac:dyDescent="0.2">
      <c r="A82"/>
      <c r="B82"/>
      <c r="C82"/>
      <c r="D82" s="207"/>
      <c r="E82" s="207"/>
      <c r="F82" s="207"/>
      <c r="G82" s="207"/>
      <c r="H82" s="207"/>
      <c r="I82" s="207"/>
    </row>
    <row r="83" spans="1:12" s="204" customFormat="1" x14ac:dyDescent="0.2">
      <c r="A83"/>
      <c r="B83"/>
      <c r="C83"/>
      <c r="D83" s="207"/>
      <c r="E83" s="269" t="s">
        <v>505</v>
      </c>
      <c r="F83" s="270"/>
      <c r="G83" s="271">
        <f>AVERAGE(B79:G79)</f>
        <v>30232.175000000003</v>
      </c>
      <c r="H83" s="207"/>
      <c r="I83" s="207"/>
    </row>
    <row r="84" spans="1:12" s="204" customFormat="1" x14ac:dyDescent="0.2">
      <c r="A84"/>
      <c r="B84"/>
      <c r="C84"/>
      <c r="D84" s="207"/>
      <c r="E84" s="281" t="s">
        <v>501</v>
      </c>
      <c r="F84" s="207"/>
      <c r="G84" s="207"/>
      <c r="H84" s="207"/>
      <c r="I84" s="207"/>
    </row>
    <row r="85" spans="1:12" s="204" customFormat="1" x14ac:dyDescent="0.2">
      <c r="A85"/>
      <c r="B85"/>
      <c r="C85"/>
      <c r="D85" s="207"/>
      <c r="E85" s="207"/>
      <c r="F85" s="207"/>
      <c r="G85" s="207"/>
      <c r="H85" s="207"/>
      <c r="I85" s="207"/>
    </row>
    <row r="86" spans="1:12" s="204" customFormat="1" x14ac:dyDescent="0.2">
      <c r="A86" s="207"/>
      <c r="B86" s="207"/>
      <c r="C86" s="207"/>
      <c r="D86" s="207"/>
      <c r="E86" s="207"/>
      <c r="F86" s="207"/>
      <c r="G86" s="207"/>
      <c r="H86" s="207"/>
      <c r="I86" s="207"/>
    </row>
    <row r="87" spans="1:12" s="204" customFormat="1" x14ac:dyDescent="0.2">
      <c r="A87" s="207"/>
      <c r="B87" s="207"/>
      <c r="C87" s="207"/>
      <c r="D87" s="207"/>
      <c r="E87" s="207"/>
      <c r="F87" s="207"/>
      <c r="G87" s="207"/>
      <c r="H87" s="207"/>
      <c r="I87" s="207"/>
    </row>
    <row r="88" spans="1:12" s="167" customFormat="1" x14ac:dyDescent="0.2">
      <c r="A88" s="206" t="s">
        <v>442</v>
      </c>
      <c r="B88"/>
      <c r="C88"/>
      <c r="D88"/>
    </row>
    <row r="89" spans="1:12" s="167" customFormat="1" x14ac:dyDescent="0.2">
      <c r="A89" s="1" t="s">
        <v>349</v>
      </c>
      <c r="B89" s="1" t="s">
        <v>132</v>
      </c>
      <c r="C89"/>
      <c r="D89"/>
      <c r="E89"/>
      <c r="F89"/>
      <c r="G89"/>
      <c r="H89"/>
      <c r="I89"/>
      <c r="J89"/>
      <c r="K89"/>
      <c r="L89"/>
    </row>
    <row r="90" spans="1:12" s="167" customFormat="1" x14ac:dyDescent="0.2">
      <c r="A90" s="1" t="s">
        <v>134</v>
      </c>
      <c r="B90">
        <v>1</v>
      </c>
      <c r="C90">
        <v>2</v>
      </c>
      <c r="D90">
        <v>3</v>
      </c>
      <c r="E90">
        <v>4</v>
      </c>
      <c r="F90">
        <v>5</v>
      </c>
      <c r="G90">
        <v>6</v>
      </c>
      <c r="H90">
        <v>7</v>
      </c>
      <c r="I90">
        <v>8</v>
      </c>
      <c r="J90">
        <v>9</v>
      </c>
      <c r="K90" t="s">
        <v>133</v>
      </c>
      <c r="L90"/>
    </row>
    <row r="91" spans="1:12" s="167" customFormat="1" x14ac:dyDescent="0.2">
      <c r="A91" s="2" t="s">
        <v>331</v>
      </c>
      <c r="B91" s="3"/>
      <c r="C91" s="3"/>
      <c r="D91" s="3"/>
      <c r="E91" s="3">
        <v>428826.13</v>
      </c>
      <c r="F91" s="3"/>
      <c r="G91" s="3"/>
      <c r="H91" s="3"/>
      <c r="I91" s="3"/>
      <c r="J91" s="3"/>
      <c r="K91" s="3">
        <v>428826.13</v>
      </c>
      <c r="L91"/>
    </row>
    <row r="92" spans="1:12" s="167" customFormat="1" x14ac:dyDescent="0.2">
      <c r="A92" s="2" t="s">
        <v>336</v>
      </c>
      <c r="B92" s="3"/>
      <c r="C92" s="3"/>
      <c r="D92" s="3"/>
      <c r="E92" s="3"/>
      <c r="F92" s="3">
        <v>443441.11</v>
      </c>
      <c r="G92" s="3">
        <v>410183.15</v>
      </c>
      <c r="H92" s="3">
        <v>389158.97</v>
      </c>
      <c r="I92" s="3">
        <v>390849.8</v>
      </c>
      <c r="J92" s="3">
        <v>444207.15</v>
      </c>
      <c r="K92" s="3">
        <v>2077840.1800000002</v>
      </c>
      <c r="L92"/>
    </row>
    <row r="93" spans="1:12" s="167" customFormat="1" x14ac:dyDescent="0.2">
      <c r="A93" s="2" t="s">
        <v>313</v>
      </c>
      <c r="B93" s="3">
        <v>470058.14</v>
      </c>
      <c r="C93" s="3"/>
      <c r="D93" s="3"/>
      <c r="E93" s="3"/>
      <c r="F93" s="3"/>
      <c r="G93" s="3"/>
      <c r="H93" s="3"/>
      <c r="I93" s="3"/>
      <c r="J93" s="3"/>
      <c r="K93" s="3">
        <v>470058.14</v>
      </c>
      <c r="L93"/>
    </row>
    <row r="94" spans="1:12" s="167" customFormat="1" x14ac:dyDescent="0.2">
      <c r="A94" s="2" t="s">
        <v>319</v>
      </c>
      <c r="B94" s="3"/>
      <c r="C94" s="3">
        <v>419384.11</v>
      </c>
      <c r="D94" s="3"/>
      <c r="E94" s="3"/>
      <c r="F94" s="3"/>
      <c r="G94" s="3"/>
      <c r="H94" s="3"/>
      <c r="I94" s="3"/>
      <c r="J94" s="3"/>
      <c r="K94" s="3">
        <v>419384.11</v>
      </c>
      <c r="L94"/>
    </row>
    <row r="95" spans="1:12" s="167" customFormat="1" x14ac:dyDescent="0.2">
      <c r="A95" s="2" t="s">
        <v>325</v>
      </c>
      <c r="B95" s="3"/>
      <c r="C95" s="3"/>
      <c r="D95" s="3">
        <v>434534.86</v>
      </c>
      <c r="E95" s="3"/>
      <c r="F95" s="3"/>
      <c r="G95" s="3"/>
      <c r="H95" s="3"/>
      <c r="I95" s="3"/>
      <c r="J95" s="3"/>
      <c r="K95" s="3">
        <v>434534.86</v>
      </c>
      <c r="L95"/>
    </row>
    <row r="96" spans="1:12" s="167" customFormat="1" x14ac:dyDescent="0.2">
      <c r="A96" s="2" t="s">
        <v>328</v>
      </c>
      <c r="B96" s="3"/>
      <c r="C96" s="3"/>
      <c r="D96" s="3"/>
      <c r="E96" s="3">
        <v>6251.88</v>
      </c>
      <c r="F96" s="3">
        <v>6586.1</v>
      </c>
      <c r="G96" s="3"/>
      <c r="H96" s="3"/>
      <c r="I96" s="3">
        <v>4312</v>
      </c>
      <c r="J96" s="3">
        <v>8072.75</v>
      </c>
      <c r="K96" s="3">
        <v>25222.73</v>
      </c>
      <c r="L96"/>
    </row>
    <row r="97" spans="1:12" s="167" customFormat="1" x14ac:dyDescent="0.2">
      <c r="A97" s="2" t="s">
        <v>309</v>
      </c>
      <c r="B97" s="3">
        <v>6635.25</v>
      </c>
      <c r="C97" s="3"/>
      <c r="D97" s="3"/>
      <c r="E97" s="3"/>
      <c r="F97" s="3"/>
      <c r="G97" s="3"/>
      <c r="H97" s="3"/>
      <c r="I97" s="3"/>
      <c r="J97" s="3"/>
      <c r="K97" s="3">
        <v>6635.25</v>
      </c>
      <c r="L97"/>
    </row>
    <row r="98" spans="1:12" s="167" customFormat="1" x14ac:dyDescent="0.2">
      <c r="A98" s="2" t="s">
        <v>316</v>
      </c>
      <c r="B98" s="3"/>
      <c r="C98" s="3">
        <v>5976.64</v>
      </c>
      <c r="D98" s="3"/>
      <c r="E98" s="3"/>
      <c r="F98" s="3"/>
      <c r="G98" s="3"/>
      <c r="H98" s="3"/>
      <c r="I98" s="3"/>
      <c r="J98" s="3"/>
      <c r="K98" s="3">
        <v>5976.64</v>
      </c>
      <c r="L98"/>
    </row>
    <row r="99" spans="1:12" s="167" customFormat="1" x14ac:dyDescent="0.2">
      <c r="A99" s="2" t="s">
        <v>322</v>
      </c>
      <c r="B99" s="3"/>
      <c r="C99" s="3"/>
      <c r="D99" s="3">
        <v>6477.97</v>
      </c>
      <c r="E99" s="3"/>
      <c r="F99" s="3"/>
      <c r="G99" s="3"/>
      <c r="H99" s="3"/>
      <c r="I99" s="3"/>
      <c r="J99" s="3"/>
      <c r="K99" s="3">
        <v>6477.97</v>
      </c>
      <c r="L99"/>
    </row>
    <row r="100" spans="1:12" s="167" customFormat="1" x14ac:dyDescent="0.2">
      <c r="A100" s="2" t="s">
        <v>339</v>
      </c>
      <c r="B100" s="3"/>
      <c r="C100" s="3"/>
      <c r="D100" s="3"/>
      <c r="E100" s="3"/>
      <c r="F100" s="3"/>
      <c r="G100" s="3">
        <v>6045.45</v>
      </c>
      <c r="H100" s="3"/>
      <c r="I100" s="3"/>
      <c r="J100" s="3"/>
      <c r="K100" s="3">
        <v>6045.45</v>
      </c>
      <c r="L100"/>
    </row>
    <row r="101" spans="1:12" s="167" customFormat="1" x14ac:dyDescent="0.2">
      <c r="A101" s="2" t="s">
        <v>133</v>
      </c>
      <c r="B101" s="3">
        <v>476693.39</v>
      </c>
      <c r="C101" s="3">
        <v>425360.75</v>
      </c>
      <c r="D101" s="3">
        <v>441012.82999999996</v>
      </c>
      <c r="E101" s="3">
        <v>435078.01</v>
      </c>
      <c r="F101" s="3">
        <v>450027.20999999996</v>
      </c>
      <c r="G101" s="3">
        <v>416228.60000000003</v>
      </c>
      <c r="H101" s="3">
        <v>389158.97</v>
      </c>
      <c r="I101" s="3">
        <v>395161.8</v>
      </c>
      <c r="J101" s="3">
        <v>452279.9</v>
      </c>
      <c r="K101" s="3">
        <v>3881001.4600000004</v>
      </c>
      <c r="L101"/>
    </row>
    <row r="102" spans="1:12" s="167" customFormat="1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67" customFormat="1" x14ac:dyDescent="0.2">
      <c r="A103"/>
      <c r="B103"/>
      <c r="C103"/>
      <c r="D103"/>
    </row>
    <row r="104" spans="1:12" s="167" customFormat="1" x14ac:dyDescent="0.2">
      <c r="A104"/>
      <c r="B104"/>
      <c r="C104"/>
      <c r="D104"/>
      <c r="E104" s="190" t="s">
        <v>288</v>
      </c>
      <c r="F104" s="191"/>
      <c r="G104" s="192">
        <f>AVERAGE(B101:F101)</f>
        <v>445634.43799999997</v>
      </c>
    </row>
    <row r="105" spans="1:12" s="167" customFormat="1" x14ac:dyDescent="0.2">
      <c r="A105"/>
      <c r="B105"/>
      <c r="C105"/>
      <c r="D105"/>
      <c r="E105" s="193" t="s">
        <v>289</v>
      </c>
      <c r="F105" s="194"/>
      <c r="G105" s="195">
        <f>AVERAGE(G101:I101)</f>
        <v>400183.12333333335</v>
      </c>
    </row>
    <row r="106" spans="1:12" s="167" customFormat="1" ht="15.75" customHeight="1" x14ac:dyDescent="0.2">
      <c r="A106"/>
      <c r="B106"/>
      <c r="C106"/>
      <c r="D106"/>
      <c r="E106" s="264"/>
      <c r="F106" s="264"/>
      <c r="G106" s="265"/>
    </row>
    <row r="110" spans="1:12" s="167" customFormat="1" x14ac:dyDescent="0.2">
      <c r="A110"/>
      <c r="B110"/>
      <c r="C110"/>
      <c r="D110"/>
    </row>
    <row r="111" spans="1:12" s="167" customFormat="1" x14ac:dyDescent="0.2">
      <c r="A111"/>
      <c r="B111"/>
      <c r="C111"/>
      <c r="D111"/>
    </row>
    <row r="112" spans="1:12" s="167" customFormat="1" x14ac:dyDescent="0.2">
      <c r="A112" s="206" t="s">
        <v>441</v>
      </c>
      <c r="B112"/>
      <c r="C112"/>
      <c r="D112"/>
    </row>
    <row r="113" spans="1:11" s="167" customFormat="1" x14ac:dyDescent="0.2">
      <c r="A113" s="1" t="s">
        <v>349</v>
      </c>
      <c r="B113" s="1" t="s">
        <v>132</v>
      </c>
      <c r="C113"/>
      <c r="D113"/>
      <c r="E113"/>
      <c r="F113"/>
      <c r="G113"/>
      <c r="H113"/>
      <c r="I113"/>
      <c r="J113"/>
      <c r="K113"/>
    </row>
    <row r="114" spans="1:11" s="167" customFormat="1" x14ac:dyDescent="0.2">
      <c r="A114" s="1" t="s">
        <v>134</v>
      </c>
      <c r="B114">
        <v>1</v>
      </c>
      <c r="C114">
        <v>2</v>
      </c>
      <c r="D114">
        <v>3</v>
      </c>
      <c r="E114">
        <v>4</v>
      </c>
      <c r="F114">
        <v>5</v>
      </c>
      <c r="G114">
        <v>6</v>
      </c>
      <c r="H114">
        <v>7</v>
      </c>
      <c r="I114">
        <v>8</v>
      </c>
      <c r="J114">
        <v>9</v>
      </c>
      <c r="K114" t="s">
        <v>133</v>
      </c>
    </row>
    <row r="115" spans="1:11" s="167" customFormat="1" x14ac:dyDescent="0.2">
      <c r="A115" s="2" t="s">
        <v>351</v>
      </c>
      <c r="B115" s="3">
        <v>72984.7</v>
      </c>
      <c r="C115" s="3"/>
      <c r="D115" s="3"/>
      <c r="E115" s="3"/>
      <c r="F115" s="3"/>
      <c r="G115" s="3"/>
      <c r="H115" s="3"/>
      <c r="I115" s="3"/>
      <c r="J115" s="3"/>
      <c r="K115" s="3">
        <v>72984.7</v>
      </c>
    </row>
    <row r="116" spans="1:11" s="167" customFormat="1" x14ac:dyDescent="0.2">
      <c r="A116" s="2" t="s">
        <v>360</v>
      </c>
      <c r="B116" s="3"/>
      <c r="C116" s="3">
        <v>94183.65</v>
      </c>
      <c r="D116" s="3">
        <v>113390.15</v>
      </c>
      <c r="E116" s="3"/>
      <c r="F116" s="3"/>
      <c r="G116" s="3">
        <v>21396.400000000001</v>
      </c>
      <c r="H116" s="3">
        <v>12475.25</v>
      </c>
      <c r="I116" s="3">
        <v>11488</v>
      </c>
      <c r="J116" s="3">
        <v>51247.25</v>
      </c>
      <c r="K116" s="3">
        <v>304180.69999999995</v>
      </c>
    </row>
    <row r="117" spans="1:11" s="167" customFormat="1" x14ac:dyDescent="0.2">
      <c r="A117" s="2" t="s">
        <v>367</v>
      </c>
      <c r="B117" s="3"/>
      <c r="C117" s="3"/>
      <c r="D117" s="3"/>
      <c r="E117" s="3">
        <v>116531.4</v>
      </c>
      <c r="F117" s="3"/>
      <c r="G117" s="3"/>
      <c r="H117" s="3"/>
      <c r="I117" s="3"/>
      <c r="J117" s="3"/>
      <c r="K117" s="3">
        <v>116531.4</v>
      </c>
    </row>
    <row r="118" spans="1:11" s="167" customFormat="1" x14ac:dyDescent="0.2">
      <c r="A118" s="2" t="s">
        <v>371</v>
      </c>
      <c r="B118" s="3"/>
      <c r="C118" s="3"/>
      <c r="D118" s="3"/>
      <c r="E118" s="3"/>
      <c r="F118" s="3">
        <v>84724</v>
      </c>
      <c r="G118" s="3"/>
      <c r="H118" s="3"/>
      <c r="I118" s="3"/>
      <c r="J118" s="3"/>
      <c r="K118" s="3">
        <v>84724</v>
      </c>
    </row>
    <row r="119" spans="1:11" s="167" customFormat="1" x14ac:dyDescent="0.2">
      <c r="A119" s="2" t="s">
        <v>133</v>
      </c>
      <c r="B119" s="3">
        <v>72984.7</v>
      </c>
      <c r="C119" s="3">
        <v>94183.65</v>
      </c>
      <c r="D119" s="3">
        <v>113390.15</v>
      </c>
      <c r="E119" s="3">
        <v>116531.4</v>
      </c>
      <c r="F119" s="3">
        <v>84724</v>
      </c>
      <c r="G119" s="3">
        <v>21396.400000000001</v>
      </c>
      <c r="H119" s="3">
        <v>12475.25</v>
      </c>
      <c r="I119" s="3">
        <v>11488</v>
      </c>
      <c r="J119" s="3">
        <v>51247.25</v>
      </c>
      <c r="K119" s="3">
        <v>578420.79999999993</v>
      </c>
    </row>
    <row r="120" spans="1:11" s="167" customFormat="1" x14ac:dyDescent="0.2">
      <c r="A120"/>
      <c r="B120"/>
      <c r="C120"/>
      <c r="D120"/>
    </row>
    <row r="121" spans="1:11" s="167" customFormat="1" x14ac:dyDescent="0.2">
      <c r="A121"/>
      <c r="B121"/>
      <c r="C121"/>
      <c r="D121"/>
      <c r="E121" s="190" t="s">
        <v>288</v>
      </c>
      <c r="F121" s="191"/>
      <c r="G121" s="192">
        <f>AVERAGE(B119:F119)</f>
        <v>96362.78</v>
      </c>
    </row>
    <row r="122" spans="1:11" s="167" customFormat="1" x14ac:dyDescent="0.2">
      <c r="A122"/>
      <c r="B122"/>
      <c r="C122"/>
      <c r="D122"/>
      <c r="E122" s="193" t="s">
        <v>289</v>
      </c>
      <c r="F122" s="194"/>
      <c r="G122" s="195">
        <f>AVERAGE(G119:I119)</f>
        <v>15119.883333333333</v>
      </c>
    </row>
    <row r="123" spans="1:11" s="167" customFormat="1" x14ac:dyDescent="0.2">
      <c r="A123"/>
      <c r="B123"/>
      <c r="C123"/>
      <c r="D123"/>
      <c r="E123" s="208"/>
      <c r="F123" s="208"/>
      <c r="G123" s="209"/>
    </row>
    <row r="124" spans="1:11" s="167" customFormat="1" x14ac:dyDescent="0.2">
      <c r="A124"/>
      <c r="B124" s="266"/>
      <c r="C124"/>
      <c r="D124"/>
      <c r="E124" s="208"/>
      <c r="F124" s="208"/>
      <c r="G124" s="209"/>
      <c r="H124" s="210"/>
    </row>
    <row r="125" spans="1:11" s="167" customFormat="1" x14ac:dyDescent="0.2">
      <c r="A125" s="205" t="s">
        <v>440</v>
      </c>
      <c r="B125" s="205">
        <f>+GETPIVOTDATA("Částka DAL",$A$113,"Měsíc",2)/'Počet porcí 2019'!B11</f>
        <v>23.163711264141661</v>
      </c>
      <c r="C125" s="205">
        <f>+GETPIVOTDATA("Částka DAL",$A$113,"Měsíc",3)/'Počet porcí 2019'!C11</f>
        <v>21.610472651038688</v>
      </c>
      <c r="D125" s="205">
        <f>+GETPIVOTDATA("Částka DAL",$A$113,"Měsíc",4)/'Počet porcí 2019'!D11</f>
        <v>18.447269273389267</v>
      </c>
      <c r="E125" s="205">
        <f>+GETPIVOTDATA("Částka DAL",$A$113,"Měsíc",5)/'Počet porcí 2019'!E11</f>
        <v>13.050523721503389</v>
      </c>
      <c r="F125" s="205">
        <f>+GETPIVOTDATA("Částka DAL",$A$113,"Měsíc",6)/'Počet porcí 2019'!F11</f>
        <v>4.5331355932203392</v>
      </c>
      <c r="G125" s="205">
        <f>+GETPIVOTDATA("Částka DAL",$A$113,"Měsíc",7)/'Počet porcí 2019'!G11</f>
        <v>10.465813758389261</v>
      </c>
      <c r="H125" s="205">
        <f>+GETPIVOTDATA("Částka DAL",$A$113,"Měsíc",8)/+('Počet porcí 2019'!H11)</f>
        <v>16.529496402877697</v>
      </c>
      <c r="I125" s="205"/>
    </row>
    <row r="126" spans="1:11" s="167" customFormat="1" x14ac:dyDescent="0.2">
      <c r="A126" s="207"/>
      <c r="B126" s="207"/>
      <c r="C126" s="207"/>
      <c r="D126" s="207"/>
      <c r="E126" s="207"/>
      <c r="F126" s="207"/>
      <c r="G126" s="207"/>
      <c r="H126" s="207"/>
      <c r="I126" s="207"/>
    </row>
    <row r="127" spans="1:11" s="167" customFormat="1" x14ac:dyDescent="0.2">
      <c r="A127" s="207"/>
      <c r="B127" s="207"/>
      <c r="C127" s="207"/>
      <c r="D127" s="207"/>
      <c r="E127" s="207"/>
      <c r="F127" s="207"/>
      <c r="G127" s="207"/>
      <c r="H127" s="207"/>
      <c r="I127" s="207"/>
    </row>
    <row r="128" spans="1:11" s="167" customFormat="1" x14ac:dyDescent="0.2">
      <c r="A128" s="207"/>
      <c r="B128" s="207"/>
      <c r="C128" s="207"/>
      <c r="D128" s="207"/>
      <c r="E128" s="207"/>
      <c r="F128" s="207"/>
      <c r="G128" s="207"/>
      <c r="H128" s="207"/>
      <c r="I128" s="207"/>
    </row>
    <row r="129" spans="1:12" s="167" customFormat="1" x14ac:dyDescent="0.2">
      <c r="A129" s="206" t="s">
        <v>508</v>
      </c>
      <c r="B129" s="288"/>
      <c r="C129"/>
      <c r="D129"/>
    </row>
    <row r="130" spans="1:12" s="167" customFormat="1" x14ac:dyDescent="0.2">
      <c r="A130" s="1" t="s">
        <v>349</v>
      </c>
      <c r="B130" s="1" t="s">
        <v>132</v>
      </c>
      <c r="C130"/>
      <c r="D130"/>
      <c r="E130"/>
      <c r="F130"/>
      <c r="G130"/>
      <c r="H130"/>
      <c r="I130"/>
      <c r="J130"/>
      <c r="K130"/>
      <c r="L130"/>
    </row>
    <row r="131" spans="1:12" s="167" customFormat="1" x14ac:dyDescent="0.2">
      <c r="A131" s="1" t="s">
        <v>134</v>
      </c>
      <c r="B131">
        <v>1</v>
      </c>
      <c r="C131">
        <v>2</v>
      </c>
      <c r="D131">
        <v>3</v>
      </c>
      <c r="E131">
        <v>4</v>
      </c>
      <c r="F131">
        <v>5</v>
      </c>
      <c r="G131">
        <v>6</v>
      </c>
      <c r="H131">
        <v>7</v>
      </c>
      <c r="I131">
        <v>8</v>
      </c>
      <c r="J131">
        <v>9</v>
      </c>
      <c r="K131" t="s">
        <v>133</v>
      </c>
      <c r="L131"/>
    </row>
    <row r="132" spans="1:12" s="167" customFormat="1" x14ac:dyDescent="0.2">
      <c r="A132" s="2" t="s">
        <v>427</v>
      </c>
      <c r="B132" s="3"/>
      <c r="C132" s="3"/>
      <c r="D132" s="3"/>
      <c r="E132" s="3">
        <v>61125.22</v>
      </c>
      <c r="F132" s="3">
        <v>64493.91</v>
      </c>
      <c r="G132" s="3">
        <v>54530</v>
      </c>
      <c r="H132" s="3">
        <v>54942.17</v>
      </c>
      <c r="I132" s="3">
        <v>54363.040000000001</v>
      </c>
      <c r="J132" s="3">
        <v>60250</v>
      </c>
      <c r="K132" s="3">
        <v>349704.33999999997</v>
      </c>
      <c r="L132"/>
    </row>
    <row r="133" spans="1:12" s="167" customFormat="1" x14ac:dyDescent="0.2">
      <c r="A133" s="2" t="s">
        <v>417</v>
      </c>
      <c r="B133" s="3">
        <v>64543.48</v>
      </c>
      <c r="C133" s="3"/>
      <c r="D133" s="3"/>
      <c r="E133" s="3"/>
      <c r="F133" s="3"/>
      <c r="G133" s="3"/>
      <c r="H133" s="3"/>
      <c r="I133" s="3"/>
      <c r="J133" s="3"/>
      <c r="K133" s="3">
        <v>64543.48</v>
      </c>
      <c r="L133"/>
    </row>
    <row r="134" spans="1:12" s="167" customFormat="1" x14ac:dyDescent="0.2">
      <c r="A134" s="2" t="s">
        <v>421</v>
      </c>
      <c r="B134" s="3"/>
      <c r="C134" s="3">
        <v>61604.35</v>
      </c>
      <c r="D134" s="3"/>
      <c r="E134" s="3"/>
      <c r="F134" s="3"/>
      <c r="G134" s="3"/>
      <c r="H134" s="3"/>
      <c r="I134" s="3"/>
      <c r="J134" s="3"/>
      <c r="K134" s="3">
        <v>61604.35</v>
      </c>
      <c r="L134"/>
    </row>
    <row r="135" spans="1:12" s="167" customFormat="1" x14ac:dyDescent="0.2">
      <c r="A135" s="2" t="s">
        <v>424</v>
      </c>
      <c r="B135" s="3"/>
      <c r="C135" s="3"/>
      <c r="D135" s="3">
        <v>64738.26</v>
      </c>
      <c r="E135" s="3"/>
      <c r="F135" s="3"/>
      <c r="G135" s="3"/>
      <c r="H135" s="3"/>
      <c r="I135" s="3"/>
      <c r="J135" s="3"/>
      <c r="K135" s="3">
        <v>64738.26</v>
      </c>
      <c r="L135"/>
    </row>
    <row r="136" spans="1:12" s="167" customFormat="1" x14ac:dyDescent="0.2">
      <c r="A136" s="2" t="s">
        <v>412</v>
      </c>
      <c r="B136" s="3"/>
      <c r="C136" s="3"/>
      <c r="D136" s="3"/>
      <c r="E136" s="3"/>
      <c r="F136" s="3"/>
      <c r="G136" s="3"/>
      <c r="H136" s="3"/>
      <c r="I136" s="3">
        <v>497.41</v>
      </c>
      <c r="J136" s="3"/>
      <c r="K136" s="3">
        <v>497.41</v>
      </c>
      <c r="L136"/>
    </row>
    <row r="137" spans="1:12" s="167" customFormat="1" x14ac:dyDescent="0.2">
      <c r="A137" s="2" t="s">
        <v>385</v>
      </c>
      <c r="B137" s="3">
        <v>1016625.66</v>
      </c>
      <c r="C137" s="3"/>
      <c r="D137" s="3"/>
      <c r="E137" s="3"/>
      <c r="F137" s="3"/>
      <c r="G137" s="3"/>
      <c r="H137" s="3"/>
      <c r="I137" s="3"/>
      <c r="J137" s="3"/>
      <c r="K137" s="3">
        <v>1016625.66</v>
      </c>
      <c r="L137"/>
    </row>
    <row r="138" spans="1:12" s="167" customFormat="1" x14ac:dyDescent="0.2">
      <c r="A138" s="2" t="s">
        <v>391</v>
      </c>
      <c r="B138" s="3"/>
      <c r="C138" s="3">
        <v>903012.61</v>
      </c>
      <c r="D138" s="3"/>
      <c r="E138" s="3"/>
      <c r="F138" s="3"/>
      <c r="G138" s="3"/>
      <c r="H138" s="3"/>
      <c r="I138" s="3"/>
      <c r="J138" s="3"/>
      <c r="K138" s="3">
        <v>903012.61</v>
      </c>
      <c r="L138"/>
    </row>
    <row r="139" spans="1:12" s="167" customFormat="1" x14ac:dyDescent="0.2">
      <c r="A139" s="2" t="s">
        <v>394</v>
      </c>
      <c r="B139" s="3"/>
      <c r="C139" s="3"/>
      <c r="D139" s="3">
        <v>934911.3</v>
      </c>
      <c r="E139" s="3"/>
      <c r="F139" s="3"/>
      <c r="G139" s="3"/>
      <c r="H139" s="3"/>
      <c r="I139" s="3"/>
      <c r="J139" s="3"/>
      <c r="K139" s="3">
        <v>934911.3</v>
      </c>
      <c r="L139"/>
    </row>
    <row r="140" spans="1:12" s="167" customFormat="1" x14ac:dyDescent="0.2">
      <c r="A140" s="2" t="s">
        <v>397</v>
      </c>
      <c r="B140" s="3"/>
      <c r="C140" s="3"/>
      <c r="D140" s="3"/>
      <c r="E140" s="3">
        <v>925210</v>
      </c>
      <c r="F140" s="3"/>
      <c r="G140" s="3"/>
      <c r="H140" s="3"/>
      <c r="I140" s="3"/>
      <c r="J140" s="3"/>
      <c r="K140" s="3">
        <v>925210</v>
      </c>
      <c r="L140"/>
    </row>
    <row r="141" spans="1:12" s="167" customFormat="1" x14ac:dyDescent="0.2">
      <c r="A141" s="2" t="s">
        <v>400</v>
      </c>
      <c r="B141" s="3"/>
      <c r="C141" s="3"/>
      <c r="D141" s="3"/>
      <c r="E141" s="3"/>
      <c r="F141" s="3">
        <v>955457.83</v>
      </c>
      <c r="G141" s="3"/>
      <c r="H141" s="3"/>
      <c r="I141" s="3"/>
      <c r="J141" s="3"/>
      <c r="K141" s="3">
        <v>955457.83</v>
      </c>
      <c r="L141"/>
    </row>
    <row r="142" spans="1:12" s="167" customFormat="1" x14ac:dyDescent="0.2">
      <c r="A142" s="2" t="s">
        <v>403</v>
      </c>
      <c r="B142" s="3"/>
      <c r="C142" s="3"/>
      <c r="D142" s="3"/>
      <c r="E142" s="3"/>
      <c r="F142" s="3"/>
      <c r="G142" s="3">
        <v>888927.83</v>
      </c>
      <c r="H142" s="3"/>
      <c r="I142" s="3"/>
      <c r="J142" s="3"/>
      <c r="K142" s="3">
        <v>888927.83</v>
      </c>
      <c r="L142"/>
    </row>
    <row r="143" spans="1:12" s="167" customFormat="1" x14ac:dyDescent="0.2">
      <c r="A143" s="2" t="s">
        <v>406</v>
      </c>
      <c r="B143" s="3"/>
      <c r="C143" s="3"/>
      <c r="D143" s="3"/>
      <c r="E143" s="3"/>
      <c r="F143" s="3"/>
      <c r="G143" s="3"/>
      <c r="H143" s="3">
        <v>840159.57</v>
      </c>
      <c r="I143" s="3"/>
      <c r="J143" s="3"/>
      <c r="K143" s="3">
        <v>840159.57</v>
      </c>
      <c r="L143"/>
    </row>
    <row r="144" spans="1:12" s="167" customFormat="1" x14ac:dyDescent="0.2">
      <c r="A144" s="2" t="s">
        <v>409</v>
      </c>
      <c r="B144" s="3"/>
      <c r="C144" s="3"/>
      <c r="D144" s="3"/>
      <c r="E144" s="3"/>
      <c r="F144" s="3"/>
      <c r="G144" s="3"/>
      <c r="H144" s="3"/>
      <c r="I144" s="3">
        <v>844633.48</v>
      </c>
      <c r="J144" s="3"/>
      <c r="K144" s="3">
        <v>844633.48</v>
      </c>
      <c r="L144"/>
    </row>
    <row r="145" spans="1:12" s="167" customFormat="1" x14ac:dyDescent="0.2">
      <c r="A145" s="2" t="s">
        <v>821</v>
      </c>
      <c r="B145" s="3"/>
      <c r="C145" s="3"/>
      <c r="D145" s="3"/>
      <c r="E145" s="3"/>
      <c r="F145" s="3"/>
      <c r="G145" s="3"/>
      <c r="H145" s="3"/>
      <c r="I145" s="3"/>
      <c r="J145" s="3">
        <v>961471.31</v>
      </c>
      <c r="K145" s="3">
        <v>961471.31</v>
      </c>
      <c r="L145"/>
    </row>
    <row r="146" spans="1:12" s="167" customFormat="1" x14ac:dyDescent="0.2">
      <c r="A146" s="2" t="s">
        <v>133</v>
      </c>
      <c r="B146" s="3">
        <v>1081169.1400000001</v>
      </c>
      <c r="C146" s="3">
        <v>964616.96</v>
      </c>
      <c r="D146" s="3">
        <v>999649.56</v>
      </c>
      <c r="E146" s="3">
        <v>986335.22</v>
      </c>
      <c r="F146" s="3">
        <v>1019951.74</v>
      </c>
      <c r="G146" s="3">
        <v>943457.83</v>
      </c>
      <c r="H146" s="3">
        <v>895101.74</v>
      </c>
      <c r="I146" s="3">
        <v>899493.92999999993</v>
      </c>
      <c r="J146" s="3">
        <v>1021721.31</v>
      </c>
      <c r="K146" s="3">
        <v>8811497.4300000016</v>
      </c>
      <c r="L146"/>
    </row>
    <row r="147" spans="1:12" s="167" customFormat="1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</row>
    <row r="148" spans="1:12" s="167" customFormat="1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167">
        <f>+GETPIVOTDATA("Částka DAL",$A$130)/9*12</f>
        <v>11748663.240000002</v>
      </c>
    </row>
    <row r="149" spans="1:12" s="167" customFormat="1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</row>
    <row r="150" spans="1:12" s="167" customFormat="1" x14ac:dyDescent="0.2">
      <c r="A150"/>
      <c r="B150"/>
      <c r="C150"/>
      <c r="D150"/>
    </row>
    <row r="151" spans="1:12" x14ac:dyDescent="0.2">
      <c r="E151" s="190" t="s">
        <v>288</v>
      </c>
      <c r="F151" s="191"/>
      <c r="G151" s="192">
        <f>AVERAGE(B146:F146)</f>
        <v>1010344.524</v>
      </c>
    </row>
    <row r="152" spans="1:12" x14ac:dyDescent="0.2">
      <c r="E152" s="193" t="s">
        <v>513</v>
      </c>
      <c r="F152" s="194"/>
      <c r="G152" s="195">
        <f>AVERAGE(G146:I146)</f>
        <v>912684.5</v>
      </c>
    </row>
    <row r="153" spans="1:12" s="167" customFormat="1" x14ac:dyDescent="0.2">
      <c r="A153"/>
      <c r="B153"/>
      <c r="C153"/>
      <c r="D153"/>
    </row>
    <row r="159" spans="1:12" x14ac:dyDescent="0.2">
      <c r="A159" s="206" t="s">
        <v>512</v>
      </c>
      <c r="B159" s="288"/>
    </row>
    <row r="160" spans="1:12" x14ac:dyDescent="0.2">
      <c r="A160" s="1" t="s">
        <v>349</v>
      </c>
      <c r="B160" s="1" t="s">
        <v>132</v>
      </c>
    </row>
    <row r="161" spans="1:11" x14ac:dyDescent="0.2">
      <c r="A161" s="1" t="s">
        <v>134</v>
      </c>
      <c r="B161">
        <v>1</v>
      </c>
      <c r="C161">
        <v>2</v>
      </c>
      <c r="D161">
        <v>3</v>
      </c>
      <c r="E161">
        <v>4</v>
      </c>
      <c r="F161">
        <v>5</v>
      </c>
      <c r="G161">
        <v>6</v>
      </c>
      <c r="H161">
        <v>7</v>
      </c>
      <c r="I161">
        <v>8</v>
      </c>
      <c r="J161">
        <v>9</v>
      </c>
      <c r="K161" t="s">
        <v>133</v>
      </c>
    </row>
    <row r="162" spans="1:11" x14ac:dyDescent="0.2">
      <c r="A162" s="2" t="s">
        <v>427</v>
      </c>
      <c r="B162" s="3"/>
      <c r="C162" s="3"/>
      <c r="D162" s="3"/>
      <c r="E162" s="3">
        <v>232400.43</v>
      </c>
      <c r="F162" s="3">
        <v>177585.22</v>
      </c>
      <c r="G162" s="3">
        <v>50280.87</v>
      </c>
      <c r="H162" s="3">
        <v>32963.910000000003</v>
      </c>
      <c r="I162" s="3">
        <v>33943.910000000003</v>
      </c>
      <c r="J162" s="3">
        <v>104605.22</v>
      </c>
      <c r="K162" s="3">
        <v>631779.56000000006</v>
      </c>
    </row>
    <row r="163" spans="1:11" x14ac:dyDescent="0.2">
      <c r="A163" s="2" t="s">
        <v>417</v>
      </c>
      <c r="B163" s="3">
        <v>148369.57</v>
      </c>
      <c r="C163" s="3"/>
      <c r="D163" s="3"/>
      <c r="E163" s="3"/>
      <c r="F163" s="3"/>
      <c r="G163" s="3"/>
      <c r="H163" s="3"/>
      <c r="I163" s="3"/>
      <c r="J163" s="3"/>
      <c r="K163" s="3">
        <v>148369.57</v>
      </c>
    </row>
    <row r="164" spans="1:11" x14ac:dyDescent="0.2">
      <c r="A164" s="2" t="s">
        <v>421</v>
      </c>
      <c r="B164" s="3"/>
      <c r="C164" s="3">
        <v>182378.7</v>
      </c>
      <c r="D164" s="3"/>
      <c r="E164" s="3"/>
      <c r="F164" s="3"/>
      <c r="G164" s="3"/>
      <c r="H164" s="3"/>
      <c r="I164" s="3"/>
      <c r="J164" s="3"/>
      <c r="K164" s="3">
        <v>182378.7</v>
      </c>
    </row>
    <row r="165" spans="1:11" x14ac:dyDescent="0.2">
      <c r="A165" s="2" t="s">
        <v>424</v>
      </c>
      <c r="B165" s="3"/>
      <c r="C165" s="3"/>
      <c r="D165" s="3">
        <v>221570.87</v>
      </c>
      <c r="E165" s="3"/>
      <c r="F165" s="3"/>
      <c r="G165" s="3"/>
      <c r="H165" s="3"/>
      <c r="I165" s="3"/>
      <c r="J165" s="3"/>
      <c r="K165" s="3">
        <v>221570.87</v>
      </c>
    </row>
    <row r="166" spans="1:11" x14ac:dyDescent="0.2">
      <c r="A166" s="2" t="s">
        <v>133</v>
      </c>
      <c r="B166" s="3">
        <v>148369.57</v>
      </c>
      <c r="C166" s="3">
        <v>182378.7</v>
      </c>
      <c r="D166" s="3">
        <v>221570.87</v>
      </c>
      <c r="E166" s="3">
        <v>232400.43</v>
      </c>
      <c r="F166" s="3">
        <v>177585.22</v>
      </c>
      <c r="G166" s="3">
        <v>50280.87</v>
      </c>
      <c r="H166" s="3">
        <v>32963.910000000003</v>
      </c>
      <c r="I166" s="3">
        <v>33943.910000000003</v>
      </c>
      <c r="J166" s="3">
        <v>104605.22</v>
      </c>
      <c r="K166" s="3">
        <v>1184098.7000000002</v>
      </c>
    </row>
    <row r="168" spans="1:11" x14ac:dyDescent="0.2">
      <c r="E168" s="190" t="s">
        <v>288</v>
      </c>
      <c r="F168" s="191"/>
      <c r="G168" s="192">
        <f>AVERAGE(B166:F166)</f>
        <v>192460.95800000001</v>
      </c>
    </row>
    <row r="169" spans="1:11" x14ac:dyDescent="0.2">
      <c r="E169" s="193" t="s">
        <v>289</v>
      </c>
      <c r="F169" s="194"/>
      <c r="G169" s="195">
        <f>AVERAGE(G166:I166)</f>
        <v>39062.896666666667</v>
      </c>
    </row>
    <row r="172" spans="1:11" x14ac:dyDescent="0.2">
      <c r="A172" s="206" t="s">
        <v>802</v>
      </c>
    </row>
    <row r="173" spans="1:11" x14ac:dyDescent="0.2">
      <c r="A173" s="1" t="s">
        <v>349</v>
      </c>
      <c r="B173" s="1" t="s">
        <v>132</v>
      </c>
    </row>
    <row r="174" spans="1:11" x14ac:dyDescent="0.2">
      <c r="A174" s="1" t="s">
        <v>134</v>
      </c>
      <c r="B174">
        <v>1</v>
      </c>
      <c r="C174">
        <v>2</v>
      </c>
      <c r="D174">
        <v>3</v>
      </c>
      <c r="E174">
        <v>4</v>
      </c>
      <c r="F174">
        <v>5</v>
      </c>
      <c r="G174">
        <v>6</v>
      </c>
      <c r="H174">
        <v>7</v>
      </c>
      <c r="I174">
        <v>8</v>
      </c>
      <c r="J174">
        <v>9</v>
      </c>
      <c r="K174" t="s">
        <v>133</v>
      </c>
    </row>
    <row r="175" spans="1:11" x14ac:dyDescent="0.2">
      <c r="A175" s="2" t="s">
        <v>351</v>
      </c>
      <c r="B175" s="3">
        <v>268479.15999999997</v>
      </c>
      <c r="C175" s="3">
        <v>8086.95</v>
      </c>
      <c r="D175" s="3"/>
      <c r="E175" s="3"/>
      <c r="F175" s="3"/>
      <c r="G175" s="3"/>
      <c r="H175" s="3"/>
      <c r="I175" s="3"/>
      <c r="J175" s="3"/>
      <c r="K175" s="3">
        <v>276566.11</v>
      </c>
    </row>
    <row r="176" spans="1:11" x14ac:dyDescent="0.2">
      <c r="A176" s="2" t="s">
        <v>770</v>
      </c>
      <c r="B176" s="3"/>
      <c r="C176" s="3"/>
      <c r="D176" s="3"/>
      <c r="E176" s="3"/>
      <c r="F176" s="3"/>
      <c r="G176" s="3"/>
      <c r="H176" s="3"/>
      <c r="I176" s="3">
        <v>20.66</v>
      </c>
      <c r="J176" s="3">
        <v>66.94</v>
      </c>
      <c r="K176" s="3">
        <v>87.6</v>
      </c>
    </row>
    <row r="177" spans="1:11" x14ac:dyDescent="0.2">
      <c r="A177" s="2" t="s">
        <v>360</v>
      </c>
      <c r="B177" s="3"/>
      <c r="C177" s="3">
        <v>242350.45</v>
      </c>
      <c r="D177" s="3">
        <v>84492.83</v>
      </c>
      <c r="E177" s="3">
        <v>101780.69</v>
      </c>
      <c r="F177" s="3">
        <v>90242.37000000001</v>
      </c>
      <c r="G177" s="3">
        <v>84925.859999999986</v>
      </c>
      <c r="H177" s="3">
        <v>92190.939999999988</v>
      </c>
      <c r="I177" s="3">
        <v>198112.15</v>
      </c>
      <c r="J177" s="3">
        <v>272347.42</v>
      </c>
      <c r="K177" s="3">
        <v>1166442.71</v>
      </c>
    </row>
    <row r="178" spans="1:11" x14ac:dyDescent="0.2">
      <c r="A178" s="2" t="s">
        <v>611</v>
      </c>
      <c r="B178" s="3"/>
      <c r="C178" s="3"/>
      <c r="D178" s="3">
        <v>170393.09</v>
      </c>
      <c r="E178" s="3"/>
      <c r="F178" s="3"/>
      <c r="G178" s="3"/>
      <c r="H178" s="3"/>
      <c r="I178" s="3"/>
      <c r="J178" s="3"/>
      <c r="K178" s="3">
        <v>170393.09</v>
      </c>
    </row>
    <row r="179" spans="1:11" x14ac:dyDescent="0.2">
      <c r="A179" s="2" t="s">
        <v>367</v>
      </c>
      <c r="B179" s="3"/>
      <c r="C179" s="3"/>
      <c r="D179" s="3"/>
      <c r="E179" s="3">
        <v>171767.03</v>
      </c>
      <c r="F179" s="3"/>
      <c r="G179" s="3"/>
      <c r="H179" s="3"/>
      <c r="I179" s="3"/>
      <c r="J179" s="3"/>
      <c r="K179" s="3">
        <v>171767.03</v>
      </c>
    </row>
    <row r="180" spans="1:11" x14ac:dyDescent="0.2">
      <c r="A180" s="2" t="s">
        <v>371</v>
      </c>
      <c r="B180" s="3"/>
      <c r="C180" s="3"/>
      <c r="D180" s="3"/>
      <c r="E180" s="3"/>
      <c r="F180" s="3">
        <v>173937.47</v>
      </c>
      <c r="G180" s="3"/>
      <c r="H180" s="3"/>
      <c r="I180" s="3"/>
      <c r="J180" s="3"/>
      <c r="K180" s="3">
        <v>173937.47</v>
      </c>
    </row>
    <row r="181" spans="1:11" x14ac:dyDescent="0.2">
      <c r="A181" s="2" t="s">
        <v>733</v>
      </c>
      <c r="B181" s="3"/>
      <c r="C181" s="3"/>
      <c r="D181" s="3"/>
      <c r="E181" s="3"/>
      <c r="F181" s="3"/>
      <c r="G181" s="3">
        <v>153813.98000000001</v>
      </c>
      <c r="H181" s="3"/>
      <c r="I181" s="3"/>
      <c r="J181" s="3"/>
      <c r="K181" s="3">
        <v>153813.98000000001</v>
      </c>
    </row>
    <row r="182" spans="1:11" x14ac:dyDescent="0.2">
      <c r="A182" s="2" t="s">
        <v>740</v>
      </c>
      <c r="B182" s="3"/>
      <c r="C182" s="3"/>
      <c r="D182" s="3"/>
      <c r="E182" s="3"/>
      <c r="F182" s="3"/>
      <c r="G182" s="3"/>
      <c r="H182" s="3">
        <v>128987.01</v>
      </c>
      <c r="I182" s="3"/>
      <c r="J182" s="3"/>
      <c r="K182" s="3">
        <v>128987.01</v>
      </c>
    </row>
    <row r="183" spans="1:11" x14ac:dyDescent="0.2">
      <c r="A183" s="2" t="s">
        <v>594</v>
      </c>
      <c r="B183" s="3"/>
      <c r="C183" s="3">
        <v>808.7</v>
      </c>
      <c r="D183" s="3">
        <v>808.7</v>
      </c>
      <c r="E183" s="3">
        <v>970.43</v>
      </c>
      <c r="F183" s="3">
        <v>1698.26</v>
      </c>
      <c r="G183" s="3">
        <v>1698.26</v>
      </c>
      <c r="H183" s="3"/>
      <c r="I183" s="3"/>
      <c r="J183" s="3"/>
      <c r="K183" s="3">
        <v>5984.35</v>
      </c>
    </row>
    <row r="184" spans="1:11" x14ac:dyDescent="0.2">
      <c r="A184" s="2" t="s">
        <v>668</v>
      </c>
      <c r="B184" s="3"/>
      <c r="C184" s="3"/>
      <c r="D184" s="3"/>
      <c r="E184" s="3"/>
      <c r="F184" s="3">
        <v>889.57</v>
      </c>
      <c r="G184" s="3"/>
      <c r="H184" s="3"/>
      <c r="I184" s="3"/>
      <c r="J184" s="3"/>
      <c r="K184" s="3">
        <v>889.57</v>
      </c>
    </row>
    <row r="185" spans="1:11" x14ac:dyDescent="0.2">
      <c r="A185" s="2" t="s">
        <v>567</v>
      </c>
      <c r="B185" s="3"/>
      <c r="C185" s="3">
        <v>808.7</v>
      </c>
      <c r="D185" s="3"/>
      <c r="E185" s="3"/>
      <c r="F185" s="3"/>
      <c r="G185" s="3"/>
      <c r="H185" s="3"/>
      <c r="I185" s="3"/>
      <c r="J185" s="3"/>
      <c r="K185" s="3">
        <v>808.7</v>
      </c>
    </row>
    <row r="186" spans="1:11" x14ac:dyDescent="0.2">
      <c r="A186" s="2" t="s">
        <v>604</v>
      </c>
      <c r="B186" s="3"/>
      <c r="C186" s="3">
        <v>242.61</v>
      </c>
      <c r="D186" s="3"/>
      <c r="E186" s="3"/>
      <c r="F186" s="3"/>
      <c r="G186" s="3"/>
      <c r="H186" s="3"/>
      <c r="I186" s="3"/>
      <c r="J186" s="3"/>
      <c r="K186" s="3">
        <v>242.61</v>
      </c>
    </row>
    <row r="187" spans="1:11" x14ac:dyDescent="0.2">
      <c r="A187" s="2" t="s">
        <v>571</v>
      </c>
      <c r="B187" s="3"/>
      <c r="C187" s="3">
        <v>42780.02</v>
      </c>
      <c r="D187" s="3"/>
      <c r="E187" s="3"/>
      <c r="F187" s="3"/>
      <c r="G187" s="3"/>
      <c r="H187" s="3"/>
      <c r="I187" s="3"/>
      <c r="J187" s="3"/>
      <c r="K187" s="3">
        <v>42780.02</v>
      </c>
    </row>
    <row r="188" spans="1:11" x14ac:dyDescent="0.2">
      <c r="A188" s="2" t="s">
        <v>704</v>
      </c>
      <c r="B188" s="3"/>
      <c r="C188" s="3"/>
      <c r="D188" s="3"/>
      <c r="E188" s="3"/>
      <c r="F188" s="3"/>
      <c r="G188" s="3">
        <v>889.57</v>
      </c>
      <c r="H188" s="3"/>
      <c r="I188" s="3"/>
      <c r="J188" s="3"/>
      <c r="K188" s="3">
        <v>889.57</v>
      </c>
    </row>
    <row r="189" spans="1:11" x14ac:dyDescent="0.2">
      <c r="A189" s="2" t="s">
        <v>529</v>
      </c>
      <c r="B189" s="3"/>
      <c r="C189" s="3"/>
      <c r="D189" s="3"/>
      <c r="E189" s="3"/>
      <c r="F189" s="3"/>
      <c r="G189" s="3"/>
      <c r="H189" s="3"/>
      <c r="I189" s="3">
        <v>-7601.78</v>
      </c>
      <c r="J189" s="3"/>
      <c r="K189" s="3">
        <v>-7601.78</v>
      </c>
    </row>
    <row r="190" spans="1:11" x14ac:dyDescent="0.2">
      <c r="A190" s="2" t="s">
        <v>427</v>
      </c>
      <c r="B190" s="3"/>
      <c r="C190" s="3"/>
      <c r="D190" s="3"/>
      <c r="E190" s="3">
        <v>36472.17</v>
      </c>
      <c r="F190" s="3">
        <v>31458.26</v>
      </c>
      <c r="G190" s="3">
        <v>27010.43</v>
      </c>
      <c r="H190" s="3">
        <v>30326.09</v>
      </c>
      <c r="I190" s="3">
        <v>29032.17</v>
      </c>
      <c r="J190" s="3">
        <v>33480</v>
      </c>
      <c r="K190" s="3">
        <v>187779.12</v>
      </c>
    </row>
    <row r="191" spans="1:11" x14ac:dyDescent="0.2">
      <c r="A191" s="2" t="s">
        <v>417</v>
      </c>
      <c r="B191" s="3">
        <v>29598.26</v>
      </c>
      <c r="C191" s="3"/>
      <c r="D191" s="3"/>
      <c r="E191" s="3"/>
      <c r="F191" s="3"/>
      <c r="G191" s="3"/>
      <c r="H191" s="3"/>
      <c r="I191" s="3"/>
      <c r="J191" s="3"/>
      <c r="K191" s="3">
        <v>29598.26</v>
      </c>
    </row>
    <row r="192" spans="1:11" x14ac:dyDescent="0.2">
      <c r="A192" s="2" t="s">
        <v>421</v>
      </c>
      <c r="B192" s="3"/>
      <c r="C192" s="3">
        <v>28142.61</v>
      </c>
      <c r="D192" s="3"/>
      <c r="E192" s="3"/>
      <c r="F192" s="3"/>
      <c r="G192" s="3"/>
      <c r="H192" s="3"/>
      <c r="I192" s="3"/>
      <c r="J192" s="3"/>
      <c r="K192" s="3">
        <v>28142.61</v>
      </c>
    </row>
    <row r="193" spans="1:11" x14ac:dyDescent="0.2">
      <c r="A193" s="2" t="s">
        <v>424</v>
      </c>
      <c r="B193" s="3"/>
      <c r="C193" s="3"/>
      <c r="D193" s="3">
        <v>34531.300000000003</v>
      </c>
      <c r="E193" s="3"/>
      <c r="F193" s="3"/>
      <c r="G193" s="3"/>
      <c r="H193" s="3"/>
      <c r="I193" s="3"/>
      <c r="J193" s="3"/>
      <c r="K193" s="3">
        <v>34531.300000000003</v>
      </c>
    </row>
    <row r="194" spans="1:11" x14ac:dyDescent="0.2">
      <c r="A194" s="2" t="s">
        <v>412</v>
      </c>
      <c r="B194" s="3"/>
      <c r="C194" s="3"/>
      <c r="D194" s="3"/>
      <c r="E194" s="3"/>
      <c r="F194" s="3"/>
      <c r="G194" s="3"/>
      <c r="H194" s="3"/>
      <c r="I194" s="3">
        <v>-1779.2</v>
      </c>
      <c r="J194" s="3"/>
      <c r="K194" s="3">
        <v>-1779.2</v>
      </c>
    </row>
    <row r="195" spans="1:11" x14ac:dyDescent="0.2">
      <c r="A195" s="2" t="s">
        <v>385</v>
      </c>
      <c r="B195" s="3">
        <v>14960.87</v>
      </c>
      <c r="C195" s="3"/>
      <c r="D195" s="3"/>
      <c r="E195" s="3"/>
      <c r="F195" s="3"/>
      <c r="G195" s="3"/>
      <c r="H195" s="3"/>
      <c r="I195" s="3"/>
      <c r="J195" s="3"/>
      <c r="K195" s="3">
        <v>14960.87</v>
      </c>
    </row>
    <row r="196" spans="1:11" x14ac:dyDescent="0.2">
      <c r="A196" s="2" t="s">
        <v>391</v>
      </c>
      <c r="B196" s="3"/>
      <c r="C196" s="3">
        <v>17063.48</v>
      </c>
      <c r="D196" s="3"/>
      <c r="E196" s="3"/>
      <c r="F196" s="3"/>
      <c r="G196" s="3"/>
      <c r="H196" s="3"/>
      <c r="I196" s="3"/>
      <c r="J196" s="3"/>
      <c r="K196" s="3">
        <v>17063.48</v>
      </c>
    </row>
    <row r="197" spans="1:11" x14ac:dyDescent="0.2">
      <c r="A197" s="2" t="s">
        <v>394</v>
      </c>
      <c r="B197" s="3"/>
      <c r="C197" s="3"/>
      <c r="D197" s="3">
        <v>14233.05</v>
      </c>
      <c r="E197" s="3"/>
      <c r="F197" s="3"/>
      <c r="G197" s="3"/>
      <c r="H197" s="3"/>
      <c r="I197" s="3"/>
      <c r="J197" s="3"/>
      <c r="K197" s="3">
        <v>14233.05</v>
      </c>
    </row>
    <row r="198" spans="1:11" x14ac:dyDescent="0.2">
      <c r="A198" s="2" t="s">
        <v>397</v>
      </c>
      <c r="B198" s="3"/>
      <c r="C198" s="3"/>
      <c r="D198" s="3"/>
      <c r="E198" s="3">
        <v>16726.96</v>
      </c>
      <c r="F198" s="3"/>
      <c r="G198" s="3"/>
      <c r="H198" s="3"/>
      <c r="I198" s="3"/>
      <c r="J198" s="3"/>
      <c r="K198" s="3">
        <v>16726.96</v>
      </c>
    </row>
    <row r="199" spans="1:11" x14ac:dyDescent="0.2">
      <c r="A199" s="2" t="s">
        <v>400</v>
      </c>
      <c r="B199" s="3"/>
      <c r="C199" s="3"/>
      <c r="D199" s="3"/>
      <c r="E199" s="3"/>
      <c r="F199" s="3">
        <v>16254.79</v>
      </c>
      <c r="G199" s="3"/>
      <c r="H199" s="3"/>
      <c r="I199" s="3"/>
      <c r="J199" s="3"/>
      <c r="K199" s="3">
        <v>16254.79</v>
      </c>
    </row>
    <row r="200" spans="1:11" x14ac:dyDescent="0.2">
      <c r="A200" s="2" t="s">
        <v>403</v>
      </c>
      <c r="B200" s="3"/>
      <c r="C200" s="3"/>
      <c r="D200" s="3"/>
      <c r="E200" s="3"/>
      <c r="F200" s="3"/>
      <c r="G200" s="3">
        <v>14381.75</v>
      </c>
      <c r="H200" s="3"/>
      <c r="I200" s="3"/>
      <c r="J200" s="3"/>
      <c r="K200" s="3">
        <v>14381.75</v>
      </c>
    </row>
    <row r="201" spans="1:11" x14ac:dyDescent="0.2">
      <c r="A201" s="2" t="s">
        <v>406</v>
      </c>
      <c r="B201" s="3"/>
      <c r="C201" s="3"/>
      <c r="D201" s="3"/>
      <c r="E201" s="3"/>
      <c r="F201" s="3"/>
      <c r="G201" s="3"/>
      <c r="H201" s="3">
        <v>13990.44</v>
      </c>
      <c r="I201" s="3"/>
      <c r="J201" s="3"/>
      <c r="K201" s="3">
        <v>13990.44</v>
      </c>
    </row>
    <row r="202" spans="1:11" x14ac:dyDescent="0.2">
      <c r="A202" s="2" t="s">
        <v>409</v>
      </c>
      <c r="B202" s="3"/>
      <c r="C202" s="3"/>
      <c r="D202" s="3"/>
      <c r="E202" s="3"/>
      <c r="F202" s="3"/>
      <c r="G202" s="3"/>
      <c r="H202" s="3"/>
      <c r="I202" s="3">
        <v>12010.43</v>
      </c>
      <c r="J202" s="3"/>
      <c r="K202" s="3">
        <v>12010.43</v>
      </c>
    </row>
    <row r="203" spans="1:11" x14ac:dyDescent="0.2">
      <c r="A203" s="2" t="s">
        <v>821</v>
      </c>
      <c r="B203" s="3"/>
      <c r="C203" s="3"/>
      <c r="D203" s="3"/>
      <c r="E203" s="3"/>
      <c r="F203" s="3"/>
      <c r="G203" s="3"/>
      <c r="H203" s="3"/>
      <c r="I203" s="3"/>
      <c r="J203" s="3">
        <v>17293.05</v>
      </c>
      <c r="K203" s="3">
        <v>17293.05</v>
      </c>
    </row>
    <row r="204" spans="1:11" x14ac:dyDescent="0.2">
      <c r="A204" s="2" t="s">
        <v>133</v>
      </c>
      <c r="B204" s="3">
        <v>313038.28999999998</v>
      </c>
      <c r="C204" s="3">
        <v>340283.52</v>
      </c>
      <c r="D204" s="3">
        <v>304458.96999999997</v>
      </c>
      <c r="E204" s="3">
        <v>327717.27999999997</v>
      </c>
      <c r="F204" s="3">
        <v>314480.72000000003</v>
      </c>
      <c r="G204" s="3">
        <v>282719.85000000003</v>
      </c>
      <c r="H204" s="3">
        <v>265494.48</v>
      </c>
      <c r="I204" s="3">
        <v>229794.43</v>
      </c>
      <c r="J204" s="3">
        <v>323187.40999999997</v>
      </c>
      <c r="K204" s="3">
        <v>2701174.9499999993</v>
      </c>
    </row>
  </sheetData>
  <mergeCells count="1">
    <mergeCell ref="B22:C22"/>
  </mergeCells>
  <phoneticPr fontId="61" type="noConversion"/>
  <pageMargins left="0.7" right="0.7" top="0.78740157499999996" bottom="0.78740157499999996" header="0.3" footer="0.3"/>
  <pageSetup paperSize="9" orientation="portrait" verticalDpi="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workbookViewId="0">
      <selection activeCell="F21" sqref="F21"/>
    </sheetView>
  </sheetViews>
  <sheetFormatPr defaultColWidth="11.42578125" defaultRowHeight="12.75" customHeight="1" x14ac:dyDescent="0.2"/>
  <cols>
    <col min="1" max="1" width="11.42578125" style="196" customWidth="1"/>
    <col min="2" max="2" width="22" style="196" customWidth="1"/>
    <col min="3" max="34" width="11.42578125" style="196" customWidth="1"/>
    <col min="35" max="16384" width="11.42578125" style="196"/>
  </cols>
  <sheetData>
    <row r="1" spans="1:34" ht="12.75" customHeight="1" x14ac:dyDescent="0.2">
      <c r="A1" s="196" t="s">
        <v>0</v>
      </c>
      <c r="B1" s="196" t="s">
        <v>1</v>
      </c>
      <c r="C1" s="196" t="s">
        <v>2</v>
      </c>
      <c r="D1" s="196" t="s">
        <v>3</v>
      </c>
      <c r="E1" s="196" t="s">
        <v>4</v>
      </c>
      <c r="F1" s="196" t="s">
        <v>5</v>
      </c>
      <c r="G1" s="196" t="s">
        <v>6</v>
      </c>
      <c r="H1" s="196" t="s">
        <v>7</v>
      </c>
      <c r="I1" s="196" t="s">
        <v>8</v>
      </c>
      <c r="J1" s="196" t="s">
        <v>9</v>
      </c>
      <c r="K1" s="196" t="s">
        <v>10</v>
      </c>
      <c r="L1" s="196" t="s">
        <v>11</v>
      </c>
      <c r="M1" s="196" t="s">
        <v>12</v>
      </c>
      <c r="N1" s="196" t="s">
        <v>13</v>
      </c>
      <c r="O1" s="196" t="s">
        <v>14</v>
      </c>
      <c r="P1" s="196" t="s">
        <v>15</v>
      </c>
      <c r="Q1" s="196" t="s">
        <v>16</v>
      </c>
      <c r="R1" s="196" t="s">
        <v>17</v>
      </c>
      <c r="S1" s="196" t="s">
        <v>18</v>
      </c>
      <c r="T1" s="196" t="s">
        <v>19</v>
      </c>
      <c r="U1" s="196" t="s">
        <v>20</v>
      </c>
      <c r="V1" s="196" t="s">
        <v>21</v>
      </c>
      <c r="W1" s="196" t="s">
        <v>22</v>
      </c>
      <c r="X1" s="196" t="s">
        <v>23</v>
      </c>
      <c r="Y1" s="196" t="s">
        <v>131</v>
      </c>
      <c r="Z1" s="196" t="s">
        <v>24</v>
      </c>
      <c r="AA1" s="196" t="s">
        <v>25</v>
      </c>
      <c r="AB1" s="196" t="s">
        <v>26</v>
      </c>
      <c r="AC1" s="196" t="s">
        <v>27</v>
      </c>
      <c r="AD1" s="196" t="s">
        <v>28</v>
      </c>
      <c r="AE1" s="196" t="s">
        <v>29</v>
      </c>
      <c r="AF1" s="196" t="s">
        <v>30</v>
      </c>
      <c r="AG1" s="196" t="s">
        <v>31</v>
      </c>
      <c r="AH1" s="196" t="s">
        <v>32</v>
      </c>
    </row>
    <row r="2" spans="1:34" ht="12.75" customHeight="1" x14ac:dyDescent="0.2">
      <c r="A2" s="196" t="s">
        <v>33</v>
      </c>
      <c r="B2" s="196" t="s">
        <v>34</v>
      </c>
      <c r="C2" s="196" t="s">
        <v>35</v>
      </c>
      <c r="D2" s="197">
        <v>43466</v>
      </c>
      <c r="E2" s="198">
        <v>1771994.73</v>
      </c>
      <c r="G2" s="196" t="s">
        <v>36</v>
      </c>
      <c r="H2" s="196" t="s">
        <v>37</v>
      </c>
      <c r="I2" s="196" t="s">
        <v>38</v>
      </c>
      <c r="J2" s="196" t="s">
        <v>39</v>
      </c>
      <c r="K2" s="196" t="s">
        <v>40</v>
      </c>
      <c r="L2" s="199">
        <v>43466</v>
      </c>
      <c r="P2" s="196" t="s">
        <v>41</v>
      </c>
      <c r="Q2" s="196" t="b">
        <v>1</v>
      </c>
      <c r="R2" s="196" t="s">
        <v>42</v>
      </c>
      <c r="S2" s="196" t="s">
        <v>43</v>
      </c>
      <c r="T2" s="196" t="s">
        <v>19</v>
      </c>
      <c r="U2" s="196" t="s">
        <v>44</v>
      </c>
      <c r="Y2" s="196">
        <f>MONTH(D2)</f>
        <v>1</v>
      </c>
      <c r="Z2" s="199">
        <v>43504.6114930556</v>
      </c>
      <c r="AA2" s="196" t="s">
        <v>45</v>
      </c>
      <c r="AB2" s="196" t="s">
        <v>46</v>
      </c>
    </row>
    <row r="3" spans="1:34" ht="12.75" customHeight="1" x14ac:dyDescent="0.2">
      <c r="A3" s="196" t="s">
        <v>47</v>
      </c>
      <c r="B3" s="196" t="s">
        <v>34</v>
      </c>
      <c r="C3" s="196" t="s">
        <v>35</v>
      </c>
      <c r="D3" s="197">
        <v>43472</v>
      </c>
      <c r="E3" s="198">
        <v>-1375.95</v>
      </c>
      <c r="G3" s="196" t="s">
        <v>36</v>
      </c>
      <c r="H3" s="196" t="s">
        <v>37</v>
      </c>
      <c r="I3" s="196" t="s">
        <v>38</v>
      </c>
      <c r="J3" s="196" t="s">
        <v>39</v>
      </c>
      <c r="K3" s="196" t="s">
        <v>40</v>
      </c>
      <c r="L3" s="199">
        <v>43472</v>
      </c>
      <c r="P3" s="196" t="s">
        <v>48</v>
      </c>
      <c r="Q3" s="196" t="b">
        <v>1</v>
      </c>
      <c r="R3" s="196" t="s">
        <v>42</v>
      </c>
      <c r="S3" s="196" t="s">
        <v>43</v>
      </c>
      <c r="T3" s="196" t="s">
        <v>19</v>
      </c>
      <c r="U3" s="196" t="s">
        <v>49</v>
      </c>
      <c r="Y3" s="196">
        <f t="shared" ref="Y3:Y40" si="0">MONTH(D3)</f>
        <v>1</v>
      </c>
      <c r="Z3" s="199">
        <v>43504.6114941782</v>
      </c>
      <c r="AA3" s="196" t="s">
        <v>45</v>
      </c>
      <c r="AB3" s="196" t="s">
        <v>46</v>
      </c>
    </row>
    <row r="4" spans="1:34" ht="12.75" customHeight="1" x14ac:dyDescent="0.2">
      <c r="A4" s="196" t="s">
        <v>50</v>
      </c>
      <c r="B4" s="196" t="s">
        <v>34</v>
      </c>
      <c r="C4" s="196" t="s">
        <v>35</v>
      </c>
      <c r="D4" s="197">
        <v>43497</v>
      </c>
      <c r="E4" s="198">
        <v>1609332.47</v>
      </c>
      <c r="G4" s="196" t="s">
        <v>36</v>
      </c>
      <c r="H4" s="196" t="s">
        <v>37</v>
      </c>
      <c r="I4" s="196" t="s">
        <v>38</v>
      </c>
      <c r="J4" s="196" t="s">
        <v>39</v>
      </c>
      <c r="K4" s="196" t="s">
        <v>40</v>
      </c>
      <c r="L4" s="199">
        <v>43497</v>
      </c>
      <c r="P4" s="196" t="s">
        <v>51</v>
      </c>
      <c r="Q4" s="196" t="b">
        <v>1</v>
      </c>
      <c r="R4" s="196" t="s">
        <v>42</v>
      </c>
      <c r="S4" s="196" t="s">
        <v>43</v>
      </c>
      <c r="T4" s="196" t="s">
        <v>19</v>
      </c>
      <c r="U4" s="196" t="s">
        <v>44</v>
      </c>
      <c r="Y4" s="196">
        <f t="shared" si="0"/>
        <v>2</v>
      </c>
      <c r="Z4" s="199">
        <v>43531.532321562503</v>
      </c>
      <c r="AA4" s="196" t="s">
        <v>45</v>
      </c>
      <c r="AB4" s="196" t="s">
        <v>46</v>
      </c>
    </row>
    <row r="5" spans="1:34" ht="12.75" customHeight="1" x14ac:dyDescent="0.2">
      <c r="A5" s="196" t="s">
        <v>52</v>
      </c>
      <c r="B5" s="196" t="s">
        <v>34</v>
      </c>
      <c r="C5" s="196" t="s">
        <v>35</v>
      </c>
      <c r="D5" s="197">
        <v>43500</v>
      </c>
      <c r="E5" s="198">
        <v>-11167.51</v>
      </c>
      <c r="G5" s="196" t="s">
        <v>36</v>
      </c>
      <c r="H5" s="196" t="s">
        <v>37</v>
      </c>
      <c r="I5" s="196" t="s">
        <v>38</v>
      </c>
      <c r="J5" s="196" t="s">
        <v>39</v>
      </c>
      <c r="K5" s="196" t="s">
        <v>40</v>
      </c>
      <c r="L5" s="199">
        <v>43500</v>
      </c>
      <c r="P5" s="196" t="s">
        <v>53</v>
      </c>
      <c r="Q5" s="196" t="b">
        <v>1</v>
      </c>
      <c r="R5" s="196" t="s">
        <v>42</v>
      </c>
      <c r="S5" s="196" t="s">
        <v>43</v>
      </c>
      <c r="T5" s="196" t="s">
        <v>19</v>
      </c>
      <c r="U5" s="196" t="s">
        <v>49</v>
      </c>
      <c r="Y5" s="196">
        <f t="shared" si="0"/>
        <v>2</v>
      </c>
      <c r="Z5" s="199">
        <v>43531.5323229977</v>
      </c>
      <c r="AA5" s="196" t="s">
        <v>45</v>
      </c>
      <c r="AB5" s="196" t="s">
        <v>46</v>
      </c>
    </row>
    <row r="6" spans="1:34" ht="12.75" customHeight="1" x14ac:dyDescent="0.2">
      <c r="A6" s="196" t="s">
        <v>54</v>
      </c>
      <c r="B6" s="196" t="s">
        <v>55</v>
      </c>
      <c r="C6" s="196" t="s">
        <v>35</v>
      </c>
      <c r="D6" s="197">
        <v>43524</v>
      </c>
      <c r="E6" s="198">
        <v>1726.5</v>
      </c>
      <c r="G6" s="196" t="s">
        <v>36</v>
      </c>
      <c r="H6" s="196" t="s">
        <v>37</v>
      </c>
      <c r="I6" s="196" t="s">
        <v>38</v>
      </c>
      <c r="J6" s="196" t="s">
        <v>39</v>
      </c>
      <c r="L6" s="199">
        <v>43524</v>
      </c>
      <c r="P6" s="196" t="s">
        <v>56</v>
      </c>
      <c r="Q6" s="196" t="b">
        <v>1</v>
      </c>
      <c r="S6" s="196" t="s">
        <v>43</v>
      </c>
      <c r="T6" s="196" t="s">
        <v>19</v>
      </c>
      <c r="U6" s="196" t="s">
        <v>57</v>
      </c>
      <c r="Y6" s="196">
        <f t="shared" si="0"/>
        <v>2</v>
      </c>
      <c r="Z6" s="199">
        <v>43532.425030358798</v>
      </c>
      <c r="AA6" s="196" t="s">
        <v>45</v>
      </c>
    </row>
    <row r="7" spans="1:34" ht="12.75" customHeight="1" x14ac:dyDescent="0.2">
      <c r="A7" s="196" t="s">
        <v>58</v>
      </c>
      <c r="B7" s="196" t="s">
        <v>34</v>
      </c>
      <c r="C7" s="196" t="s">
        <v>35</v>
      </c>
      <c r="D7" s="197">
        <v>43525</v>
      </c>
      <c r="E7" s="198">
        <v>1767503.5</v>
      </c>
      <c r="G7" s="196" t="s">
        <v>36</v>
      </c>
      <c r="H7" s="196" t="s">
        <v>37</v>
      </c>
      <c r="I7" s="196" t="s">
        <v>38</v>
      </c>
      <c r="J7" s="196" t="s">
        <v>39</v>
      </c>
      <c r="K7" s="196" t="s">
        <v>40</v>
      </c>
      <c r="L7" s="199">
        <v>43525</v>
      </c>
      <c r="P7" s="196" t="s">
        <v>59</v>
      </c>
      <c r="Q7" s="196" t="b">
        <v>1</v>
      </c>
      <c r="R7" s="196" t="s">
        <v>42</v>
      </c>
      <c r="S7" s="196" t="s">
        <v>43</v>
      </c>
      <c r="T7" s="196" t="s">
        <v>19</v>
      </c>
      <c r="U7" s="196" t="s">
        <v>44</v>
      </c>
      <c r="Y7" s="196">
        <f t="shared" si="0"/>
        <v>3</v>
      </c>
      <c r="Z7" s="199">
        <v>43563.409956597199</v>
      </c>
      <c r="AA7" s="196" t="s">
        <v>45</v>
      </c>
      <c r="AB7" s="196" t="s">
        <v>46</v>
      </c>
    </row>
    <row r="8" spans="1:34" ht="12.75" customHeight="1" x14ac:dyDescent="0.2">
      <c r="A8" s="196" t="s">
        <v>60</v>
      </c>
      <c r="B8" s="196" t="s">
        <v>34</v>
      </c>
      <c r="C8" s="196" t="s">
        <v>35</v>
      </c>
      <c r="D8" s="197">
        <v>43529</v>
      </c>
      <c r="E8" s="198">
        <v>-502.56</v>
      </c>
      <c r="G8" s="196" t="s">
        <v>36</v>
      </c>
      <c r="H8" s="196" t="s">
        <v>37</v>
      </c>
      <c r="I8" s="196" t="s">
        <v>38</v>
      </c>
      <c r="J8" s="196" t="s">
        <v>39</v>
      </c>
      <c r="K8" s="196" t="s">
        <v>40</v>
      </c>
      <c r="L8" s="199">
        <v>43529</v>
      </c>
      <c r="P8" s="196" t="s">
        <v>61</v>
      </c>
      <c r="Q8" s="196" t="b">
        <v>1</v>
      </c>
      <c r="R8" s="196" t="s">
        <v>42</v>
      </c>
      <c r="S8" s="196" t="s">
        <v>43</v>
      </c>
      <c r="T8" s="196" t="s">
        <v>19</v>
      </c>
      <c r="U8" s="196" t="s">
        <v>49</v>
      </c>
      <c r="Y8" s="196">
        <f t="shared" si="0"/>
        <v>3</v>
      </c>
      <c r="Z8" s="199">
        <v>43563.409958946802</v>
      </c>
      <c r="AA8" s="196" t="s">
        <v>45</v>
      </c>
      <c r="AB8" s="196" t="s">
        <v>46</v>
      </c>
    </row>
    <row r="9" spans="1:34" ht="12.75" customHeight="1" x14ac:dyDescent="0.2">
      <c r="A9" s="196" t="s">
        <v>62</v>
      </c>
      <c r="B9" s="196" t="s">
        <v>34</v>
      </c>
      <c r="C9" s="196" t="s">
        <v>35</v>
      </c>
      <c r="D9" s="197">
        <v>43556</v>
      </c>
      <c r="E9" s="198">
        <v>1744726.64</v>
      </c>
      <c r="G9" s="196" t="s">
        <v>36</v>
      </c>
      <c r="H9" s="196" t="s">
        <v>37</v>
      </c>
      <c r="I9" s="196" t="s">
        <v>38</v>
      </c>
      <c r="J9" s="196" t="s">
        <v>39</v>
      </c>
      <c r="K9" s="196" t="s">
        <v>40</v>
      </c>
      <c r="L9" s="199">
        <v>43556</v>
      </c>
      <c r="P9" s="196" t="s">
        <v>63</v>
      </c>
      <c r="Q9" s="196" t="b">
        <v>1</v>
      </c>
      <c r="R9" s="196" t="s">
        <v>42</v>
      </c>
      <c r="S9" s="196" t="s">
        <v>43</v>
      </c>
      <c r="T9" s="196" t="s">
        <v>19</v>
      </c>
      <c r="U9" s="196" t="s">
        <v>44</v>
      </c>
      <c r="Y9" s="196">
        <f t="shared" si="0"/>
        <v>4</v>
      </c>
      <c r="Z9" s="199">
        <v>43595.380818368103</v>
      </c>
      <c r="AA9" s="196" t="s">
        <v>45</v>
      </c>
      <c r="AB9" s="196" t="s">
        <v>46</v>
      </c>
    </row>
    <row r="10" spans="1:34" ht="12.75" customHeight="1" x14ac:dyDescent="0.2">
      <c r="A10" s="196" t="s">
        <v>64</v>
      </c>
      <c r="B10" s="196" t="s">
        <v>34</v>
      </c>
      <c r="C10" s="196" t="s">
        <v>35</v>
      </c>
      <c r="D10" s="197">
        <v>43556</v>
      </c>
      <c r="E10" s="198">
        <v>-1652.59</v>
      </c>
      <c r="G10" s="196" t="s">
        <v>36</v>
      </c>
      <c r="H10" s="196" t="s">
        <v>37</v>
      </c>
      <c r="I10" s="196" t="s">
        <v>38</v>
      </c>
      <c r="J10" s="196" t="s">
        <v>39</v>
      </c>
      <c r="K10" s="196" t="s">
        <v>40</v>
      </c>
      <c r="L10" s="199">
        <v>43556</v>
      </c>
      <c r="P10" s="196" t="s">
        <v>65</v>
      </c>
      <c r="Q10" s="196" t="b">
        <v>1</v>
      </c>
      <c r="R10" s="196" t="s">
        <v>42</v>
      </c>
      <c r="S10" s="196" t="s">
        <v>43</v>
      </c>
      <c r="T10" s="196" t="s">
        <v>19</v>
      </c>
      <c r="U10" s="196" t="s">
        <v>49</v>
      </c>
      <c r="Y10" s="196">
        <f t="shared" si="0"/>
        <v>4</v>
      </c>
      <c r="Z10" s="199">
        <v>43595.380820717597</v>
      </c>
      <c r="AA10" s="196" t="s">
        <v>45</v>
      </c>
      <c r="AB10" s="196" t="s">
        <v>46</v>
      </c>
    </row>
    <row r="11" spans="1:34" ht="12.75" customHeight="1" x14ac:dyDescent="0.2">
      <c r="A11" s="196" t="s">
        <v>66</v>
      </c>
      <c r="B11" s="196" t="s">
        <v>34</v>
      </c>
      <c r="C11" s="196" t="s">
        <v>35</v>
      </c>
      <c r="D11" s="197">
        <v>43586</v>
      </c>
      <c r="E11" s="198">
        <v>1740703.92</v>
      </c>
      <c r="G11" s="196" t="s">
        <v>36</v>
      </c>
      <c r="H11" s="196" t="s">
        <v>37</v>
      </c>
      <c r="I11" s="196" t="s">
        <v>38</v>
      </c>
      <c r="J11" s="196" t="s">
        <v>39</v>
      </c>
      <c r="K11" s="196" t="s">
        <v>40</v>
      </c>
      <c r="L11" s="199">
        <v>43586</v>
      </c>
      <c r="P11" s="196" t="s">
        <v>67</v>
      </c>
      <c r="Q11" s="196" t="b">
        <v>1</v>
      </c>
      <c r="R11" s="196" t="s">
        <v>42</v>
      </c>
      <c r="S11" s="196" t="s">
        <v>43</v>
      </c>
      <c r="T11" s="196" t="s">
        <v>19</v>
      </c>
      <c r="U11" s="196" t="s">
        <v>44</v>
      </c>
      <c r="Y11" s="196">
        <f t="shared" si="0"/>
        <v>5</v>
      </c>
      <c r="Z11" s="199">
        <v>43623.593664664397</v>
      </c>
      <c r="AA11" s="196" t="s">
        <v>45</v>
      </c>
      <c r="AB11" s="196" t="s">
        <v>46</v>
      </c>
    </row>
    <row r="12" spans="1:34" ht="12.75" customHeight="1" x14ac:dyDescent="0.2">
      <c r="A12" s="196" t="s">
        <v>68</v>
      </c>
      <c r="B12" s="196" t="s">
        <v>34</v>
      </c>
      <c r="C12" s="196" t="s">
        <v>35</v>
      </c>
      <c r="D12" s="197">
        <v>43598</v>
      </c>
      <c r="E12" s="198">
        <v>-3186.08</v>
      </c>
      <c r="G12" s="196" t="s">
        <v>36</v>
      </c>
      <c r="H12" s="196" t="s">
        <v>37</v>
      </c>
      <c r="I12" s="196" t="s">
        <v>38</v>
      </c>
      <c r="J12" s="196" t="s">
        <v>39</v>
      </c>
      <c r="K12" s="196" t="s">
        <v>40</v>
      </c>
      <c r="L12" s="199">
        <v>43598</v>
      </c>
      <c r="P12" s="196" t="s">
        <v>69</v>
      </c>
      <c r="Q12" s="196" t="b">
        <v>1</v>
      </c>
      <c r="R12" s="196" t="s">
        <v>42</v>
      </c>
      <c r="S12" s="196" t="s">
        <v>43</v>
      </c>
      <c r="T12" s="196" t="s">
        <v>19</v>
      </c>
      <c r="U12" s="196" t="s">
        <v>49</v>
      </c>
      <c r="Y12" s="196">
        <f t="shared" si="0"/>
        <v>5</v>
      </c>
      <c r="Z12" s="199">
        <v>43623.593666863402</v>
      </c>
      <c r="AA12" s="196" t="s">
        <v>45</v>
      </c>
      <c r="AB12" s="196" t="s">
        <v>46</v>
      </c>
    </row>
    <row r="13" spans="1:34" ht="12.75" customHeight="1" x14ac:dyDescent="0.2">
      <c r="A13" s="196" t="s">
        <v>70</v>
      </c>
      <c r="B13" s="196" t="s">
        <v>34</v>
      </c>
      <c r="C13" s="196" t="s">
        <v>35</v>
      </c>
      <c r="D13" s="197">
        <v>43617</v>
      </c>
      <c r="E13" s="198">
        <v>1491440.77</v>
      </c>
      <c r="G13" s="196" t="s">
        <v>36</v>
      </c>
      <c r="H13" s="196" t="s">
        <v>37</v>
      </c>
      <c r="I13" s="196" t="s">
        <v>38</v>
      </c>
      <c r="J13" s="196" t="s">
        <v>39</v>
      </c>
      <c r="K13" s="196" t="s">
        <v>40</v>
      </c>
      <c r="L13" s="199">
        <v>43617</v>
      </c>
      <c r="P13" s="196" t="s">
        <v>71</v>
      </c>
      <c r="Q13" s="196" t="b">
        <v>1</v>
      </c>
      <c r="R13" s="196" t="s">
        <v>42</v>
      </c>
      <c r="S13" s="196" t="s">
        <v>43</v>
      </c>
      <c r="T13" s="196" t="s">
        <v>19</v>
      </c>
      <c r="U13" s="196" t="s">
        <v>44</v>
      </c>
      <c r="Y13" s="196">
        <f t="shared" si="0"/>
        <v>6</v>
      </c>
      <c r="Z13" s="199">
        <v>43654.593767824103</v>
      </c>
      <c r="AA13" s="196" t="s">
        <v>45</v>
      </c>
      <c r="AB13" s="196" t="s">
        <v>46</v>
      </c>
    </row>
    <row r="14" spans="1:34" ht="12.75" customHeight="1" x14ac:dyDescent="0.2">
      <c r="A14" s="196" t="s">
        <v>72</v>
      </c>
      <c r="B14" s="196" t="s">
        <v>34</v>
      </c>
      <c r="C14" s="196" t="s">
        <v>35</v>
      </c>
      <c r="D14" s="197">
        <v>43627</v>
      </c>
      <c r="E14" s="198">
        <v>-162.69</v>
      </c>
      <c r="G14" s="196" t="s">
        <v>36</v>
      </c>
      <c r="H14" s="196" t="s">
        <v>37</v>
      </c>
      <c r="I14" s="196" t="s">
        <v>38</v>
      </c>
      <c r="J14" s="196" t="s">
        <v>39</v>
      </c>
      <c r="K14" s="196" t="s">
        <v>40</v>
      </c>
      <c r="L14" s="199">
        <v>43627</v>
      </c>
      <c r="P14" s="196" t="s">
        <v>73</v>
      </c>
      <c r="Q14" s="196" t="b">
        <v>1</v>
      </c>
      <c r="R14" s="196" t="s">
        <v>42</v>
      </c>
      <c r="S14" s="196" t="s">
        <v>43</v>
      </c>
      <c r="T14" s="196" t="s">
        <v>19</v>
      </c>
      <c r="U14" s="196" t="s">
        <v>49</v>
      </c>
      <c r="Y14" s="196">
        <f t="shared" si="0"/>
        <v>6</v>
      </c>
      <c r="Z14" s="199">
        <v>43654.593769479201</v>
      </c>
      <c r="AA14" s="196" t="s">
        <v>45</v>
      </c>
      <c r="AB14" s="196" t="s">
        <v>46</v>
      </c>
    </row>
    <row r="15" spans="1:34" ht="12.75" customHeight="1" x14ac:dyDescent="0.2">
      <c r="A15" s="196" t="s">
        <v>74</v>
      </c>
      <c r="B15" s="196" t="s">
        <v>34</v>
      </c>
      <c r="C15" s="196" t="s">
        <v>35</v>
      </c>
      <c r="D15" s="197">
        <v>43647</v>
      </c>
      <c r="E15" s="198">
        <v>1499040.9</v>
      </c>
      <c r="G15" s="196" t="s">
        <v>36</v>
      </c>
      <c r="H15" s="196" t="s">
        <v>37</v>
      </c>
      <c r="I15" s="196" t="s">
        <v>38</v>
      </c>
      <c r="J15" s="196" t="s">
        <v>39</v>
      </c>
      <c r="K15" s="196" t="s">
        <v>40</v>
      </c>
      <c r="L15" s="199">
        <v>43647</v>
      </c>
      <c r="P15" s="196" t="s">
        <v>75</v>
      </c>
      <c r="Q15" s="196" t="b">
        <v>1</v>
      </c>
      <c r="R15" s="196" t="s">
        <v>42</v>
      </c>
      <c r="S15" s="196" t="s">
        <v>43</v>
      </c>
      <c r="T15" s="196" t="s">
        <v>19</v>
      </c>
      <c r="U15" s="196" t="s">
        <v>44</v>
      </c>
      <c r="Y15" s="196">
        <f t="shared" si="0"/>
        <v>7</v>
      </c>
      <c r="Z15" s="199">
        <v>43683.577545370397</v>
      </c>
      <c r="AA15" s="196" t="s">
        <v>45</v>
      </c>
      <c r="AB15" s="196" t="s">
        <v>46</v>
      </c>
    </row>
    <row r="16" spans="1:34" ht="12.75" customHeight="1" x14ac:dyDescent="0.2">
      <c r="A16" s="196" t="s">
        <v>76</v>
      </c>
      <c r="B16" s="196" t="s">
        <v>34</v>
      </c>
      <c r="C16" s="196" t="s">
        <v>35</v>
      </c>
      <c r="D16" s="197">
        <v>43656</v>
      </c>
      <c r="E16" s="198">
        <v>-85.93</v>
      </c>
      <c r="G16" s="196" t="s">
        <v>36</v>
      </c>
      <c r="H16" s="196" t="s">
        <v>37</v>
      </c>
      <c r="I16" s="196" t="s">
        <v>38</v>
      </c>
      <c r="J16" s="196" t="s">
        <v>39</v>
      </c>
      <c r="K16" s="196" t="s">
        <v>40</v>
      </c>
      <c r="L16" s="199">
        <v>43656</v>
      </c>
      <c r="P16" s="196" t="s">
        <v>77</v>
      </c>
      <c r="Q16" s="196" t="b">
        <v>1</v>
      </c>
      <c r="R16" s="196" t="s">
        <v>42</v>
      </c>
      <c r="S16" s="196" t="s">
        <v>43</v>
      </c>
      <c r="T16" s="196" t="s">
        <v>19</v>
      </c>
      <c r="U16" s="196" t="s">
        <v>49</v>
      </c>
      <c r="Y16" s="196">
        <f t="shared" si="0"/>
        <v>7</v>
      </c>
      <c r="Z16" s="199">
        <v>43683.577547372697</v>
      </c>
      <c r="AA16" s="196" t="s">
        <v>45</v>
      </c>
      <c r="AB16" s="196" t="s">
        <v>46</v>
      </c>
    </row>
    <row r="17" spans="1:28" ht="12.75" customHeight="1" x14ac:dyDescent="0.2">
      <c r="A17" s="196" t="s">
        <v>78</v>
      </c>
      <c r="B17" s="196" t="s">
        <v>34</v>
      </c>
      <c r="C17" s="196" t="s">
        <v>35</v>
      </c>
      <c r="D17" s="197">
        <v>43678</v>
      </c>
      <c r="E17" s="198">
        <v>1324849.72</v>
      </c>
      <c r="G17" s="196" t="s">
        <v>36</v>
      </c>
      <c r="H17" s="196" t="s">
        <v>37</v>
      </c>
      <c r="I17" s="196" t="s">
        <v>38</v>
      </c>
      <c r="J17" s="196" t="s">
        <v>39</v>
      </c>
      <c r="K17" s="196" t="s">
        <v>40</v>
      </c>
      <c r="L17" s="199">
        <v>43678</v>
      </c>
      <c r="P17" s="196" t="s">
        <v>79</v>
      </c>
      <c r="Q17" s="196" t="b">
        <v>1</v>
      </c>
      <c r="R17" s="196" t="s">
        <v>42</v>
      </c>
      <c r="S17" s="196" t="s">
        <v>43</v>
      </c>
      <c r="T17" s="196" t="s">
        <v>19</v>
      </c>
      <c r="U17" s="196" t="s">
        <v>44</v>
      </c>
      <c r="Y17" s="196">
        <f t="shared" si="0"/>
        <v>8</v>
      </c>
      <c r="Z17" s="199">
        <v>43718.394103587998</v>
      </c>
      <c r="AA17" s="196" t="s">
        <v>45</v>
      </c>
      <c r="AB17" s="196" t="s">
        <v>46</v>
      </c>
    </row>
    <row r="18" spans="1:28" ht="12.75" customHeight="1" x14ac:dyDescent="0.2">
      <c r="A18" s="196" t="s">
        <v>80</v>
      </c>
      <c r="B18" s="196" t="s">
        <v>34</v>
      </c>
      <c r="C18" s="196" t="s">
        <v>35</v>
      </c>
      <c r="D18" s="197">
        <v>43678</v>
      </c>
      <c r="E18" s="198">
        <v>-2708.63</v>
      </c>
      <c r="G18" s="196" t="s">
        <v>36</v>
      </c>
      <c r="H18" s="196" t="s">
        <v>37</v>
      </c>
      <c r="I18" s="196" t="s">
        <v>38</v>
      </c>
      <c r="J18" s="196" t="s">
        <v>39</v>
      </c>
      <c r="K18" s="196" t="s">
        <v>40</v>
      </c>
      <c r="L18" s="199">
        <v>43678</v>
      </c>
      <c r="P18" s="196" t="s">
        <v>81</v>
      </c>
      <c r="Q18" s="196" t="b">
        <v>1</v>
      </c>
      <c r="R18" s="196" t="s">
        <v>42</v>
      </c>
      <c r="S18" s="196" t="s">
        <v>43</v>
      </c>
      <c r="T18" s="196" t="s">
        <v>19</v>
      </c>
      <c r="U18" s="196" t="s">
        <v>49</v>
      </c>
      <c r="Y18" s="196">
        <f t="shared" si="0"/>
        <v>8</v>
      </c>
      <c r="Z18" s="199">
        <v>43718.394106134299</v>
      </c>
      <c r="AA18" s="196" t="s">
        <v>45</v>
      </c>
      <c r="AB18" s="196" t="s">
        <v>46</v>
      </c>
    </row>
    <row r="19" spans="1:28" ht="12.75" customHeight="1" x14ac:dyDescent="0.2">
      <c r="A19" s="196" t="s">
        <v>514</v>
      </c>
      <c r="B19" s="196" t="s">
        <v>34</v>
      </c>
      <c r="C19" s="196" t="s">
        <v>35</v>
      </c>
      <c r="D19" s="197">
        <v>43709</v>
      </c>
      <c r="E19" s="198">
        <v>1670336.05</v>
      </c>
      <c r="G19" s="196" t="s">
        <v>36</v>
      </c>
      <c r="H19" s="196" t="s">
        <v>37</v>
      </c>
      <c r="J19" s="196" t="s">
        <v>39</v>
      </c>
      <c r="K19" s="196" t="s">
        <v>40</v>
      </c>
      <c r="L19" s="199">
        <v>43709</v>
      </c>
      <c r="P19" s="196" t="s">
        <v>515</v>
      </c>
      <c r="Q19" s="196" t="b">
        <v>0</v>
      </c>
      <c r="R19" s="196" t="s">
        <v>42</v>
      </c>
      <c r="S19" s="196" t="s">
        <v>43</v>
      </c>
      <c r="T19" s="196" t="s">
        <v>19</v>
      </c>
      <c r="U19" s="196" t="s">
        <v>44</v>
      </c>
      <c r="Y19" s="196">
        <f t="shared" si="0"/>
        <v>9</v>
      </c>
      <c r="Z19" s="199">
        <v>43746.503949687503</v>
      </c>
      <c r="AB19" s="196" t="s">
        <v>46</v>
      </c>
    </row>
    <row r="20" spans="1:28" ht="12.75" customHeight="1" x14ac:dyDescent="0.2">
      <c r="A20" s="196" t="s">
        <v>516</v>
      </c>
      <c r="B20" s="196" t="s">
        <v>34</v>
      </c>
      <c r="C20" s="196" t="s">
        <v>35</v>
      </c>
      <c r="D20" s="197">
        <v>43727</v>
      </c>
      <c r="E20" s="198">
        <v>-4574.1400000000003</v>
      </c>
      <c r="G20" s="196" t="s">
        <v>36</v>
      </c>
      <c r="H20" s="196" t="s">
        <v>37</v>
      </c>
      <c r="J20" s="196" t="s">
        <v>39</v>
      </c>
      <c r="K20" s="196" t="s">
        <v>40</v>
      </c>
      <c r="L20" s="199">
        <v>43727</v>
      </c>
      <c r="P20" s="196" t="s">
        <v>517</v>
      </c>
      <c r="Q20" s="196" t="b">
        <v>0</v>
      </c>
      <c r="R20" s="196" t="s">
        <v>42</v>
      </c>
      <c r="S20" s="196" t="s">
        <v>43</v>
      </c>
      <c r="T20" s="196" t="s">
        <v>19</v>
      </c>
      <c r="U20" s="196" t="s">
        <v>49</v>
      </c>
      <c r="Y20" s="196">
        <f t="shared" si="0"/>
        <v>9</v>
      </c>
      <c r="Z20" s="199">
        <v>43746.503950960701</v>
      </c>
      <c r="AB20" s="196" t="s">
        <v>46</v>
      </c>
    </row>
    <row r="21" spans="1:28" ht="12.75" customHeight="1" x14ac:dyDescent="0.2">
      <c r="A21" s="196" t="s">
        <v>82</v>
      </c>
      <c r="B21" s="196" t="s">
        <v>83</v>
      </c>
      <c r="C21" s="196" t="s">
        <v>35</v>
      </c>
      <c r="D21" s="197">
        <v>43496</v>
      </c>
      <c r="F21" s="198">
        <v>145541.62</v>
      </c>
      <c r="G21" s="196" t="s">
        <v>36</v>
      </c>
      <c r="H21" s="196" t="s">
        <v>84</v>
      </c>
      <c r="I21" s="196" t="s">
        <v>38</v>
      </c>
      <c r="J21" s="196" t="s">
        <v>39</v>
      </c>
      <c r="L21" s="199">
        <v>43496</v>
      </c>
      <c r="P21" s="196" t="s">
        <v>85</v>
      </c>
      <c r="Q21" s="196" t="b">
        <v>1</v>
      </c>
      <c r="S21" s="196" t="s">
        <v>86</v>
      </c>
      <c r="T21" s="196" t="s">
        <v>19</v>
      </c>
      <c r="Y21" s="196">
        <f t="shared" si="0"/>
        <v>1</v>
      </c>
      <c r="Z21" s="199">
        <v>43511.395008715299</v>
      </c>
      <c r="AA21" s="196" t="s">
        <v>45</v>
      </c>
    </row>
    <row r="22" spans="1:28" ht="12.75" customHeight="1" x14ac:dyDescent="0.2">
      <c r="A22" s="196" t="s">
        <v>87</v>
      </c>
      <c r="B22" s="196" t="s">
        <v>88</v>
      </c>
      <c r="C22" s="196" t="s">
        <v>35</v>
      </c>
      <c r="D22" s="197">
        <v>43496</v>
      </c>
      <c r="F22" s="198">
        <v>100695.61</v>
      </c>
      <c r="G22" s="196" t="s">
        <v>36</v>
      </c>
      <c r="H22" s="196" t="s">
        <v>89</v>
      </c>
      <c r="I22" s="196" t="s">
        <v>38</v>
      </c>
      <c r="J22" s="196" t="s">
        <v>39</v>
      </c>
      <c r="L22" s="199">
        <v>43496</v>
      </c>
      <c r="P22" s="196" t="s">
        <v>90</v>
      </c>
      <c r="Q22" s="196" t="b">
        <v>1</v>
      </c>
      <c r="S22" s="196" t="s">
        <v>86</v>
      </c>
      <c r="T22" s="196" t="s">
        <v>19</v>
      </c>
      <c r="Y22" s="196">
        <f t="shared" si="0"/>
        <v>1</v>
      </c>
      <c r="Z22" s="199">
        <v>43511.395010879598</v>
      </c>
      <c r="AA22" s="196" t="s">
        <v>45</v>
      </c>
    </row>
    <row r="23" spans="1:28" ht="12.75" customHeight="1" x14ac:dyDescent="0.2">
      <c r="A23" s="196" t="s">
        <v>91</v>
      </c>
      <c r="B23" s="196" t="s">
        <v>92</v>
      </c>
      <c r="C23" s="196" t="s">
        <v>35</v>
      </c>
      <c r="D23" s="197">
        <v>43524</v>
      </c>
      <c r="F23" s="198">
        <v>175080.84</v>
      </c>
      <c r="G23" s="196" t="s">
        <v>36</v>
      </c>
      <c r="H23" s="196" t="s">
        <v>84</v>
      </c>
      <c r="I23" s="196" t="s">
        <v>38</v>
      </c>
      <c r="J23" s="196" t="s">
        <v>39</v>
      </c>
      <c r="L23" s="199">
        <v>43524</v>
      </c>
      <c r="P23" s="196" t="s">
        <v>93</v>
      </c>
      <c r="Q23" s="196" t="b">
        <v>1</v>
      </c>
      <c r="S23" s="196" t="s">
        <v>43</v>
      </c>
      <c r="T23" s="196" t="s">
        <v>19</v>
      </c>
      <c r="Y23" s="196">
        <f t="shared" si="0"/>
        <v>2</v>
      </c>
      <c r="Z23" s="199">
        <v>43531.562609756897</v>
      </c>
      <c r="AA23" s="196" t="s">
        <v>45</v>
      </c>
    </row>
    <row r="24" spans="1:28" ht="12.75" customHeight="1" x14ac:dyDescent="0.2">
      <c r="A24" s="196" t="s">
        <v>94</v>
      </c>
      <c r="B24" s="196" t="s">
        <v>95</v>
      </c>
      <c r="C24" s="196" t="s">
        <v>35</v>
      </c>
      <c r="D24" s="197">
        <v>43524</v>
      </c>
      <c r="F24" s="198">
        <v>94067.21</v>
      </c>
      <c r="G24" s="196" t="s">
        <v>36</v>
      </c>
      <c r="H24" s="196" t="s">
        <v>96</v>
      </c>
      <c r="I24" s="196" t="s">
        <v>38</v>
      </c>
      <c r="J24" s="196" t="s">
        <v>39</v>
      </c>
      <c r="L24" s="199">
        <v>43524</v>
      </c>
      <c r="P24" s="196" t="s">
        <v>97</v>
      </c>
      <c r="Q24" s="196" t="b">
        <v>1</v>
      </c>
      <c r="S24" s="196" t="s">
        <v>43</v>
      </c>
      <c r="T24" s="196" t="s">
        <v>19</v>
      </c>
      <c r="Y24" s="196">
        <f t="shared" si="0"/>
        <v>2</v>
      </c>
      <c r="Z24" s="199">
        <v>43531.5626106829</v>
      </c>
      <c r="AA24" s="196" t="s">
        <v>45</v>
      </c>
    </row>
    <row r="25" spans="1:28" ht="12.75" customHeight="1" x14ac:dyDescent="0.2">
      <c r="A25" s="196" t="s">
        <v>98</v>
      </c>
      <c r="B25" s="196" t="s">
        <v>99</v>
      </c>
      <c r="C25" s="196" t="s">
        <v>35</v>
      </c>
      <c r="D25" s="197">
        <v>43555</v>
      </c>
      <c r="F25" s="198">
        <v>221751.86</v>
      </c>
      <c r="G25" s="196" t="s">
        <v>36</v>
      </c>
      <c r="H25" s="196" t="s">
        <v>84</v>
      </c>
      <c r="I25" s="196" t="s">
        <v>38</v>
      </c>
      <c r="J25" s="196" t="s">
        <v>39</v>
      </c>
      <c r="L25" s="199">
        <v>43555</v>
      </c>
      <c r="P25" s="196" t="s">
        <v>100</v>
      </c>
      <c r="Q25" s="196" t="b">
        <v>1</v>
      </c>
      <c r="S25" s="196" t="s">
        <v>43</v>
      </c>
      <c r="T25" s="196" t="s">
        <v>19</v>
      </c>
      <c r="Y25" s="196">
        <f t="shared" si="0"/>
        <v>3</v>
      </c>
      <c r="Z25" s="199">
        <v>43563.414864270802</v>
      </c>
      <c r="AA25" s="196" t="s">
        <v>45</v>
      </c>
    </row>
    <row r="26" spans="1:28" ht="12.75" customHeight="1" x14ac:dyDescent="0.2">
      <c r="A26" s="196" t="s">
        <v>101</v>
      </c>
      <c r="B26" s="196" t="s">
        <v>102</v>
      </c>
      <c r="C26" s="196" t="s">
        <v>35</v>
      </c>
      <c r="D26" s="197">
        <v>43555</v>
      </c>
      <c r="F26" s="198">
        <v>102146.18</v>
      </c>
      <c r="G26" s="196" t="s">
        <v>36</v>
      </c>
      <c r="H26" s="196" t="s">
        <v>103</v>
      </c>
      <c r="I26" s="196" t="s">
        <v>38</v>
      </c>
      <c r="J26" s="196" t="s">
        <v>39</v>
      </c>
      <c r="L26" s="199">
        <v>43555</v>
      </c>
      <c r="P26" s="196" t="s">
        <v>104</v>
      </c>
      <c r="Q26" s="196" t="b">
        <v>1</v>
      </c>
      <c r="S26" s="196" t="s">
        <v>86</v>
      </c>
      <c r="T26" s="196" t="s">
        <v>19</v>
      </c>
      <c r="Y26" s="196">
        <f t="shared" si="0"/>
        <v>3</v>
      </c>
      <c r="Z26" s="199">
        <v>43572.289340162002</v>
      </c>
      <c r="AA26" s="196" t="s">
        <v>45</v>
      </c>
    </row>
    <row r="27" spans="1:28" ht="12.75" customHeight="1" x14ac:dyDescent="0.2">
      <c r="A27" s="196" t="s">
        <v>105</v>
      </c>
      <c r="B27" s="196" t="s">
        <v>106</v>
      </c>
      <c r="C27" s="196" t="s">
        <v>35</v>
      </c>
      <c r="D27" s="197">
        <v>43555</v>
      </c>
      <c r="F27" s="198">
        <v>94067.21</v>
      </c>
      <c r="G27" s="196" t="s">
        <v>36</v>
      </c>
      <c r="H27" s="196" t="s">
        <v>103</v>
      </c>
      <c r="I27" s="196" t="s">
        <v>38</v>
      </c>
      <c r="J27" s="196" t="s">
        <v>39</v>
      </c>
      <c r="L27" s="199">
        <v>43555</v>
      </c>
      <c r="P27" s="196" t="s">
        <v>107</v>
      </c>
      <c r="Q27" s="196" t="b">
        <v>1</v>
      </c>
      <c r="S27" s="196" t="s">
        <v>86</v>
      </c>
      <c r="T27" s="196" t="s">
        <v>19</v>
      </c>
      <c r="U27" s="196" t="s">
        <v>108</v>
      </c>
      <c r="Y27" s="196">
        <f t="shared" si="0"/>
        <v>3</v>
      </c>
      <c r="Z27" s="199">
        <v>43572.286634687502</v>
      </c>
      <c r="AA27" s="196" t="s">
        <v>45</v>
      </c>
    </row>
    <row r="28" spans="1:28" ht="12.75" customHeight="1" x14ac:dyDescent="0.2">
      <c r="A28" s="196" t="s">
        <v>105</v>
      </c>
      <c r="B28" s="196" t="s">
        <v>106</v>
      </c>
      <c r="C28" s="196" t="s">
        <v>35</v>
      </c>
      <c r="D28" s="197">
        <v>43555</v>
      </c>
      <c r="F28" s="198">
        <v>-94067.21</v>
      </c>
      <c r="G28" s="196" t="s">
        <v>36</v>
      </c>
      <c r="H28" s="196" t="s">
        <v>96</v>
      </c>
      <c r="I28" s="196" t="s">
        <v>38</v>
      </c>
      <c r="J28" s="196" t="s">
        <v>39</v>
      </c>
      <c r="L28" s="199">
        <v>43555</v>
      </c>
      <c r="P28" s="196" t="s">
        <v>107</v>
      </c>
      <c r="Q28" s="196" t="b">
        <v>1</v>
      </c>
      <c r="S28" s="196" t="s">
        <v>86</v>
      </c>
      <c r="T28" s="196" t="s">
        <v>19</v>
      </c>
      <c r="U28" s="196" t="s">
        <v>108</v>
      </c>
      <c r="Y28" s="196">
        <f t="shared" si="0"/>
        <v>3</v>
      </c>
      <c r="Z28" s="199">
        <v>43572.286633414398</v>
      </c>
      <c r="AA28" s="196" t="s">
        <v>45</v>
      </c>
    </row>
    <row r="29" spans="1:28" ht="12.75" customHeight="1" x14ac:dyDescent="0.2">
      <c r="A29" s="196" t="s">
        <v>109</v>
      </c>
      <c r="B29" s="196" t="s">
        <v>110</v>
      </c>
      <c r="C29" s="196" t="s">
        <v>35</v>
      </c>
      <c r="D29" s="197">
        <v>43585</v>
      </c>
      <c r="F29" s="198">
        <v>230595.18</v>
      </c>
      <c r="G29" s="196" t="s">
        <v>36</v>
      </c>
      <c r="H29" s="196" t="s">
        <v>84</v>
      </c>
      <c r="I29" s="196" t="s">
        <v>38</v>
      </c>
      <c r="J29" s="196" t="s">
        <v>39</v>
      </c>
      <c r="L29" s="199">
        <v>43585</v>
      </c>
      <c r="P29" s="196" t="s">
        <v>111</v>
      </c>
      <c r="Q29" s="196" t="b">
        <v>1</v>
      </c>
      <c r="S29" s="196" t="s">
        <v>43</v>
      </c>
      <c r="T29" s="196" t="s">
        <v>19</v>
      </c>
      <c r="Y29" s="196">
        <f t="shared" si="0"/>
        <v>4</v>
      </c>
      <c r="Z29" s="199">
        <v>43594.531750347203</v>
      </c>
      <c r="AA29" s="196" t="s">
        <v>45</v>
      </c>
    </row>
    <row r="30" spans="1:28" ht="12.75" customHeight="1" x14ac:dyDescent="0.2">
      <c r="A30" s="196" t="s">
        <v>112</v>
      </c>
      <c r="B30" s="196" t="s">
        <v>113</v>
      </c>
      <c r="C30" s="196" t="s">
        <v>35</v>
      </c>
      <c r="D30" s="197">
        <v>43585</v>
      </c>
      <c r="F30" s="198">
        <v>107444.45</v>
      </c>
      <c r="G30" s="196" t="s">
        <v>36</v>
      </c>
      <c r="H30" s="196" t="s">
        <v>89</v>
      </c>
      <c r="I30" s="196" t="s">
        <v>38</v>
      </c>
      <c r="J30" s="196" t="s">
        <v>39</v>
      </c>
      <c r="L30" s="199">
        <v>43585</v>
      </c>
      <c r="P30" s="196" t="s">
        <v>114</v>
      </c>
      <c r="Q30" s="196" t="b">
        <v>1</v>
      </c>
      <c r="S30" s="196" t="s">
        <v>43</v>
      </c>
      <c r="T30" s="196" t="s">
        <v>19</v>
      </c>
      <c r="Y30" s="196">
        <f t="shared" si="0"/>
        <v>4</v>
      </c>
      <c r="Z30" s="199">
        <v>43594.531751423601</v>
      </c>
      <c r="AA30" s="196" t="s">
        <v>45</v>
      </c>
    </row>
    <row r="31" spans="1:28" ht="12.75" customHeight="1" x14ac:dyDescent="0.2">
      <c r="A31" s="196" t="s">
        <v>115</v>
      </c>
      <c r="B31" s="196" t="s">
        <v>110</v>
      </c>
      <c r="C31" s="196" t="s">
        <v>35</v>
      </c>
      <c r="D31" s="197">
        <v>43616</v>
      </c>
      <c r="F31" s="198">
        <v>176436.34</v>
      </c>
      <c r="G31" s="196" t="s">
        <v>36</v>
      </c>
      <c r="H31" s="196" t="s">
        <v>84</v>
      </c>
      <c r="I31" s="196" t="s">
        <v>38</v>
      </c>
      <c r="J31" s="196" t="s">
        <v>39</v>
      </c>
      <c r="L31" s="199">
        <v>43616</v>
      </c>
      <c r="P31" s="196" t="s">
        <v>116</v>
      </c>
      <c r="Q31" s="196" t="b">
        <v>1</v>
      </c>
      <c r="S31" s="196" t="s">
        <v>43</v>
      </c>
      <c r="T31" s="196" t="s">
        <v>19</v>
      </c>
      <c r="Y31" s="196">
        <f t="shared" si="0"/>
        <v>5</v>
      </c>
      <c r="Z31" s="199">
        <v>43623.548836192102</v>
      </c>
      <c r="AA31" s="196" t="s">
        <v>45</v>
      </c>
    </row>
    <row r="32" spans="1:28" ht="12.75" customHeight="1" x14ac:dyDescent="0.2">
      <c r="A32" s="196" t="s">
        <v>117</v>
      </c>
      <c r="B32" s="196" t="s">
        <v>113</v>
      </c>
      <c r="C32" s="196" t="s">
        <v>35</v>
      </c>
      <c r="D32" s="197">
        <v>43616</v>
      </c>
      <c r="F32" s="198">
        <v>101857.48</v>
      </c>
      <c r="G32" s="196" t="s">
        <v>36</v>
      </c>
      <c r="H32" s="196" t="s">
        <v>89</v>
      </c>
      <c r="I32" s="196" t="s">
        <v>38</v>
      </c>
      <c r="J32" s="196" t="s">
        <v>39</v>
      </c>
      <c r="L32" s="199">
        <v>43616</v>
      </c>
      <c r="P32" s="196" t="s">
        <v>118</v>
      </c>
      <c r="Q32" s="196" t="b">
        <v>1</v>
      </c>
      <c r="S32" s="196" t="s">
        <v>43</v>
      </c>
      <c r="T32" s="196" t="s">
        <v>19</v>
      </c>
      <c r="Y32" s="196">
        <f t="shared" si="0"/>
        <v>5</v>
      </c>
      <c r="Z32" s="199">
        <v>43623.548838738403</v>
      </c>
      <c r="AA32" s="196" t="s">
        <v>45</v>
      </c>
    </row>
    <row r="33" spans="1:27" ht="12.75" customHeight="1" x14ac:dyDescent="0.2">
      <c r="A33" s="196" t="s">
        <v>119</v>
      </c>
      <c r="B33" s="196" t="s">
        <v>110</v>
      </c>
      <c r="C33" s="196" t="s">
        <v>35</v>
      </c>
      <c r="D33" s="197">
        <v>43646</v>
      </c>
      <c r="F33" s="198">
        <v>50264.39</v>
      </c>
      <c r="G33" s="196" t="s">
        <v>36</v>
      </c>
      <c r="H33" s="196" t="s">
        <v>84</v>
      </c>
      <c r="I33" s="196" t="s">
        <v>38</v>
      </c>
      <c r="J33" s="196" t="s">
        <v>39</v>
      </c>
      <c r="L33" s="199">
        <v>43646</v>
      </c>
      <c r="P33" s="196" t="s">
        <v>120</v>
      </c>
      <c r="Q33" s="196" t="b">
        <v>1</v>
      </c>
      <c r="S33" s="196" t="s">
        <v>43</v>
      </c>
      <c r="T33" s="196" t="s">
        <v>19</v>
      </c>
      <c r="Y33" s="196">
        <f t="shared" si="0"/>
        <v>6</v>
      </c>
      <c r="Z33" s="199">
        <v>43655.430263807903</v>
      </c>
      <c r="AA33" s="196" t="s">
        <v>45</v>
      </c>
    </row>
    <row r="34" spans="1:27" ht="12.75" customHeight="1" x14ac:dyDescent="0.2">
      <c r="A34" s="196" t="s">
        <v>121</v>
      </c>
      <c r="B34" s="196" t="s">
        <v>113</v>
      </c>
      <c r="C34" s="196" t="s">
        <v>35</v>
      </c>
      <c r="D34" s="197">
        <v>43646</v>
      </c>
      <c r="F34" s="198">
        <v>90772.77</v>
      </c>
      <c r="G34" s="196" t="s">
        <v>36</v>
      </c>
      <c r="H34" s="196" t="s">
        <v>89</v>
      </c>
      <c r="I34" s="196" t="s">
        <v>38</v>
      </c>
      <c r="J34" s="196" t="s">
        <v>39</v>
      </c>
      <c r="L34" s="199">
        <v>43646</v>
      </c>
      <c r="P34" s="196" t="s">
        <v>122</v>
      </c>
      <c r="Q34" s="196" t="b">
        <v>1</v>
      </c>
      <c r="S34" s="196" t="s">
        <v>43</v>
      </c>
      <c r="T34" s="196" t="s">
        <v>19</v>
      </c>
      <c r="Y34" s="196">
        <f t="shared" si="0"/>
        <v>6</v>
      </c>
      <c r="Z34" s="199">
        <v>43655.432693287003</v>
      </c>
      <c r="AA34" s="196" t="s">
        <v>45</v>
      </c>
    </row>
    <row r="35" spans="1:27" ht="12.75" customHeight="1" x14ac:dyDescent="0.2">
      <c r="A35" s="196" t="s">
        <v>123</v>
      </c>
      <c r="B35" s="196" t="s">
        <v>110</v>
      </c>
      <c r="C35" s="196" t="s">
        <v>35</v>
      </c>
      <c r="D35" s="197">
        <v>43677</v>
      </c>
      <c r="F35" s="198">
        <v>35286.160000000003</v>
      </c>
      <c r="G35" s="196" t="s">
        <v>36</v>
      </c>
      <c r="H35" s="196" t="s">
        <v>84</v>
      </c>
      <c r="I35" s="196" t="s">
        <v>38</v>
      </c>
      <c r="J35" s="196" t="s">
        <v>39</v>
      </c>
      <c r="L35" s="199">
        <v>43677</v>
      </c>
      <c r="P35" s="196" t="s">
        <v>124</v>
      </c>
      <c r="Q35" s="196" t="b">
        <v>1</v>
      </c>
      <c r="S35" s="196" t="s">
        <v>43</v>
      </c>
      <c r="T35" s="196" t="s">
        <v>19</v>
      </c>
      <c r="Y35" s="196">
        <f t="shared" si="0"/>
        <v>7</v>
      </c>
      <c r="Z35" s="199">
        <v>43684.402328854201</v>
      </c>
      <c r="AA35" s="196" t="s">
        <v>45</v>
      </c>
    </row>
    <row r="36" spans="1:27" ht="12.75" customHeight="1" x14ac:dyDescent="0.2">
      <c r="A36" s="196" t="s">
        <v>125</v>
      </c>
      <c r="B36" s="196" t="s">
        <v>113</v>
      </c>
      <c r="C36" s="196" t="s">
        <v>35</v>
      </c>
      <c r="D36" s="197">
        <v>43677</v>
      </c>
      <c r="F36" s="198">
        <v>88581.88</v>
      </c>
      <c r="G36" s="196" t="s">
        <v>36</v>
      </c>
      <c r="H36" s="196" t="s">
        <v>89</v>
      </c>
      <c r="I36" s="196" t="s">
        <v>38</v>
      </c>
      <c r="J36" s="196" t="s">
        <v>39</v>
      </c>
      <c r="L36" s="199">
        <v>43677</v>
      </c>
      <c r="P36" s="196" t="s">
        <v>126</v>
      </c>
      <c r="Q36" s="196" t="b">
        <v>1</v>
      </c>
      <c r="S36" s="196" t="s">
        <v>43</v>
      </c>
      <c r="T36" s="196" t="s">
        <v>19</v>
      </c>
      <c r="Y36" s="196">
        <f t="shared" si="0"/>
        <v>7</v>
      </c>
      <c r="Z36" s="199">
        <v>43684.410002974502</v>
      </c>
      <c r="AA36" s="196" t="s">
        <v>45</v>
      </c>
    </row>
    <row r="37" spans="1:27" ht="12.75" customHeight="1" x14ac:dyDescent="0.2">
      <c r="A37" s="196" t="s">
        <v>127</v>
      </c>
      <c r="B37" s="196" t="s">
        <v>110</v>
      </c>
      <c r="C37" s="196" t="s">
        <v>35</v>
      </c>
      <c r="D37" s="197">
        <v>43708</v>
      </c>
      <c r="F37" s="198">
        <v>32008.59</v>
      </c>
      <c r="G37" s="196" t="s">
        <v>36</v>
      </c>
      <c r="H37" s="196" t="s">
        <v>84</v>
      </c>
      <c r="I37" s="196" t="s">
        <v>38</v>
      </c>
      <c r="J37" s="196" t="s">
        <v>39</v>
      </c>
      <c r="L37" s="199">
        <v>43708</v>
      </c>
      <c r="P37" s="196" t="s">
        <v>128</v>
      </c>
      <c r="Q37" s="196" t="b">
        <v>1</v>
      </c>
      <c r="S37" s="196" t="s">
        <v>43</v>
      </c>
      <c r="T37" s="196" t="s">
        <v>19</v>
      </c>
      <c r="Y37" s="196">
        <f t="shared" si="0"/>
        <v>8</v>
      </c>
      <c r="Z37" s="199">
        <v>43717.404154942102</v>
      </c>
      <c r="AA37" s="196" t="s">
        <v>45</v>
      </c>
    </row>
    <row r="38" spans="1:27" ht="12.75" customHeight="1" x14ac:dyDescent="0.2">
      <c r="A38" s="196" t="s">
        <v>129</v>
      </c>
      <c r="B38" s="196" t="s">
        <v>113</v>
      </c>
      <c r="C38" s="196" t="s">
        <v>35</v>
      </c>
      <c r="D38" s="197">
        <v>43708</v>
      </c>
      <c r="F38" s="198">
        <v>76321.56</v>
      </c>
      <c r="G38" s="196" t="s">
        <v>36</v>
      </c>
      <c r="H38" s="196" t="s">
        <v>89</v>
      </c>
      <c r="I38" s="196" t="s">
        <v>38</v>
      </c>
      <c r="J38" s="196" t="s">
        <v>39</v>
      </c>
      <c r="L38" s="199">
        <v>43708</v>
      </c>
      <c r="P38" s="196" t="s">
        <v>130</v>
      </c>
      <c r="Q38" s="196" t="b">
        <v>1</v>
      </c>
      <c r="S38" s="196" t="s">
        <v>43</v>
      </c>
      <c r="T38" s="196" t="s">
        <v>19</v>
      </c>
      <c r="Y38" s="196">
        <f t="shared" si="0"/>
        <v>8</v>
      </c>
      <c r="Z38" s="199">
        <v>43717.404156400502</v>
      </c>
      <c r="AA38" s="196" t="s">
        <v>45</v>
      </c>
    </row>
    <row r="39" spans="1:27" ht="12.75" customHeight="1" x14ac:dyDescent="0.2">
      <c r="A39" s="196" t="s">
        <v>518</v>
      </c>
      <c r="B39" s="196" t="s">
        <v>110</v>
      </c>
      <c r="C39" s="196" t="s">
        <v>35</v>
      </c>
      <c r="D39" s="197">
        <v>43738</v>
      </c>
      <c r="F39" s="198">
        <v>103995.8</v>
      </c>
      <c r="G39" s="196" t="s">
        <v>36</v>
      </c>
      <c r="H39" s="196" t="s">
        <v>84</v>
      </c>
      <c r="J39" s="196" t="s">
        <v>39</v>
      </c>
      <c r="L39" s="199">
        <v>43738</v>
      </c>
      <c r="P39" s="196" t="s">
        <v>519</v>
      </c>
      <c r="Q39" s="196" t="b">
        <v>0</v>
      </c>
      <c r="S39" s="196" t="s">
        <v>43</v>
      </c>
      <c r="T39" s="196" t="s">
        <v>19</v>
      </c>
      <c r="Y39" s="196">
        <f t="shared" si="0"/>
        <v>9</v>
      </c>
      <c r="Z39" s="199">
        <v>43746.471307986103</v>
      </c>
    </row>
    <row r="40" spans="1:27" ht="12.75" customHeight="1" x14ac:dyDescent="0.2">
      <c r="A40" s="196" t="s">
        <v>467</v>
      </c>
      <c r="B40" s="196" t="s">
        <v>113</v>
      </c>
      <c r="C40" s="196" t="s">
        <v>35</v>
      </c>
      <c r="D40" s="197">
        <v>43738</v>
      </c>
      <c r="F40" s="198">
        <v>105382.26</v>
      </c>
      <c r="G40" s="196" t="s">
        <v>36</v>
      </c>
      <c r="H40" s="196" t="s">
        <v>89</v>
      </c>
      <c r="J40" s="196" t="s">
        <v>39</v>
      </c>
      <c r="L40" s="199">
        <v>43738</v>
      </c>
      <c r="P40" s="196" t="s">
        <v>468</v>
      </c>
      <c r="Q40" s="196" t="b">
        <v>0</v>
      </c>
      <c r="S40" s="196" t="s">
        <v>43</v>
      </c>
      <c r="T40" s="196" t="s">
        <v>19</v>
      </c>
      <c r="Y40" s="196">
        <f t="shared" si="0"/>
        <v>9</v>
      </c>
      <c r="Z40" s="199">
        <v>43746.4877444097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"/>
  <sheetViews>
    <sheetView workbookViewId="0">
      <selection activeCell="E19" sqref="E19"/>
    </sheetView>
  </sheetViews>
  <sheetFormatPr defaultRowHeight="12.75" x14ac:dyDescent="0.2"/>
  <cols>
    <col min="4" max="4" width="17.42578125" customWidth="1"/>
    <col min="5" max="5" width="23.42578125" style="3" customWidth="1"/>
  </cols>
  <sheetData>
    <row r="1" spans="1:38" x14ac:dyDescent="0.2">
      <c r="A1" s="196" t="s">
        <v>0</v>
      </c>
      <c r="B1" s="196" t="s">
        <v>1</v>
      </c>
      <c r="C1" s="196" t="s">
        <v>2</v>
      </c>
      <c r="D1" s="196" t="s">
        <v>3</v>
      </c>
      <c r="E1" s="319" t="s">
        <v>4</v>
      </c>
      <c r="F1" s="196" t="s">
        <v>5</v>
      </c>
      <c r="G1" s="196" t="s">
        <v>6</v>
      </c>
      <c r="H1" s="196" t="s">
        <v>7</v>
      </c>
      <c r="I1" s="196" t="s">
        <v>8</v>
      </c>
      <c r="J1" s="196" t="s">
        <v>9</v>
      </c>
      <c r="K1" s="196" t="s">
        <v>10</v>
      </c>
      <c r="L1" s="196" t="s">
        <v>11</v>
      </c>
      <c r="M1" s="196" t="s">
        <v>12</v>
      </c>
      <c r="N1" s="196" t="s">
        <v>13</v>
      </c>
      <c r="O1" s="196" t="s">
        <v>14</v>
      </c>
      <c r="P1" s="196" t="s">
        <v>15</v>
      </c>
      <c r="Q1" s="196" t="s">
        <v>16</v>
      </c>
      <c r="R1" s="196" t="s">
        <v>17</v>
      </c>
      <c r="S1" s="196" t="s">
        <v>18</v>
      </c>
      <c r="T1" s="196" t="s">
        <v>19</v>
      </c>
      <c r="U1" s="196" t="s">
        <v>20</v>
      </c>
      <c r="V1" s="196" t="s">
        <v>21</v>
      </c>
      <c r="W1" s="196" t="s">
        <v>22</v>
      </c>
      <c r="X1" s="196" t="s">
        <v>23</v>
      </c>
      <c r="Y1" s="200" t="s">
        <v>131</v>
      </c>
      <c r="Z1" s="196" t="s">
        <v>24</v>
      </c>
      <c r="AA1" s="196" t="s">
        <v>25</v>
      </c>
      <c r="AB1" s="196" t="s">
        <v>26</v>
      </c>
      <c r="AC1" s="196" t="s">
        <v>27</v>
      </c>
      <c r="AD1" s="196" t="s">
        <v>28</v>
      </c>
      <c r="AE1" s="196" t="s">
        <v>29</v>
      </c>
      <c r="AF1" s="196" t="s">
        <v>30</v>
      </c>
      <c r="AG1" s="196" t="s">
        <v>31</v>
      </c>
      <c r="AH1" s="196" t="s">
        <v>32</v>
      </c>
      <c r="AI1" s="196"/>
      <c r="AJ1" s="196"/>
      <c r="AK1" s="196"/>
      <c r="AL1" s="196"/>
    </row>
    <row r="2" spans="1:38" x14ac:dyDescent="0.2">
      <c r="A2" s="196" t="s">
        <v>82</v>
      </c>
      <c r="B2" s="196" t="s">
        <v>83</v>
      </c>
      <c r="C2" s="196" t="s">
        <v>35</v>
      </c>
      <c r="D2" s="197">
        <v>43496</v>
      </c>
      <c r="E2" s="320">
        <v>145541.62</v>
      </c>
      <c r="F2" s="196"/>
      <c r="G2" s="196" t="s">
        <v>36</v>
      </c>
      <c r="H2" s="196" t="s">
        <v>307</v>
      </c>
      <c r="I2" s="196" t="s">
        <v>38</v>
      </c>
      <c r="J2" s="196" t="s">
        <v>39</v>
      </c>
      <c r="K2" s="196"/>
      <c r="L2" s="199">
        <v>43496</v>
      </c>
      <c r="M2" s="196"/>
      <c r="N2" s="196"/>
      <c r="O2" s="196"/>
      <c r="P2" s="196" t="s">
        <v>85</v>
      </c>
      <c r="Q2" s="196" t="b">
        <v>1</v>
      </c>
      <c r="R2" s="196"/>
      <c r="S2" s="196" t="s">
        <v>86</v>
      </c>
      <c r="T2" s="196" t="s">
        <v>19</v>
      </c>
      <c r="U2" s="196"/>
      <c r="V2" s="196"/>
      <c r="W2" s="196"/>
      <c r="X2" s="196"/>
      <c r="Y2" s="196">
        <f>MONTH(L2)</f>
        <v>1</v>
      </c>
      <c r="Z2" s="199">
        <v>43511.395008715299</v>
      </c>
      <c r="AA2" s="196" t="s">
        <v>45</v>
      </c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</row>
    <row r="3" spans="1:38" x14ac:dyDescent="0.2">
      <c r="A3" s="196" t="s">
        <v>91</v>
      </c>
      <c r="B3" s="196" t="s">
        <v>92</v>
      </c>
      <c r="C3" s="196" t="s">
        <v>35</v>
      </c>
      <c r="D3" s="197">
        <v>43524</v>
      </c>
      <c r="E3" s="320">
        <v>175080.84</v>
      </c>
      <c r="F3" s="196"/>
      <c r="G3" s="196" t="s">
        <v>36</v>
      </c>
      <c r="H3" s="196" t="s">
        <v>307</v>
      </c>
      <c r="I3" s="196" t="s">
        <v>38</v>
      </c>
      <c r="J3" s="196" t="s">
        <v>39</v>
      </c>
      <c r="K3" s="196"/>
      <c r="L3" s="199">
        <v>43524</v>
      </c>
      <c r="M3" s="196"/>
      <c r="N3" s="196"/>
      <c r="O3" s="196"/>
      <c r="P3" s="196" t="s">
        <v>93</v>
      </c>
      <c r="Q3" s="196" t="b">
        <v>1</v>
      </c>
      <c r="R3" s="196"/>
      <c r="S3" s="196" t="s">
        <v>43</v>
      </c>
      <c r="T3" s="196" t="s">
        <v>19</v>
      </c>
      <c r="U3" s="196"/>
      <c r="V3" s="196"/>
      <c r="W3" s="196"/>
      <c r="X3" s="196"/>
      <c r="Y3" s="196">
        <f t="shared" ref="Y3:Y10" si="0">MONTH(L3)</f>
        <v>2</v>
      </c>
      <c r="Z3" s="199">
        <v>43531.562609756897</v>
      </c>
      <c r="AA3" s="196" t="s">
        <v>45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</row>
    <row r="4" spans="1:38" x14ac:dyDescent="0.2">
      <c r="A4" s="196" t="s">
        <v>98</v>
      </c>
      <c r="B4" s="196" t="s">
        <v>99</v>
      </c>
      <c r="C4" s="196" t="s">
        <v>35</v>
      </c>
      <c r="D4" s="197">
        <v>43555</v>
      </c>
      <c r="E4" s="320">
        <v>221751.86</v>
      </c>
      <c r="F4" s="196"/>
      <c r="G4" s="196" t="s">
        <v>36</v>
      </c>
      <c r="H4" s="196" t="s">
        <v>307</v>
      </c>
      <c r="I4" s="196" t="s">
        <v>38</v>
      </c>
      <c r="J4" s="196" t="s">
        <v>39</v>
      </c>
      <c r="K4" s="196"/>
      <c r="L4" s="199">
        <v>43555</v>
      </c>
      <c r="M4" s="196"/>
      <c r="N4" s="196"/>
      <c r="O4" s="196"/>
      <c r="P4" s="196" t="s">
        <v>100</v>
      </c>
      <c r="Q4" s="196" t="b">
        <v>1</v>
      </c>
      <c r="R4" s="196"/>
      <c r="S4" s="196" t="s">
        <v>43</v>
      </c>
      <c r="T4" s="196" t="s">
        <v>19</v>
      </c>
      <c r="U4" s="196"/>
      <c r="V4" s="196"/>
      <c r="W4" s="196"/>
      <c r="X4" s="196"/>
      <c r="Y4" s="196">
        <f t="shared" si="0"/>
        <v>3</v>
      </c>
      <c r="Z4" s="199">
        <v>43563.414864270802</v>
      </c>
      <c r="AA4" s="196" t="s">
        <v>45</v>
      </c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1:38" x14ac:dyDescent="0.2">
      <c r="A5" s="196" t="s">
        <v>109</v>
      </c>
      <c r="B5" s="196" t="s">
        <v>110</v>
      </c>
      <c r="C5" s="196" t="s">
        <v>35</v>
      </c>
      <c r="D5" s="197">
        <v>43585</v>
      </c>
      <c r="E5" s="320">
        <v>230595.18</v>
      </c>
      <c r="F5" s="196"/>
      <c r="G5" s="196" t="s">
        <v>36</v>
      </c>
      <c r="H5" s="196" t="s">
        <v>307</v>
      </c>
      <c r="I5" s="196" t="s">
        <v>38</v>
      </c>
      <c r="J5" s="196" t="s">
        <v>39</v>
      </c>
      <c r="K5" s="196"/>
      <c r="L5" s="199">
        <v>43585</v>
      </c>
      <c r="M5" s="196"/>
      <c r="N5" s="196"/>
      <c r="O5" s="196"/>
      <c r="P5" s="196" t="s">
        <v>111</v>
      </c>
      <c r="Q5" s="196" t="b">
        <v>1</v>
      </c>
      <c r="R5" s="196"/>
      <c r="S5" s="196" t="s">
        <v>43</v>
      </c>
      <c r="T5" s="196" t="s">
        <v>19</v>
      </c>
      <c r="U5" s="196"/>
      <c r="V5" s="196"/>
      <c r="W5" s="196"/>
      <c r="X5" s="196"/>
      <c r="Y5" s="196">
        <f t="shared" si="0"/>
        <v>4</v>
      </c>
      <c r="Z5" s="199">
        <v>43594.531750347203</v>
      </c>
      <c r="AA5" s="196" t="s">
        <v>45</v>
      </c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</row>
    <row r="6" spans="1:38" x14ac:dyDescent="0.2">
      <c r="A6" s="196" t="s">
        <v>115</v>
      </c>
      <c r="B6" s="196" t="s">
        <v>110</v>
      </c>
      <c r="C6" s="196" t="s">
        <v>35</v>
      </c>
      <c r="D6" s="197">
        <v>43616</v>
      </c>
      <c r="E6" s="320">
        <v>176436.34</v>
      </c>
      <c r="F6" s="196"/>
      <c r="G6" s="196" t="s">
        <v>36</v>
      </c>
      <c r="H6" s="196" t="s">
        <v>307</v>
      </c>
      <c r="I6" s="196" t="s">
        <v>38</v>
      </c>
      <c r="J6" s="196" t="s">
        <v>39</v>
      </c>
      <c r="K6" s="196"/>
      <c r="L6" s="199">
        <v>43616</v>
      </c>
      <c r="M6" s="196"/>
      <c r="N6" s="196"/>
      <c r="O6" s="196"/>
      <c r="P6" s="196" t="s">
        <v>116</v>
      </c>
      <c r="Q6" s="196" t="b">
        <v>1</v>
      </c>
      <c r="R6" s="196"/>
      <c r="S6" s="196" t="s">
        <v>43</v>
      </c>
      <c r="T6" s="196" t="s">
        <v>19</v>
      </c>
      <c r="U6" s="196"/>
      <c r="V6" s="196"/>
      <c r="W6" s="196"/>
      <c r="X6" s="196"/>
      <c r="Y6" s="196">
        <f t="shared" si="0"/>
        <v>5</v>
      </c>
      <c r="Z6" s="199">
        <v>43623.548836192102</v>
      </c>
      <c r="AA6" s="196" t="s">
        <v>45</v>
      </c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</row>
    <row r="7" spans="1:38" x14ac:dyDescent="0.2">
      <c r="A7" s="196" t="s">
        <v>119</v>
      </c>
      <c r="B7" s="196" t="s">
        <v>110</v>
      </c>
      <c r="C7" s="196" t="s">
        <v>35</v>
      </c>
      <c r="D7" s="197">
        <v>43646</v>
      </c>
      <c r="E7" s="320">
        <v>50264.39</v>
      </c>
      <c r="F7" s="196"/>
      <c r="G7" s="196" t="s">
        <v>36</v>
      </c>
      <c r="H7" s="196" t="s">
        <v>307</v>
      </c>
      <c r="I7" s="196" t="s">
        <v>38</v>
      </c>
      <c r="J7" s="196" t="s">
        <v>39</v>
      </c>
      <c r="K7" s="196"/>
      <c r="L7" s="199">
        <v>43646</v>
      </c>
      <c r="M7" s="196"/>
      <c r="N7" s="196"/>
      <c r="O7" s="196"/>
      <c r="P7" s="196" t="s">
        <v>120</v>
      </c>
      <c r="Q7" s="196" t="b">
        <v>1</v>
      </c>
      <c r="R7" s="196"/>
      <c r="S7" s="196" t="s">
        <v>43</v>
      </c>
      <c r="T7" s="196" t="s">
        <v>19</v>
      </c>
      <c r="U7" s="196"/>
      <c r="V7" s="196"/>
      <c r="W7" s="196"/>
      <c r="X7" s="196"/>
      <c r="Y7" s="196">
        <f t="shared" si="0"/>
        <v>6</v>
      </c>
      <c r="Z7" s="199">
        <v>43655.430263807903</v>
      </c>
      <c r="AA7" s="196" t="s">
        <v>45</v>
      </c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</row>
    <row r="8" spans="1:38" x14ac:dyDescent="0.2">
      <c r="A8" s="196" t="s">
        <v>123</v>
      </c>
      <c r="B8" s="196" t="s">
        <v>110</v>
      </c>
      <c r="C8" s="196" t="s">
        <v>35</v>
      </c>
      <c r="D8" s="197">
        <v>43677</v>
      </c>
      <c r="E8" s="320">
        <v>35286.160000000003</v>
      </c>
      <c r="F8" s="196"/>
      <c r="G8" s="196" t="s">
        <v>36</v>
      </c>
      <c r="H8" s="196" t="s">
        <v>307</v>
      </c>
      <c r="I8" s="196" t="s">
        <v>38</v>
      </c>
      <c r="J8" s="196" t="s">
        <v>39</v>
      </c>
      <c r="K8" s="196"/>
      <c r="L8" s="199">
        <v>43677</v>
      </c>
      <c r="M8" s="196"/>
      <c r="N8" s="196"/>
      <c r="O8" s="196"/>
      <c r="P8" s="196" t="s">
        <v>124</v>
      </c>
      <c r="Q8" s="196" t="b">
        <v>1</v>
      </c>
      <c r="R8" s="196"/>
      <c r="S8" s="196" t="s">
        <v>43</v>
      </c>
      <c r="T8" s="196" t="s">
        <v>19</v>
      </c>
      <c r="U8" s="196"/>
      <c r="V8" s="196"/>
      <c r="W8" s="196"/>
      <c r="X8" s="196"/>
      <c r="Y8" s="196">
        <f t="shared" si="0"/>
        <v>7</v>
      </c>
      <c r="Z8" s="199">
        <v>43684.402328854201</v>
      </c>
      <c r="AA8" s="196" t="s">
        <v>45</v>
      </c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x14ac:dyDescent="0.2">
      <c r="A9" s="196" t="s">
        <v>127</v>
      </c>
      <c r="B9" s="196" t="s">
        <v>110</v>
      </c>
      <c r="C9" s="196" t="s">
        <v>35</v>
      </c>
      <c r="D9" s="197">
        <v>43708</v>
      </c>
      <c r="E9" s="320">
        <v>32008.59</v>
      </c>
      <c r="F9" s="196"/>
      <c r="G9" s="196" t="s">
        <v>36</v>
      </c>
      <c r="H9" s="196" t="s">
        <v>307</v>
      </c>
      <c r="I9" s="196" t="s">
        <v>38</v>
      </c>
      <c r="J9" s="196" t="s">
        <v>39</v>
      </c>
      <c r="K9" s="196"/>
      <c r="L9" s="199">
        <v>43708</v>
      </c>
      <c r="M9" s="196"/>
      <c r="N9" s="196"/>
      <c r="O9" s="196"/>
      <c r="P9" s="196" t="s">
        <v>128</v>
      </c>
      <c r="Q9" s="196" t="b">
        <v>1</v>
      </c>
      <c r="R9" s="196"/>
      <c r="S9" s="196" t="s">
        <v>43</v>
      </c>
      <c r="T9" s="196" t="s">
        <v>19</v>
      </c>
      <c r="U9" s="196"/>
      <c r="V9" s="196"/>
      <c r="W9" s="196"/>
      <c r="X9" s="196"/>
      <c r="Y9" s="196">
        <f t="shared" si="0"/>
        <v>8</v>
      </c>
      <c r="Z9" s="199">
        <v>43717.404154942102</v>
      </c>
      <c r="AA9" s="196" t="s">
        <v>45</v>
      </c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x14ac:dyDescent="0.2">
      <c r="A10" t="s">
        <v>518</v>
      </c>
      <c r="B10" t="s">
        <v>110</v>
      </c>
      <c r="C10">
        <v>0</v>
      </c>
      <c r="D10" s="317">
        <v>43738</v>
      </c>
      <c r="E10" s="3">
        <v>103995.8</v>
      </c>
      <c r="G10">
        <v>9501</v>
      </c>
      <c r="H10">
        <v>50116402</v>
      </c>
      <c r="J10" t="s">
        <v>39</v>
      </c>
      <c r="L10" s="317">
        <v>43738</v>
      </c>
      <c r="P10">
        <v>354534350.10869998</v>
      </c>
      <c r="Q10" t="s">
        <v>819</v>
      </c>
      <c r="S10" t="s">
        <v>43</v>
      </c>
      <c r="T10" t="s">
        <v>19</v>
      </c>
      <c r="Y10" s="196">
        <f t="shared" si="0"/>
        <v>9</v>
      </c>
      <c r="Z10" s="318">
        <v>43746.471307870372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5BAA-F549-478E-BD21-B1DC5FDEE59E}">
  <dimension ref="A1:AH23"/>
  <sheetViews>
    <sheetView topLeftCell="C1" workbookViewId="0">
      <selection activeCell="F20" sqref="F20"/>
    </sheetView>
  </sheetViews>
  <sheetFormatPr defaultColWidth="11.42578125" defaultRowHeight="12.75" customHeight="1" x14ac:dyDescent="0.2"/>
  <cols>
    <col min="1" max="34" width="11.42578125" style="277" customWidth="1"/>
    <col min="35" max="16384" width="11.42578125" style="277"/>
  </cols>
  <sheetData>
    <row r="1" spans="1:34" ht="12.75" customHeight="1" x14ac:dyDescent="0.2">
      <c r="A1" s="277" t="s">
        <v>0</v>
      </c>
      <c r="B1" s="277" t="s">
        <v>1</v>
      </c>
      <c r="C1" s="277" t="s">
        <v>2</v>
      </c>
      <c r="D1" s="277" t="s">
        <v>3</v>
      </c>
      <c r="E1" s="277" t="s">
        <v>4</v>
      </c>
      <c r="F1" s="277" t="s">
        <v>5</v>
      </c>
      <c r="G1" s="277" t="s">
        <v>6</v>
      </c>
      <c r="H1" s="277" t="s">
        <v>7</v>
      </c>
      <c r="I1" s="277" t="s">
        <v>8</v>
      </c>
      <c r="J1" s="277" t="s">
        <v>9</v>
      </c>
      <c r="K1" s="277" t="s">
        <v>10</v>
      </c>
      <c r="L1" s="277" t="s">
        <v>11</v>
      </c>
      <c r="M1" s="277" t="s">
        <v>12</v>
      </c>
      <c r="N1" s="277" t="s">
        <v>13</v>
      </c>
      <c r="O1" s="277" t="s">
        <v>14</v>
      </c>
      <c r="P1" s="277" t="s">
        <v>15</v>
      </c>
      <c r="Q1" s="277" t="s">
        <v>16</v>
      </c>
      <c r="R1" s="277" t="s">
        <v>17</v>
      </c>
      <c r="S1" s="277" t="s">
        <v>18</v>
      </c>
      <c r="T1" s="277" t="s">
        <v>19</v>
      </c>
      <c r="U1" s="277" t="s">
        <v>20</v>
      </c>
      <c r="V1" s="277" t="s">
        <v>21</v>
      </c>
      <c r="W1" s="277" t="s">
        <v>22</v>
      </c>
      <c r="X1" s="277" t="s">
        <v>23</v>
      </c>
      <c r="Y1" s="277" t="s">
        <v>131</v>
      </c>
      <c r="Z1" s="277" t="s">
        <v>24</v>
      </c>
      <c r="AA1" s="277" t="s">
        <v>25</v>
      </c>
      <c r="AB1" s="277" t="s">
        <v>26</v>
      </c>
      <c r="AC1" s="277" t="s">
        <v>27</v>
      </c>
      <c r="AD1" s="277" t="s">
        <v>28</v>
      </c>
      <c r="AE1" s="277" t="s">
        <v>29</v>
      </c>
      <c r="AF1" s="277" t="s">
        <v>30</v>
      </c>
      <c r="AG1" s="277" t="s">
        <v>31</v>
      </c>
      <c r="AH1" s="277" t="s">
        <v>32</v>
      </c>
    </row>
    <row r="2" spans="1:34" ht="12.75" customHeight="1" x14ac:dyDescent="0.2">
      <c r="A2" s="277" t="s">
        <v>443</v>
      </c>
      <c r="B2" s="277" t="s">
        <v>34</v>
      </c>
      <c r="C2" s="277" t="s">
        <v>35</v>
      </c>
      <c r="D2" s="278">
        <v>43468</v>
      </c>
      <c r="E2" s="279">
        <v>21674.799999999999</v>
      </c>
      <c r="G2" s="277" t="s">
        <v>36</v>
      </c>
      <c r="H2" s="277" t="s">
        <v>37</v>
      </c>
      <c r="I2" s="277" t="s">
        <v>353</v>
      </c>
      <c r="J2" s="277" t="s">
        <v>39</v>
      </c>
      <c r="K2" s="277" t="s">
        <v>40</v>
      </c>
      <c r="L2" s="280">
        <v>43468</v>
      </c>
      <c r="P2" s="277" t="s">
        <v>444</v>
      </c>
      <c r="Q2" s="277" t="b">
        <v>1</v>
      </c>
      <c r="R2" s="277" t="s">
        <v>445</v>
      </c>
      <c r="S2" s="277" t="s">
        <v>43</v>
      </c>
      <c r="T2" s="277" t="s">
        <v>19</v>
      </c>
      <c r="U2" s="277" t="s">
        <v>44</v>
      </c>
      <c r="Y2" s="277">
        <f>MONTH(D2)</f>
        <v>1</v>
      </c>
      <c r="Z2" s="280">
        <v>43504.6114330208</v>
      </c>
      <c r="AA2" s="277" t="s">
        <v>358</v>
      </c>
      <c r="AB2" s="277" t="s">
        <v>446</v>
      </c>
    </row>
    <row r="3" spans="1:34" ht="12.75" customHeight="1" x14ac:dyDescent="0.2">
      <c r="A3" s="277" t="s">
        <v>447</v>
      </c>
      <c r="B3" s="277" t="s">
        <v>34</v>
      </c>
      <c r="C3" s="277" t="s">
        <v>35</v>
      </c>
      <c r="D3" s="278">
        <v>43497</v>
      </c>
      <c r="E3" s="279">
        <v>18714.87</v>
      </c>
      <c r="G3" s="277" t="s">
        <v>36</v>
      </c>
      <c r="H3" s="277" t="s">
        <v>37</v>
      </c>
      <c r="I3" s="277" t="s">
        <v>353</v>
      </c>
      <c r="J3" s="277" t="s">
        <v>39</v>
      </c>
      <c r="K3" s="277" t="s">
        <v>40</v>
      </c>
      <c r="L3" s="280">
        <v>43497</v>
      </c>
      <c r="P3" s="277" t="s">
        <v>448</v>
      </c>
      <c r="Q3" s="277" t="b">
        <v>1</v>
      </c>
      <c r="R3" s="277" t="s">
        <v>445</v>
      </c>
      <c r="S3" s="277" t="s">
        <v>43</v>
      </c>
      <c r="T3" s="277" t="s">
        <v>19</v>
      </c>
      <c r="U3" s="277" t="s">
        <v>44</v>
      </c>
      <c r="Y3" s="277">
        <f t="shared" ref="Y3:Y23" si="0">MONTH(D3)</f>
        <v>2</v>
      </c>
      <c r="Z3" s="280">
        <v>43531.532189895799</v>
      </c>
      <c r="AA3" s="277" t="s">
        <v>358</v>
      </c>
      <c r="AB3" s="277" t="s">
        <v>446</v>
      </c>
    </row>
    <row r="4" spans="1:34" ht="12.75" customHeight="1" x14ac:dyDescent="0.2">
      <c r="A4" s="277" t="s">
        <v>449</v>
      </c>
      <c r="B4" s="277" t="s">
        <v>34</v>
      </c>
      <c r="C4" s="277" t="s">
        <v>35</v>
      </c>
      <c r="D4" s="278">
        <v>43511</v>
      </c>
      <c r="E4" s="279">
        <v>-11.94</v>
      </c>
      <c r="G4" s="277" t="s">
        <v>36</v>
      </c>
      <c r="H4" s="277" t="s">
        <v>37</v>
      </c>
      <c r="I4" s="277" t="s">
        <v>353</v>
      </c>
      <c r="J4" s="277" t="s">
        <v>39</v>
      </c>
      <c r="K4" s="277" t="s">
        <v>40</v>
      </c>
      <c r="L4" s="280">
        <v>43511</v>
      </c>
      <c r="P4" s="277" t="s">
        <v>450</v>
      </c>
      <c r="Q4" s="277" t="b">
        <v>1</v>
      </c>
      <c r="R4" s="277" t="s">
        <v>445</v>
      </c>
      <c r="S4" s="277" t="s">
        <v>43</v>
      </c>
      <c r="T4" s="277" t="s">
        <v>19</v>
      </c>
      <c r="U4" s="277" t="s">
        <v>49</v>
      </c>
      <c r="Y4" s="277">
        <f t="shared" si="0"/>
        <v>2</v>
      </c>
      <c r="Z4" s="280">
        <v>43531.532192789397</v>
      </c>
      <c r="AA4" s="277" t="s">
        <v>358</v>
      </c>
      <c r="AB4" s="277" t="s">
        <v>446</v>
      </c>
    </row>
    <row r="5" spans="1:34" ht="12.75" customHeight="1" x14ac:dyDescent="0.2">
      <c r="A5" s="277" t="s">
        <v>451</v>
      </c>
      <c r="B5" s="277" t="s">
        <v>34</v>
      </c>
      <c r="C5" s="277" t="s">
        <v>35</v>
      </c>
      <c r="D5" s="278">
        <v>43525</v>
      </c>
      <c r="E5" s="279">
        <v>18566.439999999999</v>
      </c>
      <c r="G5" s="277" t="s">
        <v>36</v>
      </c>
      <c r="H5" s="277" t="s">
        <v>37</v>
      </c>
      <c r="I5" s="277" t="s">
        <v>353</v>
      </c>
      <c r="J5" s="277" t="s">
        <v>39</v>
      </c>
      <c r="K5" s="277" t="s">
        <v>40</v>
      </c>
      <c r="L5" s="280">
        <v>43525</v>
      </c>
      <c r="P5" s="277" t="s">
        <v>452</v>
      </c>
      <c r="Q5" s="277" t="b">
        <v>1</v>
      </c>
      <c r="R5" s="277" t="s">
        <v>445</v>
      </c>
      <c r="S5" s="277" t="s">
        <v>43</v>
      </c>
      <c r="T5" s="277" t="s">
        <v>19</v>
      </c>
      <c r="U5" s="277" t="s">
        <v>44</v>
      </c>
      <c r="Y5" s="277">
        <f t="shared" si="0"/>
        <v>3</v>
      </c>
      <c r="Z5" s="280">
        <v>43563.4098659722</v>
      </c>
      <c r="AA5" s="277" t="s">
        <v>358</v>
      </c>
      <c r="AB5" s="277" t="s">
        <v>446</v>
      </c>
    </row>
    <row r="6" spans="1:34" ht="12.75" customHeight="1" x14ac:dyDescent="0.2">
      <c r="A6" s="277" t="s">
        <v>453</v>
      </c>
      <c r="B6" s="277" t="s">
        <v>34</v>
      </c>
      <c r="C6" s="277" t="s">
        <v>35</v>
      </c>
      <c r="D6" s="278">
        <v>43556</v>
      </c>
      <c r="E6" s="279">
        <v>21269.439999999999</v>
      </c>
      <c r="G6" s="277" t="s">
        <v>36</v>
      </c>
      <c r="H6" s="277" t="s">
        <v>37</v>
      </c>
      <c r="I6" s="277" t="s">
        <v>353</v>
      </c>
      <c r="J6" s="277" t="s">
        <v>39</v>
      </c>
      <c r="K6" s="277" t="s">
        <v>40</v>
      </c>
      <c r="L6" s="280">
        <v>43556</v>
      </c>
      <c r="P6" s="277" t="s">
        <v>454</v>
      </c>
      <c r="Q6" s="277" t="b">
        <v>1</v>
      </c>
      <c r="R6" s="277" t="s">
        <v>445</v>
      </c>
      <c r="S6" s="277" t="s">
        <v>43</v>
      </c>
      <c r="T6" s="277" t="s">
        <v>19</v>
      </c>
      <c r="U6" s="277" t="s">
        <v>44</v>
      </c>
      <c r="Y6" s="277">
        <f t="shared" si="0"/>
        <v>4</v>
      </c>
      <c r="Z6" s="280">
        <v>43595.380657951398</v>
      </c>
      <c r="AA6" s="277" t="s">
        <v>358</v>
      </c>
      <c r="AB6" s="277" t="s">
        <v>446</v>
      </c>
    </row>
    <row r="7" spans="1:34" ht="12.75" customHeight="1" x14ac:dyDescent="0.2">
      <c r="A7" s="277" t="s">
        <v>455</v>
      </c>
      <c r="B7" s="277" t="s">
        <v>34</v>
      </c>
      <c r="C7" s="277" t="s">
        <v>35</v>
      </c>
      <c r="D7" s="278">
        <v>43587</v>
      </c>
      <c r="E7" s="279">
        <v>24026.09</v>
      </c>
      <c r="G7" s="277" t="s">
        <v>36</v>
      </c>
      <c r="H7" s="277" t="s">
        <v>37</v>
      </c>
      <c r="I7" s="277" t="s">
        <v>353</v>
      </c>
      <c r="J7" s="277" t="s">
        <v>39</v>
      </c>
      <c r="K7" s="277" t="s">
        <v>40</v>
      </c>
      <c r="L7" s="280">
        <v>43587</v>
      </c>
      <c r="P7" s="277" t="s">
        <v>456</v>
      </c>
      <c r="Q7" s="277" t="b">
        <v>1</v>
      </c>
      <c r="R7" s="277" t="s">
        <v>445</v>
      </c>
      <c r="S7" s="277" t="s">
        <v>43</v>
      </c>
      <c r="T7" s="277" t="s">
        <v>19</v>
      </c>
      <c r="U7" s="277" t="s">
        <v>44</v>
      </c>
      <c r="Y7" s="277">
        <f t="shared" si="0"/>
        <v>5</v>
      </c>
      <c r="Z7" s="280">
        <v>43623.593598842599</v>
      </c>
      <c r="AA7" s="277" t="s">
        <v>358</v>
      </c>
      <c r="AB7" s="277" t="s">
        <v>446</v>
      </c>
    </row>
    <row r="8" spans="1:34" ht="12.75" customHeight="1" x14ac:dyDescent="0.2">
      <c r="A8" s="277" t="s">
        <v>457</v>
      </c>
      <c r="B8" s="277" t="s">
        <v>34</v>
      </c>
      <c r="C8" s="277" t="s">
        <v>35</v>
      </c>
      <c r="D8" s="278">
        <v>43619</v>
      </c>
      <c r="E8" s="279">
        <v>24553.82</v>
      </c>
      <c r="G8" s="277" t="s">
        <v>36</v>
      </c>
      <c r="H8" s="277" t="s">
        <v>37</v>
      </c>
      <c r="I8" s="277" t="s">
        <v>353</v>
      </c>
      <c r="J8" s="277" t="s">
        <v>39</v>
      </c>
      <c r="K8" s="277" t="s">
        <v>40</v>
      </c>
      <c r="L8" s="280">
        <v>43619</v>
      </c>
      <c r="P8" s="277" t="s">
        <v>458</v>
      </c>
      <c r="Q8" s="277" t="b">
        <v>1</v>
      </c>
      <c r="R8" s="277" t="s">
        <v>445</v>
      </c>
      <c r="S8" s="277" t="s">
        <v>43</v>
      </c>
      <c r="T8" s="277" t="s">
        <v>19</v>
      </c>
      <c r="U8" s="277" t="s">
        <v>44</v>
      </c>
      <c r="Y8" s="277">
        <f t="shared" si="0"/>
        <v>6</v>
      </c>
      <c r="Z8" s="280">
        <v>43654.593700578698</v>
      </c>
      <c r="AA8" s="277" t="s">
        <v>358</v>
      </c>
      <c r="AB8" s="277" t="s">
        <v>446</v>
      </c>
    </row>
    <row r="9" spans="1:34" ht="12.75" customHeight="1" x14ac:dyDescent="0.2">
      <c r="A9" s="277" t="s">
        <v>459</v>
      </c>
      <c r="B9" s="277" t="s">
        <v>34</v>
      </c>
      <c r="C9" s="277" t="s">
        <v>35</v>
      </c>
      <c r="D9" s="278">
        <v>43647</v>
      </c>
      <c r="E9" s="279">
        <v>22808.560000000001</v>
      </c>
      <c r="G9" s="277" t="s">
        <v>36</v>
      </c>
      <c r="H9" s="277" t="s">
        <v>37</v>
      </c>
      <c r="I9" s="277" t="s">
        <v>353</v>
      </c>
      <c r="J9" s="277" t="s">
        <v>39</v>
      </c>
      <c r="K9" s="277" t="s">
        <v>40</v>
      </c>
      <c r="L9" s="280">
        <v>43647</v>
      </c>
      <c r="P9" s="277" t="s">
        <v>460</v>
      </c>
      <c r="Q9" s="277" t="b">
        <v>1</v>
      </c>
      <c r="R9" s="277" t="s">
        <v>445</v>
      </c>
      <c r="S9" s="277" t="s">
        <v>43</v>
      </c>
      <c r="T9" s="277" t="s">
        <v>19</v>
      </c>
      <c r="U9" s="277" t="s">
        <v>44</v>
      </c>
      <c r="Y9" s="277">
        <f t="shared" si="0"/>
        <v>7</v>
      </c>
      <c r="Z9" s="280">
        <v>43683.577460185203</v>
      </c>
      <c r="AA9" s="277" t="s">
        <v>358</v>
      </c>
      <c r="AB9" s="277" t="s">
        <v>446</v>
      </c>
    </row>
    <row r="10" spans="1:34" ht="12.75" customHeight="1" x14ac:dyDescent="0.2">
      <c r="A10" s="277" t="s">
        <v>461</v>
      </c>
      <c r="B10" s="277" t="s">
        <v>34</v>
      </c>
      <c r="C10" s="277" t="s">
        <v>35</v>
      </c>
      <c r="D10" s="278">
        <v>43657</v>
      </c>
      <c r="E10" s="279">
        <v>257.76</v>
      </c>
      <c r="G10" s="277" t="s">
        <v>36</v>
      </c>
      <c r="H10" s="277" t="s">
        <v>37</v>
      </c>
      <c r="I10" s="277" t="s">
        <v>353</v>
      </c>
      <c r="J10" s="277" t="s">
        <v>39</v>
      </c>
      <c r="K10" s="277" t="s">
        <v>40</v>
      </c>
      <c r="L10" s="280">
        <v>43657</v>
      </c>
      <c r="P10" s="277" t="s">
        <v>462</v>
      </c>
      <c r="Q10" s="277" t="b">
        <v>1</v>
      </c>
      <c r="R10" s="277" t="s">
        <v>445</v>
      </c>
      <c r="S10" s="277" t="s">
        <v>43</v>
      </c>
      <c r="T10" s="277" t="s">
        <v>19</v>
      </c>
      <c r="U10" s="277" t="s">
        <v>44</v>
      </c>
      <c r="Y10" s="277">
        <f t="shared" si="0"/>
        <v>7</v>
      </c>
      <c r="Z10" s="280">
        <v>43685.322878437502</v>
      </c>
      <c r="AA10" s="277" t="s">
        <v>358</v>
      </c>
      <c r="AB10" s="277" t="s">
        <v>446</v>
      </c>
    </row>
    <row r="11" spans="1:34" ht="12.75" customHeight="1" x14ac:dyDescent="0.2">
      <c r="A11" s="277" t="s">
        <v>463</v>
      </c>
      <c r="B11" s="277" t="s">
        <v>34</v>
      </c>
      <c r="C11" s="277" t="s">
        <v>35</v>
      </c>
      <c r="D11" s="278">
        <v>43678</v>
      </c>
      <c r="E11" s="279">
        <v>16834.09</v>
      </c>
      <c r="G11" s="277" t="s">
        <v>36</v>
      </c>
      <c r="H11" s="277" t="s">
        <v>37</v>
      </c>
      <c r="I11" s="277" t="s">
        <v>353</v>
      </c>
      <c r="J11" s="277" t="s">
        <v>39</v>
      </c>
      <c r="K11" s="277" t="s">
        <v>40</v>
      </c>
      <c r="L11" s="280">
        <v>43678</v>
      </c>
      <c r="P11" s="277" t="s">
        <v>464</v>
      </c>
      <c r="Q11" s="277" t="b">
        <v>1</v>
      </c>
      <c r="R11" s="277" t="s">
        <v>445</v>
      </c>
      <c r="S11" s="277" t="s">
        <v>43</v>
      </c>
      <c r="T11" s="277" t="s">
        <v>19</v>
      </c>
      <c r="U11" s="277" t="s">
        <v>44</v>
      </c>
      <c r="Y11" s="277">
        <f t="shared" si="0"/>
        <v>8</v>
      </c>
      <c r="Z11" s="280">
        <v>43718.394002164401</v>
      </c>
      <c r="AA11" s="277" t="s">
        <v>358</v>
      </c>
      <c r="AB11" s="277" t="s">
        <v>446</v>
      </c>
    </row>
    <row r="12" spans="1:34" ht="12.75" customHeight="1" x14ac:dyDescent="0.2">
      <c r="A12" s="277" t="s">
        <v>465</v>
      </c>
      <c r="B12" s="277" t="s">
        <v>34</v>
      </c>
      <c r="C12" s="277" t="s">
        <v>35</v>
      </c>
      <c r="D12" s="278">
        <v>43710</v>
      </c>
      <c r="E12" s="279">
        <v>23147.21</v>
      </c>
      <c r="G12" s="277" t="s">
        <v>36</v>
      </c>
      <c r="H12" s="277" t="s">
        <v>37</v>
      </c>
      <c r="J12" s="277" t="s">
        <v>39</v>
      </c>
      <c r="K12" s="277" t="s">
        <v>40</v>
      </c>
      <c r="L12" s="280">
        <v>43710</v>
      </c>
      <c r="P12" s="277" t="s">
        <v>466</v>
      </c>
      <c r="Q12" s="277" t="b">
        <v>0</v>
      </c>
      <c r="R12" s="277" t="s">
        <v>445</v>
      </c>
      <c r="S12" s="277" t="s">
        <v>43</v>
      </c>
      <c r="T12" s="277" t="s">
        <v>19</v>
      </c>
      <c r="U12" s="277" t="s">
        <v>44</v>
      </c>
      <c r="Y12" s="277">
        <f t="shared" si="0"/>
        <v>9</v>
      </c>
      <c r="Z12" s="280">
        <v>43746.503878969903</v>
      </c>
      <c r="AB12" s="277" t="s">
        <v>446</v>
      </c>
    </row>
    <row r="13" spans="1:34" ht="12.75" customHeight="1" x14ac:dyDescent="0.2">
      <c r="A13" s="277" t="s">
        <v>87</v>
      </c>
      <c r="B13" s="277" t="s">
        <v>88</v>
      </c>
      <c r="C13" s="277" t="s">
        <v>35</v>
      </c>
      <c r="D13" s="278">
        <v>43496</v>
      </c>
      <c r="E13" s="279">
        <v>100695.61</v>
      </c>
      <c r="G13" s="277" t="s">
        <v>36</v>
      </c>
      <c r="H13" s="277" t="s">
        <v>89</v>
      </c>
      <c r="I13" s="277" t="s">
        <v>353</v>
      </c>
      <c r="J13" s="277" t="s">
        <v>39</v>
      </c>
      <c r="L13" s="280">
        <v>43496</v>
      </c>
      <c r="P13" s="277" t="s">
        <v>90</v>
      </c>
      <c r="Q13" s="277" t="b">
        <v>1</v>
      </c>
      <c r="S13" s="277" t="s">
        <v>86</v>
      </c>
      <c r="T13" s="277" t="s">
        <v>19</v>
      </c>
      <c r="Y13" s="277">
        <f t="shared" si="0"/>
        <v>1</v>
      </c>
      <c r="Z13" s="280">
        <v>43511.395014502297</v>
      </c>
      <c r="AA13" s="277" t="s">
        <v>358</v>
      </c>
    </row>
    <row r="14" spans="1:34" ht="12.75" customHeight="1" x14ac:dyDescent="0.2">
      <c r="A14" s="277" t="s">
        <v>94</v>
      </c>
      <c r="B14" s="277" t="s">
        <v>95</v>
      </c>
      <c r="C14" s="277" t="s">
        <v>35</v>
      </c>
      <c r="D14" s="278">
        <v>43524</v>
      </c>
      <c r="E14" s="279">
        <v>94067.21</v>
      </c>
      <c r="G14" s="277" t="s">
        <v>36</v>
      </c>
      <c r="H14" s="277" t="s">
        <v>307</v>
      </c>
      <c r="I14" s="277" t="s">
        <v>38</v>
      </c>
      <c r="J14" s="277" t="s">
        <v>39</v>
      </c>
      <c r="L14" s="280">
        <v>43524</v>
      </c>
      <c r="P14" s="277" t="s">
        <v>97</v>
      </c>
      <c r="Q14" s="277" t="b">
        <v>1</v>
      </c>
      <c r="S14" s="277" t="s">
        <v>43</v>
      </c>
      <c r="T14" s="277" t="s">
        <v>19</v>
      </c>
      <c r="Y14" s="277">
        <f t="shared" si="0"/>
        <v>2</v>
      </c>
      <c r="Z14" s="280">
        <v>43531.5626106829</v>
      </c>
      <c r="AA14" s="277" t="s">
        <v>45</v>
      </c>
    </row>
    <row r="15" spans="1:34" ht="12.75" customHeight="1" x14ac:dyDescent="0.2">
      <c r="A15" s="277" t="s">
        <v>101</v>
      </c>
      <c r="B15" s="277" t="s">
        <v>102</v>
      </c>
      <c r="C15" s="277" t="s">
        <v>35</v>
      </c>
      <c r="D15" s="278">
        <v>43555</v>
      </c>
      <c r="E15" s="279">
        <v>102146.18</v>
      </c>
      <c r="G15" s="277" t="s">
        <v>36</v>
      </c>
      <c r="H15" s="277" t="s">
        <v>103</v>
      </c>
      <c r="I15" s="277" t="s">
        <v>353</v>
      </c>
      <c r="J15" s="277" t="s">
        <v>39</v>
      </c>
      <c r="L15" s="280">
        <v>43555</v>
      </c>
      <c r="P15" s="277" t="s">
        <v>104</v>
      </c>
      <c r="Q15" s="277" t="b">
        <v>1</v>
      </c>
      <c r="S15" s="277" t="s">
        <v>86</v>
      </c>
      <c r="T15" s="277" t="s">
        <v>19</v>
      </c>
      <c r="Y15" s="277">
        <f t="shared" si="0"/>
        <v>3</v>
      </c>
      <c r="Z15" s="280">
        <v>43572.289341979202</v>
      </c>
      <c r="AA15" s="277" t="s">
        <v>358</v>
      </c>
    </row>
    <row r="16" spans="1:34" ht="12.75" customHeight="1" x14ac:dyDescent="0.2">
      <c r="A16" s="277" t="s">
        <v>105</v>
      </c>
      <c r="B16" s="277" t="s">
        <v>106</v>
      </c>
      <c r="C16" s="277" t="s">
        <v>35</v>
      </c>
      <c r="D16" s="278">
        <v>43555</v>
      </c>
      <c r="E16" s="279">
        <v>94067.21</v>
      </c>
      <c r="G16" s="277" t="s">
        <v>36</v>
      </c>
      <c r="H16" s="277" t="s">
        <v>103</v>
      </c>
      <c r="I16" s="277" t="s">
        <v>353</v>
      </c>
      <c r="J16" s="277" t="s">
        <v>39</v>
      </c>
      <c r="L16" s="280">
        <v>43555</v>
      </c>
      <c r="P16" s="277" t="s">
        <v>107</v>
      </c>
      <c r="Q16" s="277" t="b">
        <v>1</v>
      </c>
      <c r="S16" s="277" t="s">
        <v>86</v>
      </c>
      <c r="T16" s="277" t="s">
        <v>19</v>
      </c>
      <c r="U16" s="277" t="s">
        <v>108</v>
      </c>
      <c r="Y16" s="277">
        <f t="shared" si="0"/>
        <v>3</v>
      </c>
      <c r="Z16" s="280">
        <v>43572.286635219898</v>
      </c>
      <c r="AA16" s="277" t="s">
        <v>358</v>
      </c>
    </row>
    <row r="17" spans="1:27" ht="12.75" customHeight="1" x14ac:dyDescent="0.2">
      <c r="A17" s="277" t="s">
        <v>105</v>
      </c>
      <c r="B17" s="277" t="s">
        <v>106</v>
      </c>
      <c r="C17" s="277" t="s">
        <v>35</v>
      </c>
      <c r="D17" s="278">
        <v>43555</v>
      </c>
      <c r="E17" s="279">
        <v>-94067.21</v>
      </c>
      <c r="G17" s="277" t="s">
        <v>36</v>
      </c>
      <c r="H17" s="277" t="s">
        <v>307</v>
      </c>
      <c r="I17" s="277" t="s">
        <v>38</v>
      </c>
      <c r="J17" s="277" t="s">
        <v>39</v>
      </c>
      <c r="L17" s="280">
        <v>43555</v>
      </c>
      <c r="P17" s="277" t="s">
        <v>107</v>
      </c>
      <c r="Q17" s="277" t="b">
        <v>1</v>
      </c>
      <c r="S17" s="277" t="s">
        <v>86</v>
      </c>
      <c r="T17" s="277" t="s">
        <v>19</v>
      </c>
      <c r="U17" s="277" t="s">
        <v>108</v>
      </c>
      <c r="Y17" s="277">
        <f t="shared" si="0"/>
        <v>3</v>
      </c>
      <c r="Z17" s="280">
        <v>43572.286633414398</v>
      </c>
      <c r="AA17" s="277" t="s">
        <v>45</v>
      </c>
    </row>
    <row r="18" spans="1:27" ht="12.75" customHeight="1" x14ac:dyDescent="0.2">
      <c r="A18" s="277" t="s">
        <v>112</v>
      </c>
      <c r="B18" s="277" t="s">
        <v>113</v>
      </c>
      <c r="C18" s="277" t="s">
        <v>35</v>
      </c>
      <c r="D18" s="278">
        <v>43585</v>
      </c>
      <c r="E18" s="279">
        <v>107444.45</v>
      </c>
      <c r="G18" s="277" t="s">
        <v>36</v>
      </c>
      <c r="H18" s="277" t="s">
        <v>89</v>
      </c>
      <c r="I18" s="277" t="s">
        <v>353</v>
      </c>
      <c r="J18" s="277" t="s">
        <v>39</v>
      </c>
      <c r="L18" s="280">
        <v>43585</v>
      </c>
      <c r="P18" s="277" t="s">
        <v>114</v>
      </c>
      <c r="Q18" s="277" t="b">
        <v>1</v>
      </c>
      <c r="S18" s="277" t="s">
        <v>43</v>
      </c>
      <c r="T18" s="277" t="s">
        <v>19</v>
      </c>
      <c r="Y18" s="277">
        <f t="shared" si="0"/>
        <v>4</v>
      </c>
      <c r="Z18" s="280">
        <v>43594.531752858798</v>
      </c>
      <c r="AA18" s="277" t="s">
        <v>358</v>
      </c>
    </row>
    <row r="19" spans="1:27" ht="12.75" customHeight="1" x14ac:dyDescent="0.2">
      <c r="A19" s="277" t="s">
        <v>117</v>
      </c>
      <c r="B19" s="277" t="s">
        <v>113</v>
      </c>
      <c r="C19" s="277" t="s">
        <v>35</v>
      </c>
      <c r="D19" s="278">
        <v>43616</v>
      </c>
      <c r="E19" s="279">
        <v>101857.48</v>
      </c>
      <c r="G19" s="277" t="s">
        <v>36</v>
      </c>
      <c r="H19" s="277" t="s">
        <v>89</v>
      </c>
      <c r="I19" s="277" t="s">
        <v>353</v>
      </c>
      <c r="J19" s="277" t="s">
        <v>39</v>
      </c>
      <c r="L19" s="280">
        <v>43616</v>
      </c>
      <c r="P19" s="277" t="s">
        <v>118</v>
      </c>
      <c r="Q19" s="277" t="b">
        <v>1</v>
      </c>
      <c r="S19" s="277" t="s">
        <v>43</v>
      </c>
      <c r="T19" s="277" t="s">
        <v>19</v>
      </c>
      <c r="Y19" s="277">
        <f t="shared" si="0"/>
        <v>5</v>
      </c>
      <c r="Z19" s="280">
        <v>43623.548840705997</v>
      </c>
      <c r="AA19" s="277" t="s">
        <v>358</v>
      </c>
    </row>
    <row r="20" spans="1:27" ht="12.75" customHeight="1" x14ac:dyDescent="0.2">
      <c r="A20" s="277" t="s">
        <v>121</v>
      </c>
      <c r="B20" s="277" t="s">
        <v>113</v>
      </c>
      <c r="C20" s="277" t="s">
        <v>35</v>
      </c>
      <c r="D20" s="278">
        <v>43646</v>
      </c>
      <c r="E20" s="279">
        <v>90772.77</v>
      </c>
      <c r="G20" s="277" t="s">
        <v>36</v>
      </c>
      <c r="H20" s="277" t="s">
        <v>89</v>
      </c>
      <c r="I20" s="277" t="s">
        <v>353</v>
      </c>
      <c r="J20" s="277" t="s">
        <v>39</v>
      </c>
      <c r="L20" s="280">
        <v>43646</v>
      </c>
      <c r="P20" s="277" t="s">
        <v>122</v>
      </c>
      <c r="Q20" s="277" t="b">
        <v>1</v>
      </c>
      <c r="S20" s="277" t="s">
        <v>43</v>
      </c>
      <c r="T20" s="277" t="s">
        <v>19</v>
      </c>
      <c r="Y20" s="277">
        <f t="shared" si="0"/>
        <v>6</v>
      </c>
      <c r="Z20" s="280">
        <v>43655.432696377298</v>
      </c>
      <c r="AA20" s="277" t="s">
        <v>358</v>
      </c>
    </row>
    <row r="21" spans="1:27" ht="12.75" customHeight="1" x14ac:dyDescent="0.2">
      <c r="A21" s="277" t="s">
        <v>125</v>
      </c>
      <c r="B21" s="277" t="s">
        <v>113</v>
      </c>
      <c r="C21" s="277" t="s">
        <v>35</v>
      </c>
      <c r="D21" s="278">
        <v>43677</v>
      </c>
      <c r="E21" s="279">
        <v>88581.88</v>
      </c>
      <c r="G21" s="277" t="s">
        <v>36</v>
      </c>
      <c r="H21" s="277" t="s">
        <v>89</v>
      </c>
      <c r="I21" s="277" t="s">
        <v>353</v>
      </c>
      <c r="J21" s="277" t="s">
        <v>39</v>
      </c>
      <c r="L21" s="280">
        <v>43677</v>
      </c>
      <c r="P21" s="277" t="s">
        <v>126</v>
      </c>
      <c r="Q21" s="277" t="b">
        <v>1</v>
      </c>
      <c r="S21" s="277" t="s">
        <v>43</v>
      </c>
      <c r="T21" s="277" t="s">
        <v>19</v>
      </c>
      <c r="Y21" s="277">
        <f t="shared" si="0"/>
        <v>7</v>
      </c>
      <c r="Z21" s="280">
        <v>43684.4100056713</v>
      </c>
      <c r="AA21" s="277" t="s">
        <v>358</v>
      </c>
    </row>
    <row r="22" spans="1:27" ht="12.75" customHeight="1" x14ac:dyDescent="0.2">
      <c r="A22" s="277" t="s">
        <v>129</v>
      </c>
      <c r="B22" s="277" t="s">
        <v>113</v>
      </c>
      <c r="C22" s="277" t="s">
        <v>35</v>
      </c>
      <c r="D22" s="278">
        <v>43708</v>
      </c>
      <c r="E22" s="279">
        <v>76321.56</v>
      </c>
      <c r="G22" s="277" t="s">
        <v>36</v>
      </c>
      <c r="H22" s="277" t="s">
        <v>89</v>
      </c>
      <c r="I22" s="277" t="s">
        <v>353</v>
      </c>
      <c r="J22" s="277" t="s">
        <v>39</v>
      </c>
      <c r="L22" s="280">
        <v>43708</v>
      </c>
      <c r="P22" s="277" t="s">
        <v>130</v>
      </c>
      <c r="Q22" s="277" t="b">
        <v>1</v>
      </c>
      <c r="S22" s="277" t="s">
        <v>43</v>
      </c>
      <c r="T22" s="277" t="s">
        <v>19</v>
      </c>
      <c r="Y22" s="277">
        <f t="shared" si="0"/>
        <v>8</v>
      </c>
      <c r="Z22" s="280">
        <v>43717.404158182901</v>
      </c>
      <c r="AA22" s="277" t="s">
        <v>358</v>
      </c>
    </row>
    <row r="23" spans="1:27" ht="12.75" customHeight="1" x14ac:dyDescent="0.2">
      <c r="A23" s="277" t="s">
        <v>467</v>
      </c>
      <c r="B23" s="277" t="s">
        <v>113</v>
      </c>
      <c r="C23" s="277" t="s">
        <v>35</v>
      </c>
      <c r="D23" s="278">
        <v>43738</v>
      </c>
      <c r="E23" s="279">
        <v>105382.26</v>
      </c>
      <c r="G23" s="277" t="s">
        <v>36</v>
      </c>
      <c r="H23" s="277" t="s">
        <v>89</v>
      </c>
      <c r="J23" s="277" t="s">
        <v>39</v>
      </c>
      <c r="L23" s="280">
        <v>43738</v>
      </c>
      <c r="P23" s="277" t="s">
        <v>468</v>
      </c>
      <c r="Q23" s="277" t="b">
        <v>0</v>
      </c>
      <c r="S23" s="277" t="s">
        <v>43</v>
      </c>
      <c r="T23" s="277" t="s">
        <v>19</v>
      </c>
      <c r="Y23" s="277">
        <f t="shared" si="0"/>
        <v>9</v>
      </c>
      <c r="Z23" s="280">
        <v>43746.487745486098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30E9-5455-4F36-BCB9-BD2E1D77DFA4}">
  <dimension ref="A1:AH9"/>
  <sheetViews>
    <sheetView workbookViewId="0">
      <selection activeCell="B9" sqref="B9"/>
    </sheetView>
  </sheetViews>
  <sheetFormatPr defaultColWidth="11.42578125" defaultRowHeight="12.75" customHeight="1" x14ac:dyDescent="0.2"/>
  <cols>
    <col min="1" max="1" width="11.42578125" style="196" customWidth="1"/>
    <col min="2" max="2" width="83.7109375" style="196" customWidth="1"/>
    <col min="3" max="34" width="11.42578125" style="196" customWidth="1"/>
    <col min="35" max="16384" width="11.42578125" style="196"/>
  </cols>
  <sheetData>
    <row r="1" spans="1:34" ht="12.75" customHeight="1" x14ac:dyDescent="0.2">
      <c r="A1" s="196" t="s">
        <v>0</v>
      </c>
      <c r="B1" s="196" t="s">
        <v>1</v>
      </c>
      <c r="C1" s="196" t="s">
        <v>2</v>
      </c>
      <c r="D1" s="196" t="s">
        <v>3</v>
      </c>
      <c r="E1" s="196" t="s">
        <v>4</v>
      </c>
      <c r="F1" s="196" t="s">
        <v>5</v>
      </c>
      <c r="G1" s="196" t="s">
        <v>6</v>
      </c>
      <c r="H1" s="196" t="s">
        <v>7</v>
      </c>
      <c r="I1" s="196" t="s">
        <v>8</v>
      </c>
      <c r="J1" s="196" t="s">
        <v>9</v>
      </c>
      <c r="K1" s="196" t="s">
        <v>10</v>
      </c>
      <c r="L1" s="196" t="s">
        <v>11</v>
      </c>
      <c r="M1" s="196" t="s">
        <v>12</v>
      </c>
      <c r="N1" s="196" t="s">
        <v>13</v>
      </c>
      <c r="O1" s="196" t="s">
        <v>14</v>
      </c>
      <c r="P1" s="196" t="s">
        <v>15</v>
      </c>
      <c r="Q1" s="196" t="s">
        <v>16</v>
      </c>
      <c r="R1" s="196" t="s">
        <v>17</v>
      </c>
      <c r="S1" s="196" t="s">
        <v>18</v>
      </c>
      <c r="T1" s="196" t="s">
        <v>19</v>
      </c>
      <c r="U1" s="196" t="s">
        <v>20</v>
      </c>
      <c r="V1" s="196" t="s">
        <v>21</v>
      </c>
      <c r="W1" s="196" t="s">
        <v>22</v>
      </c>
      <c r="X1" s="196" t="s">
        <v>23</v>
      </c>
      <c r="Y1" s="196" t="s">
        <v>131</v>
      </c>
      <c r="Z1" s="196" t="s">
        <v>24</v>
      </c>
      <c r="AA1" s="196" t="s">
        <v>25</v>
      </c>
      <c r="AB1" s="196" t="s">
        <v>26</v>
      </c>
      <c r="AC1" s="196" t="s">
        <v>27</v>
      </c>
      <c r="AD1" s="196" t="s">
        <v>28</v>
      </c>
      <c r="AE1" s="196" t="s">
        <v>29</v>
      </c>
      <c r="AF1" s="196" t="s">
        <v>30</v>
      </c>
      <c r="AG1" s="196" t="s">
        <v>31</v>
      </c>
      <c r="AH1" s="196" t="s">
        <v>32</v>
      </c>
    </row>
    <row r="2" spans="1:34" ht="12.75" customHeight="1" x14ac:dyDescent="0.2">
      <c r="A2" s="196" t="s">
        <v>470</v>
      </c>
      <c r="B2" s="196" t="s">
        <v>471</v>
      </c>
      <c r="C2" s="196" t="s">
        <v>35</v>
      </c>
      <c r="D2" s="197">
        <v>43496</v>
      </c>
      <c r="E2" s="198">
        <v>31695.65</v>
      </c>
      <c r="G2" s="196" t="s">
        <v>36</v>
      </c>
      <c r="H2" s="196" t="s">
        <v>89</v>
      </c>
      <c r="I2" s="196" t="s">
        <v>38</v>
      </c>
      <c r="J2" s="196" t="s">
        <v>39</v>
      </c>
      <c r="K2" s="196" t="s">
        <v>472</v>
      </c>
      <c r="L2" s="199">
        <v>43503</v>
      </c>
      <c r="M2" s="197">
        <v>43503</v>
      </c>
      <c r="N2" s="196" t="s">
        <v>473</v>
      </c>
      <c r="P2" s="196" t="s">
        <v>474</v>
      </c>
      <c r="Q2" s="196" t="b">
        <v>1</v>
      </c>
      <c r="S2" s="196" t="s">
        <v>43</v>
      </c>
      <c r="T2" s="196" t="s">
        <v>19</v>
      </c>
      <c r="U2" s="196" t="s">
        <v>475</v>
      </c>
      <c r="Y2" s="196">
        <f>MONTH(D2)</f>
        <v>1</v>
      </c>
      <c r="Z2" s="199">
        <v>43504.553839085602</v>
      </c>
      <c r="AA2" s="196" t="s">
        <v>45</v>
      </c>
    </row>
    <row r="3" spans="1:34" ht="12.75" customHeight="1" x14ac:dyDescent="0.2">
      <c r="A3" s="196" t="s">
        <v>476</v>
      </c>
      <c r="B3" s="196" t="s">
        <v>477</v>
      </c>
      <c r="C3" s="196" t="s">
        <v>35</v>
      </c>
      <c r="D3" s="197">
        <v>43524</v>
      </c>
      <c r="E3" s="198">
        <v>28549.57</v>
      </c>
      <c r="G3" s="196" t="s">
        <v>36</v>
      </c>
      <c r="H3" s="196" t="s">
        <v>89</v>
      </c>
      <c r="I3" s="196" t="s">
        <v>38</v>
      </c>
      <c r="J3" s="196" t="s">
        <v>39</v>
      </c>
      <c r="K3" s="196" t="s">
        <v>472</v>
      </c>
      <c r="L3" s="199">
        <v>43529</v>
      </c>
      <c r="M3" s="197">
        <v>43529</v>
      </c>
      <c r="N3" s="196" t="s">
        <v>478</v>
      </c>
      <c r="P3" s="196" t="s">
        <v>479</v>
      </c>
      <c r="Q3" s="196" t="b">
        <v>1</v>
      </c>
      <c r="S3" s="196" t="s">
        <v>43</v>
      </c>
      <c r="T3" s="196" t="s">
        <v>19</v>
      </c>
      <c r="U3" s="196" t="s">
        <v>475</v>
      </c>
      <c r="Y3" s="196">
        <f t="shared" ref="Y3:Y9" si="0">MONTH(D3)</f>
        <v>2</v>
      </c>
      <c r="Z3" s="199">
        <v>43532.506442395803</v>
      </c>
      <c r="AA3" s="196" t="s">
        <v>45</v>
      </c>
    </row>
    <row r="4" spans="1:34" ht="12.75" customHeight="1" x14ac:dyDescent="0.2">
      <c r="A4" s="196" t="s">
        <v>480</v>
      </c>
      <c r="B4" s="196" t="s">
        <v>481</v>
      </c>
      <c r="C4" s="196" t="s">
        <v>35</v>
      </c>
      <c r="D4" s="197">
        <v>43553</v>
      </c>
      <c r="E4" s="198">
        <v>30944.35</v>
      </c>
      <c r="G4" s="196" t="s">
        <v>36</v>
      </c>
      <c r="H4" s="196" t="s">
        <v>89</v>
      </c>
      <c r="I4" s="196" t="s">
        <v>38</v>
      </c>
      <c r="J4" s="196" t="s">
        <v>39</v>
      </c>
      <c r="K4" s="196" t="s">
        <v>472</v>
      </c>
      <c r="L4" s="199">
        <v>43558</v>
      </c>
      <c r="M4" s="197">
        <v>43558</v>
      </c>
      <c r="N4" s="196" t="s">
        <v>482</v>
      </c>
      <c r="P4" s="196" t="s">
        <v>483</v>
      </c>
      <c r="Q4" s="196" t="b">
        <v>1</v>
      </c>
      <c r="S4" s="196" t="s">
        <v>43</v>
      </c>
      <c r="T4" s="196" t="s">
        <v>19</v>
      </c>
      <c r="U4" s="196" t="s">
        <v>475</v>
      </c>
      <c r="Y4" s="196">
        <f t="shared" si="0"/>
        <v>3</v>
      </c>
      <c r="Z4" s="199">
        <v>43560.609238692101</v>
      </c>
      <c r="AA4" s="196" t="s">
        <v>45</v>
      </c>
    </row>
    <row r="5" spans="1:34" ht="12.75" customHeight="1" x14ac:dyDescent="0.2">
      <c r="A5" s="196" t="s">
        <v>484</v>
      </c>
      <c r="B5" s="196" t="s">
        <v>485</v>
      </c>
      <c r="C5" s="196" t="s">
        <v>35</v>
      </c>
      <c r="D5" s="197">
        <v>43585</v>
      </c>
      <c r="E5" s="198">
        <v>29864.35</v>
      </c>
      <c r="G5" s="196" t="s">
        <v>36</v>
      </c>
      <c r="H5" s="196" t="s">
        <v>89</v>
      </c>
      <c r="I5" s="196" t="s">
        <v>38</v>
      </c>
      <c r="J5" s="196" t="s">
        <v>39</v>
      </c>
      <c r="K5" s="196" t="s">
        <v>472</v>
      </c>
      <c r="L5" s="199">
        <v>43588</v>
      </c>
      <c r="M5" s="197">
        <v>43588</v>
      </c>
      <c r="N5" s="196" t="s">
        <v>486</v>
      </c>
      <c r="P5" s="196" t="s">
        <v>487</v>
      </c>
      <c r="Q5" s="196" t="b">
        <v>1</v>
      </c>
      <c r="S5" s="196" t="s">
        <v>43</v>
      </c>
      <c r="T5" s="196" t="s">
        <v>19</v>
      </c>
      <c r="U5" s="196" t="s">
        <v>475</v>
      </c>
      <c r="Y5" s="196">
        <f t="shared" si="0"/>
        <v>4</v>
      </c>
      <c r="Z5" s="199">
        <v>43594.3424920486</v>
      </c>
      <c r="AA5" s="196" t="s">
        <v>45</v>
      </c>
    </row>
    <row r="6" spans="1:34" ht="12.75" customHeight="1" x14ac:dyDescent="0.2">
      <c r="A6" s="196" t="s">
        <v>488</v>
      </c>
      <c r="B6" s="196" t="s">
        <v>489</v>
      </c>
      <c r="C6" s="196" t="s">
        <v>35</v>
      </c>
      <c r="D6" s="197">
        <v>43616</v>
      </c>
      <c r="E6" s="198">
        <v>31460.87</v>
      </c>
      <c r="G6" s="196" t="s">
        <v>36</v>
      </c>
      <c r="H6" s="196" t="s">
        <v>89</v>
      </c>
      <c r="I6" s="196" t="s">
        <v>38</v>
      </c>
      <c r="J6" s="196" t="s">
        <v>39</v>
      </c>
      <c r="K6" s="196" t="s">
        <v>472</v>
      </c>
      <c r="L6" s="199">
        <v>43620</v>
      </c>
      <c r="M6" s="197">
        <v>43620</v>
      </c>
      <c r="N6" s="196" t="s">
        <v>490</v>
      </c>
      <c r="P6" s="196" t="s">
        <v>491</v>
      </c>
      <c r="Q6" s="196" t="b">
        <v>1</v>
      </c>
      <c r="S6" s="196" t="s">
        <v>86</v>
      </c>
      <c r="T6" s="196" t="s">
        <v>19</v>
      </c>
      <c r="U6" s="196" t="s">
        <v>475</v>
      </c>
      <c r="Y6" s="196">
        <f t="shared" si="0"/>
        <v>5</v>
      </c>
      <c r="Z6" s="199">
        <v>43623.306878321797</v>
      </c>
      <c r="AA6" s="196" t="s">
        <v>45</v>
      </c>
    </row>
    <row r="7" spans="1:34" ht="12.75" customHeight="1" x14ac:dyDescent="0.2">
      <c r="A7" s="196" t="s">
        <v>492</v>
      </c>
      <c r="B7" s="196" t="s">
        <v>493</v>
      </c>
      <c r="C7" s="196" t="s">
        <v>35</v>
      </c>
      <c r="D7" s="197">
        <v>43646</v>
      </c>
      <c r="E7" s="198">
        <v>28878.26</v>
      </c>
      <c r="G7" s="196" t="s">
        <v>36</v>
      </c>
      <c r="H7" s="196" t="s">
        <v>89</v>
      </c>
      <c r="I7" s="196" t="s">
        <v>38</v>
      </c>
      <c r="J7" s="196" t="s">
        <v>39</v>
      </c>
      <c r="K7" s="196" t="s">
        <v>472</v>
      </c>
      <c r="L7" s="199">
        <v>43649</v>
      </c>
      <c r="M7" s="197">
        <v>43649</v>
      </c>
      <c r="N7" s="196" t="s">
        <v>494</v>
      </c>
      <c r="P7" s="196" t="s">
        <v>495</v>
      </c>
      <c r="Q7" s="196" t="b">
        <v>1</v>
      </c>
      <c r="S7" s="196" t="s">
        <v>43</v>
      </c>
      <c r="T7" s="196" t="s">
        <v>19</v>
      </c>
      <c r="U7" s="196" t="s">
        <v>475</v>
      </c>
      <c r="Y7" s="196">
        <f t="shared" si="0"/>
        <v>6</v>
      </c>
      <c r="Z7" s="199">
        <v>43654.383881828697</v>
      </c>
      <c r="AA7" s="196" t="s">
        <v>45</v>
      </c>
    </row>
    <row r="8" spans="1:34" ht="12.75" customHeight="1" x14ac:dyDescent="0.2">
      <c r="A8" s="196" t="s">
        <v>496</v>
      </c>
      <c r="B8" s="196" t="s">
        <v>497</v>
      </c>
      <c r="C8" s="196" t="s">
        <v>35</v>
      </c>
      <c r="D8" s="197">
        <v>43708</v>
      </c>
      <c r="E8" s="198">
        <v>18059.13</v>
      </c>
      <c r="G8" s="196" t="s">
        <v>36</v>
      </c>
      <c r="H8" s="196" t="s">
        <v>89</v>
      </c>
      <c r="I8" s="196" t="s">
        <v>38</v>
      </c>
      <c r="J8" s="196" t="s">
        <v>39</v>
      </c>
      <c r="K8" s="196" t="s">
        <v>472</v>
      </c>
      <c r="L8" s="199">
        <v>43713</v>
      </c>
      <c r="M8" s="197">
        <v>43713</v>
      </c>
      <c r="N8" s="196" t="s">
        <v>498</v>
      </c>
      <c r="P8" s="196" t="s">
        <v>499</v>
      </c>
      <c r="Q8" s="196" t="b">
        <v>1</v>
      </c>
      <c r="S8" s="196" t="s">
        <v>43</v>
      </c>
      <c r="T8" s="196" t="s">
        <v>19</v>
      </c>
      <c r="U8" s="196" t="s">
        <v>475</v>
      </c>
      <c r="Y8" s="196">
        <f t="shared" si="0"/>
        <v>8</v>
      </c>
      <c r="Z8" s="199">
        <v>43717.376798032397</v>
      </c>
      <c r="AA8" s="196" t="s">
        <v>45</v>
      </c>
    </row>
    <row r="9" spans="1:34" ht="12.75" customHeight="1" x14ac:dyDescent="0.2">
      <c r="A9" s="196" t="s">
        <v>500</v>
      </c>
      <c r="B9" s="196" t="s">
        <v>501</v>
      </c>
      <c r="C9" s="196" t="s">
        <v>35</v>
      </c>
      <c r="D9" s="197">
        <v>43738</v>
      </c>
      <c r="E9" s="198">
        <v>33809.57</v>
      </c>
      <c r="G9" s="196" t="s">
        <v>36</v>
      </c>
      <c r="H9" s="196" t="s">
        <v>89</v>
      </c>
      <c r="J9" s="196" t="s">
        <v>39</v>
      </c>
      <c r="K9" s="196" t="s">
        <v>472</v>
      </c>
      <c r="L9" s="199">
        <v>43741</v>
      </c>
      <c r="M9" s="197">
        <v>43741</v>
      </c>
      <c r="N9" s="196" t="s">
        <v>502</v>
      </c>
      <c r="P9" s="196" t="s">
        <v>503</v>
      </c>
      <c r="Q9" s="196" t="b">
        <v>0</v>
      </c>
      <c r="S9" s="196" t="s">
        <v>86</v>
      </c>
      <c r="T9" s="196" t="s">
        <v>19</v>
      </c>
      <c r="U9" s="196" t="s">
        <v>475</v>
      </c>
      <c r="Y9" s="196">
        <f t="shared" si="0"/>
        <v>9</v>
      </c>
      <c r="Z9" s="199">
        <v>43745.2796914352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9"/>
  <sheetViews>
    <sheetView workbookViewId="0">
      <selection activeCell="S15" sqref="S15"/>
    </sheetView>
  </sheetViews>
  <sheetFormatPr defaultColWidth="11.42578125" defaultRowHeight="12.75" x14ac:dyDescent="0.2"/>
  <cols>
    <col min="1" max="11" width="11.42578125" style="196"/>
    <col min="12" max="12" width="16.5703125" style="196" customWidth="1"/>
    <col min="13" max="16384" width="11.42578125" style="196"/>
  </cols>
  <sheetData>
    <row r="1" spans="1:34" ht="12.75" customHeight="1" x14ac:dyDescent="0.2">
      <c r="A1" s="196" t="s">
        <v>0</v>
      </c>
      <c r="B1" s="196" t="s">
        <v>1</v>
      </c>
      <c r="C1" s="196" t="s">
        <v>2</v>
      </c>
      <c r="D1" s="196" t="s">
        <v>3</v>
      </c>
      <c r="E1" s="196" t="s">
        <v>4</v>
      </c>
      <c r="F1" s="196" t="s">
        <v>5</v>
      </c>
      <c r="G1" s="196" t="s">
        <v>6</v>
      </c>
      <c r="H1" s="196" t="s">
        <v>7</v>
      </c>
      <c r="I1" s="196" t="s">
        <v>8</v>
      </c>
      <c r="J1" s="196" t="s">
        <v>9</v>
      </c>
      <c r="K1" s="196" t="s">
        <v>10</v>
      </c>
      <c r="L1" s="196" t="s">
        <v>11</v>
      </c>
      <c r="M1" s="196" t="s">
        <v>12</v>
      </c>
      <c r="N1" s="196" t="s">
        <v>13</v>
      </c>
      <c r="O1" s="196" t="s">
        <v>14</v>
      </c>
      <c r="P1" s="196" t="s">
        <v>15</v>
      </c>
      <c r="Q1" s="196" t="s">
        <v>16</v>
      </c>
      <c r="R1" s="196" t="s">
        <v>17</v>
      </c>
      <c r="S1" s="196" t="s">
        <v>18</v>
      </c>
      <c r="T1" s="196" t="s">
        <v>19</v>
      </c>
      <c r="U1" s="196" t="s">
        <v>20</v>
      </c>
      <c r="V1" s="196" t="s">
        <v>21</v>
      </c>
      <c r="W1" s="196" t="s">
        <v>22</v>
      </c>
      <c r="X1" s="196" t="s">
        <v>23</v>
      </c>
      <c r="Y1" s="200" t="s">
        <v>131</v>
      </c>
      <c r="Z1" s="196" t="s">
        <v>24</v>
      </c>
      <c r="AA1" s="196" t="s">
        <v>25</v>
      </c>
      <c r="AB1" s="196" t="s">
        <v>26</v>
      </c>
      <c r="AC1" s="196" t="s">
        <v>27</v>
      </c>
      <c r="AD1" s="196" t="s">
        <v>28</v>
      </c>
      <c r="AE1" s="196" t="s">
        <v>29</v>
      </c>
      <c r="AF1" s="196" t="s">
        <v>30</v>
      </c>
      <c r="AG1" s="196" t="s">
        <v>31</v>
      </c>
      <c r="AH1" s="196" t="s">
        <v>32</v>
      </c>
    </row>
    <row r="2" spans="1:34" ht="12.75" customHeight="1" x14ac:dyDescent="0.2">
      <c r="A2" s="196" t="s">
        <v>308</v>
      </c>
      <c r="B2" s="196" t="s">
        <v>309</v>
      </c>
      <c r="C2" s="196" t="s">
        <v>35</v>
      </c>
      <c r="D2" s="197">
        <v>43496</v>
      </c>
      <c r="F2" s="198">
        <v>6635.25</v>
      </c>
      <c r="G2" s="196" t="s">
        <v>36</v>
      </c>
      <c r="H2" s="196" t="s">
        <v>310</v>
      </c>
      <c r="I2" s="196" t="s">
        <v>38</v>
      </c>
      <c r="J2" s="196" t="s">
        <v>39</v>
      </c>
      <c r="L2" s="199">
        <v>43496</v>
      </c>
      <c r="P2" s="196" t="s">
        <v>311</v>
      </c>
      <c r="Q2" s="196" t="b">
        <v>1</v>
      </c>
      <c r="S2" s="196" t="s">
        <v>43</v>
      </c>
      <c r="T2" s="196" t="s">
        <v>19</v>
      </c>
      <c r="Y2" s="196">
        <f>MONTH(D2)</f>
        <v>1</v>
      </c>
      <c r="Z2" s="199">
        <v>43504.611075659697</v>
      </c>
      <c r="AA2" s="196" t="s">
        <v>45</v>
      </c>
    </row>
    <row r="3" spans="1:34" ht="12.75" customHeight="1" x14ac:dyDescent="0.2">
      <c r="A3" s="196" t="s">
        <v>312</v>
      </c>
      <c r="B3" s="196" t="s">
        <v>313</v>
      </c>
      <c r="C3" s="196" t="s">
        <v>35</v>
      </c>
      <c r="D3" s="197">
        <v>43496</v>
      </c>
      <c r="F3" s="198">
        <v>470058.14</v>
      </c>
      <c r="G3" s="196" t="s">
        <v>36</v>
      </c>
      <c r="H3" s="196" t="s">
        <v>310</v>
      </c>
      <c r="I3" s="196" t="s">
        <v>38</v>
      </c>
      <c r="J3" s="196" t="s">
        <v>39</v>
      </c>
      <c r="L3" s="199">
        <v>43496</v>
      </c>
      <c r="P3" s="196" t="s">
        <v>314</v>
      </c>
      <c r="Q3" s="196" t="b">
        <v>1</v>
      </c>
      <c r="S3" s="196" t="s">
        <v>43</v>
      </c>
      <c r="T3" s="196" t="s">
        <v>19</v>
      </c>
      <c r="Y3" s="196">
        <f t="shared" ref="Y3:Y18" si="0">MONTH(D3)</f>
        <v>1</v>
      </c>
      <c r="Z3" s="199">
        <v>43504.611077280097</v>
      </c>
      <c r="AA3" s="196" t="s">
        <v>45</v>
      </c>
    </row>
    <row r="4" spans="1:34" ht="12.75" customHeight="1" x14ac:dyDescent="0.2">
      <c r="A4" s="196" t="s">
        <v>315</v>
      </c>
      <c r="B4" s="196" t="s">
        <v>316</v>
      </c>
      <c r="C4" s="196" t="s">
        <v>35</v>
      </c>
      <c r="D4" s="197">
        <v>43524</v>
      </c>
      <c r="F4" s="198">
        <v>5976.64</v>
      </c>
      <c r="G4" s="196" t="s">
        <v>36</v>
      </c>
      <c r="H4" s="196" t="s">
        <v>310</v>
      </c>
      <c r="I4" s="196" t="s">
        <v>38</v>
      </c>
      <c r="J4" s="196" t="s">
        <v>39</v>
      </c>
      <c r="L4" s="199">
        <v>43524</v>
      </c>
      <c r="P4" s="196" t="s">
        <v>317</v>
      </c>
      <c r="Q4" s="196" t="b">
        <v>1</v>
      </c>
      <c r="S4" s="196" t="s">
        <v>43</v>
      </c>
      <c r="T4" s="196" t="s">
        <v>19</v>
      </c>
      <c r="Y4" s="196">
        <f t="shared" si="0"/>
        <v>2</v>
      </c>
      <c r="Z4" s="199">
        <v>43531.545854479198</v>
      </c>
      <c r="AA4" s="196" t="s">
        <v>45</v>
      </c>
    </row>
    <row r="5" spans="1:34" ht="12.75" customHeight="1" x14ac:dyDescent="0.2">
      <c r="A5" s="196" t="s">
        <v>318</v>
      </c>
      <c r="B5" s="196" t="s">
        <v>319</v>
      </c>
      <c r="C5" s="196" t="s">
        <v>35</v>
      </c>
      <c r="D5" s="197">
        <v>43524</v>
      </c>
      <c r="F5" s="198">
        <v>419384.11</v>
      </c>
      <c r="G5" s="196" t="s">
        <v>36</v>
      </c>
      <c r="H5" s="196" t="s">
        <v>310</v>
      </c>
      <c r="I5" s="196" t="s">
        <v>38</v>
      </c>
      <c r="J5" s="196" t="s">
        <v>39</v>
      </c>
      <c r="L5" s="199">
        <v>43524</v>
      </c>
      <c r="P5" s="196" t="s">
        <v>320</v>
      </c>
      <c r="Q5" s="196" t="b">
        <v>1</v>
      </c>
      <c r="S5" s="196" t="s">
        <v>43</v>
      </c>
      <c r="T5" s="196" t="s">
        <v>19</v>
      </c>
      <c r="Y5" s="196">
        <f t="shared" si="0"/>
        <v>2</v>
      </c>
      <c r="Z5" s="199">
        <v>43531.545857372701</v>
      </c>
      <c r="AA5" s="196" t="s">
        <v>45</v>
      </c>
    </row>
    <row r="6" spans="1:34" ht="12.75" customHeight="1" x14ac:dyDescent="0.2">
      <c r="A6" s="196" t="s">
        <v>321</v>
      </c>
      <c r="B6" s="196" t="s">
        <v>322</v>
      </c>
      <c r="C6" s="196" t="s">
        <v>35</v>
      </c>
      <c r="D6" s="197">
        <v>43555</v>
      </c>
      <c r="F6" s="198">
        <v>6477.97</v>
      </c>
      <c r="G6" s="196" t="s">
        <v>36</v>
      </c>
      <c r="H6" s="196" t="s">
        <v>310</v>
      </c>
      <c r="I6" s="196" t="s">
        <v>38</v>
      </c>
      <c r="J6" s="196" t="s">
        <v>39</v>
      </c>
      <c r="L6" s="199">
        <v>43555</v>
      </c>
      <c r="P6" s="196" t="s">
        <v>323</v>
      </c>
      <c r="Q6" s="196" t="b">
        <v>1</v>
      </c>
      <c r="S6" s="196" t="s">
        <v>43</v>
      </c>
      <c r="T6" s="196" t="s">
        <v>19</v>
      </c>
      <c r="Y6" s="196">
        <f t="shared" si="0"/>
        <v>3</v>
      </c>
      <c r="Z6" s="199">
        <v>43563.409177118097</v>
      </c>
      <c r="AA6" s="196" t="s">
        <v>45</v>
      </c>
    </row>
    <row r="7" spans="1:34" ht="12.75" customHeight="1" x14ac:dyDescent="0.2">
      <c r="A7" s="196" t="s">
        <v>324</v>
      </c>
      <c r="B7" s="196" t="s">
        <v>325</v>
      </c>
      <c r="C7" s="196" t="s">
        <v>35</v>
      </c>
      <c r="D7" s="197">
        <v>43555</v>
      </c>
      <c r="F7" s="198">
        <v>434534.86</v>
      </c>
      <c r="G7" s="196" t="s">
        <v>36</v>
      </c>
      <c r="H7" s="196" t="s">
        <v>310</v>
      </c>
      <c r="I7" s="196" t="s">
        <v>38</v>
      </c>
      <c r="J7" s="196" t="s">
        <v>39</v>
      </c>
      <c r="L7" s="199">
        <v>43555</v>
      </c>
      <c r="P7" s="196" t="s">
        <v>326</v>
      </c>
      <c r="Q7" s="196" t="b">
        <v>1</v>
      </c>
      <c r="S7" s="196" t="s">
        <v>43</v>
      </c>
      <c r="T7" s="196" t="s">
        <v>19</v>
      </c>
      <c r="Y7" s="196">
        <f t="shared" si="0"/>
        <v>3</v>
      </c>
      <c r="Z7" s="199">
        <v>43563.409179664399</v>
      </c>
      <c r="AA7" s="196" t="s">
        <v>45</v>
      </c>
    </row>
    <row r="8" spans="1:34" ht="12.75" customHeight="1" x14ac:dyDescent="0.2">
      <c r="A8" s="196" t="s">
        <v>327</v>
      </c>
      <c r="B8" s="196" t="s">
        <v>328</v>
      </c>
      <c r="C8" s="196" t="s">
        <v>35</v>
      </c>
      <c r="D8" s="197">
        <v>43585</v>
      </c>
      <c r="F8" s="198">
        <v>6251.88</v>
      </c>
      <c r="G8" s="196" t="s">
        <v>36</v>
      </c>
      <c r="H8" s="196" t="s">
        <v>310</v>
      </c>
      <c r="I8" s="196" t="s">
        <v>38</v>
      </c>
      <c r="J8" s="196" t="s">
        <v>39</v>
      </c>
      <c r="L8" s="199">
        <v>43585</v>
      </c>
      <c r="P8" s="196" t="s">
        <v>329</v>
      </c>
      <c r="Q8" s="196" t="b">
        <v>1</v>
      </c>
      <c r="S8" s="196" t="s">
        <v>43</v>
      </c>
      <c r="T8" s="196" t="s">
        <v>19</v>
      </c>
      <c r="Y8" s="196">
        <f t="shared" si="0"/>
        <v>4</v>
      </c>
      <c r="Z8" s="199">
        <v>43594.501180289401</v>
      </c>
      <c r="AA8" s="196" t="s">
        <v>45</v>
      </c>
    </row>
    <row r="9" spans="1:34" ht="12.75" customHeight="1" x14ac:dyDescent="0.2">
      <c r="A9" s="196" t="s">
        <v>330</v>
      </c>
      <c r="B9" s="196" t="s">
        <v>331</v>
      </c>
      <c r="C9" s="196" t="s">
        <v>35</v>
      </c>
      <c r="D9" s="197">
        <v>43585</v>
      </c>
      <c r="F9" s="198">
        <v>428826.13</v>
      </c>
      <c r="G9" s="196" t="s">
        <v>36</v>
      </c>
      <c r="H9" s="196" t="s">
        <v>310</v>
      </c>
      <c r="I9" s="196" t="s">
        <v>38</v>
      </c>
      <c r="J9" s="196" t="s">
        <v>39</v>
      </c>
      <c r="L9" s="199">
        <v>43585</v>
      </c>
      <c r="P9" s="196" t="s">
        <v>332</v>
      </c>
      <c r="Q9" s="196" t="b">
        <v>1</v>
      </c>
      <c r="S9" s="196" t="s">
        <v>43</v>
      </c>
      <c r="T9" s="196" t="s">
        <v>19</v>
      </c>
      <c r="Y9" s="196">
        <f t="shared" si="0"/>
        <v>4</v>
      </c>
      <c r="Z9" s="199">
        <v>43594.501184108798</v>
      </c>
      <c r="AA9" s="196" t="s">
        <v>45</v>
      </c>
    </row>
    <row r="10" spans="1:34" ht="12.75" customHeight="1" x14ac:dyDescent="0.2">
      <c r="A10" s="196" t="s">
        <v>333</v>
      </c>
      <c r="B10" s="196" t="s">
        <v>328</v>
      </c>
      <c r="C10" s="196" t="s">
        <v>35</v>
      </c>
      <c r="D10" s="197">
        <v>43616</v>
      </c>
      <c r="F10" s="198">
        <v>6586.1</v>
      </c>
      <c r="G10" s="196" t="s">
        <v>36</v>
      </c>
      <c r="H10" s="196" t="s">
        <v>310</v>
      </c>
      <c r="I10" s="196" t="s">
        <v>38</v>
      </c>
      <c r="J10" s="196" t="s">
        <v>39</v>
      </c>
      <c r="L10" s="199">
        <v>43616</v>
      </c>
      <c r="P10" s="196" t="s">
        <v>334</v>
      </c>
      <c r="Q10" s="196" t="b">
        <v>1</v>
      </c>
      <c r="S10" s="196" t="s">
        <v>86</v>
      </c>
      <c r="T10" s="196" t="s">
        <v>19</v>
      </c>
      <c r="Y10" s="196">
        <f t="shared" si="0"/>
        <v>5</v>
      </c>
      <c r="Z10" s="199">
        <v>43623.556544178202</v>
      </c>
      <c r="AA10" s="196" t="s">
        <v>45</v>
      </c>
    </row>
    <row r="11" spans="1:34" ht="12.75" customHeight="1" x14ac:dyDescent="0.2">
      <c r="A11" s="196" t="s">
        <v>335</v>
      </c>
      <c r="B11" s="196" t="s">
        <v>336</v>
      </c>
      <c r="C11" s="196" t="s">
        <v>35</v>
      </c>
      <c r="D11" s="197">
        <v>43616</v>
      </c>
      <c r="F11" s="198">
        <v>443441.11</v>
      </c>
      <c r="G11" s="196" t="s">
        <v>36</v>
      </c>
      <c r="H11" s="196" t="s">
        <v>310</v>
      </c>
      <c r="I11" s="196" t="s">
        <v>38</v>
      </c>
      <c r="J11" s="196" t="s">
        <v>39</v>
      </c>
      <c r="L11" s="199">
        <v>43616</v>
      </c>
      <c r="P11" s="196" t="s">
        <v>337</v>
      </c>
      <c r="Q11" s="196" t="b">
        <v>1</v>
      </c>
      <c r="S11" s="196" t="s">
        <v>86</v>
      </c>
      <c r="T11" s="196" t="s">
        <v>19</v>
      </c>
      <c r="Y11" s="196">
        <f t="shared" si="0"/>
        <v>5</v>
      </c>
      <c r="Z11" s="199">
        <v>43623.556545104198</v>
      </c>
      <c r="AA11" s="196" t="s">
        <v>45</v>
      </c>
    </row>
    <row r="12" spans="1:34" ht="12.75" customHeight="1" x14ac:dyDescent="0.2">
      <c r="A12" s="196" t="s">
        <v>338</v>
      </c>
      <c r="B12" s="196" t="s">
        <v>339</v>
      </c>
      <c r="C12" s="196" t="s">
        <v>35</v>
      </c>
      <c r="D12" s="197">
        <v>43646</v>
      </c>
      <c r="F12" s="198">
        <v>6045.45</v>
      </c>
      <c r="G12" s="196" t="s">
        <v>36</v>
      </c>
      <c r="H12" s="196" t="s">
        <v>310</v>
      </c>
      <c r="I12" s="196" t="s">
        <v>38</v>
      </c>
      <c r="J12" s="196" t="s">
        <v>39</v>
      </c>
      <c r="L12" s="199">
        <v>43646</v>
      </c>
      <c r="P12" s="196" t="s">
        <v>340</v>
      </c>
      <c r="Q12" s="196" t="b">
        <v>1</v>
      </c>
      <c r="S12" s="196" t="s">
        <v>43</v>
      </c>
      <c r="T12" s="196" t="s">
        <v>19</v>
      </c>
      <c r="Y12" s="196">
        <f t="shared" si="0"/>
        <v>6</v>
      </c>
      <c r="Z12" s="199">
        <v>43655.423518946802</v>
      </c>
      <c r="AA12" s="196" t="s">
        <v>45</v>
      </c>
    </row>
    <row r="13" spans="1:34" ht="12.75" customHeight="1" x14ac:dyDescent="0.2">
      <c r="A13" s="196" t="s">
        <v>341</v>
      </c>
      <c r="B13" s="196" t="s">
        <v>336</v>
      </c>
      <c r="C13" s="196" t="s">
        <v>35</v>
      </c>
      <c r="D13" s="197">
        <v>43646</v>
      </c>
      <c r="F13" s="198">
        <v>410183.15</v>
      </c>
      <c r="G13" s="196" t="s">
        <v>36</v>
      </c>
      <c r="H13" s="196" t="s">
        <v>310</v>
      </c>
      <c r="I13" s="196" t="s">
        <v>38</v>
      </c>
      <c r="J13" s="196" t="s">
        <v>39</v>
      </c>
      <c r="L13" s="199">
        <v>43646</v>
      </c>
      <c r="P13" s="196" t="s">
        <v>342</v>
      </c>
      <c r="Q13" s="196" t="b">
        <v>1</v>
      </c>
      <c r="S13" s="196" t="s">
        <v>43</v>
      </c>
      <c r="T13" s="196" t="s">
        <v>19</v>
      </c>
      <c r="Y13" s="196">
        <f t="shared" si="0"/>
        <v>6</v>
      </c>
      <c r="Z13" s="199">
        <v>43655.426915972203</v>
      </c>
      <c r="AA13" s="196" t="s">
        <v>45</v>
      </c>
    </row>
    <row r="14" spans="1:34" ht="12.75" customHeight="1" x14ac:dyDescent="0.2">
      <c r="A14" s="196" t="s">
        <v>343</v>
      </c>
      <c r="B14" s="196" t="s">
        <v>336</v>
      </c>
      <c r="C14" s="196" t="s">
        <v>35</v>
      </c>
      <c r="D14" s="197">
        <v>43677</v>
      </c>
      <c r="F14" s="198">
        <v>389158.97</v>
      </c>
      <c r="G14" s="196" t="s">
        <v>36</v>
      </c>
      <c r="H14" s="196" t="s">
        <v>310</v>
      </c>
      <c r="I14" s="196" t="s">
        <v>38</v>
      </c>
      <c r="J14" s="196" t="s">
        <v>39</v>
      </c>
      <c r="L14" s="199">
        <v>43677</v>
      </c>
      <c r="P14" s="196" t="s">
        <v>344</v>
      </c>
      <c r="Q14" s="196" t="b">
        <v>1</v>
      </c>
      <c r="S14" s="196" t="s">
        <v>43</v>
      </c>
      <c r="T14" s="196" t="s">
        <v>19</v>
      </c>
      <c r="Y14" s="196">
        <f t="shared" si="0"/>
        <v>7</v>
      </c>
      <c r="Z14" s="199">
        <v>43684.389812581001</v>
      </c>
      <c r="AA14" s="196" t="s">
        <v>45</v>
      </c>
    </row>
    <row r="15" spans="1:34" ht="12.75" customHeight="1" x14ac:dyDescent="0.2">
      <c r="A15" s="196" t="s">
        <v>345</v>
      </c>
      <c r="B15" s="196" t="s">
        <v>336</v>
      </c>
      <c r="C15" s="196" t="s">
        <v>35</v>
      </c>
      <c r="D15" s="197">
        <v>43708</v>
      </c>
      <c r="F15" s="198">
        <v>390849.8</v>
      </c>
      <c r="G15" s="196" t="s">
        <v>36</v>
      </c>
      <c r="H15" s="196" t="s">
        <v>310</v>
      </c>
      <c r="I15" s="196" t="s">
        <v>38</v>
      </c>
      <c r="J15" s="196" t="s">
        <v>39</v>
      </c>
      <c r="L15" s="199">
        <v>43708</v>
      </c>
      <c r="P15" s="196" t="s">
        <v>346</v>
      </c>
      <c r="Q15" s="196" t="b">
        <v>1</v>
      </c>
      <c r="S15" s="196" t="s">
        <v>43</v>
      </c>
      <c r="T15" s="196" t="s">
        <v>19</v>
      </c>
      <c r="Y15" s="196">
        <f t="shared" si="0"/>
        <v>8</v>
      </c>
      <c r="Z15" s="199">
        <v>43717.404342129601</v>
      </c>
      <c r="AA15" s="196" t="s">
        <v>45</v>
      </c>
    </row>
    <row r="16" spans="1:34" ht="12.75" customHeight="1" x14ac:dyDescent="0.2">
      <c r="A16" s="196" t="s">
        <v>347</v>
      </c>
      <c r="B16" s="196" t="s">
        <v>328</v>
      </c>
      <c r="C16" s="196" t="s">
        <v>35</v>
      </c>
      <c r="D16" s="197">
        <v>43708</v>
      </c>
      <c r="F16" s="198">
        <v>4312</v>
      </c>
      <c r="G16" s="196" t="s">
        <v>36</v>
      </c>
      <c r="H16" s="196" t="s">
        <v>310</v>
      </c>
      <c r="I16" s="196" t="s">
        <v>38</v>
      </c>
      <c r="J16" s="196" t="s">
        <v>39</v>
      </c>
      <c r="L16" s="199">
        <v>43708</v>
      </c>
      <c r="P16" s="196" t="s">
        <v>348</v>
      </c>
      <c r="Q16" s="196" t="b">
        <v>1</v>
      </c>
      <c r="S16" s="196" t="s">
        <v>43</v>
      </c>
      <c r="T16" s="196" t="s">
        <v>19</v>
      </c>
      <c r="Y16" s="196">
        <f t="shared" si="0"/>
        <v>8</v>
      </c>
      <c r="Z16" s="199">
        <v>43717.4043457523</v>
      </c>
      <c r="AA16" s="196" t="s">
        <v>45</v>
      </c>
    </row>
    <row r="17" spans="1:26" ht="12.75" customHeight="1" x14ac:dyDescent="0.2">
      <c r="A17" s="196" t="s">
        <v>798</v>
      </c>
      <c r="B17" s="196" t="s">
        <v>328</v>
      </c>
      <c r="C17" s="196" t="s">
        <v>35</v>
      </c>
      <c r="D17" s="197">
        <v>43738</v>
      </c>
      <c r="F17" s="198">
        <v>8072.75</v>
      </c>
      <c r="G17" s="196" t="s">
        <v>36</v>
      </c>
      <c r="H17" s="196" t="s">
        <v>310</v>
      </c>
      <c r="J17" s="196" t="s">
        <v>39</v>
      </c>
      <c r="L17" s="199">
        <v>43738</v>
      </c>
      <c r="P17" s="196" t="s">
        <v>799</v>
      </c>
      <c r="Q17" s="196" t="b">
        <v>0</v>
      </c>
      <c r="S17" s="196" t="s">
        <v>86</v>
      </c>
      <c r="T17" s="196" t="s">
        <v>19</v>
      </c>
      <c r="Y17" s="196">
        <f t="shared" si="0"/>
        <v>9</v>
      </c>
      <c r="Z17" s="199">
        <v>43745.496111307897</v>
      </c>
    </row>
    <row r="18" spans="1:26" ht="12.75" customHeight="1" x14ac:dyDescent="0.2">
      <c r="A18" s="196" t="s">
        <v>800</v>
      </c>
      <c r="B18" s="196" t="s">
        <v>336</v>
      </c>
      <c r="C18" s="196" t="s">
        <v>35</v>
      </c>
      <c r="D18" s="197">
        <v>43738</v>
      </c>
      <c r="F18" s="198">
        <v>444207.15</v>
      </c>
      <c r="G18" s="196" t="s">
        <v>36</v>
      </c>
      <c r="H18" s="196" t="s">
        <v>310</v>
      </c>
      <c r="J18" s="196" t="s">
        <v>39</v>
      </c>
      <c r="L18" s="199">
        <v>43738</v>
      </c>
      <c r="P18" s="196" t="s">
        <v>801</v>
      </c>
      <c r="Q18" s="196" t="b">
        <v>0</v>
      </c>
      <c r="S18" s="196" t="s">
        <v>43</v>
      </c>
      <c r="T18" s="196" t="s">
        <v>19</v>
      </c>
      <c r="Y18" s="196">
        <f t="shared" si="0"/>
        <v>9</v>
      </c>
      <c r="Z18" s="199">
        <v>43746.458525729198</v>
      </c>
    </row>
    <row r="19" spans="1:26" x14ac:dyDescent="0.2">
      <c r="D19" s="322"/>
      <c r="F19" s="324"/>
      <c r="L19" s="322"/>
      <c r="Z19" s="32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0"/>
  <sheetViews>
    <sheetView topLeftCell="I1" workbookViewId="0">
      <selection activeCell="Y9" sqref="Y9:Y10"/>
    </sheetView>
  </sheetViews>
  <sheetFormatPr defaultRowHeight="12.75" x14ac:dyDescent="0.2"/>
  <cols>
    <col min="6" max="6" width="27.7109375" customWidth="1"/>
    <col min="12" max="13" width="20.42578125" customWidth="1"/>
    <col min="15" max="15" width="32.85546875" customWidth="1"/>
  </cols>
  <sheetData>
    <row r="1" spans="1:34" x14ac:dyDescent="0.2">
      <c r="A1" s="196" t="s">
        <v>0</v>
      </c>
      <c r="B1" s="196" t="s">
        <v>1</v>
      </c>
      <c r="C1" s="196" t="s">
        <v>2</v>
      </c>
      <c r="D1" s="196" t="s">
        <v>3</v>
      </c>
      <c r="E1" s="196" t="s">
        <v>4</v>
      </c>
      <c r="F1" s="196" t="s">
        <v>5</v>
      </c>
      <c r="G1" s="196" t="s">
        <v>6</v>
      </c>
      <c r="H1" s="196" t="s">
        <v>7</v>
      </c>
      <c r="I1" s="196" t="s">
        <v>8</v>
      </c>
      <c r="J1" s="196" t="s">
        <v>9</v>
      </c>
      <c r="K1" s="196" t="s">
        <v>10</v>
      </c>
      <c r="L1" s="196" t="s">
        <v>11</v>
      </c>
      <c r="M1" s="196" t="s">
        <v>12</v>
      </c>
      <c r="N1" s="196" t="s">
        <v>13</v>
      </c>
      <c r="O1" s="196" t="s">
        <v>14</v>
      </c>
      <c r="P1" s="196" t="s">
        <v>15</v>
      </c>
      <c r="Q1" s="196" t="s">
        <v>16</v>
      </c>
      <c r="R1" s="196" t="s">
        <v>17</v>
      </c>
      <c r="S1" s="196" t="s">
        <v>18</v>
      </c>
      <c r="T1" s="196" t="s">
        <v>19</v>
      </c>
      <c r="U1" s="196" t="s">
        <v>20</v>
      </c>
      <c r="V1" s="196" t="s">
        <v>21</v>
      </c>
      <c r="W1" s="196" t="s">
        <v>22</v>
      </c>
      <c r="X1" s="196" t="s">
        <v>23</v>
      </c>
      <c r="Y1" s="200" t="s">
        <v>131</v>
      </c>
      <c r="Z1" s="196" t="s">
        <v>24</v>
      </c>
      <c r="AA1" s="196" t="s">
        <v>25</v>
      </c>
      <c r="AB1" s="196" t="s">
        <v>26</v>
      </c>
      <c r="AC1" s="196" t="s">
        <v>27</v>
      </c>
      <c r="AD1" s="196" t="s">
        <v>28</v>
      </c>
      <c r="AE1" s="196" t="s">
        <v>29</v>
      </c>
      <c r="AF1" s="196" t="s">
        <v>30</v>
      </c>
      <c r="AG1" s="196" t="s">
        <v>31</v>
      </c>
      <c r="AH1" s="196" t="s">
        <v>32</v>
      </c>
    </row>
    <row r="2" spans="1:34" x14ac:dyDescent="0.2">
      <c r="A2" s="196" t="s">
        <v>350</v>
      </c>
      <c r="B2" s="196" t="s">
        <v>351</v>
      </c>
      <c r="C2" s="196" t="s">
        <v>35</v>
      </c>
      <c r="D2" s="197">
        <v>43496</v>
      </c>
      <c r="E2" s="196"/>
      <c r="F2" s="198">
        <v>72984.7</v>
      </c>
      <c r="G2" s="196" t="s">
        <v>36</v>
      </c>
      <c r="H2" s="196" t="s">
        <v>352</v>
      </c>
      <c r="I2" s="196" t="s">
        <v>353</v>
      </c>
      <c r="J2" s="196" t="s">
        <v>39</v>
      </c>
      <c r="K2" s="196" t="s">
        <v>354</v>
      </c>
      <c r="L2" s="199">
        <v>43507</v>
      </c>
      <c r="M2" s="197">
        <v>43496</v>
      </c>
      <c r="N2" s="196" t="s">
        <v>355</v>
      </c>
      <c r="O2" s="196" t="s">
        <v>356</v>
      </c>
      <c r="P2" s="196" t="s">
        <v>357</v>
      </c>
      <c r="Q2" s="196" t="b">
        <v>1</v>
      </c>
      <c r="R2" s="196"/>
      <c r="S2" s="196" t="s">
        <v>86</v>
      </c>
      <c r="T2" s="196" t="s">
        <v>19</v>
      </c>
      <c r="U2" s="196"/>
      <c r="V2" s="196"/>
      <c r="W2" s="196"/>
      <c r="X2" s="196"/>
      <c r="Y2" s="196">
        <f>MONTH(M2)</f>
        <v>1</v>
      </c>
      <c r="Z2" s="199">
        <v>43508.309477233801</v>
      </c>
      <c r="AA2" s="196" t="s">
        <v>358</v>
      </c>
      <c r="AB2" s="196"/>
      <c r="AC2" s="196"/>
      <c r="AD2" s="196"/>
      <c r="AE2" s="196"/>
      <c r="AF2" s="196"/>
      <c r="AG2" s="196"/>
      <c r="AH2" s="196"/>
    </row>
    <row r="3" spans="1:34" x14ac:dyDescent="0.2">
      <c r="A3" s="196" t="s">
        <v>359</v>
      </c>
      <c r="B3" s="196" t="s">
        <v>360</v>
      </c>
      <c r="C3" s="196" t="s">
        <v>35</v>
      </c>
      <c r="D3" s="197">
        <v>43524</v>
      </c>
      <c r="E3" s="196"/>
      <c r="F3" s="198">
        <v>94183.65</v>
      </c>
      <c r="G3" s="196" t="s">
        <v>36</v>
      </c>
      <c r="H3" s="196" t="s">
        <v>352</v>
      </c>
      <c r="I3" s="196" t="s">
        <v>353</v>
      </c>
      <c r="J3" s="196" t="s">
        <v>39</v>
      </c>
      <c r="K3" s="196" t="s">
        <v>354</v>
      </c>
      <c r="L3" s="199">
        <v>43532</v>
      </c>
      <c r="M3" s="197">
        <v>43524</v>
      </c>
      <c r="N3" s="196" t="s">
        <v>361</v>
      </c>
      <c r="O3" s="196" t="s">
        <v>356</v>
      </c>
      <c r="P3" s="196" t="s">
        <v>362</v>
      </c>
      <c r="Q3" s="196" t="b">
        <v>1</v>
      </c>
      <c r="R3" s="196"/>
      <c r="S3" s="196" t="s">
        <v>86</v>
      </c>
      <c r="T3" s="196" t="s">
        <v>19</v>
      </c>
      <c r="U3" s="196"/>
      <c r="V3" s="196"/>
      <c r="W3" s="196"/>
      <c r="X3" s="196"/>
      <c r="Y3" s="196">
        <f t="shared" ref="Y3:Y10" si="0">MONTH(M3)</f>
        <v>2</v>
      </c>
      <c r="Z3" s="199">
        <v>43532.578032175901</v>
      </c>
      <c r="AA3" s="196" t="s">
        <v>358</v>
      </c>
      <c r="AB3" s="196"/>
      <c r="AC3" s="196"/>
      <c r="AD3" s="196"/>
      <c r="AE3" s="196"/>
      <c r="AF3" s="196"/>
      <c r="AG3" s="196"/>
      <c r="AH3" s="196"/>
    </row>
    <row r="4" spans="1:34" x14ac:dyDescent="0.2">
      <c r="A4" s="196" t="s">
        <v>363</v>
      </c>
      <c r="B4" s="196" t="s">
        <v>360</v>
      </c>
      <c r="C4" s="196" t="s">
        <v>35</v>
      </c>
      <c r="D4" s="197">
        <v>43555</v>
      </c>
      <c r="E4" s="196"/>
      <c r="F4" s="198">
        <v>113390.15</v>
      </c>
      <c r="G4" s="196" t="s">
        <v>36</v>
      </c>
      <c r="H4" s="196" t="s">
        <v>352</v>
      </c>
      <c r="I4" s="196" t="s">
        <v>353</v>
      </c>
      <c r="J4" s="196" t="s">
        <v>39</v>
      </c>
      <c r="K4" s="196" t="s">
        <v>354</v>
      </c>
      <c r="L4" s="199">
        <v>43564</v>
      </c>
      <c r="M4" s="197">
        <v>43555</v>
      </c>
      <c r="N4" s="196" t="s">
        <v>364</v>
      </c>
      <c r="O4" s="196" t="s">
        <v>356</v>
      </c>
      <c r="P4" s="196" t="s">
        <v>365</v>
      </c>
      <c r="Q4" s="196" t="b">
        <v>1</v>
      </c>
      <c r="R4" s="196"/>
      <c r="S4" s="196" t="s">
        <v>86</v>
      </c>
      <c r="T4" s="196" t="s">
        <v>19</v>
      </c>
      <c r="U4" s="196"/>
      <c r="V4" s="196"/>
      <c r="W4" s="196"/>
      <c r="X4" s="196"/>
      <c r="Y4" s="196">
        <f t="shared" si="0"/>
        <v>3</v>
      </c>
      <c r="Z4" s="199">
        <v>43565.373455439803</v>
      </c>
      <c r="AA4" s="196" t="s">
        <v>358</v>
      </c>
      <c r="AB4" s="196"/>
      <c r="AC4" s="196"/>
      <c r="AD4" s="196"/>
      <c r="AE4" s="196"/>
      <c r="AF4" s="196"/>
      <c r="AG4" s="196"/>
      <c r="AH4" s="196"/>
    </row>
    <row r="5" spans="1:34" x14ac:dyDescent="0.2">
      <c r="A5" s="196" t="s">
        <v>366</v>
      </c>
      <c r="B5" s="196" t="s">
        <v>367</v>
      </c>
      <c r="C5" s="196" t="s">
        <v>35</v>
      </c>
      <c r="D5" s="197">
        <v>43585</v>
      </c>
      <c r="E5" s="196"/>
      <c r="F5" s="198">
        <v>116531.4</v>
      </c>
      <c r="G5" s="196" t="s">
        <v>36</v>
      </c>
      <c r="H5" s="196" t="s">
        <v>352</v>
      </c>
      <c r="I5" s="196" t="s">
        <v>353</v>
      </c>
      <c r="J5" s="196" t="s">
        <v>39</v>
      </c>
      <c r="K5" s="196" t="s">
        <v>354</v>
      </c>
      <c r="L5" s="199">
        <v>43598</v>
      </c>
      <c r="M5" s="197">
        <v>43585</v>
      </c>
      <c r="N5" s="196" t="s">
        <v>368</v>
      </c>
      <c r="O5" s="196" t="s">
        <v>356</v>
      </c>
      <c r="P5" s="196" t="s">
        <v>369</v>
      </c>
      <c r="Q5" s="196" t="b">
        <v>1</v>
      </c>
      <c r="R5" s="196"/>
      <c r="S5" s="196" t="s">
        <v>86</v>
      </c>
      <c r="T5" s="196" t="s">
        <v>19</v>
      </c>
      <c r="U5" s="196"/>
      <c r="V5" s="196"/>
      <c r="W5" s="196"/>
      <c r="X5" s="196"/>
      <c r="Y5" s="196">
        <f t="shared" si="0"/>
        <v>4</v>
      </c>
      <c r="Z5" s="199">
        <v>43599.262861921299</v>
      </c>
      <c r="AA5" s="196" t="s">
        <v>358</v>
      </c>
      <c r="AB5" s="196"/>
      <c r="AC5" s="196"/>
      <c r="AD5" s="196"/>
      <c r="AE5" s="196"/>
      <c r="AF5" s="196"/>
      <c r="AG5" s="196"/>
      <c r="AH5" s="196"/>
    </row>
    <row r="6" spans="1:34" x14ac:dyDescent="0.2">
      <c r="A6" s="196" t="s">
        <v>370</v>
      </c>
      <c r="B6" s="196" t="s">
        <v>371</v>
      </c>
      <c r="C6" s="196" t="s">
        <v>35</v>
      </c>
      <c r="D6" s="197">
        <v>43616</v>
      </c>
      <c r="E6" s="196"/>
      <c r="F6" s="198">
        <v>84724</v>
      </c>
      <c r="G6" s="196" t="s">
        <v>36</v>
      </c>
      <c r="H6" s="196" t="s">
        <v>352</v>
      </c>
      <c r="I6" s="196" t="s">
        <v>353</v>
      </c>
      <c r="J6" s="196" t="s">
        <v>39</v>
      </c>
      <c r="K6" s="196" t="s">
        <v>354</v>
      </c>
      <c r="L6" s="199">
        <v>43623</v>
      </c>
      <c r="M6" s="197">
        <v>43616</v>
      </c>
      <c r="N6" s="196" t="s">
        <v>372</v>
      </c>
      <c r="O6" s="196" t="s">
        <v>356</v>
      </c>
      <c r="P6" s="196" t="s">
        <v>373</v>
      </c>
      <c r="Q6" s="196" t="b">
        <v>1</v>
      </c>
      <c r="R6" s="196"/>
      <c r="S6" s="196" t="s">
        <v>86</v>
      </c>
      <c r="T6" s="196" t="s">
        <v>19</v>
      </c>
      <c r="U6" s="196"/>
      <c r="V6" s="196"/>
      <c r="W6" s="196"/>
      <c r="X6" s="196"/>
      <c r="Y6" s="196">
        <f t="shared" si="0"/>
        <v>5</v>
      </c>
      <c r="Z6" s="199">
        <v>43626.278904363397</v>
      </c>
      <c r="AA6" s="196" t="s">
        <v>358</v>
      </c>
      <c r="AB6" s="196"/>
      <c r="AC6" s="196"/>
      <c r="AD6" s="196"/>
      <c r="AE6" s="196"/>
      <c r="AF6" s="196"/>
      <c r="AG6" s="196"/>
      <c r="AH6" s="196"/>
    </row>
    <row r="7" spans="1:34" x14ac:dyDescent="0.2">
      <c r="A7" s="196" t="s">
        <v>374</v>
      </c>
      <c r="B7" s="196" t="s">
        <v>360</v>
      </c>
      <c r="C7" s="196" t="s">
        <v>375</v>
      </c>
      <c r="D7" s="197">
        <v>43646</v>
      </c>
      <c r="E7" s="196"/>
      <c r="F7" s="198">
        <v>21396.400000000001</v>
      </c>
      <c r="G7" s="196" t="s">
        <v>36</v>
      </c>
      <c r="H7" s="196" t="s">
        <v>352</v>
      </c>
      <c r="I7" s="196" t="s">
        <v>353</v>
      </c>
      <c r="J7" s="196" t="s">
        <v>39</v>
      </c>
      <c r="K7" s="196" t="s">
        <v>354</v>
      </c>
      <c r="L7" s="199">
        <v>43654</v>
      </c>
      <c r="M7" s="197">
        <v>43646</v>
      </c>
      <c r="N7" s="196" t="s">
        <v>376</v>
      </c>
      <c r="O7" s="196" t="s">
        <v>356</v>
      </c>
      <c r="P7" s="196" t="s">
        <v>377</v>
      </c>
      <c r="Q7" s="196" t="b">
        <v>1</v>
      </c>
      <c r="R7" s="196"/>
      <c r="S7" s="196" t="s">
        <v>86</v>
      </c>
      <c r="T7" s="196" t="s">
        <v>19</v>
      </c>
      <c r="U7" s="196"/>
      <c r="V7" s="196"/>
      <c r="W7" s="196"/>
      <c r="X7" s="196"/>
      <c r="Y7" s="196">
        <f t="shared" si="0"/>
        <v>6</v>
      </c>
      <c r="Z7" s="199">
        <v>43655.277784803198</v>
      </c>
      <c r="AA7" s="196" t="s">
        <v>358</v>
      </c>
      <c r="AB7" s="196"/>
      <c r="AC7" s="196"/>
      <c r="AD7" s="196"/>
      <c r="AE7" s="196"/>
      <c r="AF7" s="196"/>
      <c r="AG7" s="196"/>
      <c r="AH7" s="196"/>
    </row>
    <row r="8" spans="1:34" x14ac:dyDescent="0.2">
      <c r="A8" s="196" t="s">
        <v>378</v>
      </c>
      <c r="B8" s="196" t="s">
        <v>360</v>
      </c>
      <c r="C8" s="196" t="s">
        <v>35</v>
      </c>
      <c r="D8" s="197">
        <v>43677</v>
      </c>
      <c r="E8" s="196"/>
      <c r="F8" s="198">
        <v>12475.25</v>
      </c>
      <c r="G8" s="196" t="s">
        <v>36</v>
      </c>
      <c r="H8" s="196" t="s">
        <v>352</v>
      </c>
      <c r="I8" s="196" t="s">
        <v>353</v>
      </c>
      <c r="J8" s="196" t="s">
        <v>39</v>
      </c>
      <c r="K8" s="196" t="s">
        <v>354</v>
      </c>
      <c r="L8" s="199">
        <v>43686</v>
      </c>
      <c r="M8" s="197">
        <v>43677</v>
      </c>
      <c r="N8" s="196" t="s">
        <v>379</v>
      </c>
      <c r="O8" s="196" t="s">
        <v>356</v>
      </c>
      <c r="P8" s="196" t="s">
        <v>380</v>
      </c>
      <c r="Q8" s="196" t="b">
        <v>1</v>
      </c>
      <c r="R8" s="196"/>
      <c r="S8" s="196" t="s">
        <v>86</v>
      </c>
      <c r="T8" s="196" t="s">
        <v>19</v>
      </c>
      <c r="U8" s="196"/>
      <c r="V8" s="196"/>
      <c r="W8" s="196"/>
      <c r="X8" s="196"/>
      <c r="Y8" s="196">
        <f t="shared" si="0"/>
        <v>7</v>
      </c>
      <c r="Z8" s="199">
        <v>43686.372007951402</v>
      </c>
      <c r="AA8" s="196" t="s">
        <v>358</v>
      </c>
      <c r="AB8" s="196"/>
      <c r="AC8" s="196"/>
      <c r="AD8" s="196"/>
      <c r="AE8" s="196"/>
      <c r="AF8" s="196"/>
      <c r="AG8" s="196"/>
      <c r="AH8" s="196"/>
    </row>
    <row r="9" spans="1:34" x14ac:dyDescent="0.2">
      <c r="A9" s="196" t="s">
        <v>381</v>
      </c>
      <c r="B9" s="196" t="s">
        <v>360</v>
      </c>
      <c r="C9" s="196" t="s">
        <v>375</v>
      </c>
      <c r="D9" s="197">
        <v>43705</v>
      </c>
      <c r="E9" s="196"/>
      <c r="F9" s="198">
        <v>11488</v>
      </c>
      <c r="G9" s="196" t="s">
        <v>36</v>
      </c>
      <c r="H9" s="196" t="s">
        <v>352</v>
      </c>
      <c r="I9" s="196" t="s">
        <v>353</v>
      </c>
      <c r="J9" s="196" t="s">
        <v>39</v>
      </c>
      <c r="K9" s="196" t="s">
        <v>354</v>
      </c>
      <c r="L9" s="199">
        <v>43713</v>
      </c>
      <c r="M9" s="197">
        <v>43705</v>
      </c>
      <c r="N9" s="196" t="s">
        <v>382</v>
      </c>
      <c r="O9" s="196" t="s">
        <v>356</v>
      </c>
      <c r="P9" s="196" t="s">
        <v>383</v>
      </c>
      <c r="Q9" s="196" t="b">
        <v>1</v>
      </c>
      <c r="R9" s="196"/>
      <c r="S9" s="196" t="s">
        <v>86</v>
      </c>
      <c r="T9" s="196" t="s">
        <v>19</v>
      </c>
      <c r="U9" s="196"/>
      <c r="V9" s="196"/>
      <c r="W9" s="196"/>
      <c r="X9" s="196"/>
      <c r="Y9" s="196">
        <f t="shared" si="0"/>
        <v>8</v>
      </c>
      <c r="Z9" s="199">
        <v>43714.281275775502</v>
      </c>
      <c r="AA9" s="196" t="s">
        <v>358</v>
      </c>
      <c r="AB9" s="196"/>
      <c r="AC9" s="196"/>
      <c r="AD9" s="196"/>
      <c r="AE9" s="196"/>
      <c r="AF9" s="196"/>
      <c r="AG9" s="196"/>
      <c r="AH9" s="196"/>
    </row>
    <row r="10" spans="1:34" x14ac:dyDescent="0.2">
      <c r="A10" t="s">
        <v>847</v>
      </c>
      <c r="B10" t="s">
        <v>360</v>
      </c>
      <c r="C10">
        <v>188</v>
      </c>
      <c r="D10" s="317">
        <v>43738</v>
      </c>
      <c r="F10">
        <v>51247.25</v>
      </c>
      <c r="G10">
        <v>9501</v>
      </c>
      <c r="H10">
        <v>31105006</v>
      </c>
      <c r="I10" t="s">
        <v>353</v>
      </c>
      <c r="J10" t="s">
        <v>39</v>
      </c>
      <c r="K10" t="s">
        <v>354</v>
      </c>
      <c r="L10" s="317">
        <v>43748</v>
      </c>
      <c r="M10" s="317">
        <v>43738</v>
      </c>
      <c r="N10">
        <v>943002229</v>
      </c>
      <c r="O10" t="s">
        <v>356</v>
      </c>
      <c r="P10">
        <v>355257310.10869998</v>
      </c>
      <c r="Q10" t="s">
        <v>819</v>
      </c>
      <c r="R10" s="196">
        <f t="shared" ref="R10" si="1">MONTH(F10)</f>
        <v>4</v>
      </c>
      <c r="S10" t="s">
        <v>86</v>
      </c>
      <c r="T10" t="s">
        <v>19</v>
      </c>
      <c r="Y10" s="196">
        <f t="shared" si="0"/>
        <v>9</v>
      </c>
      <c r="Z10" s="318">
        <v>43749.33253472222</v>
      </c>
      <c r="AA10" t="s">
        <v>358</v>
      </c>
      <c r="AG10" s="318">
        <v>43749.33253472222</v>
      </c>
      <c r="AH10" t="s">
        <v>358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20"/>
  <sheetViews>
    <sheetView topLeftCell="P1" workbookViewId="0">
      <selection activeCell="Y2" sqref="Y2:Y20"/>
    </sheetView>
  </sheetViews>
  <sheetFormatPr defaultColWidth="11.42578125" defaultRowHeight="12.75" x14ac:dyDescent="0.2"/>
  <cols>
    <col min="1" max="1" width="11.42578125" style="196"/>
    <col min="2" max="2" width="11.42578125" style="196" customWidth="1"/>
    <col min="3" max="10" width="11.42578125" style="196"/>
    <col min="11" max="11" width="11.42578125" style="196" customWidth="1"/>
    <col min="12" max="15" width="11.42578125" style="196"/>
    <col min="16" max="16" width="18.85546875" style="196" customWidth="1"/>
    <col min="17" max="16384" width="11.42578125" style="196"/>
  </cols>
  <sheetData>
    <row r="1" spans="1:34" ht="12.75" customHeight="1" x14ac:dyDescent="0.2">
      <c r="A1" s="196" t="s">
        <v>0</v>
      </c>
      <c r="B1" s="196" t="s">
        <v>1</v>
      </c>
      <c r="C1" s="196" t="s">
        <v>2</v>
      </c>
      <c r="D1" s="196" t="s">
        <v>3</v>
      </c>
      <c r="E1" s="196" t="s">
        <v>4</v>
      </c>
      <c r="F1" s="196" t="s">
        <v>5</v>
      </c>
      <c r="G1" s="196" t="s">
        <v>6</v>
      </c>
      <c r="H1" s="196" t="s">
        <v>7</v>
      </c>
      <c r="I1" s="196" t="s">
        <v>8</v>
      </c>
      <c r="J1" s="196" t="s">
        <v>9</v>
      </c>
      <c r="K1" s="196" t="s">
        <v>10</v>
      </c>
      <c r="L1" s="196" t="s">
        <v>11</v>
      </c>
      <c r="M1" s="196" t="s">
        <v>12</v>
      </c>
      <c r="N1" s="196" t="s">
        <v>13</v>
      </c>
      <c r="O1" s="196" t="s">
        <v>14</v>
      </c>
      <c r="P1" s="196" t="s">
        <v>15</v>
      </c>
      <c r="Q1" s="196" t="s">
        <v>16</v>
      </c>
      <c r="R1" s="196" t="s">
        <v>17</v>
      </c>
      <c r="S1" s="196" t="s">
        <v>18</v>
      </c>
      <c r="T1" s="196" t="s">
        <v>19</v>
      </c>
      <c r="U1" s="196" t="s">
        <v>20</v>
      </c>
      <c r="V1" s="196" t="s">
        <v>21</v>
      </c>
      <c r="W1" s="196" t="s">
        <v>22</v>
      </c>
      <c r="X1" s="196" t="s">
        <v>23</v>
      </c>
      <c r="Y1" s="200" t="s">
        <v>131</v>
      </c>
      <c r="Z1" s="196" t="s">
        <v>24</v>
      </c>
      <c r="AA1" s="196" t="s">
        <v>25</v>
      </c>
      <c r="AB1" s="196" t="s">
        <v>26</v>
      </c>
      <c r="AC1" s="196" t="s">
        <v>27</v>
      </c>
      <c r="AD1" s="196" t="s">
        <v>28</v>
      </c>
      <c r="AE1" s="196" t="s">
        <v>29</v>
      </c>
      <c r="AF1" s="196" t="s">
        <v>30</v>
      </c>
      <c r="AG1" s="196" t="s">
        <v>31</v>
      </c>
      <c r="AH1" s="196" t="s">
        <v>32</v>
      </c>
    </row>
    <row r="2" spans="1:34" ht="12.75" customHeight="1" x14ac:dyDescent="0.2">
      <c r="A2" s="196" t="s">
        <v>384</v>
      </c>
      <c r="B2" s="196" t="s">
        <v>385</v>
      </c>
      <c r="C2" s="196" t="s">
        <v>386</v>
      </c>
      <c r="D2" s="197">
        <v>43496</v>
      </c>
      <c r="F2" s="198">
        <v>1016625.66</v>
      </c>
      <c r="G2" s="196" t="s">
        <v>36</v>
      </c>
      <c r="H2" s="196" t="s">
        <v>387</v>
      </c>
      <c r="I2" s="196" t="s">
        <v>38</v>
      </c>
      <c r="J2" s="196" t="s">
        <v>39</v>
      </c>
      <c r="L2" s="199">
        <v>43496</v>
      </c>
      <c r="M2" s="197">
        <v>43496</v>
      </c>
      <c r="P2" s="196" t="s">
        <v>388</v>
      </c>
      <c r="Q2" s="196" t="b">
        <v>1</v>
      </c>
      <c r="S2" s="196" t="s">
        <v>389</v>
      </c>
      <c r="T2" s="196" t="s">
        <v>19</v>
      </c>
      <c r="Y2" s="196">
        <f>MONTH(M2)</f>
        <v>1</v>
      </c>
      <c r="Z2" s="199">
        <v>43508.419861030103</v>
      </c>
      <c r="AA2" s="196" t="s">
        <v>45</v>
      </c>
    </row>
    <row r="3" spans="1:34" ht="12.75" customHeight="1" x14ac:dyDescent="0.2">
      <c r="A3" s="196" t="s">
        <v>390</v>
      </c>
      <c r="B3" s="196" t="s">
        <v>391</v>
      </c>
      <c r="C3" s="196" t="s">
        <v>386</v>
      </c>
      <c r="D3" s="197">
        <v>43524</v>
      </c>
      <c r="F3" s="198">
        <v>903012.61</v>
      </c>
      <c r="G3" s="196" t="s">
        <v>36</v>
      </c>
      <c r="H3" s="196" t="s">
        <v>387</v>
      </c>
      <c r="I3" s="196" t="s">
        <v>38</v>
      </c>
      <c r="J3" s="196" t="s">
        <v>39</v>
      </c>
      <c r="L3" s="199">
        <v>43524</v>
      </c>
      <c r="M3" s="197">
        <v>43524</v>
      </c>
      <c r="P3" s="196" t="s">
        <v>392</v>
      </c>
      <c r="Q3" s="196" t="b">
        <v>1</v>
      </c>
      <c r="S3" s="196" t="s">
        <v>389</v>
      </c>
      <c r="T3" s="196" t="s">
        <v>19</v>
      </c>
      <c r="Y3" s="196">
        <f t="shared" ref="Y3:Y20" si="0">MONTH(M3)</f>
        <v>2</v>
      </c>
      <c r="Z3" s="199">
        <v>43535.367009953698</v>
      </c>
      <c r="AA3" s="196" t="s">
        <v>45</v>
      </c>
    </row>
    <row r="4" spans="1:34" ht="12.75" customHeight="1" x14ac:dyDescent="0.2">
      <c r="A4" s="196" t="s">
        <v>393</v>
      </c>
      <c r="B4" s="196" t="s">
        <v>394</v>
      </c>
      <c r="C4" s="196" t="s">
        <v>386</v>
      </c>
      <c r="D4" s="197">
        <v>43555</v>
      </c>
      <c r="F4" s="198">
        <v>934911.3</v>
      </c>
      <c r="G4" s="196" t="s">
        <v>36</v>
      </c>
      <c r="H4" s="196" t="s">
        <v>387</v>
      </c>
      <c r="I4" s="196" t="s">
        <v>38</v>
      </c>
      <c r="J4" s="196" t="s">
        <v>39</v>
      </c>
      <c r="L4" s="199">
        <v>43555</v>
      </c>
      <c r="M4" s="197">
        <v>43555</v>
      </c>
      <c r="P4" s="196" t="s">
        <v>395</v>
      </c>
      <c r="Q4" s="196" t="b">
        <v>1</v>
      </c>
      <c r="S4" s="196" t="s">
        <v>389</v>
      </c>
      <c r="T4" s="196" t="s">
        <v>19</v>
      </c>
      <c r="Y4" s="196">
        <f t="shared" si="0"/>
        <v>3</v>
      </c>
      <c r="Z4" s="199">
        <v>43565.376057291702</v>
      </c>
      <c r="AA4" s="196" t="s">
        <v>45</v>
      </c>
    </row>
    <row r="5" spans="1:34" ht="12.75" customHeight="1" x14ac:dyDescent="0.2">
      <c r="A5" s="196" t="s">
        <v>396</v>
      </c>
      <c r="B5" s="196" t="s">
        <v>397</v>
      </c>
      <c r="C5" s="196" t="s">
        <v>386</v>
      </c>
      <c r="D5" s="197">
        <v>43585</v>
      </c>
      <c r="F5" s="198">
        <v>925210</v>
      </c>
      <c r="G5" s="196" t="s">
        <v>36</v>
      </c>
      <c r="H5" s="196" t="s">
        <v>387</v>
      </c>
      <c r="I5" s="196" t="s">
        <v>38</v>
      </c>
      <c r="J5" s="196" t="s">
        <v>39</v>
      </c>
      <c r="L5" s="199">
        <v>43585</v>
      </c>
      <c r="M5" s="197">
        <v>43585</v>
      </c>
      <c r="P5" s="196" t="s">
        <v>398</v>
      </c>
      <c r="Q5" s="196" t="b">
        <v>1</v>
      </c>
      <c r="S5" s="196" t="s">
        <v>389</v>
      </c>
      <c r="T5" s="196" t="s">
        <v>19</v>
      </c>
      <c r="Y5" s="196">
        <f t="shared" si="0"/>
        <v>4</v>
      </c>
      <c r="Z5" s="199">
        <v>43598.447133645801</v>
      </c>
      <c r="AA5" s="196" t="s">
        <v>45</v>
      </c>
    </row>
    <row r="6" spans="1:34" ht="12.75" customHeight="1" x14ac:dyDescent="0.2">
      <c r="A6" s="196" t="s">
        <v>399</v>
      </c>
      <c r="B6" s="196" t="s">
        <v>400</v>
      </c>
      <c r="C6" s="196" t="s">
        <v>386</v>
      </c>
      <c r="D6" s="197">
        <v>43616</v>
      </c>
      <c r="F6" s="198">
        <v>955457.83</v>
      </c>
      <c r="G6" s="196" t="s">
        <v>36</v>
      </c>
      <c r="H6" s="196" t="s">
        <v>387</v>
      </c>
      <c r="I6" s="196" t="s">
        <v>38</v>
      </c>
      <c r="J6" s="196" t="s">
        <v>39</v>
      </c>
      <c r="L6" s="199">
        <v>43616</v>
      </c>
      <c r="M6" s="197">
        <v>43616</v>
      </c>
      <c r="P6" s="196" t="s">
        <v>401</v>
      </c>
      <c r="Q6" s="196" t="b">
        <v>1</v>
      </c>
      <c r="S6" s="196" t="s">
        <v>389</v>
      </c>
      <c r="T6" s="196" t="s">
        <v>19</v>
      </c>
      <c r="Y6" s="196">
        <f t="shared" si="0"/>
        <v>5</v>
      </c>
      <c r="Z6" s="199">
        <v>43627.354310613402</v>
      </c>
      <c r="AA6" s="196" t="s">
        <v>45</v>
      </c>
    </row>
    <row r="7" spans="1:34" ht="12.75" customHeight="1" x14ac:dyDescent="0.2">
      <c r="A7" s="196" t="s">
        <v>402</v>
      </c>
      <c r="B7" s="196" t="s">
        <v>403</v>
      </c>
      <c r="C7" s="196" t="s">
        <v>386</v>
      </c>
      <c r="D7" s="197">
        <v>43646</v>
      </c>
      <c r="F7" s="198">
        <v>888927.83</v>
      </c>
      <c r="G7" s="196" t="s">
        <v>36</v>
      </c>
      <c r="H7" s="196" t="s">
        <v>387</v>
      </c>
      <c r="I7" s="196" t="s">
        <v>38</v>
      </c>
      <c r="J7" s="196" t="s">
        <v>39</v>
      </c>
      <c r="L7" s="199">
        <v>43646</v>
      </c>
      <c r="M7" s="197">
        <v>43646</v>
      </c>
      <c r="P7" s="196" t="s">
        <v>404</v>
      </c>
      <c r="Q7" s="196" t="b">
        <v>1</v>
      </c>
      <c r="S7" s="196" t="s">
        <v>389</v>
      </c>
      <c r="T7" s="196" t="s">
        <v>19</v>
      </c>
      <c r="Y7" s="196">
        <f t="shared" si="0"/>
        <v>6</v>
      </c>
      <c r="Z7" s="199">
        <v>43656.374845983803</v>
      </c>
      <c r="AA7" s="196" t="s">
        <v>45</v>
      </c>
    </row>
    <row r="8" spans="1:34" ht="12.75" customHeight="1" x14ac:dyDescent="0.2">
      <c r="A8" s="196" t="s">
        <v>405</v>
      </c>
      <c r="B8" s="196" t="s">
        <v>406</v>
      </c>
      <c r="C8" s="196" t="s">
        <v>386</v>
      </c>
      <c r="D8" s="197">
        <v>43677</v>
      </c>
      <c r="F8" s="198">
        <v>840159.57</v>
      </c>
      <c r="G8" s="196" t="s">
        <v>36</v>
      </c>
      <c r="H8" s="196" t="s">
        <v>387</v>
      </c>
      <c r="I8" s="196" t="s">
        <v>38</v>
      </c>
      <c r="J8" s="196" t="s">
        <v>39</v>
      </c>
      <c r="L8" s="199">
        <v>43677</v>
      </c>
      <c r="M8" s="197">
        <v>43677</v>
      </c>
      <c r="P8" s="196" t="s">
        <v>407</v>
      </c>
      <c r="Q8" s="196" t="b">
        <v>1</v>
      </c>
      <c r="S8" s="196" t="s">
        <v>389</v>
      </c>
      <c r="T8" s="196" t="s">
        <v>19</v>
      </c>
      <c r="Y8" s="196">
        <f t="shared" si="0"/>
        <v>7</v>
      </c>
      <c r="Z8" s="199">
        <v>43686.322777743102</v>
      </c>
      <c r="AA8" s="196" t="s">
        <v>45</v>
      </c>
    </row>
    <row r="9" spans="1:34" ht="12.75" customHeight="1" x14ac:dyDescent="0.2">
      <c r="A9" s="196" t="s">
        <v>408</v>
      </c>
      <c r="B9" s="196" t="s">
        <v>409</v>
      </c>
      <c r="C9" s="196" t="s">
        <v>386</v>
      </c>
      <c r="D9" s="197">
        <v>43708</v>
      </c>
      <c r="F9" s="198">
        <v>844633.48</v>
      </c>
      <c r="G9" s="196" t="s">
        <v>36</v>
      </c>
      <c r="H9" s="196" t="s">
        <v>387</v>
      </c>
      <c r="I9" s="196" t="s">
        <v>38</v>
      </c>
      <c r="J9" s="196" t="s">
        <v>39</v>
      </c>
      <c r="L9" s="199">
        <v>43708</v>
      </c>
      <c r="M9" s="197">
        <v>43708</v>
      </c>
      <c r="P9" s="196" t="s">
        <v>410</v>
      </c>
      <c r="Q9" s="196" t="b">
        <v>1</v>
      </c>
      <c r="S9" s="196" t="s">
        <v>389</v>
      </c>
      <c r="T9" s="196" t="s">
        <v>19</v>
      </c>
      <c r="Y9" s="196">
        <f t="shared" si="0"/>
        <v>8</v>
      </c>
      <c r="Z9" s="199">
        <v>43719.346989618098</v>
      </c>
      <c r="AA9" s="196" t="s">
        <v>45</v>
      </c>
    </row>
    <row r="10" spans="1:34" ht="12.75" customHeight="1" x14ac:dyDescent="0.2">
      <c r="A10" s="196" t="s">
        <v>820</v>
      </c>
      <c r="B10" s="196" t="s">
        <v>821</v>
      </c>
      <c r="C10" s="196" t="s">
        <v>386</v>
      </c>
      <c r="D10" s="197">
        <v>43738</v>
      </c>
      <c r="F10" s="198">
        <v>961471.31</v>
      </c>
      <c r="G10" s="196" t="s">
        <v>36</v>
      </c>
      <c r="H10" s="196" t="s">
        <v>387</v>
      </c>
      <c r="J10" s="196" t="s">
        <v>39</v>
      </c>
      <c r="L10" s="199">
        <v>43738</v>
      </c>
      <c r="M10" s="197">
        <v>43738</v>
      </c>
      <c r="P10" s="196" t="s">
        <v>822</v>
      </c>
      <c r="Q10" s="196" t="b">
        <v>0</v>
      </c>
      <c r="S10" s="196" t="s">
        <v>389</v>
      </c>
      <c r="T10" s="196" t="s">
        <v>19</v>
      </c>
      <c r="Y10" s="196">
        <f t="shared" si="0"/>
        <v>9</v>
      </c>
      <c r="Z10" s="199">
        <v>43749.312098842602</v>
      </c>
    </row>
    <row r="11" spans="1:34" ht="12.75" customHeight="1" x14ac:dyDescent="0.2">
      <c r="A11" s="196" t="s">
        <v>411</v>
      </c>
      <c r="B11" s="196" t="s">
        <v>412</v>
      </c>
      <c r="C11" s="196" t="s">
        <v>386</v>
      </c>
      <c r="D11" s="197">
        <v>43697</v>
      </c>
      <c r="F11" s="198">
        <v>497.41</v>
      </c>
      <c r="G11" s="196" t="s">
        <v>36</v>
      </c>
      <c r="H11" s="196" t="s">
        <v>413</v>
      </c>
      <c r="I11" s="196" t="s">
        <v>38</v>
      </c>
      <c r="J11" s="196" t="s">
        <v>39</v>
      </c>
      <c r="K11" s="196" t="s">
        <v>414</v>
      </c>
      <c r="L11" s="199">
        <v>43697</v>
      </c>
      <c r="M11" s="197">
        <v>43697</v>
      </c>
      <c r="P11" s="196" t="s">
        <v>415</v>
      </c>
      <c r="Q11" s="196" t="b">
        <v>1</v>
      </c>
      <c r="S11" s="196" t="s">
        <v>389</v>
      </c>
      <c r="T11" s="196" t="s">
        <v>19</v>
      </c>
      <c r="Y11" s="196">
        <f t="shared" si="0"/>
        <v>8</v>
      </c>
      <c r="Z11" s="199">
        <v>43703.549250891199</v>
      </c>
      <c r="AA11" s="196" t="s">
        <v>45</v>
      </c>
    </row>
    <row r="12" spans="1:34" ht="12.75" customHeight="1" x14ac:dyDescent="0.2">
      <c r="A12" s="196" t="s">
        <v>416</v>
      </c>
      <c r="B12" s="196" t="s">
        <v>417</v>
      </c>
      <c r="C12" s="196" t="s">
        <v>386</v>
      </c>
      <c r="D12" s="197">
        <v>43496</v>
      </c>
      <c r="F12" s="198">
        <v>64543.48</v>
      </c>
      <c r="G12" s="196" t="s">
        <v>36</v>
      </c>
      <c r="H12" s="196" t="s">
        <v>418</v>
      </c>
      <c r="I12" s="196" t="s">
        <v>38</v>
      </c>
      <c r="J12" s="196" t="s">
        <v>39</v>
      </c>
      <c r="L12" s="199">
        <v>43496</v>
      </c>
      <c r="M12" s="197">
        <v>43496</v>
      </c>
      <c r="P12" s="196" t="s">
        <v>419</v>
      </c>
      <c r="Q12" s="196" t="b">
        <v>1</v>
      </c>
      <c r="S12" s="196" t="s">
        <v>43</v>
      </c>
      <c r="T12" s="196" t="s">
        <v>19</v>
      </c>
      <c r="Y12" s="196">
        <f t="shared" si="0"/>
        <v>1</v>
      </c>
      <c r="Z12" s="199">
        <v>43507.355371678197</v>
      </c>
      <c r="AA12" s="196" t="s">
        <v>45</v>
      </c>
    </row>
    <row r="13" spans="1:34" ht="12.75" customHeight="1" x14ac:dyDescent="0.2">
      <c r="A13" s="196" t="s">
        <v>420</v>
      </c>
      <c r="B13" s="196" t="s">
        <v>421</v>
      </c>
      <c r="C13" s="196" t="s">
        <v>386</v>
      </c>
      <c r="D13" s="197">
        <v>43524</v>
      </c>
      <c r="F13" s="198">
        <v>61604.35</v>
      </c>
      <c r="G13" s="196" t="s">
        <v>36</v>
      </c>
      <c r="H13" s="196" t="s">
        <v>418</v>
      </c>
      <c r="I13" s="196" t="s">
        <v>38</v>
      </c>
      <c r="J13" s="196" t="s">
        <v>39</v>
      </c>
      <c r="L13" s="199">
        <v>43524</v>
      </c>
      <c r="M13" s="197">
        <v>43524</v>
      </c>
      <c r="P13" s="196" t="s">
        <v>422</v>
      </c>
      <c r="Q13" s="196" t="b">
        <v>1</v>
      </c>
      <c r="S13" s="196" t="s">
        <v>43</v>
      </c>
      <c r="T13" s="196" t="s">
        <v>19</v>
      </c>
      <c r="Y13" s="196">
        <f t="shared" si="0"/>
        <v>2</v>
      </c>
      <c r="Z13" s="199">
        <v>43532.362202812503</v>
      </c>
      <c r="AA13" s="196" t="s">
        <v>45</v>
      </c>
    </row>
    <row r="14" spans="1:34" ht="12.75" customHeight="1" x14ac:dyDescent="0.2">
      <c r="A14" s="196" t="s">
        <v>423</v>
      </c>
      <c r="B14" s="196" t="s">
        <v>424</v>
      </c>
      <c r="C14" s="196" t="s">
        <v>386</v>
      </c>
      <c r="D14" s="197">
        <v>43555</v>
      </c>
      <c r="F14" s="198">
        <v>64738.26</v>
      </c>
      <c r="G14" s="196" t="s">
        <v>36</v>
      </c>
      <c r="H14" s="196" t="s">
        <v>418</v>
      </c>
      <c r="I14" s="196" t="s">
        <v>38</v>
      </c>
      <c r="J14" s="196" t="s">
        <v>39</v>
      </c>
      <c r="L14" s="199">
        <v>43555</v>
      </c>
      <c r="M14" s="197">
        <v>43555</v>
      </c>
      <c r="P14" s="196" t="s">
        <v>425</v>
      </c>
      <c r="Q14" s="196" t="b">
        <v>1</v>
      </c>
      <c r="S14" s="196" t="s">
        <v>43</v>
      </c>
      <c r="T14" s="196" t="s">
        <v>19</v>
      </c>
      <c r="Y14" s="196">
        <f t="shared" si="0"/>
        <v>3</v>
      </c>
      <c r="Z14" s="199">
        <v>43563.4880030903</v>
      </c>
      <c r="AA14" s="196" t="s">
        <v>45</v>
      </c>
    </row>
    <row r="15" spans="1:34" ht="12.75" customHeight="1" x14ac:dyDescent="0.2">
      <c r="A15" s="196" t="s">
        <v>426</v>
      </c>
      <c r="B15" s="196" t="s">
        <v>427</v>
      </c>
      <c r="C15" s="196" t="s">
        <v>386</v>
      </c>
      <c r="D15" s="197">
        <v>43585</v>
      </c>
      <c r="F15" s="198">
        <v>61125.22</v>
      </c>
      <c r="G15" s="196" t="s">
        <v>36</v>
      </c>
      <c r="H15" s="196" t="s">
        <v>418</v>
      </c>
      <c r="I15" s="196" t="s">
        <v>38</v>
      </c>
      <c r="J15" s="196" t="s">
        <v>39</v>
      </c>
      <c r="L15" s="199">
        <v>43585</v>
      </c>
      <c r="M15" s="197">
        <v>43585</v>
      </c>
      <c r="P15" s="196" t="s">
        <v>428</v>
      </c>
      <c r="Q15" s="196" t="b">
        <v>1</v>
      </c>
      <c r="S15" s="196" t="s">
        <v>43</v>
      </c>
      <c r="T15" s="196" t="s">
        <v>19</v>
      </c>
      <c r="Y15" s="196">
        <f t="shared" si="0"/>
        <v>4</v>
      </c>
      <c r="Z15" s="199">
        <v>43594.532042210602</v>
      </c>
      <c r="AA15" s="196" t="s">
        <v>45</v>
      </c>
    </row>
    <row r="16" spans="1:34" ht="12.75" customHeight="1" x14ac:dyDescent="0.2">
      <c r="A16" s="196" t="s">
        <v>429</v>
      </c>
      <c r="B16" s="196" t="s">
        <v>427</v>
      </c>
      <c r="C16" s="196" t="s">
        <v>386</v>
      </c>
      <c r="D16" s="197">
        <v>43616</v>
      </c>
      <c r="F16" s="198">
        <v>64493.91</v>
      </c>
      <c r="G16" s="196" t="s">
        <v>36</v>
      </c>
      <c r="H16" s="196" t="s">
        <v>418</v>
      </c>
      <c r="I16" s="196" t="s">
        <v>38</v>
      </c>
      <c r="J16" s="196" t="s">
        <v>39</v>
      </c>
      <c r="L16" s="199">
        <v>43616</v>
      </c>
      <c r="M16" s="197">
        <v>43616</v>
      </c>
      <c r="P16" s="196" t="s">
        <v>430</v>
      </c>
      <c r="Q16" s="196" t="b">
        <v>1</v>
      </c>
      <c r="S16" s="196" t="s">
        <v>43</v>
      </c>
      <c r="T16" s="196" t="s">
        <v>19</v>
      </c>
      <c r="Y16" s="196">
        <f t="shared" si="0"/>
        <v>5</v>
      </c>
      <c r="Z16" s="199">
        <v>43623.550114780097</v>
      </c>
      <c r="AA16" s="196" t="s">
        <v>45</v>
      </c>
    </row>
    <row r="17" spans="1:27" ht="12.75" customHeight="1" x14ac:dyDescent="0.2">
      <c r="A17" s="196" t="s">
        <v>431</v>
      </c>
      <c r="B17" s="196" t="s">
        <v>427</v>
      </c>
      <c r="C17" s="196" t="s">
        <v>386</v>
      </c>
      <c r="D17" s="197">
        <v>43646</v>
      </c>
      <c r="F17" s="198">
        <v>54530</v>
      </c>
      <c r="G17" s="196" t="s">
        <v>36</v>
      </c>
      <c r="H17" s="196" t="s">
        <v>418</v>
      </c>
      <c r="I17" s="196" t="s">
        <v>38</v>
      </c>
      <c r="J17" s="196" t="s">
        <v>39</v>
      </c>
      <c r="L17" s="199">
        <v>43646</v>
      </c>
      <c r="M17" s="197">
        <v>43646</v>
      </c>
      <c r="P17" s="196" t="s">
        <v>432</v>
      </c>
      <c r="Q17" s="196" t="b">
        <v>1</v>
      </c>
      <c r="S17" s="196" t="s">
        <v>43</v>
      </c>
      <c r="T17" s="196" t="s">
        <v>19</v>
      </c>
      <c r="Y17" s="196">
        <f t="shared" si="0"/>
        <v>6</v>
      </c>
      <c r="Z17" s="199">
        <v>43655.491700613398</v>
      </c>
      <c r="AA17" s="196" t="s">
        <v>45</v>
      </c>
    </row>
    <row r="18" spans="1:27" ht="12.75" customHeight="1" x14ac:dyDescent="0.2">
      <c r="A18" s="196" t="s">
        <v>433</v>
      </c>
      <c r="B18" s="196" t="s">
        <v>427</v>
      </c>
      <c r="C18" s="196" t="s">
        <v>386</v>
      </c>
      <c r="D18" s="197">
        <v>43677</v>
      </c>
      <c r="F18" s="198">
        <v>54942.17</v>
      </c>
      <c r="G18" s="196" t="s">
        <v>36</v>
      </c>
      <c r="H18" s="196" t="s">
        <v>418</v>
      </c>
      <c r="I18" s="196" t="s">
        <v>38</v>
      </c>
      <c r="J18" s="196" t="s">
        <v>39</v>
      </c>
      <c r="L18" s="199">
        <v>43677</v>
      </c>
      <c r="M18" s="197">
        <v>43677</v>
      </c>
      <c r="P18" s="196" t="s">
        <v>434</v>
      </c>
      <c r="Q18" s="196" t="b">
        <v>1</v>
      </c>
      <c r="S18" s="196" t="s">
        <v>43</v>
      </c>
      <c r="T18" s="196" t="s">
        <v>19</v>
      </c>
      <c r="Y18" s="196">
        <f t="shared" si="0"/>
        <v>7</v>
      </c>
      <c r="Z18" s="199">
        <v>43684.549053125003</v>
      </c>
      <c r="AA18" s="196" t="s">
        <v>45</v>
      </c>
    </row>
    <row r="19" spans="1:27" ht="12.75" customHeight="1" x14ac:dyDescent="0.2">
      <c r="A19" s="196" t="s">
        <v>435</v>
      </c>
      <c r="B19" s="196" t="s">
        <v>427</v>
      </c>
      <c r="C19" s="196" t="s">
        <v>386</v>
      </c>
      <c r="D19" s="197">
        <v>43708</v>
      </c>
      <c r="F19" s="198">
        <v>54363.040000000001</v>
      </c>
      <c r="G19" s="196" t="s">
        <v>36</v>
      </c>
      <c r="H19" s="196" t="s">
        <v>418</v>
      </c>
      <c r="I19" s="196" t="s">
        <v>38</v>
      </c>
      <c r="J19" s="196" t="s">
        <v>39</v>
      </c>
      <c r="L19" s="199">
        <v>43708</v>
      </c>
      <c r="M19" s="197">
        <v>43708</v>
      </c>
      <c r="P19" s="196" t="s">
        <v>436</v>
      </c>
      <c r="Q19" s="196" t="b">
        <v>1</v>
      </c>
      <c r="S19" s="196" t="s">
        <v>43</v>
      </c>
      <c r="T19" s="196" t="s">
        <v>19</v>
      </c>
      <c r="Y19" s="196">
        <f t="shared" si="0"/>
        <v>8</v>
      </c>
      <c r="Z19" s="199">
        <v>43717.422270682902</v>
      </c>
      <c r="AA19" s="196" t="s">
        <v>45</v>
      </c>
    </row>
    <row r="20" spans="1:27" x14ac:dyDescent="0.2">
      <c r="A20" s="196" t="s">
        <v>510</v>
      </c>
      <c r="B20" s="196" t="s">
        <v>427</v>
      </c>
      <c r="C20" s="196" t="s">
        <v>386</v>
      </c>
      <c r="D20" s="197">
        <v>43738</v>
      </c>
      <c r="F20" s="198">
        <v>60250</v>
      </c>
      <c r="G20" s="196" t="s">
        <v>36</v>
      </c>
      <c r="H20" s="196" t="s">
        <v>418</v>
      </c>
      <c r="J20" s="196" t="s">
        <v>39</v>
      </c>
      <c r="L20" s="199">
        <v>43738</v>
      </c>
      <c r="M20" s="197">
        <v>43738</v>
      </c>
      <c r="P20" s="196" t="s">
        <v>511</v>
      </c>
      <c r="Q20" s="196" t="b">
        <v>0</v>
      </c>
      <c r="S20" s="196" t="s">
        <v>43</v>
      </c>
      <c r="T20" s="196" t="s">
        <v>19</v>
      </c>
      <c r="Y20" s="196">
        <f t="shared" si="0"/>
        <v>9</v>
      </c>
      <c r="Z20" s="199">
        <v>43746.559304745402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FE35-6CD4-4874-A893-F53C7E945FED}">
  <dimension ref="A1:AH10"/>
  <sheetViews>
    <sheetView topLeftCell="C1" workbookViewId="0">
      <selection activeCell="Y2" sqref="Y2:Y10"/>
    </sheetView>
  </sheetViews>
  <sheetFormatPr defaultColWidth="11.42578125" defaultRowHeight="12.75" customHeight="1" x14ac:dyDescent="0.2"/>
  <cols>
    <col min="1" max="34" width="11.42578125" style="277" customWidth="1"/>
    <col min="35" max="16384" width="11.42578125" style="277"/>
  </cols>
  <sheetData>
    <row r="1" spans="1:34" ht="12.75" customHeight="1" x14ac:dyDescent="0.2">
      <c r="A1" s="277" t="s">
        <v>0</v>
      </c>
      <c r="B1" s="277" t="s">
        <v>1</v>
      </c>
      <c r="C1" s="277" t="s">
        <v>2</v>
      </c>
      <c r="D1" s="277" t="s">
        <v>3</v>
      </c>
      <c r="E1" s="277" t="s">
        <v>4</v>
      </c>
      <c r="F1" s="277" t="s">
        <v>5</v>
      </c>
      <c r="G1" s="277" t="s">
        <v>6</v>
      </c>
      <c r="H1" s="277" t="s">
        <v>7</v>
      </c>
      <c r="I1" s="277" t="s">
        <v>8</v>
      </c>
      <c r="J1" s="277" t="s">
        <v>9</v>
      </c>
      <c r="K1" s="277" t="s">
        <v>10</v>
      </c>
      <c r="L1" s="277" t="s">
        <v>11</v>
      </c>
      <c r="M1" s="277" t="s">
        <v>12</v>
      </c>
      <c r="N1" s="277" t="s">
        <v>13</v>
      </c>
      <c r="O1" s="277" t="s">
        <v>14</v>
      </c>
      <c r="P1" s="277" t="s">
        <v>15</v>
      </c>
      <c r="Q1" s="277" t="s">
        <v>16</v>
      </c>
      <c r="R1" s="277" t="s">
        <v>17</v>
      </c>
      <c r="S1" s="277" t="s">
        <v>18</v>
      </c>
      <c r="T1" s="277" t="s">
        <v>19</v>
      </c>
      <c r="U1" s="277" t="s">
        <v>20</v>
      </c>
      <c r="V1" s="277" t="s">
        <v>21</v>
      </c>
      <c r="W1" s="277" t="s">
        <v>22</v>
      </c>
      <c r="X1" s="277" t="s">
        <v>23</v>
      </c>
      <c r="Y1" s="277" t="s">
        <v>131</v>
      </c>
      <c r="Z1" s="277" t="s">
        <v>24</v>
      </c>
      <c r="AA1" s="277" t="s">
        <v>25</v>
      </c>
      <c r="AB1" s="277" t="s">
        <v>26</v>
      </c>
      <c r="AC1" s="277" t="s">
        <v>27</v>
      </c>
      <c r="AD1" s="277" t="s">
        <v>28</v>
      </c>
      <c r="AE1" s="277" t="s">
        <v>29</v>
      </c>
      <c r="AF1" s="277" t="s">
        <v>30</v>
      </c>
      <c r="AG1" s="277" t="s">
        <v>31</v>
      </c>
      <c r="AH1" s="277" t="s">
        <v>32</v>
      </c>
    </row>
    <row r="2" spans="1:34" ht="12.75" customHeight="1" x14ac:dyDescent="0.2">
      <c r="A2" s="277" t="s">
        <v>416</v>
      </c>
      <c r="B2" s="277" t="s">
        <v>417</v>
      </c>
      <c r="C2" s="277" t="s">
        <v>386</v>
      </c>
      <c r="D2" s="278">
        <v>43496</v>
      </c>
      <c r="F2" s="279">
        <v>148369.57</v>
      </c>
      <c r="G2" s="277" t="s">
        <v>36</v>
      </c>
      <c r="H2" s="277" t="s">
        <v>509</v>
      </c>
      <c r="I2" s="277" t="s">
        <v>38</v>
      </c>
      <c r="J2" s="277" t="s">
        <v>39</v>
      </c>
      <c r="L2" s="280">
        <v>43496</v>
      </c>
      <c r="M2" s="278">
        <v>43496</v>
      </c>
      <c r="P2" s="277" t="s">
        <v>419</v>
      </c>
      <c r="Q2" s="277" t="b">
        <v>1</v>
      </c>
      <c r="S2" s="277" t="s">
        <v>43</v>
      </c>
      <c r="T2" s="277" t="s">
        <v>19</v>
      </c>
      <c r="Y2" s="277">
        <f>MONTH(D2)</f>
        <v>1</v>
      </c>
      <c r="Z2" s="280">
        <v>43507.355377465297</v>
      </c>
      <c r="AA2" s="277" t="s">
        <v>45</v>
      </c>
    </row>
    <row r="3" spans="1:34" ht="12.75" customHeight="1" x14ac:dyDescent="0.2">
      <c r="A3" s="277" t="s">
        <v>420</v>
      </c>
      <c r="B3" s="277" t="s">
        <v>421</v>
      </c>
      <c r="C3" s="277" t="s">
        <v>386</v>
      </c>
      <c r="D3" s="278">
        <v>43524</v>
      </c>
      <c r="F3" s="279">
        <v>182378.7</v>
      </c>
      <c r="G3" s="277" t="s">
        <v>36</v>
      </c>
      <c r="H3" s="277" t="s">
        <v>509</v>
      </c>
      <c r="I3" s="277" t="s">
        <v>38</v>
      </c>
      <c r="J3" s="277" t="s">
        <v>39</v>
      </c>
      <c r="L3" s="280">
        <v>43524</v>
      </c>
      <c r="M3" s="278">
        <v>43524</v>
      </c>
      <c r="P3" s="277" t="s">
        <v>422</v>
      </c>
      <c r="Q3" s="277" t="b">
        <v>1</v>
      </c>
      <c r="S3" s="277" t="s">
        <v>43</v>
      </c>
      <c r="T3" s="277" t="s">
        <v>19</v>
      </c>
      <c r="Y3" s="277">
        <f t="shared" ref="Y3:Y10" si="0">MONTH(D3)</f>
        <v>2</v>
      </c>
      <c r="Z3" s="280">
        <v>43532.362205173602</v>
      </c>
      <c r="AA3" s="277" t="s">
        <v>45</v>
      </c>
    </row>
    <row r="4" spans="1:34" ht="12.75" customHeight="1" x14ac:dyDescent="0.2">
      <c r="A4" s="277" t="s">
        <v>423</v>
      </c>
      <c r="B4" s="277" t="s">
        <v>424</v>
      </c>
      <c r="C4" s="277" t="s">
        <v>386</v>
      </c>
      <c r="D4" s="278">
        <v>43555</v>
      </c>
      <c r="F4" s="279">
        <v>221570.87</v>
      </c>
      <c r="G4" s="277" t="s">
        <v>36</v>
      </c>
      <c r="H4" s="277" t="s">
        <v>509</v>
      </c>
      <c r="I4" s="277" t="s">
        <v>38</v>
      </c>
      <c r="J4" s="277" t="s">
        <v>39</v>
      </c>
      <c r="L4" s="280">
        <v>43555</v>
      </c>
      <c r="M4" s="278">
        <v>43555</v>
      </c>
      <c r="P4" s="277" t="s">
        <v>425</v>
      </c>
      <c r="Q4" s="277" t="b">
        <v>1</v>
      </c>
      <c r="S4" s="277" t="s">
        <v>43</v>
      </c>
      <c r="T4" s="277" t="s">
        <v>19</v>
      </c>
      <c r="Y4" s="277">
        <f t="shared" si="0"/>
        <v>3</v>
      </c>
      <c r="Z4" s="280">
        <v>43563.488004710598</v>
      </c>
      <c r="AA4" s="277" t="s">
        <v>45</v>
      </c>
    </row>
    <row r="5" spans="1:34" ht="12.75" customHeight="1" x14ac:dyDescent="0.2">
      <c r="A5" s="277" t="s">
        <v>426</v>
      </c>
      <c r="B5" s="277" t="s">
        <v>427</v>
      </c>
      <c r="C5" s="277" t="s">
        <v>386</v>
      </c>
      <c r="D5" s="278">
        <v>43585</v>
      </c>
      <c r="F5" s="279">
        <v>232400.43</v>
      </c>
      <c r="G5" s="277" t="s">
        <v>36</v>
      </c>
      <c r="H5" s="277" t="s">
        <v>509</v>
      </c>
      <c r="I5" s="277" t="s">
        <v>38</v>
      </c>
      <c r="J5" s="277" t="s">
        <v>39</v>
      </c>
      <c r="L5" s="280">
        <v>43585</v>
      </c>
      <c r="M5" s="278">
        <v>43585</v>
      </c>
      <c r="P5" s="277" t="s">
        <v>428</v>
      </c>
      <c r="Q5" s="277" t="b">
        <v>1</v>
      </c>
      <c r="S5" s="277" t="s">
        <v>43</v>
      </c>
      <c r="T5" s="277" t="s">
        <v>19</v>
      </c>
      <c r="Y5" s="277">
        <f t="shared" si="0"/>
        <v>4</v>
      </c>
      <c r="Z5" s="280">
        <v>43594.532042939798</v>
      </c>
      <c r="AA5" s="277" t="s">
        <v>45</v>
      </c>
    </row>
    <row r="6" spans="1:34" ht="12.75" customHeight="1" x14ac:dyDescent="0.2">
      <c r="A6" s="277" t="s">
        <v>429</v>
      </c>
      <c r="B6" s="277" t="s">
        <v>427</v>
      </c>
      <c r="C6" s="277" t="s">
        <v>386</v>
      </c>
      <c r="D6" s="278">
        <v>43616</v>
      </c>
      <c r="F6" s="279">
        <v>177585.22</v>
      </c>
      <c r="G6" s="277" t="s">
        <v>36</v>
      </c>
      <c r="H6" s="277" t="s">
        <v>509</v>
      </c>
      <c r="I6" s="277" t="s">
        <v>38</v>
      </c>
      <c r="J6" s="277" t="s">
        <v>39</v>
      </c>
      <c r="L6" s="280">
        <v>43616</v>
      </c>
      <c r="M6" s="278">
        <v>43616</v>
      </c>
      <c r="P6" s="277" t="s">
        <v>430</v>
      </c>
      <c r="Q6" s="277" t="b">
        <v>1</v>
      </c>
      <c r="S6" s="277" t="s">
        <v>43</v>
      </c>
      <c r="T6" s="277" t="s">
        <v>19</v>
      </c>
      <c r="Y6" s="277">
        <f t="shared" si="0"/>
        <v>5</v>
      </c>
      <c r="Z6" s="280">
        <v>43623.5501169329</v>
      </c>
      <c r="AA6" s="277" t="s">
        <v>45</v>
      </c>
    </row>
    <row r="7" spans="1:34" ht="12.75" customHeight="1" x14ac:dyDescent="0.2">
      <c r="A7" s="277" t="s">
        <v>431</v>
      </c>
      <c r="B7" s="277" t="s">
        <v>427</v>
      </c>
      <c r="C7" s="277" t="s">
        <v>386</v>
      </c>
      <c r="D7" s="278">
        <v>43646</v>
      </c>
      <c r="F7" s="279">
        <v>50280.87</v>
      </c>
      <c r="G7" s="277" t="s">
        <v>36</v>
      </c>
      <c r="H7" s="277" t="s">
        <v>509</v>
      </c>
      <c r="I7" s="277" t="s">
        <v>38</v>
      </c>
      <c r="J7" s="277" t="s">
        <v>39</v>
      </c>
      <c r="L7" s="280">
        <v>43646</v>
      </c>
      <c r="M7" s="278">
        <v>43646</v>
      </c>
      <c r="P7" s="277" t="s">
        <v>432</v>
      </c>
      <c r="Q7" s="277" t="b">
        <v>1</v>
      </c>
      <c r="S7" s="277" t="s">
        <v>43</v>
      </c>
      <c r="T7" s="277" t="s">
        <v>19</v>
      </c>
      <c r="Y7" s="277">
        <f t="shared" si="0"/>
        <v>6</v>
      </c>
      <c r="Z7" s="280">
        <v>43655.491701701401</v>
      </c>
      <c r="AA7" s="277" t="s">
        <v>45</v>
      </c>
    </row>
    <row r="8" spans="1:34" ht="12.75" customHeight="1" x14ac:dyDescent="0.2">
      <c r="A8" s="277" t="s">
        <v>433</v>
      </c>
      <c r="B8" s="277" t="s">
        <v>427</v>
      </c>
      <c r="C8" s="277" t="s">
        <v>386</v>
      </c>
      <c r="D8" s="278">
        <v>43677</v>
      </c>
      <c r="F8" s="279">
        <v>32963.910000000003</v>
      </c>
      <c r="G8" s="277" t="s">
        <v>36</v>
      </c>
      <c r="H8" s="277" t="s">
        <v>509</v>
      </c>
      <c r="I8" s="277" t="s">
        <v>38</v>
      </c>
      <c r="J8" s="277" t="s">
        <v>39</v>
      </c>
      <c r="L8" s="280">
        <v>43677</v>
      </c>
      <c r="M8" s="278">
        <v>43677</v>
      </c>
      <c r="P8" s="277" t="s">
        <v>434</v>
      </c>
      <c r="Q8" s="277" t="b">
        <v>1</v>
      </c>
      <c r="S8" s="277" t="s">
        <v>43</v>
      </c>
      <c r="T8" s="277" t="s">
        <v>19</v>
      </c>
      <c r="Y8" s="277">
        <f t="shared" si="0"/>
        <v>7</v>
      </c>
      <c r="Z8" s="280">
        <v>43684.549054398201</v>
      </c>
      <c r="AA8" s="277" t="s">
        <v>45</v>
      </c>
    </row>
    <row r="9" spans="1:34" ht="12.75" customHeight="1" x14ac:dyDescent="0.2">
      <c r="A9" s="277" t="s">
        <v>435</v>
      </c>
      <c r="B9" s="277" t="s">
        <v>427</v>
      </c>
      <c r="C9" s="277" t="s">
        <v>386</v>
      </c>
      <c r="D9" s="278">
        <v>43708</v>
      </c>
      <c r="F9" s="279">
        <v>33943.910000000003</v>
      </c>
      <c r="G9" s="277" t="s">
        <v>36</v>
      </c>
      <c r="H9" s="277" t="s">
        <v>509</v>
      </c>
      <c r="I9" s="277" t="s">
        <v>38</v>
      </c>
      <c r="J9" s="277" t="s">
        <v>39</v>
      </c>
      <c r="L9" s="280">
        <v>43708</v>
      </c>
      <c r="M9" s="278">
        <v>43708</v>
      </c>
      <c r="P9" s="277" t="s">
        <v>436</v>
      </c>
      <c r="Q9" s="277" t="b">
        <v>1</v>
      </c>
      <c r="S9" s="277" t="s">
        <v>43</v>
      </c>
      <c r="T9" s="277" t="s">
        <v>19</v>
      </c>
      <c r="Y9" s="277">
        <f t="shared" si="0"/>
        <v>8</v>
      </c>
      <c r="Z9" s="280">
        <v>43717.4222715625</v>
      </c>
      <c r="AA9" s="277" t="s">
        <v>45</v>
      </c>
    </row>
    <row r="10" spans="1:34" ht="12.75" customHeight="1" x14ac:dyDescent="0.2">
      <c r="A10" s="277" t="s">
        <v>510</v>
      </c>
      <c r="B10" s="277" t="s">
        <v>427</v>
      </c>
      <c r="C10" s="277" t="s">
        <v>386</v>
      </c>
      <c r="D10" s="278">
        <v>43738</v>
      </c>
      <c r="F10" s="279">
        <v>104605.22</v>
      </c>
      <c r="G10" s="277" t="s">
        <v>36</v>
      </c>
      <c r="H10" s="277" t="s">
        <v>509</v>
      </c>
      <c r="J10" s="277" t="s">
        <v>39</v>
      </c>
      <c r="L10" s="280">
        <v>43738</v>
      </c>
      <c r="M10" s="278">
        <v>43738</v>
      </c>
      <c r="P10" s="277" t="s">
        <v>511</v>
      </c>
      <c r="Q10" s="277" t="b">
        <v>0</v>
      </c>
      <c r="S10" s="277" t="s">
        <v>43</v>
      </c>
      <c r="T10" s="277" t="s">
        <v>19</v>
      </c>
      <c r="Y10" s="277">
        <f t="shared" si="0"/>
        <v>9</v>
      </c>
      <c r="Z10" s="280">
        <v>43746.559309259297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8027-BA58-4EDC-8502-21315F852A4E}">
  <dimension ref="A1:AH109"/>
  <sheetViews>
    <sheetView workbookViewId="0">
      <selection activeCell="F28" sqref="F28"/>
    </sheetView>
  </sheetViews>
  <sheetFormatPr defaultColWidth="11.42578125" defaultRowHeight="12.75" customHeight="1" x14ac:dyDescent="0.2"/>
  <cols>
    <col min="1" max="5" width="11.42578125" style="196" customWidth="1"/>
    <col min="6" max="6" width="17.5703125" style="319" customWidth="1"/>
    <col min="7" max="25" width="11.42578125" style="196" customWidth="1"/>
    <col min="26" max="26" width="27" style="196" customWidth="1"/>
    <col min="27" max="34" width="11.42578125" style="196" customWidth="1"/>
    <col min="35" max="16384" width="11.42578125" style="196"/>
  </cols>
  <sheetData>
    <row r="1" spans="1:34" ht="12.75" customHeight="1" x14ac:dyDescent="0.2">
      <c r="A1" s="196" t="s">
        <v>0</v>
      </c>
      <c r="B1" s="196" t="s">
        <v>1</v>
      </c>
      <c r="C1" s="196" t="s">
        <v>2</v>
      </c>
      <c r="D1" s="196" t="s">
        <v>3</v>
      </c>
      <c r="E1" s="196" t="s">
        <v>4</v>
      </c>
      <c r="F1" s="319" t="s">
        <v>5</v>
      </c>
      <c r="G1" s="196" t="s">
        <v>6</v>
      </c>
      <c r="H1" s="196" t="s">
        <v>7</v>
      </c>
      <c r="I1" s="196" t="s">
        <v>8</v>
      </c>
      <c r="J1" s="196" t="s">
        <v>9</v>
      </c>
      <c r="K1" s="196" t="s">
        <v>10</v>
      </c>
      <c r="L1" s="196" t="s">
        <v>11</v>
      </c>
      <c r="M1" s="196" t="s">
        <v>12</v>
      </c>
      <c r="N1" s="196" t="s">
        <v>13</v>
      </c>
      <c r="O1" s="196" t="s">
        <v>14</v>
      </c>
      <c r="P1" s="196" t="s">
        <v>15</v>
      </c>
      <c r="Q1" s="196" t="s">
        <v>16</v>
      </c>
      <c r="R1" s="196" t="s">
        <v>17</v>
      </c>
      <c r="S1" s="196" t="s">
        <v>18</v>
      </c>
      <c r="T1" s="196" t="s">
        <v>19</v>
      </c>
      <c r="U1" s="196" t="s">
        <v>20</v>
      </c>
      <c r="V1" s="196" t="s">
        <v>21</v>
      </c>
      <c r="W1" s="196" t="s">
        <v>22</v>
      </c>
      <c r="X1" s="196" t="s">
        <v>23</v>
      </c>
      <c r="Y1" s="200" t="s">
        <v>131</v>
      </c>
      <c r="Z1" s="196" t="s">
        <v>24</v>
      </c>
      <c r="AA1" s="196" t="s">
        <v>25</v>
      </c>
      <c r="AB1" s="196" t="s">
        <v>26</v>
      </c>
      <c r="AC1" s="196" t="s">
        <v>27</v>
      </c>
      <c r="AD1" s="196" t="s">
        <v>28</v>
      </c>
      <c r="AE1" s="196" t="s">
        <v>29</v>
      </c>
      <c r="AF1" s="196" t="s">
        <v>30</v>
      </c>
      <c r="AG1" s="196" t="s">
        <v>31</v>
      </c>
      <c r="AH1" s="196" t="s">
        <v>32</v>
      </c>
    </row>
    <row r="2" spans="1:34" ht="12.75" customHeight="1" x14ac:dyDescent="0.2">
      <c r="A2" s="196" t="s">
        <v>528</v>
      </c>
      <c r="B2" s="196" t="s">
        <v>529</v>
      </c>
      <c r="C2" s="196" t="s">
        <v>386</v>
      </c>
      <c r="D2" s="197">
        <v>43704</v>
      </c>
      <c r="F2" s="320">
        <v>-7601.78</v>
      </c>
      <c r="G2" s="196" t="s">
        <v>36</v>
      </c>
      <c r="H2" s="196" t="s">
        <v>352</v>
      </c>
      <c r="I2" s="196" t="s">
        <v>353</v>
      </c>
      <c r="J2" s="196" t="s">
        <v>39</v>
      </c>
      <c r="K2" s="196" t="s">
        <v>530</v>
      </c>
      <c r="L2" s="199">
        <v>43704</v>
      </c>
      <c r="M2" s="197">
        <v>43704</v>
      </c>
      <c r="N2" s="196" t="s">
        <v>531</v>
      </c>
      <c r="O2" s="196" t="s">
        <v>532</v>
      </c>
      <c r="P2" s="196" t="s">
        <v>533</v>
      </c>
      <c r="Q2" s="196" t="b">
        <v>1</v>
      </c>
      <c r="S2" s="196" t="s">
        <v>86</v>
      </c>
      <c r="T2" s="196" t="s">
        <v>19</v>
      </c>
      <c r="Y2" s="196">
        <f>MONTH(M2)</f>
        <v>8</v>
      </c>
      <c r="Z2" s="199">
        <v>43705.283326192097</v>
      </c>
      <c r="AA2" s="196" t="s">
        <v>358</v>
      </c>
    </row>
    <row r="3" spans="1:34" ht="12.75" customHeight="1" x14ac:dyDescent="0.2">
      <c r="A3" s="196" t="s">
        <v>534</v>
      </c>
      <c r="B3" s="196" t="s">
        <v>351</v>
      </c>
      <c r="C3" s="196" t="s">
        <v>386</v>
      </c>
      <c r="D3" s="197">
        <v>43496</v>
      </c>
      <c r="F3" s="320">
        <v>7439.99</v>
      </c>
      <c r="G3" s="196" t="s">
        <v>36</v>
      </c>
      <c r="H3" s="196" t="s">
        <v>352</v>
      </c>
      <c r="I3" s="196" t="s">
        <v>353</v>
      </c>
      <c r="J3" s="196" t="s">
        <v>39</v>
      </c>
      <c r="K3" s="196" t="s">
        <v>530</v>
      </c>
      <c r="L3" s="199">
        <v>43502</v>
      </c>
      <c r="M3" s="197">
        <v>43496</v>
      </c>
      <c r="N3" s="196" t="s">
        <v>535</v>
      </c>
      <c r="O3" s="196" t="s">
        <v>532</v>
      </c>
      <c r="P3" s="196" t="s">
        <v>536</v>
      </c>
      <c r="Q3" s="196" t="b">
        <v>1</v>
      </c>
      <c r="S3" s="196" t="s">
        <v>537</v>
      </c>
      <c r="T3" s="196" t="s">
        <v>19</v>
      </c>
      <c r="Y3" s="196">
        <f t="shared" ref="Y3:Y66" si="0">MONTH(M3)</f>
        <v>1</v>
      </c>
      <c r="Z3" s="199">
        <v>43502.379936770798</v>
      </c>
      <c r="AA3" s="196" t="s">
        <v>358</v>
      </c>
    </row>
    <row r="4" spans="1:34" ht="12.75" customHeight="1" x14ac:dyDescent="0.2">
      <c r="A4" s="196" t="s">
        <v>538</v>
      </c>
      <c r="B4" s="196" t="s">
        <v>351</v>
      </c>
      <c r="C4" s="196" t="s">
        <v>386</v>
      </c>
      <c r="D4" s="197">
        <v>43496</v>
      </c>
      <c r="F4" s="320">
        <v>173937.47</v>
      </c>
      <c r="G4" s="196" t="s">
        <v>36</v>
      </c>
      <c r="H4" s="196" t="s">
        <v>352</v>
      </c>
      <c r="I4" s="196" t="s">
        <v>353</v>
      </c>
      <c r="J4" s="196" t="s">
        <v>39</v>
      </c>
      <c r="K4" s="196" t="s">
        <v>354</v>
      </c>
      <c r="L4" s="199">
        <v>43507</v>
      </c>
      <c r="M4" s="197">
        <v>43496</v>
      </c>
      <c r="N4" s="196" t="s">
        <v>539</v>
      </c>
      <c r="O4" s="196" t="s">
        <v>532</v>
      </c>
      <c r="P4" s="196" t="s">
        <v>540</v>
      </c>
      <c r="Q4" s="196" t="b">
        <v>1</v>
      </c>
      <c r="S4" s="196" t="s">
        <v>86</v>
      </c>
      <c r="T4" s="196" t="s">
        <v>19</v>
      </c>
      <c r="Y4" s="196">
        <f t="shared" si="0"/>
        <v>1</v>
      </c>
      <c r="Z4" s="199">
        <v>43507.294322372698</v>
      </c>
      <c r="AA4" s="196" t="s">
        <v>358</v>
      </c>
    </row>
    <row r="5" spans="1:34" ht="12.75" customHeight="1" x14ac:dyDescent="0.2">
      <c r="A5" s="196" t="s">
        <v>541</v>
      </c>
      <c r="B5" s="196" t="s">
        <v>351</v>
      </c>
      <c r="C5" s="196" t="s">
        <v>386</v>
      </c>
      <c r="D5" s="197">
        <v>43496</v>
      </c>
      <c r="F5" s="320">
        <v>3396.52</v>
      </c>
      <c r="G5" s="196" t="s">
        <v>36</v>
      </c>
      <c r="H5" s="196" t="s">
        <v>352</v>
      </c>
      <c r="I5" s="196" t="s">
        <v>353</v>
      </c>
      <c r="J5" s="196" t="s">
        <v>39</v>
      </c>
      <c r="K5" s="196" t="s">
        <v>542</v>
      </c>
      <c r="L5" s="199">
        <v>43507</v>
      </c>
      <c r="M5" s="197">
        <v>43496</v>
      </c>
      <c r="N5" s="196" t="s">
        <v>543</v>
      </c>
      <c r="O5" s="196" t="s">
        <v>532</v>
      </c>
      <c r="P5" s="196" t="s">
        <v>544</v>
      </c>
      <c r="Q5" s="196" t="b">
        <v>1</v>
      </c>
      <c r="S5" s="196" t="s">
        <v>86</v>
      </c>
      <c r="T5" s="196" t="s">
        <v>19</v>
      </c>
      <c r="Y5" s="196">
        <f t="shared" si="0"/>
        <v>1</v>
      </c>
      <c r="Z5" s="199">
        <v>43508.3094879282</v>
      </c>
      <c r="AA5" s="196" t="s">
        <v>358</v>
      </c>
    </row>
    <row r="6" spans="1:34" ht="12.75" customHeight="1" x14ac:dyDescent="0.2">
      <c r="A6" s="196" t="s">
        <v>545</v>
      </c>
      <c r="B6" s="196" t="s">
        <v>351</v>
      </c>
      <c r="C6" s="196" t="s">
        <v>386</v>
      </c>
      <c r="D6" s="197">
        <v>43496</v>
      </c>
      <c r="F6" s="320">
        <v>20621.72</v>
      </c>
      <c r="G6" s="196" t="s">
        <v>36</v>
      </c>
      <c r="H6" s="196" t="s">
        <v>352</v>
      </c>
      <c r="I6" s="196" t="s">
        <v>353</v>
      </c>
      <c r="J6" s="196" t="s">
        <v>39</v>
      </c>
      <c r="K6" s="196" t="s">
        <v>546</v>
      </c>
      <c r="L6" s="199">
        <v>43507</v>
      </c>
      <c r="M6" s="197">
        <v>43496</v>
      </c>
      <c r="N6" s="196" t="s">
        <v>547</v>
      </c>
      <c r="O6" s="196" t="s">
        <v>532</v>
      </c>
      <c r="P6" s="196" t="s">
        <v>548</v>
      </c>
      <c r="Q6" s="196" t="b">
        <v>1</v>
      </c>
      <c r="S6" s="196" t="s">
        <v>86</v>
      </c>
      <c r="T6" s="196" t="s">
        <v>19</v>
      </c>
      <c r="Y6" s="196">
        <f t="shared" si="0"/>
        <v>1</v>
      </c>
      <c r="Z6" s="199">
        <v>43508.309490821797</v>
      </c>
      <c r="AA6" s="196" t="s">
        <v>358</v>
      </c>
    </row>
    <row r="7" spans="1:34" ht="12.75" customHeight="1" x14ac:dyDescent="0.2">
      <c r="A7" s="196" t="s">
        <v>549</v>
      </c>
      <c r="B7" s="196" t="s">
        <v>351</v>
      </c>
      <c r="C7" s="196" t="s">
        <v>386</v>
      </c>
      <c r="D7" s="197">
        <v>43496</v>
      </c>
      <c r="F7" s="320">
        <v>9422.61</v>
      </c>
      <c r="G7" s="196" t="s">
        <v>36</v>
      </c>
      <c r="H7" s="196" t="s">
        <v>352</v>
      </c>
      <c r="I7" s="196" t="s">
        <v>353</v>
      </c>
      <c r="J7" s="196" t="s">
        <v>39</v>
      </c>
      <c r="K7" s="196" t="s">
        <v>550</v>
      </c>
      <c r="L7" s="199">
        <v>43507</v>
      </c>
      <c r="M7" s="197">
        <v>43496</v>
      </c>
      <c r="N7" s="196" t="s">
        <v>551</v>
      </c>
      <c r="O7" s="196" t="s">
        <v>532</v>
      </c>
      <c r="P7" s="196" t="s">
        <v>552</v>
      </c>
      <c r="Q7" s="196" t="b">
        <v>1</v>
      </c>
      <c r="S7" s="196" t="s">
        <v>86</v>
      </c>
      <c r="T7" s="196" t="s">
        <v>19</v>
      </c>
      <c r="Y7" s="196">
        <f t="shared" si="0"/>
        <v>1</v>
      </c>
      <c r="Z7" s="199">
        <v>43508.309495335598</v>
      </c>
      <c r="AA7" s="196" t="s">
        <v>358</v>
      </c>
    </row>
    <row r="8" spans="1:34" ht="12.75" customHeight="1" x14ac:dyDescent="0.2">
      <c r="A8" s="196" t="s">
        <v>553</v>
      </c>
      <c r="B8" s="196" t="s">
        <v>351</v>
      </c>
      <c r="C8" s="196" t="s">
        <v>386</v>
      </c>
      <c r="D8" s="197">
        <v>43496</v>
      </c>
      <c r="F8" s="320">
        <v>48970.42</v>
      </c>
      <c r="G8" s="196" t="s">
        <v>36</v>
      </c>
      <c r="H8" s="196" t="s">
        <v>352</v>
      </c>
      <c r="I8" s="196" t="s">
        <v>353</v>
      </c>
      <c r="J8" s="196" t="s">
        <v>39</v>
      </c>
      <c r="K8" s="196" t="s">
        <v>554</v>
      </c>
      <c r="L8" s="199">
        <v>43507</v>
      </c>
      <c r="M8" s="197">
        <v>43496</v>
      </c>
      <c r="N8" s="196" t="s">
        <v>555</v>
      </c>
      <c r="O8" s="196" t="s">
        <v>532</v>
      </c>
      <c r="P8" s="196" t="s">
        <v>556</v>
      </c>
      <c r="Q8" s="196" t="b">
        <v>1</v>
      </c>
      <c r="S8" s="196" t="s">
        <v>86</v>
      </c>
      <c r="T8" s="196" t="s">
        <v>19</v>
      </c>
      <c r="Y8" s="196">
        <f t="shared" si="0"/>
        <v>1</v>
      </c>
      <c r="Z8" s="199">
        <v>43508.309497141199</v>
      </c>
      <c r="AA8" s="196" t="s">
        <v>358</v>
      </c>
    </row>
    <row r="9" spans="1:34" ht="12.75" customHeight="1" x14ac:dyDescent="0.2">
      <c r="A9" s="196" t="s">
        <v>557</v>
      </c>
      <c r="B9" s="196" t="s">
        <v>351</v>
      </c>
      <c r="C9" s="196" t="s">
        <v>386</v>
      </c>
      <c r="D9" s="197">
        <v>43496</v>
      </c>
      <c r="F9" s="320">
        <v>1051.3</v>
      </c>
      <c r="G9" s="196" t="s">
        <v>36</v>
      </c>
      <c r="H9" s="196" t="s">
        <v>352</v>
      </c>
      <c r="I9" s="196" t="s">
        <v>353</v>
      </c>
      <c r="J9" s="196" t="s">
        <v>39</v>
      </c>
      <c r="K9" s="196" t="s">
        <v>554</v>
      </c>
      <c r="L9" s="199">
        <v>43507</v>
      </c>
      <c r="M9" s="197">
        <v>43496</v>
      </c>
      <c r="N9" s="196" t="s">
        <v>558</v>
      </c>
      <c r="O9" s="196" t="s">
        <v>532</v>
      </c>
      <c r="P9" s="196" t="s">
        <v>559</v>
      </c>
      <c r="Q9" s="196" t="b">
        <v>1</v>
      </c>
      <c r="S9" s="196" t="s">
        <v>86</v>
      </c>
      <c r="T9" s="196" t="s">
        <v>19</v>
      </c>
      <c r="Y9" s="196">
        <f t="shared" si="0"/>
        <v>1</v>
      </c>
      <c r="Z9" s="199">
        <v>43508.309500775496</v>
      </c>
      <c r="AA9" s="196" t="s">
        <v>358</v>
      </c>
    </row>
    <row r="10" spans="1:34" ht="12.75" customHeight="1" x14ac:dyDescent="0.2">
      <c r="A10" s="196" t="s">
        <v>560</v>
      </c>
      <c r="B10" s="196" t="s">
        <v>351</v>
      </c>
      <c r="C10" s="196" t="s">
        <v>386</v>
      </c>
      <c r="D10" s="197">
        <v>43496</v>
      </c>
      <c r="F10" s="320">
        <v>1374.78</v>
      </c>
      <c r="G10" s="196" t="s">
        <v>36</v>
      </c>
      <c r="H10" s="196" t="s">
        <v>352</v>
      </c>
      <c r="I10" s="196" t="s">
        <v>353</v>
      </c>
      <c r="J10" s="196" t="s">
        <v>39</v>
      </c>
      <c r="K10" s="196" t="s">
        <v>354</v>
      </c>
      <c r="L10" s="199">
        <v>43507</v>
      </c>
      <c r="M10" s="197">
        <v>43496</v>
      </c>
      <c r="N10" s="196" t="s">
        <v>561</v>
      </c>
      <c r="O10" s="196" t="s">
        <v>532</v>
      </c>
      <c r="P10" s="196" t="s">
        <v>562</v>
      </c>
      <c r="Q10" s="196" t="b">
        <v>1</v>
      </c>
      <c r="S10" s="196" t="s">
        <v>86</v>
      </c>
      <c r="T10" s="196" t="s">
        <v>19</v>
      </c>
      <c r="Y10" s="196">
        <f t="shared" si="0"/>
        <v>1</v>
      </c>
      <c r="Z10" s="199">
        <v>43508.3095056366</v>
      </c>
      <c r="AA10" s="196" t="s">
        <v>358</v>
      </c>
    </row>
    <row r="11" spans="1:34" ht="12.75" customHeight="1" x14ac:dyDescent="0.2">
      <c r="A11" s="196" t="s">
        <v>563</v>
      </c>
      <c r="B11" s="196" t="s">
        <v>351</v>
      </c>
      <c r="C11" s="196" t="s">
        <v>386</v>
      </c>
      <c r="D11" s="197">
        <v>43496</v>
      </c>
      <c r="F11" s="320">
        <v>2264.35</v>
      </c>
      <c r="G11" s="196" t="s">
        <v>36</v>
      </c>
      <c r="H11" s="196" t="s">
        <v>352</v>
      </c>
      <c r="I11" s="196" t="s">
        <v>353</v>
      </c>
      <c r="J11" s="196" t="s">
        <v>39</v>
      </c>
      <c r="K11" s="196" t="s">
        <v>354</v>
      </c>
      <c r="L11" s="199">
        <v>43507</v>
      </c>
      <c r="M11" s="197">
        <v>43496</v>
      </c>
      <c r="N11" s="196" t="s">
        <v>564</v>
      </c>
      <c r="O11" s="196" t="s">
        <v>532</v>
      </c>
      <c r="P11" s="196" t="s">
        <v>565</v>
      </c>
      <c r="Q11" s="196" t="b">
        <v>1</v>
      </c>
      <c r="S11" s="196" t="s">
        <v>86</v>
      </c>
      <c r="T11" s="196" t="s">
        <v>19</v>
      </c>
      <c r="Y11" s="196">
        <f t="shared" si="0"/>
        <v>1</v>
      </c>
      <c r="Z11" s="199">
        <v>43508.309510150502</v>
      </c>
      <c r="AA11" s="196" t="s">
        <v>358</v>
      </c>
    </row>
    <row r="12" spans="1:34" ht="12.75" customHeight="1" x14ac:dyDescent="0.2">
      <c r="A12" s="196" t="s">
        <v>566</v>
      </c>
      <c r="B12" s="196" t="s">
        <v>567</v>
      </c>
      <c r="C12" s="196" t="s">
        <v>386</v>
      </c>
      <c r="D12" s="197">
        <v>43511</v>
      </c>
      <c r="F12" s="320">
        <v>808.7</v>
      </c>
      <c r="G12" s="196" t="s">
        <v>36</v>
      </c>
      <c r="H12" s="196" t="s">
        <v>352</v>
      </c>
      <c r="I12" s="196" t="s">
        <v>353</v>
      </c>
      <c r="J12" s="196" t="s">
        <v>39</v>
      </c>
      <c r="K12" s="196" t="s">
        <v>354</v>
      </c>
      <c r="L12" s="199">
        <v>43521</v>
      </c>
      <c r="M12" s="197">
        <v>43511</v>
      </c>
      <c r="N12" s="196" t="s">
        <v>568</v>
      </c>
      <c r="O12" s="196" t="s">
        <v>532</v>
      </c>
      <c r="P12" s="196" t="s">
        <v>569</v>
      </c>
      <c r="Q12" s="196" t="b">
        <v>1</v>
      </c>
      <c r="S12" s="196" t="s">
        <v>86</v>
      </c>
      <c r="T12" s="196" t="s">
        <v>19</v>
      </c>
      <c r="Y12" s="196">
        <f t="shared" si="0"/>
        <v>2</v>
      </c>
      <c r="Z12" s="199">
        <v>43523.504758993098</v>
      </c>
      <c r="AA12" s="196" t="s">
        <v>358</v>
      </c>
    </row>
    <row r="13" spans="1:34" ht="12.75" customHeight="1" x14ac:dyDescent="0.2">
      <c r="A13" s="196" t="s">
        <v>570</v>
      </c>
      <c r="B13" s="196" t="s">
        <v>571</v>
      </c>
      <c r="C13" s="196" t="s">
        <v>386</v>
      </c>
      <c r="D13" s="197">
        <v>43520</v>
      </c>
      <c r="F13" s="320">
        <v>42780.02</v>
      </c>
      <c r="G13" s="196" t="s">
        <v>36</v>
      </c>
      <c r="H13" s="196" t="s">
        <v>352</v>
      </c>
      <c r="I13" s="196" t="s">
        <v>353</v>
      </c>
      <c r="J13" s="196" t="s">
        <v>39</v>
      </c>
      <c r="K13" s="196" t="s">
        <v>354</v>
      </c>
      <c r="L13" s="199">
        <v>43524</v>
      </c>
      <c r="M13" s="197">
        <v>43520</v>
      </c>
      <c r="N13" s="196" t="s">
        <v>572</v>
      </c>
      <c r="O13" s="196" t="s">
        <v>532</v>
      </c>
      <c r="P13" s="196" t="s">
        <v>573</v>
      </c>
      <c r="Q13" s="196" t="b">
        <v>1</v>
      </c>
      <c r="S13" s="196" t="s">
        <v>86</v>
      </c>
      <c r="T13" s="196" t="s">
        <v>19</v>
      </c>
      <c r="U13" s="196" t="s">
        <v>574</v>
      </c>
      <c r="Y13" s="196">
        <f t="shared" si="0"/>
        <v>2</v>
      </c>
      <c r="Z13" s="199">
        <v>43525.357134687503</v>
      </c>
      <c r="AA13" s="196" t="s">
        <v>358</v>
      </c>
    </row>
    <row r="14" spans="1:34" ht="12.75" customHeight="1" x14ac:dyDescent="0.2">
      <c r="A14" s="196" t="s">
        <v>575</v>
      </c>
      <c r="B14" s="196" t="s">
        <v>351</v>
      </c>
      <c r="C14" s="196" t="s">
        <v>386</v>
      </c>
      <c r="D14" s="197">
        <v>43524</v>
      </c>
      <c r="F14" s="320">
        <v>8086.95</v>
      </c>
      <c r="G14" s="196" t="s">
        <v>36</v>
      </c>
      <c r="H14" s="196" t="s">
        <v>352</v>
      </c>
      <c r="I14" s="196" t="s">
        <v>353</v>
      </c>
      <c r="J14" s="196" t="s">
        <v>39</v>
      </c>
      <c r="K14" s="196" t="s">
        <v>530</v>
      </c>
      <c r="L14" s="199">
        <v>43528</v>
      </c>
      <c r="M14" s="197">
        <v>43524</v>
      </c>
      <c r="N14" s="196" t="s">
        <v>576</v>
      </c>
      <c r="O14" s="196" t="s">
        <v>532</v>
      </c>
      <c r="P14" s="196" t="s">
        <v>577</v>
      </c>
      <c r="Q14" s="196" t="b">
        <v>1</v>
      </c>
      <c r="S14" s="196" t="s">
        <v>86</v>
      </c>
      <c r="T14" s="196" t="s">
        <v>19</v>
      </c>
      <c r="Y14" s="196">
        <f t="shared" si="0"/>
        <v>2</v>
      </c>
      <c r="Z14" s="199">
        <v>43529.474186539403</v>
      </c>
      <c r="AA14" s="196" t="s">
        <v>358</v>
      </c>
    </row>
    <row r="15" spans="1:34" ht="12.75" customHeight="1" x14ac:dyDescent="0.2">
      <c r="A15" s="196" t="s">
        <v>578</v>
      </c>
      <c r="B15" s="196" t="s">
        <v>360</v>
      </c>
      <c r="C15" s="196" t="s">
        <v>386</v>
      </c>
      <c r="D15" s="197">
        <v>43524</v>
      </c>
      <c r="F15" s="320">
        <v>163194.85</v>
      </c>
      <c r="G15" s="196" t="s">
        <v>36</v>
      </c>
      <c r="H15" s="196" t="s">
        <v>352</v>
      </c>
      <c r="I15" s="196" t="s">
        <v>353</v>
      </c>
      <c r="J15" s="196" t="s">
        <v>39</v>
      </c>
      <c r="K15" s="196" t="s">
        <v>354</v>
      </c>
      <c r="L15" s="199">
        <v>43532</v>
      </c>
      <c r="M15" s="197">
        <v>43524</v>
      </c>
      <c r="N15" s="196" t="s">
        <v>579</v>
      </c>
      <c r="O15" s="196" t="s">
        <v>532</v>
      </c>
      <c r="P15" s="196" t="s">
        <v>580</v>
      </c>
      <c r="Q15" s="196" t="b">
        <v>1</v>
      </c>
      <c r="S15" s="196" t="s">
        <v>86</v>
      </c>
      <c r="T15" s="196" t="s">
        <v>19</v>
      </c>
      <c r="Y15" s="196">
        <f t="shared" si="0"/>
        <v>2</v>
      </c>
      <c r="Z15" s="199">
        <v>43532.578026388903</v>
      </c>
      <c r="AA15" s="196" t="s">
        <v>358</v>
      </c>
    </row>
    <row r="16" spans="1:34" ht="12.75" customHeight="1" x14ac:dyDescent="0.2">
      <c r="A16" s="196" t="s">
        <v>581</v>
      </c>
      <c r="B16" s="196" t="s">
        <v>360</v>
      </c>
      <c r="C16" s="196" t="s">
        <v>386</v>
      </c>
      <c r="D16" s="197">
        <v>43524</v>
      </c>
      <c r="F16" s="320">
        <v>2830.43</v>
      </c>
      <c r="G16" s="196" t="s">
        <v>36</v>
      </c>
      <c r="H16" s="196" t="s">
        <v>352</v>
      </c>
      <c r="I16" s="196" t="s">
        <v>353</v>
      </c>
      <c r="J16" s="196" t="s">
        <v>39</v>
      </c>
      <c r="K16" s="196" t="s">
        <v>542</v>
      </c>
      <c r="L16" s="199">
        <v>43532</v>
      </c>
      <c r="M16" s="197">
        <v>43524</v>
      </c>
      <c r="N16" s="196" t="s">
        <v>582</v>
      </c>
      <c r="O16" s="196" t="s">
        <v>532</v>
      </c>
      <c r="P16" s="196" t="s">
        <v>583</v>
      </c>
      <c r="Q16" s="196" t="b">
        <v>1</v>
      </c>
      <c r="S16" s="196" t="s">
        <v>86</v>
      </c>
      <c r="T16" s="196" t="s">
        <v>19</v>
      </c>
      <c r="Y16" s="196">
        <f t="shared" si="0"/>
        <v>2</v>
      </c>
      <c r="Z16" s="199">
        <v>43532.578042673602</v>
      </c>
      <c r="AA16" s="196" t="s">
        <v>358</v>
      </c>
    </row>
    <row r="17" spans="1:27" ht="12.75" customHeight="1" x14ac:dyDescent="0.2">
      <c r="A17" s="196" t="s">
        <v>584</v>
      </c>
      <c r="B17" s="196" t="s">
        <v>360</v>
      </c>
      <c r="C17" s="196" t="s">
        <v>386</v>
      </c>
      <c r="D17" s="197">
        <v>43524</v>
      </c>
      <c r="F17" s="320">
        <v>18842.59</v>
      </c>
      <c r="G17" s="196" t="s">
        <v>36</v>
      </c>
      <c r="H17" s="196" t="s">
        <v>352</v>
      </c>
      <c r="I17" s="196" t="s">
        <v>353</v>
      </c>
      <c r="J17" s="196" t="s">
        <v>39</v>
      </c>
      <c r="K17" s="196" t="s">
        <v>546</v>
      </c>
      <c r="L17" s="199">
        <v>43532</v>
      </c>
      <c r="M17" s="197">
        <v>43524</v>
      </c>
      <c r="N17" s="196" t="s">
        <v>585</v>
      </c>
      <c r="O17" s="196" t="s">
        <v>532</v>
      </c>
      <c r="P17" s="196" t="s">
        <v>586</v>
      </c>
      <c r="Q17" s="196" t="b">
        <v>1</v>
      </c>
      <c r="S17" s="196" t="s">
        <v>86</v>
      </c>
      <c r="T17" s="196" t="s">
        <v>19</v>
      </c>
      <c r="Y17" s="196">
        <f t="shared" si="0"/>
        <v>2</v>
      </c>
      <c r="Z17" s="199">
        <v>43532.578046099501</v>
      </c>
      <c r="AA17" s="196" t="s">
        <v>358</v>
      </c>
    </row>
    <row r="18" spans="1:27" ht="12.75" customHeight="1" x14ac:dyDescent="0.2">
      <c r="A18" s="196" t="s">
        <v>587</v>
      </c>
      <c r="B18" s="196" t="s">
        <v>360</v>
      </c>
      <c r="C18" s="196" t="s">
        <v>386</v>
      </c>
      <c r="D18" s="197">
        <v>43524</v>
      </c>
      <c r="F18" s="320">
        <v>8973.91</v>
      </c>
      <c r="G18" s="196" t="s">
        <v>36</v>
      </c>
      <c r="H18" s="196" t="s">
        <v>352</v>
      </c>
      <c r="I18" s="196" t="s">
        <v>353</v>
      </c>
      <c r="J18" s="196" t="s">
        <v>39</v>
      </c>
      <c r="K18" s="196" t="s">
        <v>550</v>
      </c>
      <c r="L18" s="199">
        <v>43532</v>
      </c>
      <c r="M18" s="197">
        <v>43524</v>
      </c>
      <c r="N18" s="196" t="s">
        <v>588</v>
      </c>
      <c r="O18" s="196" t="s">
        <v>532</v>
      </c>
      <c r="P18" s="196" t="s">
        <v>589</v>
      </c>
      <c r="Q18" s="196" t="b">
        <v>1</v>
      </c>
      <c r="S18" s="196" t="s">
        <v>86</v>
      </c>
      <c r="T18" s="196" t="s">
        <v>19</v>
      </c>
      <c r="Y18" s="196">
        <f t="shared" si="0"/>
        <v>2</v>
      </c>
      <c r="Z18" s="199">
        <v>43532.578050810203</v>
      </c>
      <c r="AA18" s="196" t="s">
        <v>358</v>
      </c>
    </row>
    <row r="19" spans="1:27" ht="12.75" customHeight="1" x14ac:dyDescent="0.2">
      <c r="A19" s="196" t="s">
        <v>590</v>
      </c>
      <c r="B19" s="196" t="s">
        <v>360</v>
      </c>
      <c r="C19" s="196" t="s">
        <v>386</v>
      </c>
      <c r="D19" s="197">
        <v>43524</v>
      </c>
      <c r="F19" s="320">
        <v>44707.81</v>
      </c>
      <c r="G19" s="196" t="s">
        <v>36</v>
      </c>
      <c r="H19" s="196" t="s">
        <v>352</v>
      </c>
      <c r="I19" s="196" t="s">
        <v>353</v>
      </c>
      <c r="J19" s="196" t="s">
        <v>39</v>
      </c>
      <c r="K19" s="196" t="s">
        <v>554</v>
      </c>
      <c r="L19" s="199">
        <v>43532</v>
      </c>
      <c r="M19" s="197">
        <v>43524</v>
      </c>
      <c r="N19" s="196" t="s">
        <v>591</v>
      </c>
      <c r="O19" s="196" t="s">
        <v>532</v>
      </c>
      <c r="P19" s="196" t="s">
        <v>592</v>
      </c>
      <c r="Q19" s="196" t="b">
        <v>1</v>
      </c>
      <c r="S19" s="196" t="s">
        <v>86</v>
      </c>
      <c r="T19" s="196" t="s">
        <v>19</v>
      </c>
      <c r="Y19" s="196">
        <f t="shared" si="0"/>
        <v>2</v>
      </c>
      <c r="Z19" s="199">
        <v>43532.578052777797</v>
      </c>
      <c r="AA19" s="196" t="s">
        <v>358</v>
      </c>
    </row>
    <row r="20" spans="1:27" ht="12.75" customHeight="1" x14ac:dyDescent="0.2">
      <c r="A20" s="196" t="s">
        <v>593</v>
      </c>
      <c r="B20" s="196" t="s">
        <v>594</v>
      </c>
      <c r="C20" s="196" t="s">
        <v>386</v>
      </c>
      <c r="D20" s="197">
        <v>43524</v>
      </c>
      <c r="F20" s="320">
        <v>808.7</v>
      </c>
      <c r="G20" s="196" t="s">
        <v>36</v>
      </c>
      <c r="H20" s="196" t="s">
        <v>352</v>
      </c>
      <c r="I20" s="196" t="s">
        <v>353</v>
      </c>
      <c r="J20" s="196" t="s">
        <v>39</v>
      </c>
      <c r="K20" s="196" t="s">
        <v>554</v>
      </c>
      <c r="L20" s="199">
        <v>43532</v>
      </c>
      <c r="M20" s="197">
        <v>43524</v>
      </c>
      <c r="N20" s="196" t="s">
        <v>595</v>
      </c>
      <c r="O20" s="196" t="s">
        <v>532</v>
      </c>
      <c r="P20" s="196" t="s">
        <v>596</v>
      </c>
      <c r="Q20" s="196" t="b">
        <v>1</v>
      </c>
      <c r="S20" s="196" t="s">
        <v>86</v>
      </c>
      <c r="T20" s="196" t="s">
        <v>19</v>
      </c>
      <c r="Y20" s="196">
        <f t="shared" si="0"/>
        <v>2</v>
      </c>
      <c r="Z20" s="199">
        <v>43532.578057291699</v>
      </c>
      <c r="AA20" s="196" t="s">
        <v>358</v>
      </c>
    </row>
    <row r="21" spans="1:27" ht="12.75" customHeight="1" x14ac:dyDescent="0.2">
      <c r="A21" s="196" t="s">
        <v>597</v>
      </c>
      <c r="B21" s="196" t="s">
        <v>360</v>
      </c>
      <c r="C21" s="196" t="s">
        <v>386</v>
      </c>
      <c r="D21" s="197">
        <v>43524</v>
      </c>
      <c r="F21" s="320">
        <v>1293.9100000000001</v>
      </c>
      <c r="G21" s="196" t="s">
        <v>36</v>
      </c>
      <c r="H21" s="196" t="s">
        <v>352</v>
      </c>
      <c r="I21" s="196" t="s">
        <v>353</v>
      </c>
      <c r="J21" s="196" t="s">
        <v>39</v>
      </c>
      <c r="K21" s="196" t="s">
        <v>354</v>
      </c>
      <c r="L21" s="199">
        <v>43532</v>
      </c>
      <c r="M21" s="197">
        <v>43524</v>
      </c>
      <c r="N21" s="196" t="s">
        <v>598</v>
      </c>
      <c r="O21" s="196" t="s">
        <v>532</v>
      </c>
      <c r="P21" s="196" t="s">
        <v>599</v>
      </c>
      <c r="Q21" s="196" t="b">
        <v>1</v>
      </c>
      <c r="S21" s="196" t="s">
        <v>86</v>
      </c>
      <c r="T21" s="196" t="s">
        <v>19</v>
      </c>
      <c r="Y21" s="196">
        <f t="shared" si="0"/>
        <v>2</v>
      </c>
      <c r="Z21" s="199">
        <v>43532.578060185202</v>
      </c>
      <c r="AA21" s="196" t="s">
        <v>358</v>
      </c>
    </row>
    <row r="22" spans="1:27" ht="12.75" customHeight="1" x14ac:dyDescent="0.2">
      <c r="A22" s="196" t="s">
        <v>600</v>
      </c>
      <c r="B22" s="196" t="s">
        <v>360</v>
      </c>
      <c r="C22" s="196" t="s">
        <v>386</v>
      </c>
      <c r="D22" s="197">
        <v>43524</v>
      </c>
      <c r="F22" s="320">
        <v>2506.9499999999998</v>
      </c>
      <c r="G22" s="196" t="s">
        <v>36</v>
      </c>
      <c r="H22" s="196" t="s">
        <v>352</v>
      </c>
      <c r="I22" s="196" t="s">
        <v>353</v>
      </c>
      <c r="J22" s="196" t="s">
        <v>39</v>
      </c>
      <c r="K22" s="196" t="s">
        <v>354</v>
      </c>
      <c r="L22" s="199">
        <v>43532</v>
      </c>
      <c r="M22" s="197">
        <v>43524</v>
      </c>
      <c r="N22" s="196" t="s">
        <v>601</v>
      </c>
      <c r="O22" s="196" t="s">
        <v>532</v>
      </c>
      <c r="P22" s="196" t="s">
        <v>602</v>
      </c>
      <c r="Q22" s="196" t="b">
        <v>1</v>
      </c>
      <c r="S22" s="196" t="s">
        <v>86</v>
      </c>
      <c r="T22" s="196" t="s">
        <v>19</v>
      </c>
      <c r="Y22" s="196">
        <f t="shared" si="0"/>
        <v>2</v>
      </c>
      <c r="Z22" s="199">
        <v>43532.578067094903</v>
      </c>
      <c r="AA22" s="196" t="s">
        <v>358</v>
      </c>
    </row>
    <row r="23" spans="1:27" ht="12.75" customHeight="1" x14ac:dyDescent="0.2">
      <c r="A23" s="196" t="s">
        <v>603</v>
      </c>
      <c r="B23" s="196" t="s">
        <v>604</v>
      </c>
      <c r="C23" s="196" t="s">
        <v>386</v>
      </c>
      <c r="D23" s="197">
        <v>43539</v>
      </c>
      <c r="F23" s="320">
        <v>242.61</v>
      </c>
      <c r="G23" s="196" t="s">
        <v>36</v>
      </c>
      <c r="H23" s="196" t="s">
        <v>352</v>
      </c>
      <c r="I23" s="196" t="s">
        <v>353</v>
      </c>
      <c r="J23" s="196" t="s">
        <v>39</v>
      </c>
      <c r="K23" s="196" t="s">
        <v>354</v>
      </c>
      <c r="L23" s="199">
        <v>43539</v>
      </c>
      <c r="M23" s="197">
        <v>43524</v>
      </c>
      <c r="N23" s="196" t="s">
        <v>605</v>
      </c>
      <c r="O23" s="196" t="s">
        <v>532</v>
      </c>
      <c r="P23" s="196" t="s">
        <v>606</v>
      </c>
      <c r="Q23" s="196" t="b">
        <v>1</v>
      </c>
      <c r="S23" s="196" t="s">
        <v>86</v>
      </c>
      <c r="T23" s="196" t="s">
        <v>19</v>
      </c>
      <c r="Y23" s="196">
        <f t="shared" si="0"/>
        <v>2</v>
      </c>
      <c r="Z23" s="199">
        <v>43543.447863275498</v>
      </c>
      <c r="AA23" s="196" t="s">
        <v>358</v>
      </c>
    </row>
    <row r="24" spans="1:27" ht="12.75" customHeight="1" x14ac:dyDescent="0.2">
      <c r="A24" s="196" t="s">
        <v>607</v>
      </c>
      <c r="B24" s="196" t="s">
        <v>360</v>
      </c>
      <c r="C24" s="196" t="s">
        <v>386</v>
      </c>
      <c r="D24" s="197">
        <v>43555</v>
      </c>
      <c r="F24" s="320">
        <v>7439.99</v>
      </c>
      <c r="G24" s="196" t="s">
        <v>36</v>
      </c>
      <c r="H24" s="196" t="s">
        <v>352</v>
      </c>
      <c r="I24" s="196" t="s">
        <v>353</v>
      </c>
      <c r="J24" s="196" t="s">
        <v>39</v>
      </c>
      <c r="K24" s="196" t="s">
        <v>530</v>
      </c>
      <c r="L24" s="199">
        <v>43559</v>
      </c>
      <c r="M24" s="197">
        <v>43555</v>
      </c>
      <c r="N24" s="196" t="s">
        <v>608</v>
      </c>
      <c r="O24" s="196" t="s">
        <v>532</v>
      </c>
      <c r="P24" s="196" t="s">
        <v>609</v>
      </c>
      <c r="Q24" s="196" t="b">
        <v>1</v>
      </c>
      <c r="S24" s="196" t="s">
        <v>86</v>
      </c>
      <c r="T24" s="196" t="s">
        <v>19</v>
      </c>
      <c r="Y24" s="196">
        <f t="shared" si="0"/>
        <v>3</v>
      </c>
      <c r="Z24" s="199">
        <v>43559.450301620403</v>
      </c>
      <c r="AA24" s="196" t="s">
        <v>358</v>
      </c>
    </row>
    <row r="25" spans="1:27" ht="12.75" customHeight="1" x14ac:dyDescent="0.2">
      <c r="A25" s="196" t="s">
        <v>610</v>
      </c>
      <c r="B25" s="196" t="s">
        <v>611</v>
      </c>
      <c r="C25" s="196" t="s">
        <v>386</v>
      </c>
      <c r="D25" s="197">
        <v>43555</v>
      </c>
      <c r="F25" s="320">
        <v>170393.09</v>
      </c>
      <c r="G25" s="196" t="s">
        <v>36</v>
      </c>
      <c r="H25" s="196" t="s">
        <v>352</v>
      </c>
      <c r="I25" s="196" t="s">
        <v>353</v>
      </c>
      <c r="J25" s="196" t="s">
        <v>39</v>
      </c>
      <c r="K25" s="196" t="s">
        <v>354</v>
      </c>
      <c r="L25" s="199">
        <v>43564</v>
      </c>
      <c r="M25" s="197">
        <v>43555</v>
      </c>
      <c r="N25" s="196" t="s">
        <v>612</v>
      </c>
      <c r="O25" s="196" t="s">
        <v>532</v>
      </c>
      <c r="P25" s="196" t="s">
        <v>613</v>
      </c>
      <c r="Q25" s="196" t="b">
        <v>1</v>
      </c>
      <c r="S25" s="196" t="s">
        <v>86</v>
      </c>
      <c r="T25" s="196" t="s">
        <v>19</v>
      </c>
      <c r="Y25" s="196">
        <f t="shared" si="0"/>
        <v>3</v>
      </c>
      <c r="Z25" s="199">
        <v>43565.373390162</v>
      </c>
      <c r="AA25" s="196" t="s">
        <v>358</v>
      </c>
    </row>
    <row r="26" spans="1:27" ht="12.75" customHeight="1" x14ac:dyDescent="0.2">
      <c r="A26" s="196" t="s">
        <v>614</v>
      </c>
      <c r="B26" s="196" t="s">
        <v>360</v>
      </c>
      <c r="C26" s="196" t="s">
        <v>386</v>
      </c>
      <c r="D26" s="197">
        <v>43555</v>
      </c>
      <c r="F26" s="320">
        <v>3234.78</v>
      </c>
      <c r="G26" s="196" t="s">
        <v>36</v>
      </c>
      <c r="H26" s="196" t="s">
        <v>352</v>
      </c>
      <c r="I26" s="196" t="s">
        <v>353</v>
      </c>
      <c r="J26" s="196" t="s">
        <v>39</v>
      </c>
      <c r="K26" s="196" t="s">
        <v>542</v>
      </c>
      <c r="L26" s="199">
        <v>43564</v>
      </c>
      <c r="M26" s="197">
        <v>43555</v>
      </c>
      <c r="N26" s="196" t="s">
        <v>615</v>
      </c>
      <c r="O26" s="196" t="s">
        <v>532</v>
      </c>
      <c r="P26" s="196" t="s">
        <v>616</v>
      </c>
      <c r="Q26" s="196" t="b">
        <v>1</v>
      </c>
      <c r="S26" s="196" t="s">
        <v>86</v>
      </c>
      <c r="T26" s="196" t="s">
        <v>19</v>
      </c>
      <c r="Y26" s="196">
        <f t="shared" si="0"/>
        <v>3</v>
      </c>
      <c r="Z26" s="199">
        <v>43565.373401192097</v>
      </c>
      <c r="AA26" s="196" t="s">
        <v>358</v>
      </c>
    </row>
    <row r="27" spans="1:27" ht="12.75" customHeight="1" x14ac:dyDescent="0.2">
      <c r="A27" s="196" t="s">
        <v>617</v>
      </c>
      <c r="B27" s="196" t="s">
        <v>360</v>
      </c>
      <c r="C27" s="196" t="s">
        <v>386</v>
      </c>
      <c r="D27" s="197">
        <v>43555</v>
      </c>
      <c r="F27" s="320">
        <v>18761.72</v>
      </c>
      <c r="G27" s="196" t="s">
        <v>36</v>
      </c>
      <c r="H27" s="196" t="s">
        <v>352</v>
      </c>
      <c r="I27" s="196" t="s">
        <v>353</v>
      </c>
      <c r="J27" s="196" t="s">
        <v>39</v>
      </c>
      <c r="K27" s="196" t="s">
        <v>546</v>
      </c>
      <c r="L27" s="199">
        <v>43564</v>
      </c>
      <c r="M27" s="197">
        <v>43555</v>
      </c>
      <c r="N27" s="196" t="s">
        <v>618</v>
      </c>
      <c r="O27" s="196" t="s">
        <v>532</v>
      </c>
      <c r="P27" s="196" t="s">
        <v>619</v>
      </c>
      <c r="Q27" s="196" t="b">
        <v>1</v>
      </c>
      <c r="S27" s="196" t="s">
        <v>86</v>
      </c>
      <c r="T27" s="196" t="s">
        <v>19</v>
      </c>
      <c r="Y27" s="196">
        <f t="shared" si="0"/>
        <v>3</v>
      </c>
      <c r="Z27" s="199">
        <v>43565.373410416702</v>
      </c>
      <c r="AA27" s="196" t="s">
        <v>358</v>
      </c>
    </row>
    <row r="28" spans="1:27" ht="12.75" customHeight="1" x14ac:dyDescent="0.2">
      <c r="A28" s="196" t="s">
        <v>620</v>
      </c>
      <c r="B28" s="196" t="s">
        <v>360</v>
      </c>
      <c r="C28" s="196" t="s">
        <v>386</v>
      </c>
      <c r="D28" s="197">
        <v>43555</v>
      </c>
      <c r="F28" s="320">
        <v>41832.86</v>
      </c>
      <c r="G28" s="196" t="s">
        <v>36</v>
      </c>
      <c r="H28" s="196" t="s">
        <v>352</v>
      </c>
      <c r="I28" s="196" t="s">
        <v>353</v>
      </c>
      <c r="J28" s="196" t="s">
        <v>39</v>
      </c>
      <c r="K28" s="196" t="s">
        <v>621</v>
      </c>
      <c r="L28" s="199">
        <v>43564</v>
      </c>
      <c r="M28" s="197">
        <v>43555</v>
      </c>
      <c r="N28" s="196" t="s">
        <v>622</v>
      </c>
      <c r="O28" s="196" t="s">
        <v>532</v>
      </c>
      <c r="P28" s="196" t="s">
        <v>623</v>
      </c>
      <c r="Q28" s="196" t="b">
        <v>1</v>
      </c>
      <c r="S28" s="196" t="s">
        <v>86</v>
      </c>
      <c r="T28" s="196" t="s">
        <v>19</v>
      </c>
      <c r="Y28" s="196">
        <f t="shared" si="0"/>
        <v>3</v>
      </c>
      <c r="Z28" s="199">
        <v>43565.373418171301</v>
      </c>
      <c r="AA28" s="196" t="s">
        <v>358</v>
      </c>
    </row>
    <row r="29" spans="1:27" ht="12.75" customHeight="1" x14ac:dyDescent="0.2">
      <c r="A29" s="196" t="s">
        <v>624</v>
      </c>
      <c r="B29" s="196" t="s">
        <v>360</v>
      </c>
      <c r="C29" s="196" t="s">
        <v>386</v>
      </c>
      <c r="D29" s="197">
        <v>43555</v>
      </c>
      <c r="F29" s="320">
        <v>9422.61</v>
      </c>
      <c r="G29" s="196" t="s">
        <v>36</v>
      </c>
      <c r="H29" s="196" t="s">
        <v>352</v>
      </c>
      <c r="I29" s="196" t="s">
        <v>353</v>
      </c>
      <c r="J29" s="196" t="s">
        <v>39</v>
      </c>
      <c r="K29" s="196" t="s">
        <v>550</v>
      </c>
      <c r="L29" s="199">
        <v>43564</v>
      </c>
      <c r="M29" s="197">
        <v>43555</v>
      </c>
      <c r="N29" s="196" t="s">
        <v>625</v>
      </c>
      <c r="O29" s="196" t="s">
        <v>532</v>
      </c>
      <c r="P29" s="196" t="s">
        <v>626</v>
      </c>
      <c r="Q29" s="196" t="b">
        <v>1</v>
      </c>
      <c r="S29" s="196" t="s">
        <v>86</v>
      </c>
      <c r="T29" s="196" t="s">
        <v>19</v>
      </c>
      <c r="Y29" s="196">
        <f t="shared" si="0"/>
        <v>3</v>
      </c>
      <c r="Z29" s="199">
        <v>43565.373429942098</v>
      </c>
      <c r="AA29" s="196" t="s">
        <v>358</v>
      </c>
    </row>
    <row r="30" spans="1:27" ht="12.75" customHeight="1" x14ac:dyDescent="0.2">
      <c r="A30" s="196" t="s">
        <v>627</v>
      </c>
      <c r="B30" s="196" t="s">
        <v>360</v>
      </c>
      <c r="C30" s="196" t="s">
        <v>386</v>
      </c>
      <c r="D30" s="197">
        <v>43555</v>
      </c>
      <c r="F30" s="320">
        <v>2345.2199999999998</v>
      </c>
      <c r="G30" s="196" t="s">
        <v>36</v>
      </c>
      <c r="H30" s="196" t="s">
        <v>352</v>
      </c>
      <c r="I30" s="196" t="s">
        <v>353</v>
      </c>
      <c r="J30" s="196" t="s">
        <v>39</v>
      </c>
      <c r="K30" s="196" t="s">
        <v>354</v>
      </c>
      <c r="L30" s="199">
        <v>43564</v>
      </c>
      <c r="M30" s="197">
        <v>43555</v>
      </c>
      <c r="N30" s="196" t="s">
        <v>628</v>
      </c>
      <c r="O30" s="196" t="s">
        <v>532</v>
      </c>
      <c r="P30" s="196" t="s">
        <v>629</v>
      </c>
      <c r="Q30" s="196" t="b">
        <v>1</v>
      </c>
      <c r="S30" s="196" t="s">
        <v>86</v>
      </c>
      <c r="T30" s="196" t="s">
        <v>19</v>
      </c>
      <c r="Y30" s="196">
        <f t="shared" si="0"/>
        <v>3</v>
      </c>
      <c r="Z30" s="199">
        <v>43565.373439351897</v>
      </c>
      <c r="AA30" s="196" t="s">
        <v>358</v>
      </c>
    </row>
    <row r="31" spans="1:27" ht="12.75" customHeight="1" x14ac:dyDescent="0.2">
      <c r="A31" s="196" t="s">
        <v>630</v>
      </c>
      <c r="B31" s="196" t="s">
        <v>360</v>
      </c>
      <c r="C31" s="196" t="s">
        <v>386</v>
      </c>
      <c r="D31" s="197">
        <v>43555</v>
      </c>
      <c r="F31" s="320">
        <v>1455.65</v>
      </c>
      <c r="G31" s="196" t="s">
        <v>36</v>
      </c>
      <c r="H31" s="196" t="s">
        <v>352</v>
      </c>
      <c r="I31" s="196" t="s">
        <v>353</v>
      </c>
      <c r="J31" s="196" t="s">
        <v>39</v>
      </c>
      <c r="K31" s="196" t="s">
        <v>354</v>
      </c>
      <c r="L31" s="199">
        <v>43564</v>
      </c>
      <c r="M31" s="197">
        <v>43555</v>
      </c>
      <c r="N31" s="196" t="s">
        <v>631</v>
      </c>
      <c r="O31" s="196" t="s">
        <v>532</v>
      </c>
      <c r="P31" s="196" t="s">
        <v>632</v>
      </c>
      <c r="Q31" s="196" t="b">
        <v>1</v>
      </c>
      <c r="S31" s="196" t="s">
        <v>86</v>
      </c>
      <c r="T31" s="196" t="s">
        <v>19</v>
      </c>
      <c r="Y31" s="196">
        <f t="shared" si="0"/>
        <v>3</v>
      </c>
      <c r="Z31" s="199">
        <v>43565.373449108803</v>
      </c>
      <c r="AA31" s="196" t="s">
        <v>358</v>
      </c>
    </row>
    <row r="32" spans="1:27" ht="12.75" customHeight="1" x14ac:dyDescent="0.2">
      <c r="A32" s="196" t="s">
        <v>633</v>
      </c>
      <c r="B32" s="196" t="s">
        <v>360</v>
      </c>
      <c r="C32" s="196" t="s">
        <v>386</v>
      </c>
      <c r="D32" s="197">
        <v>43561</v>
      </c>
      <c r="F32" s="320">
        <v>12130.5</v>
      </c>
      <c r="G32" s="196" t="s">
        <v>36</v>
      </c>
      <c r="H32" s="196" t="s">
        <v>352</v>
      </c>
      <c r="I32" s="196" t="s">
        <v>353</v>
      </c>
      <c r="J32" s="196" t="s">
        <v>39</v>
      </c>
      <c r="K32" s="196" t="s">
        <v>634</v>
      </c>
      <c r="L32" s="199">
        <v>43564</v>
      </c>
      <c r="M32" s="197">
        <v>43561</v>
      </c>
      <c r="N32" s="196" t="s">
        <v>635</v>
      </c>
      <c r="O32" s="196" t="s">
        <v>532</v>
      </c>
      <c r="P32" s="196" t="s">
        <v>636</v>
      </c>
      <c r="Q32" s="196" t="b">
        <v>1</v>
      </c>
      <c r="S32" s="196" t="s">
        <v>86</v>
      </c>
      <c r="T32" s="196" t="s">
        <v>19</v>
      </c>
      <c r="Y32" s="196">
        <f t="shared" si="0"/>
        <v>4</v>
      </c>
      <c r="Z32" s="199">
        <v>43565.536048182898</v>
      </c>
      <c r="AA32" s="196" t="s">
        <v>358</v>
      </c>
    </row>
    <row r="33" spans="1:27" ht="12.75" customHeight="1" x14ac:dyDescent="0.2">
      <c r="A33" s="196" t="s">
        <v>637</v>
      </c>
      <c r="B33" s="196" t="s">
        <v>594</v>
      </c>
      <c r="C33" s="196" t="s">
        <v>386</v>
      </c>
      <c r="D33" s="197">
        <v>43555</v>
      </c>
      <c r="F33" s="320">
        <v>808.7</v>
      </c>
      <c r="G33" s="196" t="s">
        <v>36</v>
      </c>
      <c r="H33" s="196" t="s">
        <v>352</v>
      </c>
      <c r="I33" s="196" t="s">
        <v>353</v>
      </c>
      <c r="J33" s="196" t="s">
        <v>39</v>
      </c>
      <c r="K33" s="196" t="s">
        <v>554</v>
      </c>
      <c r="L33" s="199">
        <v>43564</v>
      </c>
      <c r="M33" s="197">
        <v>43555</v>
      </c>
      <c r="N33" s="196" t="s">
        <v>638</v>
      </c>
      <c r="O33" s="196" t="s">
        <v>532</v>
      </c>
      <c r="P33" s="196" t="s">
        <v>639</v>
      </c>
      <c r="Q33" s="196" t="b">
        <v>1</v>
      </c>
      <c r="S33" s="196" t="s">
        <v>86</v>
      </c>
      <c r="T33" s="196" t="s">
        <v>19</v>
      </c>
      <c r="Y33" s="196">
        <f t="shared" si="0"/>
        <v>3</v>
      </c>
      <c r="Z33" s="199">
        <v>43565.374352627303</v>
      </c>
      <c r="AA33" s="196" t="s">
        <v>358</v>
      </c>
    </row>
    <row r="34" spans="1:27" ht="12.75" customHeight="1" x14ac:dyDescent="0.2">
      <c r="A34" s="196" t="s">
        <v>640</v>
      </c>
      <c r="B34" s="196" t="s">
        <v>360</v>
      </c>
      <c r="C34" s="196" t="s">
        <v>386</v>
      </c>
      <c r="D34" s="197">
        <v>43585</v>
      </c>
      <c r="F34" s="320">
        <v>6065.21</v>
      </c>
      <c r="G34" s="196" t="s">
        <v>36</v>
      </c>
      <c r="H34" s="196" t="s">
        <v>352</v>
      </c>
      <c r="I34" s="196" t="s">
        <v>353</v>
      </c>
      <c r="J34" s="196" t="s">
        <v>39</v>
      </c>
      <c r="K34" s="196" t="s">
        <v>530</v>
      </c>
      <c r="L34" s="199">
        <v>43591</v>
      </c>
      <c r="M34" s="197">
        <v>43585</v>
      </c>
      <c r="N34" s="196" t="s">
        <v>641</v>
      </c>
      <c r="O34" s="196" t="s">
        <v>532</v>
      </c>
      <c r="P34" s="196" t="s">
        <v>642</v>
      </c>
      <c r="Q34" s="196" t="b">
        <v>1</v>
      </c>
      <c r="S34" s="196" t="s">
        <v>86</v>
      </c>
      <c r="T34" s="196" t="s">
        <v>19</v>
      </c>
      <c r="Y34" s="196">
        <f t="shared" si="0"/>
        <v>4</v>
      </c>
      <c r="Z34" s="199">
        <v>43592.317603969903</v>
      </c>
      <c r="AA34" s="196" t="s">
        <v>358</v>
      </c>
    </row>
    <row r="35" spans="1:27" ht="12.75" customHeight="1" x14ac:dyDescent="0.2">
      <c r="A35" s="196" t="s">
        <v>643</v>
      </c>
      <c r="B35" s="196" t="s">
        <v>367</v>
      </c>
      <c r="C35" s="196" t="s">
        <v>386</v>
      </c>
      <c r="D35" s="197">
        <v>43585</v>
      </c>
      <c r="F35" s="320">
        <v>171767.03</v>
      </c>
      <c r="G35" s="196" t="s">
        <v>36</v>
      </c>
      <c r="H35" s="196" t="s">
        <v>352</v>
      </c>
      <c r="I35" s="196" t="s">
        <v>353</v>
      </c>
      <c r="J35" s="196" t="s">
        <v>39</v>
      </c>
      <c r="K35" s="196" t="s">
        <v>354</v>
      </c>
      <c r="L35" s="199">
        <v>43598</v>
      </c>
      <c r="M35" s="197">
        <v>43585</v>
      </c>
      <c r="N35" s="196" t="s">
        <v>644</v>
      </c>
      <c r="O35" s="196" t="s">
        <v>532</v>
      </c>
      <c r="P35" s="196" t="s">
        <v>645</v>
      </c>
      <c r="Q35" s="196" t="b">
        <v>1</v>
      </c>
      <c r="S35" s="196" t="s">
        <v>86</v>
      </c>
      <c r="T35" s="196" t="s">
        <v>19</v>
      </c>
      <c r="Y35" s="196">
        <f t="shared" si="0"/>
        <v>4</v>
      </c>
      <c r="Z35" s="199">
        <v>43599.262856481502</v>
      </c>
      <c r="AA35" s="196" t="s">
        <v>358</v>
      </c>
    </row>
    <row r="36" spans="1:27" ht="12.75" customHeight="1" x14ac:dyDescent="0.2">
      <c r="A36" s="196" t="s">
        <v>646</v>
      </c>
      <c r="B36" s="196" t="s">
        <v>360</v>
      </c>
      <c r="C36" s="196" t="s">
        <v>386</v>
      </c>
      <c r="D36" s="197">
        <v>43585</v>
      </c>
      <c r="F36" s="320">
        <v>2911.3</v>
      </c>
      <c r="G36" s="196" t="s">
        <v>36</v>
      </c>
      <c r="H36" s="196" t="s">
        <v>352</v>
      </c>
      <c r="I36" s="196" t="s">
        <v>353</v>
      </c>
      <c r="J36" s="196" t="s">
        <v>39</v>
      </c>
      <c r="K36" s="196" t="s">
        <v>542</v>
      </c>
      <c r="L36" s="199">
        <v>43598</v>
      </c>
      <c r="M36" s="197">
        <v>43585</v>
      </c>
      <c r="N36" s="196" t="s">
        <v>647</v>
      </c>
      <c r="O36" s="196" t="s">
        <v>532</v>
      </c>
      <c r="P36" s="196" t="s">
        <v>648</v>
      </c>
      <c r="Q36" s="196" t="b">
        <v>1</v>
      </c>
      <c r="S36" s="196" t="s">
        <v>86</v>
      </c>
      <c r="T36" s="196" t="s">
        <v>19</v>
      </c>
      <c r="Y36" s="196">
        <f t="shared" si="0"/>
        <v>4</v>
      </c>
      <c r="Z36" s="199">
        <v>43599.262876585701</v>
      </c>
      <c r="AA36" s="196" t="s">
        <v>358</v>
      </c>
    </row>
    <row r="37" spans="1:27" ht="12.75" customHeight="1" x14ac:dyDescent="0.2">
      <c r="A37" s="196" t="s">
        <v>649</v>
      </c>
      <c r="B37" s="196" t="s">
        <v>360</v>
      </c>
      <c r="C37" s="196" t="s">
        <v>386</v>
      </c>
      <c r="D37" s="197">
        <v>43585</v>
      </c>
      <c r="F37" s="320">
        <v>18114.77</v>
      </c>
      <c r="G37" s="196" t="s">
        <v>36</v>
      </c>
      <c r="H37" s="196" t="s">
        <v>352</v>
      </c>
      <c r="I37" s="196" t="s">
        <v>353</v>
      </c>
      <c r="J37" s="196" t="s">
        <v>39</v>
      </c>
      <c r="K37" s="196" t="s">
        <v>546</v>
      </c>
      <c r="L37" s="199">
        <v>43598</v>
      </c>
      <c r="M37" s="197">
        <v>43585</v>
      </c>
      <c r="N37" s="196" t="s">
        <v>650</v>
      </c>
      <c r="O37" s="196" t="s">
        <v>532</v>
      </c>
      <c r="P37" s="196" t="s">
        <v>651</v>
      </c>
      <c r="Q37" s="196" t="b">
        <v>1</v>
      </c>
      <c r="S37" s="196" t="s">
        <v>86</v>
      </c>
      <c r="T37" s="196" t="s">
        <v>19</v>
      </c>
      <c r="Y37" s="196">
        <f t="shared" si="0"/>
        <v>4</v>
      </c>
      <c r="Z37" s="199">
        <v>43599.262883252297</v>
      </c>
      <c r="AA37" s="196" t="s">
        <v>358</v>
      </c>
    </row>
    <row r="38" spans="1:27" ht="12.75" customHeight="1" x14ac:dyDescent="0.2">
      <c r="A38" s="196" t="s">
        <v>652</v>
      </c>
      <c r="B38" s="196" t="s">
        <v>360</v>
      </c>
      <c r="C38" s="196" t="s">
        <v>386</v>
      </c>
      <c r="D38" s="197">
        <v>43585</v>
      </c>
      <c r="F38" s="320">
        <v>49218.05</v>
      </c>
      <c r="G38" s="196" t="s">
        <v>36</v>
      </c>
      <c r="H38" s="196" t="s">
        <v>352</v>
      </c>
      <c r="I38" s="196" t="s">
        <v>353</v>
      </c>
      <c r="J38" s="196" t="s">
        <v>39</v>
      </c>
      <c r="K38" s="196" t="s">
        <v>621</v>
      </c>
      <c r="L38" s="199">
        <v>43598</v>
      </c>
      <c r="M38" s="197">
        <v>43585</v>
      </c>
      <c r="N38" s="196" t="s">
        <v>653</v>
      </c>
      <c r="O38" s="196" t="s">
        <v>532</v>
      </c>
      <c r="P38" s="196" t="s">
        <v>654</v>
      </c>
      <c r="Q38" s="196" t="b">
        <v>1</v>
      </c>
      <c r="S38" s="196" t="s">
        <v>86</v>
      </c>
      <c r="T38" s="196" t="s">
        <v>19</v>
      </c>
      <c r="Y38" s="196">
        <f t="shared" si="0"/>
        <v>4</v>
      </c>
      <c r="Z38" s="199">
        <v>43599.262890856502</v>
      </c>
      <c r="AA38" s="196" t="s">
        <v>358</v>
      </c>
    </row>
    <row r="39" spans="1:27" ht="12.75" customHeight="1" x14ac:dyDescent="0.2">
      <c r="A39" s="196" t="s">
        <v>655</v>
      </c>
      <c r="B39" s="196" t="s">
        <v>594</v>
      </c>
      <c r="C39" s="196" t="s">
        <v>386</v>
      </c>
      <c r="D39" s="197">
        <v>43585</v>
      </c>
      <c r="F39" s="320">
        <v>970.43</v>
      </c>
      <c r="G39" s="196" t="s">
        <v>36</v>
      </c>
      <c r="H39" s="196" t="s">
        <v>352</v>
      </c>
      <c r="I39" s="196" t="s">
        <v>353</v>
      </c>
      <c r="J39" s="196" t="s">
        <v>39</v>
      </c>
      <c r="K39" s="196" t="s">
        <v>554</v>
      </c>
      <c r="L39" s="199">
        <v>43598</v>
      </c>
      <c r="M39" s="197">
        <v>43585</v>
      </c>
      <c r="N39" s="196" t="s">
        <v>656</v>
      </c>
      <c r="O39" s="196" t="s">
        <v>532</v>
      </c>
      <c r="P39" s="196" t="s">
        <v>657</v>
      </c>
      <c r="Q39" s="196" t="b">
        <v>1</v>
      </c>
      <c r="S39" s="196" t="s">
        <v>86</v>
      </c>
      <c r="T39" s="196" t="s">
        <v>19</v>
      </c>
      <c r="Y39" s="196">
        <f t="shared" si="0"/>
        <v>4</v>
      </c>
      <c r="Z39" s="199">
        <v>43599.262898807901</v>
      </c>
      <c r="AA39" s="196" t="s">
        <v>358</v>
      </c>
    </row>
    <row r="40" spans="1:27" ht="12.75" customHeight="1" x14ac:dyDescent="0.2">
      <c r="A40" s="196" t="s">
        <v>658</v>
      </c>
      <c r="B40" s="196" t="s">
        <v>360</v>
      </c>
      <c r="C40" s="196" t="s">
        <v>386</v>
      </c>
      <c r="D40" s="197">
        <v>43585</v>
      </c>
      <c r="F40" s="320">
        <v>8973.91</v>
      </c>
      <c r="G40" s="196" t="s">
        <v>36</v>
      </c>
      <c r="H40" s="196" t="s">
        <v>352</v>
      </c>
      <c r="I40" s="196" t="s">
        <v>353</v>
      </c>
      <c r="J40" s="196" t="s">
        <v>39</v>
      </c>
      <c r="K40" s="196" t="s">
        <v>550</v>
      </c>
      <c r="L40" s="199">
        <v>43598</v>
      </c>
      <c r="M40" s="197">
        <v>43585</v>
      </c>
      <c r="N40" s="196" t="s">
        <v>659</v>
      </c>
      <c r="O40" s="196" t="s">
        <v>532</v>
      </c>
      <c r="P40" s="196" t="s">
        <v>660</v>
      </c>
      <c r="Q40" s="196" t="b">
        <v>1</v>
      </c>
      <c r="S40" s="196" t="s">
        <v>86</v>
      </c>
      <c r="T40" s="196" t="s">
        <v>19</v>
      </c>
      <c r="Y40" s="196">
        <f t="shared" si="0"/>
        <v>4</v>
      </c>
      <c r="Z40" s="199">
        <v>43599.262905671298</v>
      </c>
      <c r="AA40" s="196" t="s">
        <v>358</v>
      </c>
    </row>
    <row r="41" spans="1:27" ht="12.75" customHeight="1" x14ac:dyDescent="0.2">
      <c r="A41" s="196" t="s">
        <v>661</v>
      </c>
      <c r="B41" s="196" t="s">
        <v>360</v>
      </c>
      <c r="C41" s="196" t="s">
        <v>386</v>
      </c>
      <c r="D41" s="197">
        <v>43585</v>
      </c>
      <c r="F41" s="320">
        <v>1455.65</v>
      </c>
      <c r="G41" s="196" t="s">
        <v>36</v>
      </c>
      <c r="H41" s="196" t="s">
        <v>352</v>
      </c>
      <c r="I41" s="196" t="s">
        <v>353</v>
      </c>
      <c r="J41" s="196" t="s">
        <v>39</v>
      </c>
      <c r="K41" s="196" t="s">
        <v>354</v>
      </c>
      <c r="L41" s="199">
        <v>43598</v>
      </c>
      <c r="M41" s="197">
        <v>43585</v>
      </c>
      <c r="N41" s="196" t="s">
        <v>662</v>
      </c>
      <c r="O41" s="196" t="s">
        <v>532</v>
      </c>
      <c r="P41" s="196" t="s">
        <v>663</v>
      </c>
      <c r="Q41" s="196" t="b">
        <v>1</v>
      </c>
      <c r="S41" s="196" t="s">
        <v>86</v>
      </c>
      <c r="T41" s="196" t="s">
        <v>19</v>
      </c>
      <c r="Y41" s="196">
        <f t="shared" si="0"/>
        <v>4</v>
      </c>
      <c r="Z41" s="199">
        <v>43599.262911458303</v>
      </c>
      <c r="AA41" s="196" t="s">
        <v>358</v>
      </c>
    </row>
    <row r="42" spans="1:27" ht="12.75" customHeight="1" x14ac:dyDescent="0.2">
      <c r="A42" s="196" t="s">
        <v>664</v>
      </c>
      <c r="B42" s="196" t="s">
        <v>360</v>
      </c>
      <c r="C42" s="196" t="s">
        <v>386</v>
      </c>
      <c r="D42" s="197">
        <v>43585</v>
      </c>
      <c r="F42" s="320">
        <v>2911.3</v>
      </c>
      <c r="G42" s="196" t="s">
        <v>36</v>
      </c>
      <c r="H42" s="196" t="s">
        <v>352</v>
      </c>
      <c r="I42" s="196" t="s">
        <v>353</v>
      </c>
      <c r="J42" s="196" t="s">
        <v>39</v>
      </c>
      <c r="K42" s="196" t="s">
        <v>354</v>
      </c>
      <c r="L42" s="199">
        <v>43598</v>
      </c>
      <c r="M42" s="197">
        <v>43585</v>
      </c>
      <c r="N42" s="196" t="s">
        <v>665</v>
      </c>
      <c r="O42" s="196" t="s">
        <v>532</v>
      </c>
      <c r="P42" s="196" t="s">
        <v>666</v>
      </c>
      <c r="Q42" s="196" t="b">
        <v>1</v>
      </c>
      <c r="S42" s="196" t="s">
        <v>86</v>
      </c>
      <c r="T42" s="196" t="s">
        <v>19</v>
      </c>
      <c r="Y42" s="196">
        <f t="shared" si="0"/>
        <v>4</v>
      </c>
      <c r="Z42" s="199">
        <v>43599.262920138899</v>
      </c>
      <c r="AA42" s="196" t="s">
        <v>358</v>
      </c>
    </row>
    <row r="43" spans="1:27" ht="12.75" customHeight="1" x14ac:dyDescent="0.2">
      <c r="A43" s="196" t="s">
        <v>667</v>
      </c>
      <c r="B43" s="196" t="s">
        <v>668</v>
      </c>
      <c r="C43" s="196" t="s">
        <v>386</v>
      </c>
      <c r="D43" s="197">
        <v>43599</v>
      </c>
      <c r="F43" s="320">
        <v>566.09</v>
      </c>
      <c r="G43" s="196" t="s">
        <v>36</v>
      </c>
      <c r="H43" s="196" t="s">
        <v>352</v>
      </c>
      <c r="I43" s="196" t="s">
        <v>353</v>
      </c>
      <c r="J43" s="196" t="s">
        <v>39</v>
      </c>
      <c r="K43" s="196" t="s">
        <v>354</v>
      </c>
      <c r="L43" s="199">
        <v>43602</v>
      </c>
      <c r="M43" s="197">
        <v>43599</v>
      </c>
      <c r="N43" s="196" t="s">
        <v>669</v>
      </c>
      <c r="O43" s="196" t="s">
        <v>532</v>
      </c>
      <c r="P43" s="196" t="s">
        <v>670</v>
      </c>
      <c r="Q43" s="196" t="b">
        <v>1</v>
      </c>
      <c r="S43" s="196" t="s">
        <v>86</v>
      </c>
      <c r="T43" s="196" t="s">
        <v>19</v>
      </c>
      <c r="U43" s="196" t="s">
        <v>671</v>
      </c>
      <c r="Y43" s="196">
        <f t="shared" si="0"/>
        <v>5</v>
      </c>
      <c r="Z43" s="199">
        <v>43605.272952048603</v>
      </c>
      <c r="AA43" s="196" t="s">
        <v>358</v>
      </c>
    </row>
    <row r="44" spans="1:27" ht="12.75" customHeight="1" x14ac:dyDescent="0.2">
      <c r="A44" s="196" t="s">
        <v>672</v>
      </c>
      <c r="B44" s="196" t="s">
        <v>668</v>
      </c>
      <c r="C44" s="196" t="s">
        <v>386</v>
      </c>
      <c r="D44" s="197">
        <v>43599</v>
      </c>
      <c r="F44" s="320">
        <v>323.48</v>
      </c>
      <c r="G44" s="196" t="s">
        <v>36</v>
      </c>
      <c r="H44" s="196" t="s">
        <v>352</v>
      </c>
      <c r="I44" s="196" t="s">
        <v>353</v>
      </c>
      <c r="J44" s="196" t="s">
        <v>39</v>
      </c>
      <c r="K44" s="196" t="s">
        <v>354</v>
      </c>
      <c r="L44" s="199">
        <v>43602</v>
      </c>
      <c r="M44" s="197">
        <v>43599</v>
      </c>
      <c r="N44" s="196" t="s">
        <v>673</v>
      </c>
      <c r="O44" s="196" t="s">
        <v>532</v>
      </c>
      <c r="P44" s="196" t="s">
        <v>674</v>
      </c>
      <c r="Q44" s="196" t="b">
        <v>1</v>
      </c>
      <c r="S44" s="196" t="s">
        <v>86</v>
      </c>
      <c r="T44" s="196" t="s">
        <v>19</v>
      </c>
      <c r="U44" s="196" t="s">
        <v>675</v>
      </c>
      <c r="Y44" s="196">
        <f t="shared" si="0"/>
        <v>5</v>
      </c>
      <c r="Z44" s="199">
        <v>43605.272959641203</v>
      </c>
      <c r="AA44" s="196" t="s">
        <v>358</v>
      </c>
    </row>
    <row r="45" spans="1:27" ht="12.75" customHeight="1" x14ac:dyDescent="0.2">
      <c r="A45" s="196" t="s">
        <v>676</v>
      </c>
      <c r="B45" s="196" t="s">
        <v>360</v>
      </c>
      <c r="C45" s="196" t="s">
        <v>386</v>
      </c>
      <c r="D45" s="197">
        <v>43616</v>
      </c>
      <c r="F45" s="320">
        <v>6388.69</v>
      </c>
      <c r="G45" s="196" t="s">
        <v>36</v>
      </c>
      <c r="H45" s="196" t="s">
        <v>352</v>
      </c>
      <c r="I45" s="196" t="s">
        <v>353</v>
      </c>
      <c r="J45" s="196" t="s">
        <v>39</v>
      </c>
      <c r="K45" s="196" t="s">
        <v>530</v>
      </c>
      <c r="L45" s="199">
        <v>43620</v>
      </c>
      <c r="M45" s="197">
        <v>43616</v>
      </c>
      <c r="N45" s="196" t="s">
        <v>677</v>
      </c>
      <c r="O45" s="196" t="s">
        <v>532</v>
      </c>
      <c r="P45" s="196" t="s">
        <v>678</v>
      </c>
      <c r="Q45" s="196" t="b">
        <v>1</v>
      </c>
      <c r="S45" s="196" t="s">
        <v>86</v>
      </c>
      <c r="T45" s="196" t="s">
        <v>19</v>
      </c>
      <c r="Y45" s="196">
        <f t="shared" si="0"/>
        <v>5</v>
      </c>
      <c r="Z45" s="199">
        <v>43622.3638798264</v>
      </c>
      <c r="AA45" s="196" t="s">
        <v>358</v>
      </c>
    </row>
    <row r="46" spans="1:27" ht="12.75" customHeight="1" x14ac:dyDescent="0.2">
      <c r="A46" s="196" t="s">
        <v>679</v>
      </c>
      <c r="B46" s="196" t="s">
        <v>371</v>
      </c>
      <c r="C46" s="196" t="s">
        <v>386</v>
      </c>
      <c r="D46" s="197">
        <v>43616</v>
      </c>
      <c r="F46" s="320">
        <v>173937.47</v>
      </c>
      <c r="G46" s="196" t="s">
        <v>36</v>
      </c>
      <c r="H46" s="196" t="s">
        <v>352</v>
      </c>
      <c r="I46" s="196" t="s">
        <v>353</v>
      </c>
      <c r="J46" s="196" t="s">
        <v>39</v>
      </c>
      <c r="K46" s="196" t="s">
        <v>354</v>
      </c>
      <c r="L46" s="199">
        <v>43623</v>
      </c>
      <c r="M46" s="197">
        <v>43616</v>
      </c>
      <c r="N46" s="196" t="s">
        <v>680</v>
      </c>
      <c r="O46" s="196" t="s">
        <v>532</v>
      </c>
      <c r="P46" s="196" t="s">
        <v>681</v>
      </c>
      <c r="Q46" s="196" t="b">
        <v>1</v>
      </c>
      <c r="S46" s="196" t="s">
        <v>86</v>
      </c>
      <c r="T46" s="196" t="s">
        <v>19</v>
      </c>
      <c r="Y46" s="196">
        <f t="shared" si="0"/>
        <v>5</v>
      </c>
      <c r="Z46" s="199">
        <v>43626.278900543999</v>
      </c>
      <c r="AA46" s="196" t="s">
        <v>358</v>
      </c>
    </row>
    <row r="47" spans="1:27" ht="12.75" customHeight="1" x14ac:dyDescent="0.2">
      <c r="A47" s="196" t="s">
        <v>682</v>
      </c>
      <c r="B47" s="196" t="s">
        <v>360</v>
      </c>
      <c r="C47" s="196" t="s">
        <v>386</v>
      </c>
      <c r="D47" s="197">
        <v>43616</v>
      </c>
      <c r="F47" s="320">
        <v>1213.04</v>
      </c>
      <c r="G47" s="196" t="s">
        <v>36</v>
      </c>
      <c r="H47" s="196" t="s">
        <v>352</v>
      </c>
      <c r="I47" s="196" t="s">
        <v>353</v>
      </c>
      <c r="J47" s="196" t="s">
        <v>39</v>
      </c>
      <c r="K47" s="196" t="s">
        <v>354</v>
      </c>
      <c r="L47" s="199">
        <v>43623</v>
      </c>
      <c r="M47" s="197">
        <v>43616</v>
      </c>
      <c r="N47" s="196" t="s">
        <v>683</v>
      </c>
      <c r="O47" s="196" t="s">
        <v>532</v>
      </c>
      <c r="P47" s="196" t="s">
        <v>684</v>
      </c>
      <c r="Q47" s="196" t="b">
        <v>1</v>
      </c>
      <c r="S47" s="196" t="s">
        <v>86</v>
      </c>
      <c r="T47" s="196" t="s">
        <v>19</v>
      </c>
      <c r="Y47" s="196">
        <f t="shared" si="0"/>
        <v>5</v>
      </c>
      <c r="Z47" s="199">
        <v>43626.2789128472</v>
      </c>
      <c r="AA47" s="196" t="s">
        <v>358</v>
      </c>
    </row>
    <row r="48" spans="1:27" ht="12.75" customHeight="1" x14ac:dyDescent="0.2">
      <c r="A48" s="196" t="s">
        <v>685</v>
      </c>
      <c r="B48" s="196" t="s">
        <v>360</v>
      </c>
      <c r="C48" s="196" t="s">
        <v>386</v>
      </c>
      <c r="D48" s="197">
        <v>43616</v>
      </c>
      <c r="F48" s="320">
        <v>1940.87</v>
      </c>
      <c r="G48" s="196" t="s">
        <v>36</v>
      </c>
      <c r="H48" s="196" t="s">
        <v>352</v>
      </c>
      <c r="I48" s="196" t="s">
        <v>353</v>
      </c>
      <c r="J48" s="196" t="s">
        <v>39</v>
      </c>
      <c r="K48" s="196" t="s">
        <v>542</v>
      </c>
      <c r="L48" s="199">
        <v>43623</v>
      </c>
      <c r="M48" s="197">
        <v>43616</v>
      </c>
      <c r="N48" s="196" t="s">
        <v>686</v>
      </c>
      <c r="O48" s="196" t="s">
        <v>532</v>
      </c>
      <c r="P48" s="196" t="s">
        <v>687</v>
      </c>
      <c r="Q48" s="196" t="b">
        <v>1</v>
      </c>
      <c r="S48" s="196" t="s">
        <v>86</v>
      </c>
      <c r="T48" s="196" t="s">
        <v>19</v>
      </c>
      <c r="Y48" s="196">
        <f t="shared" si="0"/>
        <v>5</v>
      </c>
      <c r="Z48" s="199">
        <v>43626.278915196803</v>
      </c>
      <c r="AA48" s="196" t="s">
        <v>358</v>
      </c>
    </row>
    <row r="49" spans="1:27" ht="12.75" customHeight="1" x14ac:dyDescent="0.2">
      <c r="A49" s="196" t="s">
        <v>688</v>
      </c>
      <c r="B49" s="196" t="s">
        <v>360</v>
      </c>
      <c r="C49" s="196" t="s">
        <v>386</v>
      </c>
      <c r="D49" s="197">
        <v>43616</v>
      </c>
      <c r="F49" s="320">
        <v>19570.419999999998</v>
      </c>
      <c r="G49" s="196" t="s">
        <v>36</v>
      </c>
      <c r="H49" s="196" t="s">
        <v>352</v>
      </c>
      <c r="I49" s="196" t="s">
        <v>353</v>
      </c>
      <c r="J49" s="196" t="s">
        <v>39</v>
      </c>
      <c r="K49" s="196" t="s">
        <v>546</v>
      </c>
      <c r="L49" s="199">
        <v>43623</v>
      </c>
      <c r="M49" s="197">
        <v>43616</v>
      </c>
      <c r="N49" s="196" t="s">
        <v>689</v>
      </c>
      <c r="O49" s="196" t="s">
        <v>532</v>
      </c>
      <c r="P49" s="196" t="s">
        <v>690</v>
      </c>
      <c r="Q49" s="196" t="b">
        <v>1</v>
      </c>
      <c r="S49" s="196" t="s">
        <v>86</v>
      </c>
      <c r="T49" s="196" t="s">
        <v>19</v>
      </c>
      <c r="Y49" s="196">
        <f t="shared" si="0"/>
        <v>5</v>
      </c>
      <c r="Z49" s="199">
        <v>43626.278917905103</v>
      </c>
      <c r="AA49" s="196" t="s">
        <v>358</v>
      </c>
    </row>
    <row r="50" spans="1:27" ht="12.75" customHeight="1" x14ac:dyDescent="0.2">
      <c r="A50" s="196" t="s">
        <v>691</v>
      </c>
      <c r="B50" s="196" t="s">
        <v>360</v>
      </c>
      <c r="C50" s="196" t="s">
        <v>386</v>
      </c>
      <c r="D50" s="197">
        <v>43616</v>
      </c>
      <c r="F50" s="320">
        <v>49118.92</v>
      </c>
      <c r="G50" s="196" t="s">
        <v>36</v>
      </c>
      <c r="H50" s="196" t="s">
        <v>352</v>
      </c>
      <c r="I50" s="196" t="s">
        <v>353</v>
      </c>
      <c r="J50" s="196" t="s">
        <v>39</v>
      </c>
      <c r="K50" s="196" t="s">
        <v>621</v>
      </c>
      <c r="L50" s="199">
        <v>43623</v>
      </c>
      <c r="M50" s="197">
        <v>43616</v>
      </c>
      <c r="N50" s="196" t="s">
        <v>692</v>
      </c>
      <c r="O50" s="196" t="s">
        <v>532</v>
      </c>
      <c r="P50" s="196" t="s">
        <v>693</v>
      </c>
      <c r="Q50" s="196" t="b">
        <v>1</v>
      </c>
      <c r="S50" s="196" t="s">
        <v>86</v>
      </c>
      <c r="T50" s="196" t="s">
        <v>19</v>
      </c>
      <c r="Y50" s="196">
        <f t="shared" si="0"/>
        <v>5</v>
      </c>
      <c r="Z50" s="199">
        <v>43626.278920798599</v>
      </c>
      <c r="AA50" s="196" t="s">
        <v>358</v>
      </c>
    </row>
    <row r="51" spans="1:27" ht="12.75" customHeight="1" x14ac:dyDescent="0.2">
      <c r="A51" s="196" t="s">
        <v>694</v>
      </c>
      <c r="B51" s="196" t="s">
        <v>594</v>
      </c>
      <c r="C51" s="196" t="s">
        <v>386</v>
      </c>
      <c r="D51" s="197">
        <v>43616</v>
      </c>
      <c r="F51" s="320">
        <v>1698.26</v>
      </c>
      <c r="G51" s="196" t="s">
        <v>36</v>
      </c>
      <c r="H51" s="196" t="s">
        <v>352</v>
      </c>
      <c r="I51" s="196" t="s">
        <v>353</v>
      </c>
      <c r="J51" s="196" t="s">
        <v>39</v>
      </c>
      <c r="K51" s="196" t="s">
        <v>554</v>
      </c>
      <c r="L51" s="199">
        <v>43623</v>
      </c>
      <c r="M51" s="197">
        <v>43616</v>
      </c>
      <c r="N51" s="196" t="s">
        <v>695</v>
      </c>
      <c r="O51" s="196" t="s">
        <v>532</v>
      </c>
      <c r="P51" s="196" t="s">
        <v>696</v>
      </c>
      <c r="Q51" s="196" t="b">
        <v>1</v>
      </c>
      <c r="S51" s="196" t="s">
        <v>86</v>
      </c>
      <c r="T51" s="196" t="s">
        <v>19</v>
      </c>
      <c r="Y51" s="196">
        <f t="shared" si="0"/>
        <v>5</v>
      </c>
      <c r="Z51" s="199">
        <v>43626.278924421298</v>
      </c>
      <c r="AA51" s="196" t="s">
        <v>358</v>
      </c>
    </row>
    <row r="52" spans="1:27" ht="12.75" customHeight="1" x14ac:dyDescent="0.2">
      <c r="A52" s="196" t="s">
        <v>697</v>
      </c>
      <c r="B52" s="196" t="s">
        <v>360</v>
      </c>
      <c r="C52" s="196" t="s">
        <v>386</v>
      </c>
      <c r="D52" s="197">
        <v>43616</v>
      </c>
      <c r="F52" s="320">
        <v>9422.61</v>
      </c>
      <c r="G52" s="196" t="s">
        <v>36</v>
      </c>
      <c r="H52" s="196" t="s">
        <v>352</v>
      </c>
      <c r="I52" s="196" t="s">
        <v>353</v>
      </c>
      <c r="J52" s="196" t="s">
        <v>39</v>
      </c>
      <c r="K52" s="196" t="s">
        <v>550</v>
      </c>
      <c r="L52" s="199">
        <v>43623</v>
      </c>
      <c r="M52" s="197">
        <v>43616</v>
      </c>
      <c r="N52" s="196" t="s">
        <v>698</v>
      </c>
      <c r="O52" s="196" t="s">
        <v>532</v>
      </c>
      <c r="P52" s="196" t="s">
        <v>699</v>
      </c>
      <c r="Q52" s="196" t="b">
        <v>1</v>
      </c>
      <c r="S52" s="196" t="s">
        <v>86</v>
      </c>
      <c r="T52" s="196" t="s">
        <v>19</v>
      </c>
      <c r="Y52" s="196">
        <f t="shared" si="0"/>
        <v>5</v>
      </c>
      <c r="Z52" s="199">
        <v>43626.278926585699</v>
      </c>
      <c r="AA52" s="196" t="s">
        <v>358</v>
      </c>
    </row>
    <row r="53" spans="1:27" ht="12.75" customHeight="1" x14ac:dyDescent="0.2">
      <c r="A53" s="196" t="s">
        <v>700</v>
      </c>
      <c r="B53" s="196" t="s">
        <v>360</v>
      </c>
      <c r="C53" s="196" t="s">
        <v>386</v>
      </c>
      <c r="D53" s="197">
        <v>43616</v>
      </c>
      <c r="F53" s="320">
        <v>2587.8200000000002</v>
      </c>
      <c r="G53" s="196" t="s">
        <v>36</v>
      </c>
      <c r="H53" s="196" t="s">
        <v>352</v>
      </c>
      <c r="I53" s="196" t="s">
        <v>353</v>
      </c>
      <c r="J53" s="196" t="s">
        <v>39</v>
      </c>
      <c r="K53" s="196" t="s">
        <v>354</v>
      </c>
      <c r="L53" s="199">
        <v>43623</v>
      </c>
      <c r="M53" s="197">
        <v>43616</v>
      </c>
      <c r="N53" s="196" t="s">
        <v>701</v>
      </c>
      <c r="O53" s="196" t="s">
        <v>532</v>
      </c>
      <c r="P53" s="196" t="s">
        <v>702</v>
      </c>
      <c r="Q53" s="196" t="b">
        <v>1</v>
      </c>
      <c r="S53" s="196" t="s">
        <v>86</v>
      </c>
      <c r="T53" s="196" t="s">
        <v>19</v>
      </c>
      <c r="Y53" s="196">
        <f t="shared" si="0"/>
        <v>5</v>
      </c>
      <c r="Z53" s="199">
        <v>43626.278928391199</v>
      </c>
      <c r="AA53" s="196" t="s">
        <v>358</v>
      </c>
    </row>
    <row r="54" spans="1:27" ht="12.75" customHeight="1" x14ac:dyDescent="0.2">
      <c r="A54" s="196" t="s">
        <v>703</v>
      </c>
      <c r="B54" s="196" t="s">
        <v>704</v>
      </c>
      <c r="C54" s="196" t="s">
        <v>386</v>
      </c>
      <c r="D54" s="197">
        <v>43637</v>
      </c>
      <c r="F54" s="320">
        <v>889.57</v>
      </c>
      <c r="G54" s="196" t="s">
        <v>36</v>
      </c>
      <c r="H54" s="196" t="s">
        <v>352</v>
      </c>
      <c r="I54" s="196" t="s">
        <v>353</v>
      </c>
      <c r="J54" s="196" t="s">
        <v>39</v>
      </c>
      <c r="K54" s="196" t="s">
        <v>705</v>
      </c>
      <c r="L54" s="199">
        <v>43643</v>
      </c>
      <c r="M54" s="197">
        <v>43637</v>
      </c>
      <c r="N54" s="196" t="s">
        <v>706</v>
      </c>
      <c r="O54" s="196" t="s">
        <v>532</v>
      </c>
      <c r="P54" s="196" t="s">
        <v>707</v>
      </c>
      <c r="Q54" s="196" t="b">
        <v>1</v>
      </c>
      <c r="S54" s="196" t="s">
        <v>537</v>
      </c>
      <c r="T54" s="196" t="s">
        <v>19</v>
      </c>
      <c r="Y54" s="196">
        <f t="shared" si="0"/>
        <v>6</v>
      </c>
      <c r="Z54" s="199">
        <v>43643.519869097203</v>
      </c>
      <c r="AA54" s="196" t="s">
        <v>358</v>
      </c>
    </row>
    <row r="55" spans="1:27" ht="12.75" customHeight="1" x14ac:dyDescent="0.2">
      <c r="A55" s="196" t="s">
        <v>708</v>
      </c>
      <c r="B55" s="196" t="s">
        <v>360</v>
      </c>
      <c r="C55" s="196" t="s">
        <v>386</v>
      </c>
      <c r="D55" s="197">
        <v>43646</v>
      </c>
      <c r="F55" s="320">
        <v>6873.91</v>
      </c>
      <c r="G55" s="196" t="s">
        <v>36</v>
      </c>
      <c r="H55" s="196" t="s">
        <v>352</v>
      </c>
      <c r="I55" s="196" t="s">
        <v>353</v>
      </c>
      <c r="J55" s="196" t="s">
        <v>39</v>
      </c>
      <c r="K55" s="196" t="s">
        <v>530</v>
      </c>
      <c r="L55" s="199">
        <v>43649</v>
      </c>
      <c r="M55" s="197">
        <v>43646</v>
      </c>
      <c r="N55" s="196" t="s">
        <v>709</v>
      </c>
      <c r="O55" s="196" t="s">
        <v>532</v>
      </c>
      <c r="P55" s="196" t="s">
        <v>710</v>
      </c>
      <c r="Q55" s="196" t="b">
        <v>1</v>
      </c>
      <c r="S55" s="196" t="s">
        <v>86</v>
      </c>
      <c r="T55" s="196" t="s">
        <v>19</v>
      </c>
      <c r="Y55" s="196">
        <f t="shared" si="0"/>
        <v>6</v>
      </c>
      <c r="Z55" s="199">
        <v>43649.495884837997</v>
      </c>
      <c r="AA55" s="196" t="s">
        <v>358</v>
      </c>
    </row>
    <row r="56" spans="1:27" ht="12.75" customHeight="1" x14ac:dyDescent="0.2">
      <c r="A56" s="196" t="s">
        <v>711</v>
      </c>
      <c r="B56" s="196" t="s">
        <v>360</v>
      </c>
      <c r="C56" s="196" t="s">
        <v>386</v>
      </c>
      <c r="D56" s="197">
        <v>43646</v>
      </c>
      <c r="F56" s="320">
        <v>2426.09</v>
      </c>
      <c r="G56" s="196" t="s">
        <v>36</v>
      </c>
      <c r="H56" s="196" t="s">
        <v>352</v>
      </c>
      <c r="I56" s="196" t="s">
        <v>353</v>
      </c>
      <c r="J56" s="196" t="s">
        <v>39</v>
      </c>
      <c r="K56" s="196" t="s">
        <v>542</v>
      </c>
      <c r="L56" s="199">
        <v>43654</v>
      </c>
      <c r="M56" s="197">
        <v>43646</v>
      </c>
      <c r="N56" s="196" t="s">
        <v>712</v>
      </c>
      <c r="O56" s="196" t="s">
        <v>532</v>
      </c>
      <c r="P56" s="196" t="s">
        <v>713</v>
      </c>
      <c r="Q56" s="196" t="b">
        <v>1</v>
      </c>
      <c r="S56" s="196" t="s">
        <v>86</v>
      </c>
      <c r="T56" s="196" t="s">
        <v>19</v>
      </c>
      <c r="Y56" s="196">
        <f t="shared" si="0"/>
        <v>6</v>
      </c>
      <c r="Z56" s="199">
        <v>43655.277169178204</v>
      </c>
      <c r="AA56" s="196" t="s">
        <v>358</v>
      </c>
    </row>
    <row r="57" spans="1:27" ht="12.75" customHeight="1" x14ac:dyDescent="0.2">
      <c r="A57" s="196" t="s">
        <v>714</v>
      </c>
      <c r="B57" s="196" t="s">
        <v>360</v>
      </c>
      <c r="C57" s="196" t="s">
        <v>386</v>
      </c>
      <c r="D57" s="197">
        <v>43646</v>
      </c>
      <c r="F57" s="320">
        <v>15769.55</v>
      </c>
      <c r="G57" s="196" t="s">
        <v>36</v>
      </c>
      <c r="H57" s="196" t="s">
        <v>352</v>
      </c>
      <c r="I57" s="196" t="s">
        <v>353</v>
      </c>
      <c r="J57" s="196" t="s">
        <v>39</v>
      </c>
      <c r="K57" s="196" t="s">
        <v>546</v>
      </c>
      <c r="L57" s="199">
        <v>43654</v>
      </c>
      <c r="M57" s="197">
        <v>43646</v>
      </c>
      <c r="N57" s="196" t="s">
        <v>715</v>
      </c>
      <c r="O57" s="196" t="s">
        <v>532</v>
      </c>
      <c r="P57" s="196" t="s">
        <v>716</v>
      </c>
      <c r="Q57" s="196" t="b">
        <v>1</v>
      </c>
      <c r="S57" s="196" t="s">
        <v>86</v>
      </c>
      <c r="T57" s="196" t="s">
        <v>19</v>
      </c>
      <c r="Y57" s="196">
        <f t="shared" si="0"/>
        <v>6</v>
      </c>
      <c r="Z57" s="199">
        <v>43655.277174768496</v>
      </c>
      <c r="AA57" s="196" t="s">
        <v>358</v>
      </c>
    </row>
    <row r="58" spans="1:27" ht="12.75" customHeight="1" x14ac:dyDescent="0.2">
      <c r="A58" s="196" t="s">
        <v>717</v>
      </c>
      <c r="B58" s="196" t="s">
        <v>360</v>
      </c>
      <c r="C58" s="196" t="s">
        <v>386</v>
      </c>
      <c r="D58" s="197">
        <v>43646</v>
      </c>
      <c r="F58" s="320">
        <v>46838.93</v>
      </c>
      <c r="G58" s="196" t="s">
        <v>36</v>
      </c>
      <c r="H58" s="196" t="s">
        <v>352</v>
      </c>
      <c r="I58" s="196" t="s">
        <v>353</v>
      </c>
      <c r="J58" s="196" t="s">
        <v>39</v>
      </c>
      <c r="K58" s="196" t="s">
        <v>621</v>
      </c>
      <c r="L58" s="199">
        <v>43654</v>
      </c>
      <c r="M58" s="197">
        <v>43646</v>
      </c>
      <c r="N58" s="196" t="s">
        <v>718</v>
      </c>
      <c r="O58" s="196" t="s">
        <v>532</v>
      </c>
      <c r="P58" s="196" t="s">
        <v>719</v>
      </c>
      <c r="Q58" s="196" t="b">
        <v>1</v>
      </c>
      <c r="S58" s="196" t="s">
        <v>86</v>
      </c>
      <c r="T58" s="196" t="s">
        <v>19</v>
      </c>
      <c r="Y58" s="196">
        <f t="shared" si="0"/>
        <v>6</v>
      </c>
      <c r="Z58" s="199">
        <v>43655.277177511598</v>
      </c>
      <c r="AA58" s="196" t="s">
        <v>358</v>
      </c>
    </row>
    <row r="59" spans="1:27" ht="12.75" customHeight="1" x14ac:dyDescent="0.2">
      <c r="A59" s="196" t="s">
        <v>720</v>
      </c>
      <c r="B59" s="196" t="s">
        <v>594</v>
      </c>
      <c r="C59" s="196" t="s">
        <v>386</v>
      </c>
      <c r="D59" s="197">
        <v>43646</v>
      </c>
      <c r="F59" s="320">
        <v>1698.26</v>
      </c>
      <c r="G59" s="196" t="s">
        <v>36</v>
      </c>
      <c r="H59" s="196" t="s">
        <v>352</v>
      </c>
      <c r="I59" s="196" t="s">
        <v>353</v>
      </c>
      <c r="J59" s="196" t="s">
        <v>39</v>
      </c>
      <c r="K59" s="196" t="s">
        <v>554</v>
      </c>
      <c r="L59" s="199">
        <v>43654</v>
      </c>
      <c r="M59" s="197">
        <v>43646</v>
      </c>
      <c r="N59" s="196" t="s">
        <v>721</v>
      </c>
      <c r="O59" s="196" t="s">
        <v>532</v>
      </c>
      <c r="P59" s="196" t="s">
        <v>722</v>
      </c>
      <c r="Q59" s="196" t="b">
        <v>1</v>
      </c>
      <c r="S59" s="196" t="s">
        <v>86</v>
      </c>
      <c r="T59" s="196" t="s">
        <v>19</v>
      </c>
      <c r="Y59" s="196">
        <f t="shared" si="0"/>
        <v>6</v>
      </c>
      <c r="Z59" s="199">
        <v>43655.277180555597</v>
      </c>
      <c r="AA59" s="196" t="s">
        <v>358</v>
      </c>
    </row>
    <row r="60" spans="1:27" ht="12.75" customHeight="1" x14ac:dyDescent="0.2">
      <c r="A60" s="196" t="s">
        <v>723</v>
      </c>
      <c r="B60" s="196" t="s">
        <v>360</v>
      </c>
      <c r="C60" s="196" t="s">
        <v>386</v>
      </c>
      <c r="D60" s="197">
        <v>43646</v>
      </c>
      <c r="F60" s="320">
        <v>8973.91</v>
      </c>
      <c r="G60" s="196" t="s">
        <v>36</v>
      </c>
      <c r="H60" s="196" t="s">
        <v>352</v>
      </c>
      <c r="I60" s="196" t="s">
        <v>353</v>
      </c>
      <c r="J60" s="196" t="s">
        <v>39</v>
      </c>
      <c r="K60" s="196" t="s">
        <v>550</v>
      </c>
      <c r="L60" s="199">
        <v>43654</v>
      </c>
      <c r="M60" s="197">
        <v>43646</v>
      </c>
      <c r="N60" s="196" t="s">
        <v>724</v>
      </c>
      <c r="O60" s="196" t="s">
        <v>532</v>
      </c>
      <c r="P60" s="196" t="s">
        <v>725</v>
      </c>
      <c r="Q60" s="196" t="b">
        <v>1</v>
      </c>
      <c r="S60" s="196" t="s">
        <v>86</v>
      </c>
      <c r="T60" s="196" t="s">
        <v>19</v>
      </c>
      <c r="Y60" s="196">
        <f t="shared" si="0"/>
        <v>6</v>
      </c>
      <c r="Z60" s="199">
        <v>43655.2771834491</v>
      </c>
      <c r="AA60" s="196" t="s">
        <v>358</v>
      </c>
    </row>
    <row r="61" spans="1:27" ht="12.75" customHeight="1" x14ac:dyDescent="0.2">
      <c r="A61" s="196" t="s">
        <v>726</v>
      </c>
      <c r="B61" s="196" t="s">
        <v>360</v>
      </c>
      <c r="C61" s="196" t="s">
        <v>386</v>
      </c>
      <c r="D61" s="197">
        <v>43646</v>
      </c>
      <c r="F61" s="320">
        <v>2830.43</v>
      </c>
      <c r="G61" s="196" t="s">
        <v>36</v>
      </c>
      <c r="H61" s="196" t="s">
        <v>352</v>
      </c>
      <c r="I61" s="196" t="s">
        <v>353</v>
      </c>
      <c r="J61" s="196" t="s">
        <v>39</v>
      </c>
      <c r="K61" s="196" t="s">
        <v>354</v>
      </c>
      <c r="L61" s="199">
        <v>43654</v>
      </c>
      <c r="M61" s="197">
        <v>43646</v>
      </c>
      <c r="N61" s="196" t="s">
        <v>727</v>
      </c>
      <c r="O61" s="196" t="s">
        <v>532</v>
      </c>
      <c r="P61" s="196" t="s">
        <v>728</v>
      </c>
      <c r="Q61" s="196" t="b">
        <v>1</v>
      </c>
      <c r="S61" s="196" t="s">
        <v>86</v>
      </c>
      <c r="T61" s="196" t="s">
        <v>19</v>
      </c>
      <c r="Y61" s="196">
        <f t="shared" si="0"/>
        <v>6</v>
      </c>
      <c r="Z61" s="199">
        <v>43655.277198460702</v>
      </c>
      <c r="AA61" s="196" t="s">
        <v>358</v>
      </c>
    </row>
    <row r="62" spans="1:27" ht="12.75" customHeight="1" x14ac:dyDescent="0.2">
      <c r="A62" s="196" t="s">
        <v>729</v>
      </c>
      <c r="B62" s="196" t="s">
        <v>360</v>
      </c>
      <c r="C62" s="196" t="s">
        <v>386</v>
      </c>
      <c r="D62" s="197">
        <v>43646</v>
      </c>
      <c r="F62" s="320">
        <v>1213.04</v>
      </c>
      <c r="G62" s="196" t="s">
        <v>36</v>
      </c>
      <c r="H62" s="196" t="s">
        <v>352</v>
      </c>
      <c r="I62" s="196" t="s">
        <v>353</v>
      </c>
      <c r="J62" s="196" t="s">
        <v>39</v>
      </c>
      <c r="K62" s="196" t="s">
        <v>354</v>
      </c>
      <c r="L62" s="199">
        <v>43654</v>
      </c>
      <c r="M62" s="197">
        <v>43646</v>
      </c>
      <c r="N62" s="196" t="s">
        <v>730</v>
      </c>
      <c r="O62" s="196" t="s">
        <v>532</v>
      </c>
      <c r="P62" s="196" t="s">
        <v>731</v>
      </c>
      <c r="Q62" s="196" t="b">
        <v>1</v>
      </c>
      <c r="S62" s="196" t="s">
        <v>86</v>
      </c>
      <c r="T62" s="196" t="s">
        <v>19</v>
      </c>
      <c r="Y62" s="196">
        <f t="shared" si="0"/>
        <v>6</v>
      </c>
      <c r="Z62" s="199">
        <v>43655.277207326399</v>
      </c>
      <c r="AA62" s="196" t="s">
        <v>358</v>
      </c>
    </row>
    <row r="63" spans="1:27" ht="12.75" customHeight="1" x14ac:dyDescent="0.2">
      <c r="A63" s="196" t="s">
        <v>732</v>
      </c>
      <c r="B63" s="196" t="s">
        <v>733</v>
      </c>
      <c r="C63" s="196" t="s">
        <v>386</v>
      </c>
      <c r="D63" s="197">
        <v>43646</v>
      </c>
      <c r="F63" s="320">
        <v>153813.98000000001</v>
      </c>
      <c r="G63" s="196" t="s">
        <v>36</v>
      </c>
      <c r="H63" s="196" t="s">
        <v>352</v>
      </c>
      <c r="I63" s="196" t="s">
        <v>353</v>
      </c>
      <c r="J63" s="196" t="s">
        <v>39</v>
      </c>
      <c r="K63" s="196" t="s">
        <v>354</v>
      </c>
      <c r="L63" s="199">
        <v>43654</v>
      </c>
      <c r="M63" s="197">
        <v>43646</v>
      </c>
      <c r="N63" s="196" t="s">
        <v>734</v>
      </c>
      <c r="O63" s="196" t="s">
        <v>532</v>
      </c>
      <c r="P63" s="196" t="s">
        <v>735</v>
      </c>
      <c r="Q63" s="196" t="b">
        <v>1</v>
      </c>
      <c r="S63" s="196" t="s">
        <v>86</v>
      </c>
      <c r="T63" s="196" t="s">
        <v>19</v>
      </c>
      <c r="Y63" s="196">
        <f t="shared" si="0"/>
        <v>6</v>
      </c>
      <c r="Z63" s="199">
        <v>43661.258718286997</v>
      </c>
      <c r="AA63" s="196" t="s">
        <v>358</v>
      </c>
    </row>
    <row r="64" spans="1:27" ht="12.75" customHeight="1" x14ac:dyDescent="0.2">
      <c r="A64" s="196" t="s">
        <v>736</v>
      </c>
      <c r="B64" s="196" t="s">
        <v>360</v>
      </c>
      <c r="C64" s="196" t="s">
        <v>386</v>
      </c>
      <c r="D64" s="197">
        <v>43677</v>
      </c>
      <c r="F64" s="320">
        <v>7601.73</v>
      </c>
      <c r="G64" s="196" t="s">
        <v>36</v>
      </c>
      <c r="H64" s="196" t="s">
        <v>352</v>
      </c>
      <c r="I64" s="196" t="s">
        <v>353</v>
      </c>
      <c r="J64" s="196" t="s">
        <v>39</v>
      </c>
      <c r="K64" s="196" t="s">
        <v>530</v>
      </c>
      <c r="L64" s="199">
        <v>43679</v>
      </c>
      <c r="M64" s="197">
        <v>43677</v>
      </c>
      <c r="N64" s="196" t="s">
        <v>737</v>
      </c>
      <c r="O64" s="196" t="s">
        <v>532</v>
      </c>
      <c r="P64" s="196" t="s">
        <v>738</v>
      </c>
      <c r="Q64" s="196" t="b">
        <v>1</v>
      </c>
      <c r="S64" s="196" t="s">
        <v>86</v>
      </c>
      <c r="T64" s="196" t="s">
        <v>19</v>
      </c>
      <c r="Y64" s="196">
        <f t="shared" si="0"/>
        <v>7</v>
      </c>
      <c r="Z64" s="199">
        <v>43679.592284340302</v>
      </c>
      <c r="AA64" s="196" t="s">
        <v>358</v>
      </c>
    </row>
    <row r="65" spans="1:27" ht="12.75" customHeight="1" x14ac:dyDescent="0.2">
      <c r="A65" s="196" t="s">
        <v>739</v>
      </c>
      <c r="B65" s="196" t="s">
        <v>740</v>
      </c>
      <c r="C65" s="196" t="s">
        <v>386</v>
      </c>
      <c r="D65" s="197">
        <v>43677</v>
      </c>
      <c r="F65" s="320">
        <v>128987.01</v>
      </c>
      <c r="G65" s="196" t="s">
        <v>36</v>
      </c>
      <c r="H65" s="196" t="s">
        <v>352</v>
      </c>
      <c r="I65" s="196" t="s">
        <v>353</v>
      </c>
      <c r="J65" s="196" t="s">
        <v>39</v>
      </c>
      <c r="K65" s="196" t="s">
        <v>354</v>
      </c>
      <c r="L65" s="199">
        <v>43686</v>
      </c>
      <c r="M65" s="197">
        <v>43677</v>
      </c>
      <c r="N65" s="196" t="s">
        <v>741</v>
      </c>
      <c r="O65" s="196" t="s">
        <v>532</v>
      </c>
      <c r="P65" s="196" t="s">
        <v>742</v>
      </c>
      <c r="Q65" s="196" t="b">
        <v>1</v>
      </c>
      <c r="S65" s="196" t="s">
        <v>86</v>
      </c>
      <c r="T65" s="196" t="s">
        <v>19</v>
      </c>
      <c r="Y65" s="196">
        <f t="shared" si="0"/>
        <v>7</v>
      </c>
      <c r="Z65" s="199">
        <v>43686.372000694399</v>
      </c>
      <c r="AA65" s="196" t="s">
        <v>358</v>
      </c>
    </row>
    <row r="66" spans="1:27" ht="12.75" customHeight="1" x14ac:dyDescent="0.2">
      <c r="A66" s="196" t="s">
        <v>743</v>
      </c>
      <c r="B66" s="196" t="s">
        <v>360</v>
      </c>
      <c r="C66" s="196" t="s">
        <v>386</v>
      </c>
      <c r="D66" s="197">
        <v>43677</v>
      </c>
      <c r="F66" s="320">
        <v>1860.01</v>
      </c>
      <c r="G66" s="196" t="s">
        <v>36</v>
      </c>
      <c r="H66" s="196" t="s">
        <v>352</v>
      </c>
      <c r="I66" s="196" t="s">
        <v>353</v>
      </c>
      <c r="J66" s="196" t="s">
        <v>39</v>
      </c>
      <c r="K66" s="196" t="s">
        <v>542</v>
      </c>
      <c r="L66" s="199">
        <v>43686</v>
      </c>
      <c r="M66" s="197">
        <v>43677</v>
      </c>
      <c r="N66" s="196" t="s">
        <v>744</v>
      </c>
      <c r="O66" s="196" t="s">
        <v>532</v>
      </c>
      <c r="P66" s="196" t="s">
        <v>745</v>
      </c>
      <c r="Q66" s="196" t="b">
        <v>1</v>
      </c>
      <c r="S66" s="196" t="s">
        <v>86</v>
      </c>
      <c r="T66" s="196" t="s">
        <v>19</v>
      </c>
      <c r="Y66" s="196">
        <f t="shared" si="0"/>
        <v>7</v>
      </c>
      <c r="Z66" s="199">
        <v>43686.372020405099</v>
      </c>
      <c r="AA66" s="196" t="s">
        <v>358</v>
      </c>
    </row>
    <row r="67" spans="1:27" ht="12.75" customHeight="1" x14ac:dyDescent="0.2">
      <c r="A67" s="196" t="s">
        <v>746</v>
      </c>
      <c r="B67" s="196" t="s">
        <v>360</v>
      </c>
      <c r="C67" s="196" t="s">
        <v>386</v>
      </c>
      <c r="D67" s="197">
        <v>43677</v>
      </c>
      <c r="F67" s="320">
        <v>19570.54</v>
      </c>
      <c r="G67" s="196" t="s">
        <v>36</v>
      </c>
      <c r="H67" s="196" t="s">
        <v>352</v>
      </c>
      <c r="I67" s="196" t="s">
        <v>353</v>
      </c>
      <c r="J67" s="196" t="s">
        <v>39</v>
      </c>
      <c r="K67" s="196" t="s">
        <v>546</v>
      </c>
      <c r="L67" s="199">
        <v>43686</v>
      </c>
      <c r="M67" s="197">
        <v>43677</v>
      </c>
      <c r="N67" s="196" t="s">
        <v>747</v>
      </c>
      <c r="O67" s="196" t="s">
        <v>532</v>
      </c>
      <c r="P67" s="196" t="s">
        <v>748</v>
      </c>
      <c r="Q67" s="196" t="b">
        <v>1</v>
      </c>
      <c r="S67" s="196" t="s">
        <v>86</v>
      </c>
      <c r="T67" s="196" t="s">
        <v>19</v>
      </c>
      <c r="Y67" s="196">
        <f t="shared" ref="Y67:Y109" si="1">MONTH(M67)</f>
        <v>7</v>
      </c>
      <c r="Z67" s="199">
        <v>43686.372026006902</v>
      </c>
      <c r="AA67" s="196" t="s">
        <v>358</v>
      </c>
    </row>
    <row r="68" spans="1:27" ht="12.75" customHeight="1" x14ac:dyDescent="0.2">
      <c r="A68" s="196" t="s">
        <v>749</v>
      </c>
      <c r="B68" s="196" t="s">
        <v>360</v>
      </c>
      <c r="C68" s="196" t="s">
        <v>386</v>
      </c>
      <c r="D68" s="197">
        <v>43677</v>
      </c>
      <c r="F68" s="320">
        <v>42774.6</v>
      </c>
      <c r="G68" s="196" t="s">
        <v>36</v>
      </c>
      <c r="H68" s="196" t="s">
        <v>352</v>
      </c>
      <c r="I68" s="196" t="s">
        <v>353</v>
      </c>
      <c r="J68" s="196" t="s">
        <v>39</v>
      </c>
      <c r="K68" s="196" t="s">
        <v>621</v>
      </c>
      <c r="L68" s="199">
        <v>43686</v>
      </c>
      <c r="M68" s="197">
        <v>43677</v>
      </c>
      <c r="N68" s="196" t="s">
        <v>750</v>
      </c>
      <c r="O68" s="196" t="s">
        <v>532</v>
      </c>
      <c r="P68" s="196" t="s">
        <v>751</v>
      </c>
      <c r="Q68" s="196" t="b">
        <v>1</v>
      </c>
      <c r="S68" s="196" t="s">
        <v>86</v>
      </c>
      <c r="T68" s="196" t="s">
        <v>19</v>
      </c>
      <c r="Y68" s="196">
        <f t="shared" si="1"/>
        <v>7</v>
      </c>
      <c r="Z68" s="199">
        <v>43686.372037233799</v>
      </c>
      <c r="AA68" s="196" t="s">
        <v>358</v>
      </c>
    </row>
    <row r="69" spans="1:27" ht="12.75" customHeight="1" x14ac:dyDescent="0.2">
      <c r="A69" s="196" t="s">
        <v>752</v>
      </c>
      <c r="B69" s="196" t="s">
        <v>360</v>
      </c>
      <c r="C69" s="196" t="s">
        <v>386</v>
      </c>
      <c r="D69" s="197">
        <v>43677</v>
      </c>
      <c r="F69" s="320">
        <v>9870.9599999999991</v>
      </c>
      <c r="G69" s="196" t="s">
        <v>36</v>
      </c>
      <c r="H69" s="196" t="s">
        <v>352</v>
      </c>
      <c r="I69" s="196" t="s">
        <v>353</v>
      </c>
      <c r="J69" s="196" t="s">
        <v>39</v>
      </c>
      <c r="K69" s="196" t="s">
        <v>550</v>
      </c>
      <c r="L69" s="199">
        <v>43686</v>
      </c>
      <c r="M69" s="197">
        <v>43677</v>
      </c>
      <c r="N69" s="196" t="s">
        <v>753</v>
      </c>
      <c r="O69" s="196" t="s">
        <v>532</v>
      </c>
      <c r="P69" s="196" t="s">
        <v>754</v>
      </c>
      <c r="Q69" s="196" t="b">
        <v>1</v>
      </c>
      <c r="S69" s="196" t="s">
        <v>86</v>
      </c>
      <c r="T69" s="196" t="s">
        <v>19</v>
      </c>
      <c r="Y69" s="196">
        <f t="shared" si="1"/>
        <v>7</v>
      </c>
      <c r="Z69" s="199">
        <v>43686.372050810198</v>
      </c>
      <c r="AA69" s="196" t="s">
        <v>358</v>
      </c>
    </row>
    <row r="70" spans="1:27" ht="12.75" customHeight="1" x14ac:dyDescent="0.2">
      <c r="A70" s="196" t="s">
        <v>755</v>
      </c>
      <c r="B70" s="196" t="s">
        <v>360</v>
      </c>
      <c r="C70" s="196" t="s">
        <v>386</v>
      </c>
      <c r="D70" s="197">
        <v>43677</v>
      </c>
      <c r="F70" s="320">
        <v>7601.78</v>
      </c>
      <c r="G70" s="196" t="s">
        <v>36</v>
      </c>
      <c r="H70" s="196" t="s">
        <v>352</v>
      </c>
      <c r="I70" s="196" t="s">
        <v>353</v>
      </c>
      <c r="J70" s="196" t="s">
        <v>39</v>
      </c>
      <c r="K70" s="196" t="s">
        <v>530</v>
      </c>
      <c r="L70" s="199">
        <v>43686</v>
      </c>
      <c r="M70" s="197">
        <v>43677</v>
      </c>
      <c r="N70" s="196" t="s">
        <v>756</v>
      </c>
      <c r="O70" s="196" t="s">
        <v>532</v>
      </c>
      <c r="P70" s="196" t="s">
        <v>533</v>
      </c>
      <c r="Q70" s="196" t="b">
        <v>1</v>
      </c>
      <c r="S70" s="196" t="s">
        <v>86</v>
      </c>
      <c r="T70" s="196" t="s">
        <v>19</v>
      </c>
      <c r="Y70" s="196">
        <f t="shared" si="1"/>
        <v>7</v>
      </c>
      <c r="Z70" s="199">
        <v>43686.372055671301</v>
      </c>
      <c r="AA70" s="196" t="s">
        <v>358</v>
      </c>
    </row>
    <row r="71" spans="1:27" ht="12.75" customHeight="1" x14ac:dyDescent="0.2">
      <c r="A71" s="196" t="s">
        <v>757</v>
      </c>
      <c r="B71" s="196" t="s">
        <v>360</v>
      </c>
      <c r="C71" s="196" t="s">
        <v>386</v>
      </c>
      <c r="D71" s="197">
        <v>43677</v>
      </c>
      <c r="F71" s="320">
        <v>2102.62</v>
      </c>
      <c r="G71" s="196" t="s">
        <v>36</v>
      </c>
      <c r="H71" s="196" t="s">
        <v>352</v>
      </c>
      <c r="I71" s="196" t="s">
        <v>353</v>
      </c>
      <c r="J71" s="196" t="s">
        <v>39</v>
      </c>
      <c r="K71" s="196" t="s">
        <v>354</v>
      </c>
      <c r="L71" s="199">
        <v>43686</v>
      </c>
      <c r="M71" s="197">
        <v>43677</v>
      </c>
      <c r="N71" s="196" t="s">
        <v>758</v>
      </c>
      <c r="O71" s="196" t="s">
        <v>532</v>
      </c>
      <c r="P71" s="196" t="s">
        <v>759</v>
      </c>
      <c r="Q71" s="196" t="b">
        <v>1</v>
      </c>
      <c r="S71" s="196" t="s">
        <v>86</v>
      </c>
      <c r="T71" s="196" t="s">
        <v>19</v>
      </c>
      <c r="Y71" s="196">
        <f t="shared" si="1"/>
        <v>7</v>
      </c>
      <c r="Z71" s="199">
        <v>43686.569928321798</v>
      </c>
      <c r="AA71" s="196" t="s">
        <v>358</v>
      </c>
    </row>
    <row r="72" spans="1:27" ht="12.75" customHeight="1" x14ac:dyDescent="0.2">
      <c r="A72" s="196" t="s">
        <v>760</v>
      </c>
      <c r="B72" s="196" t="s">
        <v>360</v>
      </c>
      <c r="C72" s="196" t="s">
        <v>386</v>
      </c>
      <c r="D72" s="197">
        <v>43677</v>
      </c>
      <c r="F72" s="320">
        <v>808.7</v>
      </c>
      <c r="G72" s="196" t="s">
        <v>36</v>
      </c>
      <c r="H72" s="196" t="s">
        <v>352</v>
      </c>
      <c r="I72" s="196" t="s">
        <v>353</v>
      </c>
      <c r="J72" s="196" t="s">
        <v>39</v>
      </c>
      <c r="K72" s="196" t="s">
        <v>354</v>
      </c>
      <c r="L72" s="199">
        <v>43686</v>
      </c>
      <c r="M72" s="197">
        <v>43677</v>
      </c>
      <c r="N72" s="196" t="s">
        <v>761</v>
      </c>
      <c r="O72" s="196" t="s">
        <v>532</v>
      </c>
      <c r="P72" s="196" t="s">
        <v>762</v>
      </c>
      <c r="Q72" s="196" t="b">
        <v>1</v>
      </c>
      <c r="S72" s="196" t="s">
        <v>86</v>
      </c>
      <c r="T72" s="196" t="s">
        <v>19</v>
      </c>
      <c r="Y72" s="196">
        <f t="shared" si="1"/>
        <v>7</v>
      </c>
      <c r="Z72" s="199">
        <v>43686.569936608801</v>
      </c>
      <c r="AA72" s="196" t="s">
        <v>358</v>
      </c>
    </row>
    <row r="73" spans="1:27" ht="12.75" customHeight="1" x14ac:dyDescent="0.2">
      <c r="A73" s="196" t="s">
        <v>763</v>
      </c>
      <c r="B73" s="196" t="s">
        <v>360</v>
      </c>
      <c r="C73" s="196" t="s">
        <v>386</v>
      </c>
      <c r="D73" s="197">
        <v>43708</v>
      </c>
      <c r="F73" s="320">
        <v>9947.01</v>
      </c>
      <c r="G73" s="196" t="s">
        <v>36</v>
      </c>
      <c r="H73" s="196" t="s">
        <v>352</v>
      </c>
      <c r="I73" s="196" t="s">
        <v>353</v>
      </c>
      <c r="J73" s="196" t="s">
        <v>39</v>
      </c>
      <c r="K73" s="196" t="s">
        <v>530</v>
      </c>
      <c r="L73" s="199">
        <v>43711</v>
      </c>
      <c r="M73" s="197">
        <v>43708</v>
      </c>
      <c r="N73" s="196" t="s">
        <v>764</v>
      </c>
      <c r="O73" s="196" t="s">
        <v>532</v>
      </c>
      <c r="P73" s="196" t="s">
        <v>765</v>
      </c>
      <c r="Q73" s="196" t="b">
        <v>1</v>
      </c>
      <c r="S73" s="196" t="s">
        <v>86</v>
      </c>
      <c r="T73" s="196" t="s">
        <v>19</v>
      </c>
      <c r="Y73" s="196">
        <f t="shared" si="1"/>
        <v>8</v>
      </c>
      <c r="Z73" s="199">
        <v>43712.291439039298</v>
      </c>
      <c r="AA73" s="196" t="s">
        <v>358</v>
      </c>
    </row>
    <row r="74" spans="1:27" ht="12.75" customHeight="1" x14ac:dyDescent="0.2">
      <c r="A74" s="196" t="s">
        <v>766</v>
      </c>
      <c r="B74" s="196" t="s">
        <v>360</v>
      </c>
      <c r="C74" s="196" t="s">
        <v>386</v>
      </c>
      <c r="D74" s="197">
        <v>43705</v>
      </c>
      <c r="F74" s="320">
        <v>128340</v>
      </c>
      <c r="G74" s="196" t="s">
        <v>36</v>
      </c>
      <c r="H74" s="196" t="s">
        <v>352</v>
      </c>
      <c r="I74" s="196" t="s">
        <v>353</v>
      </c>
      <c r="J74" s="196" t="s">
        <v>39</v>
      </c>
      <c r="K74" s="196" t="s">
        <v>354</v>
      </c>
      <c r="L74" s="199">
        <v>43713</v>
      </c>
      <c r="M74" s="197">
        <v>43705</v>
      </c>
      <c r="N74" s="196" t="s">
        <v>767</v>
      </c>
      <c r="O74" s="196" t="s">
        <v>532</v>
      </c>
      <c r="P74" s="196" t="s">
        <v>768</v>
      </c>
      <c r="Q74" s="196" t="b">
        <v>1</v>
      </c>
      <c r="S74" s="196" t="s">
        <v>86</v>
      </c>
      <c r="T74" s="196" t="s">
        <v>19</v>
      </c>
      <c r="Y74" s="196">
        <f t="shared" si="1"/>
        <v>8</v>
      </c>
      <c r="Z74" s="199">
        <v>43714.281236539398</v>
      </c>
      <c r="AA74" s="196" t="s">
        <v>358</v>
      </c>
    </row>
    <row r="75" spans="1:27" ht="12.75" customHeight="1" x14ac:dyDescent="0.2">
      <c r="A75" s="196" t="s">
        <v>769</v>
      </c>
      <c r="B75" s="196" t="s">
        <v>770</v>
      </c>
      <c r="C75" s="196" t="s">
        <v>771</v>
      </c>
      <c r="D75" s="197">
        <v>43700</v>
      </c>
      <c r="F75" s="320">
        <v>20.66</v>
      </c>
      <c r="G75" s="196" t="s">
        <v>772</v>
      </c>
      <c r="H75" s="196" t="s">
        <v>352</v>
      </c>
      <c r="I75" s="196" t="s">
        <v>353</v>
      </c>
      <c r="J75" s="196" t="s">
        <v>773</v>
      </c>
      <c r="K75" s="196" t="s">
        <v>354</v>
      </c>
      <c r="L75" s="199">
        <v>43713</v>
      </c>
      <c r="M75" s="197">
        <v>43700</v>
      </c>
      <c r="N75" s="196" t="s">
        <v>774</v>
      </c>
      <c r="O75" s="196" t="s">
        <v>532</v>
      </c>
      <c r="P75" s="196" t="s">
        <v>775</v>
      </c>
      <c r="Q75" s="196" t="b">
        <v>1</v>
      </c>
      <c r="S75" s="196" t="s">
        <v>86</v>
      </c>
      <c r="T75" s="196" t="s">
        <v>19</v>
      </c>
      <c r="Y75" s="196">
        <f t="shared" si="1"/>
        <v>8</v>
      </c>
      <c r="Z75" s="199">
        <v>43714.281258796298</v>
      </c>
      <c r="AA75" s="196" t="s">
        <v>358</v>
      </c>
    </row>
    <row r="76" spans="1:27" ht="12.75" customHeight="1" x14ac:dyDescent="0.2">
      <c r="A76" s="196" t="s">
        <v>776</v>
      </c>
      <c r="B76" s="196" t="s">
        <v>360</v>
      </c>
      <c r="C76" s="196" t="s">
        <v>386</v>
      </c>
      <c r="D76" s="197">
        <v>43700</v>
      </c>
      <c r="F76" s="320">
        <v>2102.62</v>
      </c>
      <c r="G76" s="196" t="s">
        <v>36</v>
      </c>
      <c r="H76" s="196" t="s">
        <v>352</v>
      </c>
      <c r="I76" s="196" t="s">
        <v>353</v>
      </c>
      <c r="J76" s="196" t="s">
        <v>39</v>
      </c>
      <c r="K76" s="196" t="s">
        <v>542</v>
      </c>
      <c r="L76" s="199">
        <v>43713</v>
      </c>
      <c r="M76" s="197">
        <v>43700</v>
      </c>
      <c r="N76" s="196" t="s">
        <v>777</v>
      </c>
      <c r="O76" s="196" t="s">
        <v>532</v>
      </c>
      <c r="P76" s="196" t="s">
        <v>778</v>
      </c>
      <c r="Q76" s="196" t="b">
        <v>1</v>
      </c>
      <c r="S76" s="196" t="s">
        <v>86</v>
      </c>
      <c r="T76" s="196" t="s">
        <v>19</v>
      </c>
      <c r="Y76" s="196">
        <f t="shared" si="1"/>
        <v>8</v>
      </c>
      <c r="Z76" s="199">
        <v>43714.281277048598</v>
      </c>
      <c r="AA76" s="196" t="s">
        <v>358</v>
      </c>
    </row>
    <row r="77" spans="1:27" ht="12.75" customHeight="1" x14ac:dyDescent="0.2">
      <c r="A77" s="196" t="s">
        <v>779</v>
      </c>
      <c r="B77" s="196" t="s">
        <v>360</v>
      </c>
      <c r="C77" s="196" t="s">
        <v>386</v>
      </c>
      <c r="D77" s="197">
        <v>43705</v>
      </c>
      <c r="F77" s="320">
        <v>17872.27</v>
      </c>
      <c r="G77" s="196" t="s">
        <v>36</v>
      </c>
      <c r="H77" s="196" t="s">
        <v>352</v>
      </c>
      <c r="I77" s="196" t="s">
        <v>353</v>
      </c>
      <c r="J77" s="196" t="s">
        <v>39</v>
      </c>
      <c r="K77" s="196" t="s">
        <v>546</v>
      </c>
      <c r="L77" s="199">
        <v>43713</v>
      </c>
      <c r="M77" s="197">
        <v>43705</v>
      </c>
      <c r="N77" s="196" t="s">
        <v>780</v>
      </c>
      <c r="O77" s="196" t="s">
        <v>532</v>
      </c>
      <c r="P77" s="196" t="s">
        <v>781</v>
      </c>
      <c r="Q77" s="196" t="b">
        <v>1</v>
      </c>
      <c r="S77" s="196" t="s">
        <v>86</v>
      </c>
      <c r="T77" s="196" t="s">
        <v>19</v>
      </c>
      <c r="Y77" s="196">
        <f t="shared" si="1"/>
        <v>8</v>
      </c>
      <c r="Z77" s="199">
        <v>43714.281281215299</v>
      </c>
      <c r="AA77" s="196" t="s">
        <v>358</v>
      </c>
    </row>
    <row r="78" spans="1:27" ht="12.75" customHeight="1" x14ac:dyDescent="0.2">
      <c r="A78" s="196" t="s">
        <v>782</v>
      </c>
      <c r="B78" s="196" t="s">
        <v>360</v>
      </c>
      <c r="C78" s="196" t="s">
        <v>386</v>
      </c>
      <c r="D78" s="197">
        <v>43705</v>
      </c>
      <c r="F78" s="320">
        <v>33010.43</v>
      </c>
      <c r="G78" s="196" t="s">
        <v>36</v>
      </c>
      <c r="H78" s="196" t="s">
        <v>352</v>
      </c>
      <c r="I78" s="196" t="s">
        <v>353</v>
      </c>
      <c r="J78" s="196" t="s">
        <v>39</v>
      </c>
      <c r="K78" s="196" t="s">
        <v>621</v>
      </c>
      <c r="L78" s="199">
        <v>43713</v>
      </c>
      <c r="M78" s="197">
        <v>43705</v>
      </c>
      <c r="N78" s="196" t="s">
        <v>783</v>
      </c>
      <c r="O78" s="196" t="s">
        <v>532</v>
      </c>
      <c r="P78" s="196" t="s">
        <v>784</v>
      </c>
      <c r="Q78" s="196" t="b">
        <v>1</v>
      </c>
      <c r="S78" s="196" t="s">
        <v>86</v>
      </c>
      <c r="T78" s="196" t="s">
        <v>19</v>
      </c>
      <c r="Y78" s="196">
        <f t="shared" si="1"/>
        <v>8</v>
      </c>
      <c r="Z78" s="199">
        <v>43714.281284837998</v>
      </c>
      <c r="AA78" s="196" t="s">
        <v>358</v>
      </c>
    </row>
    <row r="79" spans="1:27" ht="12.75" customHeight="1" x14ac:dyDescent="0.2">
      <c r="A79" s="196" t="s">
        <v>785</v>
      </c>
      <c r="B79" s="196" t="s">
        <v>360</v>
      </c>
      <c r="C79" s="196" t="s">
        <v>386</v>
      </c>
      <c r="D79" s="197">
        <v>43705</v>
      </c>
      <c r="F79" s="320">
        <v>5384.16</v>
      </c>
      <c r="G79" s="196" t="s">
        <v>36</v>
      </c>
      <c r="H79" s="196" t="s">
        <v>352</v>
      </c>
      <c r="I79" s="196" t="s">
        <v>353</v>
      </c>
      <c r="J79" s="196" t="s">
        <v>39</v>
      </c>
      <c r="K79" s="196" t="s">
        <v>550</v>
      </c>
      <c r="L79" s="199">
        <v>43713</v>
      </c>
      <c r="M79" s="197">
        <v>43705</v>
      </c>
      <c r="N79" s="196" t="s">
        <v>786</v>
      </c>
      <c r="O79" s="196" t="s">
        <v>532</v>
      </c>
      <c r="P79" s="196" t="s">
        <v>787</v>
      </c>
      <c r="Q79" s="196" t="b">
        <v>1</v>
      </c>
      <c r="S79" s="196" t="s">
        <v>86</v>
      </c>
      <c r="T79" s="196" t="s">
        <v>19</v>
      </c>
      <c r="Y79" s="196">
        <f t="shared" si="1"/>
        <v>8</v>
      </c>
      <c r="Z79" s="199">
        <v>43714.281305289398</v>
      </c>
      <c r="AA79" s="196" t="s">
        <v>358</v>
      </c>
    </row>
    <row r="80" spans="1:27" ht="12.75" customHeight="1" x14ac:dyDescent="0.2">
      <c r="A80" s="196" t="s">
        <v>788</v>
      </c>
      <c r="B80" s="196" t="s">
        <v>360</v>
      </c>
      <c r="C80" s="196" t="s">
        <v>386</v>
      </c>
      <c r="D80" s="197">
        <v>43705</v>
      </c>
      <c r="F80" s="320">
        <v>808.7</v>
      </c>
      <c r="G80" s="196" t="s">
        <v>36</v>
      </c>
      <c r="H80" s="196" t="s">
        <v>352</v>
      </c>
      <c r="I80" s="196" t="s">
        <v>353</v>
      </c>
      <c r="J80" s="196" t="s">
        <v>39</v>
      </c>
      <c r="K80" s="196" t="s">
        <v>354</v>
      </c>
      <c r="L80" s="199">
        <v>43713</v>
      </c>
      <c r="M80" s="197">
        <v>43705</v>
      </c>
      <c r="N80" s="196" t="s">
        <v>789</v>
      </c>
      <c r="O80" s="196" t="s">
        <v>532</v>
      </c>
      <c r="P80" s="196" t="s">
        <v>790</v>
      </c>
      <c r="Q80" s="196" t="b">
        <v>1</v>
      </c>
      <c r="S80" s="196" t="s">
        <v>86</v>
      </c>
      <c r="T80" s="196" t="s">
        <v>19</v>
      </c>
      <c r="Y80" s="196">
        <f t="shared" si="1"/>
        <v>8</v>
      </c>
      <c r="Z80" s="199">
        <v>43714.281312696803</v>
      </c>
      <c r="AA80" s="196" t="s">
        <v>358</v>
      </c>
    </row>
    <row r="81" spans="1:27" ht="12.75" customHeight="1" x14ac:dyDescent="0.2">
      <c r="A81" s="196" t="s">
        <v>791</v>
      </c>
      <c r="B81" s="196" t="s">
        <v>360</v>
      </c>
      <c r="C81" s="196" t="s">
        <v>386</v>
      </c>
      <c r="D81" s="197">
        <v>43705</v>
      </c>
      <c r="F81" s="320">
        <v>646.96</v>
      </c>
      <c r="G81" s="196" t="s">
        <v>36</v>
      </c>
      <c r="H81" s="196" t="s">
        <v>352</v>
      </c>
      <c r="I81" s="196" t="s">
        <v>353</v>
      </c>
      <c r="J81" s="196" t="s">
        <v>39</v>
      </c>
      <c r="K81" s="196" t="s">
        <v>354</v>
      </c>
      <c r="L81" s="199">
        <v>43713</v>
      </c>
      <c r="M81" s="197">
        <v>43705</v>
      </c>
      <c r="N81" s="196" t="s">
        <v>792</v>
      </c>
      <c r="O81" s="196" t="s">
        <v>532</v>
      </c>
      <c r="P81" s="196" t="s">
        <v>793</v>
      </c>
      <c r="Q81" s="196" t="b">
        <v>1</v>
      </c>
      <c r="S81" s="196" t="s">
        <v>86</v>
      </c>
      <c r="T81" s="196" t="s">
        <v>19</v>
      </c>
      <c r="Y81" s="196">
        <f t="shared" si="1"/>
        <v>8</v>
      </c>
      <c r="Z81" s="199">
        <v>43714.281317395798</v>
      </c>
      <c r="AA81" s="196" t="s">
        <v>358</v>
      </c>
    </row>
    <row r="82" spans="1:27" ht="12.75" customHeight="1" x14ac:dyDescent="0.2">
      <c r="A82" s="196" t="s">
        <v>794</v>
      </c>
      <c r="B82" s="196" t="s">
        <v>360</v>
      </c>
      <c r="C82" s="196" t="s">
        <v>386</v>
      </c>
      <c r="D82" s="197">
        <v>43738</v>
      </c>
      <c r="F82" s="320">
        <v>6550.47</v>
      </c>
      <c r="G82" s="196" t="s">
        <v>36</v>
      </c>
      <c r="H82" s="196" t="s">
        <v>352</v>
      </c>
      <c r="J82" s="196" t="s">
        <v>39</v>
      </c>
      <c r="K82" s="196" t="s">
        <v>530</v>
      </c>
      <c r="L82" s="199">
        <v>43742</v>
      </c>
      <c r="M82" s="197">
        <v>43738</v>
      </c>
      <c r="N82" s="196" t="s">
        <v>795</v>
      </c>
      <c r="O82" s="196" t="s">
        <v>532</v>
      </c>
      <c r="P82" s="196" t="s">
        <v>796</v>
      </c>
      <c r="Q82" s="196" t="b">
        <v>0</v>
      </c>
      <c r="S82" s="196" t="s">
        <v>86</v>
      </c>
      <c r="T82" s="196" t="s">
        <v>19</v>
      </c>
      <c r="Y82" s="196">
        <f t="shared" si="1"/>
        <v>9</v>
      </c>
      <c r="Z82" s="199">
        <v>43745.281737928199</v>
      </c>
    </row>
    <row r="83" spans="1:27" ht="12.75" customHeight="1" x14ac:dyDescent="0.2">
      <c r="A83" s="196" t="s">
        <v>823</v>
      </c>
      <c r="B83" s="196" t="s">
        <v>360</v>
      </c>
      <c r="C83" s="196" t="s">
        <v>386</v>
      </c>
      <c r="D83" s="197">
        <v>43738</v>
      </c>
      <c r="F83" s="320">
        <v>1698.27</v>
      </c>
      <c r="G83" s="196" t="s">
        <v>36</v>
      </c>
      <c r="H83" s="196" t="s">
        <v>352</v>
      </c>
      <c r="J83" s="196" t="s">
        <v>39</v>
      </c>
      <c r="K83" s="196" t="s">
        <v>354</v>
      </c>
      <c r="L83" s="199">
        <v>43748</v>
      </c>
      <c r="M83" s="197">
        <v>43738</v>
      </c>
      <c r="N83" s="196" t="s">
        <v>824</v>
      </c>
      <c r="O83" s="196" t="s">
        <v>532</v>
      </c>
      <c r="P83" s="196" t="s">
        <v>825</v>
      </c>
      <c r="Q83" s="196" t="b">
        <v>0</v>
      </c>
      <c r="S83" s="196" t="s">
        <v>86</v>
      </c>
      <c r="T83" s="196" t="s">
        <v>19</v>
      </c>
      <c r="Y83" s="196">
        <f t="shared" si="1"/>
        <v>9</v>
      </c>
      <c r="Z83" s="199">
        <v>43749.276710150501</v>
      </c>
    </row>
    <row r="84" spans="1:27" ht="12.75" customHeight="1" x14ac:dyDescent="0.2">
      <c r="A84" s="196" t="s">
        <v>826</v>
      </c>
      <c r="B84" s="196" t="s">
        <v>360</v>
      </c>
      <c r="C84" s="196" t="s">
        <v>386</v>
      </c>
      <c r="D84" s="197">
        <v>43738</v>
      </c>
      <c r="F84" s="320">
        <v>180986.16</v>
      </c>
      <c r="G84" s="196" t="s">
        <v>36</v>
      </c>
      <c r="H84" s="196" t="s">
        <v>352</v>
      </c>
      <c r="J84" s="196" t="s">
        <v>39</v>
      </c>
      <c r="K84" s="196" t="s">
        <v>354</v>
      </c>
      <c r="L84" s="199">
        <v>43748</v>
      </c>
      <c r="M84" s="197">
        <v>43738</v>
      </c>
      <c r="N84" s="196" t="s">
        <v>827</v>
      </c>
      <c r="O84" s="196" t="s">
        <v>532</v>
      </c>
      <c r="P84" s="196" t="s">
        <v>828</v>
      </c>
      <c r="Q84" s="196" t="b">
        <v>0</v>
      </c>
      <c r="S84" s="196" t="s">
        <v>86</v>
      </c>
      <c r="T84" s="196" t="s">
        <v>19</v>
      </c>
      <c r="Y84" s="196">
        <f t="shared" si="1"/>
        <v>9</v>
      </c>
      <c r="Z84" s="199">
        <v>43749.276713194398</v>
      </c>
    </row>
    <row r="85" spans="1:27" ht="12.75" customHeight="1" x14ac:dyDescent="0.2">
      <c r="A85" s="196" t="s">
        <v>829</v>
      </c>
      <c r="B85" s="196" t="s">
        <v>770</v>
      </c>
      <c r="C85" s="196" t="s">
        <v>771</v>
      </c>
      <c r="D85" s="197">
        <v>43738</v>
      </c>
      <c r="F85" s="320">
        <v>66.94</v>
      </c>
      <c r="G85" s="196" t="s">
        <v>772</v>
      </c>
      <c r="H85" s="196" t="s">
        <v>352</v>
      </c>
      <c r="J85" s="196" t="s">
        <v>773</v>
      </c>
      <c r="K85" s="196" t="s">
        <v>354</v>
      </c>
      <c r="L85" s="199">
        <v>43748</v>
      </c>
      <c r="M85" s="197">
        <v>43738</v>
      </c>
      <c r="N85" s="196" t="s">
        <v>830</v>
      </c>
      <c r="O85" s="196" t="s">
        <v>532</v>
      </c>
      <c r="P85" s="196" t="s">
        <v>831</v>
      </c>
      <c r="Q85" s="196" t="b">
        <v>0</v>
      </c>
      <c r="S85" s="196" t="s">
        <v>86</v>
      </c>
      <c r="T85" s="196" t="s">
        <v>19</v>
      </c>
      <c r="Y85" s="196">
        <f t="shared" si="1"/>
        <v>9</v>
      </c>
      <c r="Z85" s="199">
        <v>43749.276726423603</v>
      </c>
    </row>
    <row r="86" spans="1:27" ht="12.75" customHeight="1" x14ac:dyDescent="0.2">
      <c r="A86" s="196" t="s">
        <v>832</v>
      </c>
      <c r="B86" s="196" t="s">
        <v>360</v>
      </c>
      <c r="C86" s="196" t="s">
        <v>386</v>
      </c>
      <c r="D86" s="197">
        <v>43738</v>
      </c>
      <c r="F86" s="320">
        <v>2830.45</v>
      </c>
      <c r="G86" s="196" t="s">
        <v>36</v>
      </c>
      <c r="H86" s="196" t="s">
        <v>352</v>
      </c>
      <c r="J86" s="196" t="s">
        <v>39</v>
      </c>
      <c r="K86" s="196" t="s">
        <v>542</v>
      </c>
      <c r="L86" s="199">
        <v>43748</v>
      </c>
      <c r="M86" s="197">
        <v>43738</v>
      </c>
      <c r="N86" s="196" t="s">
        <v>833</v>
      </c>
      <c r="O86" s="196" t="s">
        <v>532</v>
      </c>
      <c r="P86" s="196" t="s">
        <v>834</v>
      </c>
      <c r="Q86" s="196" t="b">
        <v>0</v>
      </c>
      <c r="S86" s="196" t="s">
        <v>86</v>
      </c>
      <c r="T86" s="196" t="s">
        <v>19</v>
      </c>
      <c r="Y86" s="196">
        <f t="shared" si="1"/>
        <v>9</v>
      </c>
      <c r="Z86" s="199">
        <v>43749.276732025501</v>
      </c>
    </row>
    <row r="87" spans="1:27" ht="12.75" customHeight="1" x14ac:dyDescent="0.2">
      <c r="A87" s="196" t="s">
        <v>835</v>
      </c>
      <c r="B87" s="196" t="s">
        <v>360</v>
      </c>
      <c r="C87" s="196" t="s">
        <v>386</v>
      </c>
      <c r="D87" s="197">
        <v>43738</v>
      </c>
      <c r="F87" s="320">
        <v>18680.87</v>
      </c>
      <c r="G87" s="196" t="s">
        <v>36</v>
      </c>
      <c r="H87" s="196" t="s">
        <v>352</v>
      </c>
      <c r="J87" s="196" t="s">
        <v>39</v>
      </c>
      <c r="K87" s="196" t="s">
        <v>546</v>
      </c>
      <c r="L87" s="199">
        <v>43748</v>
      </c>
      <c r="M87" s="197">
        <v>43738</v>
      </c>
      <c r="N87" s="196" t="s">
        <v>836</v>
      </c>
      <c r="O87" s="196" t="s">
        <v>532</v>
      </c>
      <c r="P87" s="196" t="s">
        <v>837</v>
      </c>
      <c r="Q87" s="196" t="b">
        <v>0</v>
      </c>
      <c r="S87" s="196" t="s">
        <v>86</v>
      </c>
      <c r="T87" s="196" t="s">
        <v>19</v>
      </c>
      <c r="Y87" s="196">
        <f t="shared" si="1"/>
        <v>9</v>
      </c>
      <c r="Z87" s="199">
        <v>43749.332546331003</v>
      </c>
    </row>
    <row r="88" spans="1:27" ht="12.75" customHeight="1" x14ac:dyDescent="0.2">
      <c r="A88" s="196" t="s">
        <v>838</v>
      </c>
      <c r="B88" s="196" t="s">
        <v>360</v>
      </c>
      <c r="C88" s="196" t="s">
        <v>386</v>
      </c>
      <c r="D88" s="197">
        <v>43738</v>
      </c>
      <c r="F88" s="320">
        <v>9422.2800000000007</v>
      </c>
      <c r="G88" s="196" t="s">
        <v>36</v>
      </c>
      <c r="H88" s="196" t="s">
        <v>352</v>
      </c>
      <c r="J88" s="196" t="s">
        <v>39</v>
      </c>
      <c r="K88" s="196" t="s">
        <v>550</v>
      </c>
      <c r="L88" s="199">
        <v>43748</v>
      </c>
      <c r="M88" s="197">
        <v>43738</v>
      </c>
      <c r="N88" s="196" t="s">
        <v>839</v>
      </c>
      <c r="O88" s="196" t="s">
        <v>532</v>
      </c>
      <c r="P88" s="196" t="s">
        <v>840</v>
      </c>
      <c r="Q88" s="196" t="b">
        <v>0</v>
      </c>
      <c r="S88" s="196" t="s">
        <v>86</v>
      </c>
      <c r="T88" s="196" t="s">
        <v>19</v>
      </c>
      <c r="Y88" s="196">
        <f t="shared" si="1"/>
        <v>9</v>
      </c>
      <c r="Z88" s="199">
        <v>43749.332524999998</v>
      </c>
    </row>
    <row r="89" spans="1:27" ht="12.75" customHeight="1" x14ac:dyDescent="0.2">
      <c r="A89" s="196" t="s">
        <v>841</v>
      </c>
      <c r="B89" s="196" t="s">
        <v>360</v>
      </c>
      <c r="C89" s="196" t="s">
        <v>386</v>
      </c>
      <c r="D89" s="197">
        <v>43738</v>
      </c>
      <c r="F89" s="320">
        <v>1374.79</v>
      </c>
      <c r="G89" s="196" t="s">
        <v>36</v>
      </c>
      <c r="H89" s="196" t="s">
        <v>352</v>
      </c>
      <c r="J89" s="196" t="s">
        <v>39</v>
      </c>
      <c r="K89" s="196" t="s">
        <v>354</v>
      </c>
      <c r="L89" s="199">
        <v>43748</v>
      </c>
      <c r="M89" s="197">
        <v>43738</v>
      </c>
      <c r="N89" s="196" t="s">
        <v>842</v>
      </c>
      <c r="O89" s="196" t="s">
        <v>532</v>
      </c>
      <c r="P89" s="196" t="s">
        <v>843</v>
      </c>
      <c r="Q89" s="196" t="b">
        <v>0</v>
      </c>
      <c r="S89" s="196" t="s">
        <v>86</v>
      </c>
      <c r="T89" s="196" t="s">
        <v>19</v>
      </c>
      <c r="Y89" s="196">
        <f t="shared" si="1"/>
        <v>9</v>
      </c>
      <c r="Z89" s="199">
        <v>43749.276738692097</v>
      </c>
    </row>
    <row r="90" spans="1:27" ht="12.75" customHeight="1" x14ac:dyDescent="0.2">
      <c r="A90" s="196" t="s">
        <v>844</v>
      </c>
      <c r="B90" s="196" t="s">
        <v>360</v>
      </c>
      <c r="C90" s="196" t="s">
        <v>386</v>
      </c>
      <c r="D90" s="197">
        <v>43738</v>
      </c>
      <c r="F90" s="320">
        <v>50804.13</v>
      </c>
      <c r="G90" s="196" t="s">
        <v>36</v>
      </c>
      <c r="H90" s="196" t="s">
        <v>352</v>
      </c>
      <c r="J90" s="196" t="s">
        <v>39</v>
      </c>
      <c r="K90" s="196" t="s">
        <v>554</v>
      </c>
      <c r="L90" s="199">
        <v>43749</v>
      </c>
      <c r="M90" s="197">
        <v>43738</v>
      </c>
      <c r="N90" s="196" t="s">
        <v>845</v>
      </c>
      <c r="O90" s="196" t="s">
        <v>532</v>
      </c>
      <c r="P90" s="196" t="s">
        <v>846</v>
      </c>
      <c r="Q90" s="196" t="b">
        <v>0</v>
      </c>
      <c r="S90" s="196" t="s">
        <v>86</v>
      </c>
      <c r="T90" s="196" t="s">
        <v>19</v>
      </c>
      <c r="Y90" s="196">
        <f t="shared" si="1"/>
        <v>9</v>
      </c>
      <c r="Z90" s="199">
        <v>43749.332530439802</v>
      </c>
    </row>
    <row r="91" spans="1:27" ht="12.75" customHeight="1" x14ac:dyDescent="0.2">
      <c r="A91" s="196" t="s">
        <v>384</v>
      </c>
      <c r="B91" s="196" t="s">
        <v>385</v>
      </c>
      <c r="C91" s="196" t="s">
        <v>386</v>
      </c>
      <c r="D91" s="197">
        <v>43496</v>
      </c>
      <c r="F91" s="320">
        <v>14960.87</v>
      </c>
      <c r="G91" s="196" t="s">
        <v>36</v>
      </c>
      <c r="H91" s="196" t="s">
        <v>387</v>
      </c>
      <c r="I91" s="196" t="s">
        <v>353</v>
      </c>
      <c r="J91" s="196" t="s">
        <v>39</v>
      </c>
      <c r="L91" s="199">
        <v>43496</v>
      </c>
      <c r="M91" s="197">
        <v>43496</v>
      </c>
      <c r="P91" s="196" t="s">
        <v>388</v>
      </c>
      <c r="Q91" s="196" t="b">
        <v>1</v>
      </c>
      <c r="S91" s="196" t="s">
        <v>389</v>
      </c>
      <c r="T91" s="196" t="s">
        <v>19</v>
      </c>
      <c r="Y91" s="196">
        <f t="shared" si="1"/>
        <v>1</v>
      </c>
      <c r="Z91" s="199">
        <v>43508.419861770803</v>
      </c>
      <c r="AA91" s="196" t="s">
        <v>358</v>
      </c>
    </row>
    <row r="92" spans="1:27" ht="12.75" customHeight="1" x14ac:dyDescent="0.2">
      <c r="A92" s="196" t="s">
        <v>390</v>
      </c>
      <c r="B92" s="196" t="s">
        <v>391</v>
      </c>
      <c r="C92" s="196" t="s">
        <v>386</v>
      </c>
      <c r="D92" s="197">
        <v>43524</v>
      </c>
      <c r="F92" s="320">
        <v>17063.48</v>
      </c>
      <c r="G92" s="196" t="s">
        <v>36</v>
      </c>
      <c r="H92" s="196" t="s">
        <v>387</v>
      </c>
      <c r="I92" s="196" t="s">
        <v>353</v>
      </c>
      <c r="J92" s="196" t="s">
        <v>39</v>
      </c>
      <c r="L92" s="199">
        <v>43524</v>
      </c>
      <c r="M92" s="197">
        <v>43524</v>
      </c>
      <c r="P92" s="196" t="s">
        <v>392</v>
      </c>
      <c r="Q92" s="196" t="b">
        <v>1</v>
      </c>
      <c r="S92" s="196" t="s">
        <v>389</v>
      </c>
      <c r="T92" s="196" t="s">
        <v>19</v>
      </c>
      <c r="Y92" s="196">
        <f t="shared" si="1"/>
        <v>2</v>
      </c>
      <c r="Z92" s="199">
        <v>43535.367016631899</v>
      </c>
      <c r="AA92" s="196" t="s">
        <v>358</v>
      </c>
    </row>
    <row r="93" spans="1:27" ht="12.75" customHeight="1" x14ac:dyDescent="0.2">
      <c r="A93" s="196" t="s">
        <v>393</v>
      </c>
      <c r="B93" s="196" t="s">
        <v>394</v>
      </c>
      <c r="C93" s="196" t="s">
        <v>386</v>
      </c>
      <c r="D93" s="197">
        <v>43555</v>
      </c>
      <c r="F93" s="320">
        <v>14233.05</v>
      </c>
      <c r="G93" s="196" t="s">
        <v>36</v>
      </c>
      <c r="H93" s="196" t="s">
        <v>387</v>
      </c>
      <c r="I93" s="196" t="s">
        <v>353</v>
      </c>
      <c r="J93" s="196" t="s">
        <v>39</v>
      </c>
      <c r="L93" s="199">
        <v>43555</v>
      </c>
      <c r="M93" s="197">
        <v>43555</v>
      </c>
      <c r="P93" s="196" t="s">
        <v>395</v>
      </c>
      <c r="Q93" s="196" t="b">
        <v>1</v>
      </c>
      <c r="S93" s="196" t="s">
        <v>389</v>
      </c>
      <c r="T93" s="196" t="s">
        <v>19</v>
      </c>
      <c r="Y93" s="196">
        <f t="shared" si="1"/>
        <v>3</v>
      </c>
      <c r="Z93" s="199">
        <v>43565.376059456001</v>
      </c>
      <c r="AA93" s="196" t="s">
        <v>358</v>
      </c>
    </row>
    <row r="94" spans="1:27" ht="12.75" customHeight="1" x14ac:dyDescent="0.2">
      <c r="A94" s="196" t="s">
        <v>396</v>
      </c>
      <c r="B94" s="196" t="s">
        <v>397</v>
      </c>
      <c r="C94" s="196" t="s">
        <v>386</v>
      </c>
      <c r="D94" s="197">
        <v>43585</v>
      </c>
      <c r="F94" s="320">
        <v>16726.96</v>
      </c>
      <c r="G94" s="196" t="s">
        <v>36</v>
      </c>
      <c r="H94" s="196" t="s">
        <v>387</v>
      </c>
      <c r="I94" s="196" t="s">
        <v>353</v>
      </c>
      <c r="J94" s="196" t="s">
        <v>39</v>
      </c>
      <c r="L94" s="199">
        <v>43585</v>
      </c>
      <c r="M94" s="197">
        <v>43585</v>
      </c>
      <c r="P94" s="196" t="s">
        <v>398</v>
      </c>
      <c r="Q94" s="196" t="b">
        <v>1</v>
      </c>
      <c r="S94" s="196" t="s">
        <v>389</v>
      </c>
      <c r="T94" s="196" t="s">
        <v>19</v>
      </c>
      <c r="Y94" s="196">
        <f t="shared" si="1"/>
        <v>4</v>
      </c>
      <c r="Z94" s="199">
        <v>43598.4471368866</v>
      </c>
      <c r="AA94" s="196" t="s">
        <v>358</v>
      </c>
    </row>
    <row r="95" spans="1:27" ht="12.75" customHeight="1" x14ac:dyDescent="0.2">
      <c r="A95" s="196" t="s">
        <v>399</v>
      </c>
      <c r="B95" s="196" t="s">
        <v>400</v>
      </c>
      <c r="C95" s="196" t="s">
        <v>386</v>
      </c>
      <c r="D95" s="197">
        <v>43616</v>
      </c>
      <c r="F95" s="320">
        <v>16254.79</v>
      </c>
      <c r="G95" s="196" t="s">
        <v>36</v>
      </c>
      <c r="H95" s="196" t="s">
        <v>387</v>
      </c>
      <c r="I95" s="196" t="s">
        <v>353</v>
      </c>
      <c r="J95" s="196" t="s">
        <v>39</v>
      </c>
      <c r="L95" s="199">
        <v>43616</v>
      </c>
      <c r="M95" s="197">
        <v>43616</v>
      </c>
      <c r="P95" s="196" t="s">
        <v>401</v>
      </c>
      <c r="Q95" s="196" t="b">
        <v>1</v>
      </c>
      <c r="S95" s="196" t="s">
        <v>389</v>
      </c>
      <c r="T95" s="196" t="s">
        <v>19</v>
      </c>
      <c r="Y95" s="196">
        <f t="shared" si="1"/>
        <v>5</v>
      </c>
      <c r="Z95" s="199">
        <v>43627.354311342599</v>
      </c>
      <c r="AA95" s="196" t="s">
        <v>358</v>
      </c>
    </row>
    <row r="96" spans="1:27" ht="12.75" customHeight="1" x14ac:dyDescent="0.2">
      <c r="A96" s="196" t="s">
        <v>402</v>
      </c>
      <c r="B96" s="196" t="s">
        <v>403</v>
      </c>
      <c r="C96" s="196" t="s">
        <v>386</v>
      </c>
      <c r="D96" s="197">
        <v>43646</v>
      </c>
      <c r="F96" s="320">
        <v>14381.75</v>
      </c>
      <c r="G96" s="196" t="s">
        <v>36</v>
      </c>
      <c r="H96" s="196" t="s">
        <v>387</v>
      </c>
      <c r="I96" s="196" t="s">
        <v>353</v>
      </c>
      <c r="J96" s="196" t="s">
        <v>39</v>
      </c>
      <c r="L96" s="199">
        <v>43646</v>
      </c>
      <c r="M96" s="197">
        <v>43646</v>
      </c>
      <c r="P96" s="196" t="s">
        <v>404</v>
      </c>
      <c r="Q96" s="196" t="b">
        <v>1</v>
      </c>
      <c r="S96" s="196" t="s">
        <v>389</v>
      </c>
      <c r="T96" s="196" t="s">
        <v>19</v>
      </c>
      <c r="Y96" s="196">
        <f t="shared" si="1"/>
        <v>6</v>
      </c>
      <c r="Z96" s="199">
        <v>43656.3748479977</v>
      </c>
      <c r="AA96" s="196" t="s">
        <v>358</v>
      </c>
    </row>
    <row r="97" spans="1:27" ht="12.75" customHeight="1" x14ac:dyDescent="0.2">
      <c r="A97" s="196" t="s">
        <v>405</v>
      </c>
      <c r="B97" s="196" t="s">
        <v>406</v>
      </c>
      <c r="C97" s="196" t="s">
        <v>386</v>
      </c>
      <c r="D97" s="197">
        <v>43677</v>
      </c>
      <c r="F97" s="320">
        <v>13990.44</v>
      </c>
      <c r="G97" s="196" t="s">
        <v>36</v>
      </c>
      <c r="H97" s="196" t="s">
        <v>387</v>
      </c>
      <c r="I97" s="196" t="s">
        <v>353</v>
      </c>
      <c r="J97" s="196" t="s">
        <v>39</v>
      </c>
      <c r="L97" s="199">
        <v>43677</v>
      </c>
      <c r="M97" s="197">
        <v>43677</v>
      </c>
      <c r="P97" s="196" t="s">
        <v>407</v>
      </c>
      <c r="Q97" s="196" t="b">
        <v>1</v>
      </c>
      <c r="S97" s="196" t="s">
        <v>389</v>
      </c>
      <c r="T97" s="196" t="s">
        <v>19</v>
      </c>
      <c r="Y97" s="196">
        <f t="shared" si="1"/>
        <v>7</v>
      </c>
      <c r="Z97" s="199">
        <v>43686.3227808218</v>
      </c>
      <c r="AA97" s="196" t="s">
        <v>358</v>
      </c>
    </row>
    <row r="98" spans="1:27" ht="12.75" customHeight="1" x14ac:dyDescent="0.2">
      <c r="A98" s="196" t="s">
        <v>408</v>
      </c>
      <c r="B98" s="196" t="s">
        <v>409</v>
      </c>
      <c r="C98" s="196" t="s">
        <v>386</v>
      </c>
      <c r="D98" s="197">
        <v>43708</v>
      </c>
      <c r="F98" s="320">
        <v>12010.43</v>
      </c>
      <c r="G98" s="196" t="s">
        <v>36</v>
      </c>
      <c r="H98" s="196" t="s">
        <v>387</v>
      </c>
      <c r="I98" s="196" t="s">
        <v>353</v>
      </c>
      <c r="J98" s="196" t="s">
        <v>39</v>
      </c>
      <c r="L98" s="199">
        <v>43708</v>
      </c>
      <c r="M98" s="197">
        <v>43708</v>
      </c>
      <c r="P98" s="196" t="s">
        <v>410</v>
      </c>
      <c r="Q98" s="196" t="b">
        <v>1</v>
      </c>
      <c r="S98" s="196" t="s">
        <v>389</v>
      </c>
      <c r="T98" s="196" t="s">
        <v>19</v>
      </c>
      <c r="Y98" s="196">
        <f t="shared" si="1"/>
        <v>8</v>
      </c>
      <c r="Z98" s="199">
        <v>43719.346991817103</v>
      </c>
      <c r="AA98" s="196" t="s">
        <v>358</v>
      </c>
    </row>
    <row r="99" spans="1:27" ht="12.75" customHeight="1" x14ac:dyDescent="0.2">
      <c r="A99" s="196" t="s">
        <v>820</v>
      </c>
      <c r="B99" s="196" t="s">
        <v>821</v>
      </c>
      <c r="C99" s="196" t="s">
        <v>386</v>
      </c>
      <c r="D99" s="197">
        <v>43738</v>
      </c>
      <c r="F99" s="320">
        <v>17293.05</v>
      </c>
      <c r="G99" s="196" t="s">
        <v>36</v>
      </c>
      <c r="H99" s="196" t="s">
        <v>387</v>
      </c>
      <c r="J99" s="196" t="s">
        <v>39</v>
      </c>
      <c r="L99" s="199">
        <v>43738</v>
      </c>
      <c r="M99" s="197">
        <v>43738</v>
      </c>
      <c r="P99" s="196" t="s">
        <v>822</v>
      </c>
      <c r="Q99" s="196" t="b">
        <v>0</v>
      </c>
      <c r="S99" s="196" t="s">
        <v>389</v>
      </c>
      <c r="T99" s="196" t="s">
        <v>19</v>
      </c>
      <c r="Y99" s="196">
        <f t="shared" si="1"/>
        <v>9</v>
      </c>
      <c r="Z99" s="199">
        <v>43749.312099965297</v>
      </c>
    </row>
    <row r="100" spans="1:27" ht="12.75" customHeight="1" x14ac:dyDescent="0.2">
      <c r="A100" s="196" t="s">
        <v>411</v>
      </c>
      <c r="B100" s="196" t="s">
        <v>412</v>
      </c>
      <c r="C100" s="196" t="s">
        <v>386</v>
      </c>
      <c r="D100" s="197">
        <v>43697</v>
      </c>
      <c r="F100" s="320">
        <v>-1779.2</v>
      </c>
      <c r="G100" s="196" t="s">
        <v>36</v>
      </c>
      <c r="H100" s="196" t="s">
        <v>413</v>
      </c>
      <c r="I100" s="196" t="s">
        <v>353</v>
      </c>
      <c r="J100" s="196" t="s">
        <v>39</v>
      </c>
      <c r="K100" s="196" t="s">
        <v>414</v>
      </c>
      <c r="L100" s="199">
        <v>43697</v>
      </c>
      <c r="M100" s="197">
        <v>43697</v>
      </c>
      <c r="P100" s="196" t="s">
        <v>415</v>
      </c>
      <c r="Q100" s="196" t="b">
        <v>1</v>
      </c>
      <c r="S100" s="196" t="s">
        <v>389</v>
      </c>
      <c r="T100" s="196" t="s">
        <v>19</v>
      </c>
      <c r="Y100" s="196">
        <f t="shared" si="1"/>
        <v>8</v>
      </c>
      <c r="Z100" s="199">
        <v>43703.549252511599</v>
      </c>
      <c r="AA100" s="196" t="s">
        <v>358</v>
      </c>
    </row>
    <row r="101" spans="1:27" ht="12.75" customHeight="1" x14ac:dyDescent="0.2">
      <c r="A101" s="196" t="s">
        <v>416</v>
      </c>
      <c r="B101" s="196" t="s">
        <v>417</v>
      </c>
      <c r="C101" s="196" t="s">
        <v>386</v>
      </c>
      <c r="D101" s="197">
        <v>43496</v>
      </c>
      <c r="F101" s="320">
        <v>29598.26</v>
      </c>
      <c r="G101" s="196" t="s">
        <v>36</v>
      </c>
      <c r="H101" s="196" t="s">
        <v>797</v>
      </c>
      <c r="I101" s="196" t="s">
        <v>353</v>
      </c>
      <c r="J101" s="196" t="s">
        <v>39</v>
      </c>
      <c r="L101" s="199">
        <v>43496</v>
      </c>
      <c r="M101" s="197">
        <v>43496</v>
      </c>
      <c r="P101" s="196" t="s">
        <v>419</v>
      </c>
      <c r="Q101" s="196" t="b">
        <v>1</v>
      </c>
      <c r="S101" s="196" t="s">
        <v>43</v>
      </c>
      <c r="T101" s="196" t="s">
        <v>19</v>
      </c>
      <c r="Y101" s="196">
        <f t="shared" si="1"/>
        <v>1</v>
      </c>
      <c r="Z101" s="199">
        <v>43507.355378205997</v>
      </c>
      <c r="AA101" s="196" t="s">
        <v>358</v>
      </c>
    </row>
    <row r="102" spans="1:27" ht="12.75" customHeight="1" x14ac:dyDescent="0.2">
      <c r="A102" s="196" t="s">
        <v>420</v>
      </c>
      <c r="B102" s="196" t="s">
        <v>421</v>
      </c>
      <c r="C102" s="196" t="s">
        <v>386</v>
      </c>
      <c r="D102" s="197">
        <v>43524</v>
      </c>
      <c r="F102" s="320">
        <v>28142.61</v>
      </c>
      <c r="G102" s="196" t="s">
        <v>36</v>
      </c>
      <c r="H102" s="196" t="s">
        <v>797</v>
      </c>
      <c r="I102" s="196" t="s">
        <v>353</v>
      </c>
      <c r="J102" s="196" t="s">
        <v>39</v>
      </c>
      <c r="L102" s="199">
        <v>43524</v>
      </c>
      <c r="M102" s="197">
        <v>43524</v>
      </c>
      <c r="P102" s="196" t="s">
        <v>422</v>
      </c>
      <c r="Q102" s="196" t="b">
        <v>1</v>
      </c>
      <c r="S102" s="196" t="s">
        <v>43</v>
      </c>
      <c r="T102" s="196" t="s">
        <v>19</v>
      </c>
      <c r="Y102" s="196">
        <f t="shared" si="1"/>
        <v>2</v>
      </c>
      <c r="Z102" s="199">
        <v>43532.36220625</v>
      </c>
      <c r="AA102" s="196" t="s">
        <v>358</v>
      </c>
    </row>
    <row r="103" spans="1:27" ht="12.75" customHeight="1" x14ac:dyDescent="0.2">
      <c r="A103" s="196" t="s">
        <v>423</v>
      </c>
      <c r="B103" s="196" t="s">
        <v>424</v>
      </c>
      <c r="C103" s="196" t="s">
        <v>386</v>
      </c>
      <c r="D103" s="197">
        <v>43555</v>
      </c>
      <c r="F103" s="320">
        <v>34531.300000000003</v>
      </c>
      <c r="G103" s="196" t="s">
        <v>36</v>
      </c>
      <c r="H103" s="196" t="s">
        <v>797</v>
      </c>
      <c r="I103" s="196" t="s">
        <v>353</v>
      </c>
      <c r="J103" s="196" t="s">
        <v>39</v>
      </c>
      <c r="L103" s="199">
        <v>43555</v>
      </c>
      <c r="M103" s="197">
        <v>43555</v>
      </c>
      <c r="P103" s="196" t="s">
        <v>425</v>
      </c>
      <c r="Q103" s="196" t="b">
        <v>1</v>
      </c>
      <c r="S103" s="196" t="s">
        <v>43</v>
      </c>
      <c r="T103" s="196" t="s">
        <v>19</v>
      </c>
      <c r="Y103" s="196">
        <f t="shared" si="1"/>
        <v>3</v>
      </c>
      <c r="Z103" s="199">
        <v>43563.488005243104</v>
      </c>
      <c r="AA103" s="196" t="s">
        <v>358</v>
      </c>
    </row>
    <row r="104" spans="1:27" ht="12.75" customHeight="1" x14ac:dyDescent="0.2">
      <c r="A104" s="196" t="s">
        <v>426</v>
      </c>
      <c r="B104" s="196" t="s">
        <v>427</v>
      </c>
      <c r="C104" s="196" t="s">
        <v>386</v>
      </c>
      <c r="D104" s="197">
        <v>43585</v>
      </c>
      <c r="F104" s="320">
        <v>36472.17</v>
      </c>
      <c r="G104" s="196" t="s">
        <v>36</v>
      </c>
      <c r="H104" s="196" t="s">
        <v>797</v>
      </c>
      <c r="I104" s="196" t="s">
        <v>353</v>
      </c>
      <c r="J104" s="196" t="s">
        <v>39</v>
      </c>
      <c r="L104" s="199">
        <v>43585</v>
      </c>
      <c r="M104" s="197">
        <v>43585</v>
      </c>
      <c r="P104" s="196" t="s">
        <v>428</v>
      </c>
      <c r="Q104" s="196" t="b">
        <v>1</v>
      </c>
      <c r="S104" s="196" t="s">
        <v>43</v>
      </c>
      <c r="T104" s="196" t="s">
        <v>19</v>
      </c>
      <c r="Y104" s="196">
        <f t="shared" si="1"/>
        <v>4</v>
      </c>
      <c r="Z104" s="199">
        <v>43594.532043669002</v>
      </c>
      <c r="AA104" s="196" t="s">
        <v>358</v>
      </c>
    </row>
    <row r="105" spans="1:27" ht="12.75" customHeight="1" x14ac:dyDescent="0.2">
      <c r="A105" s="196" t="s">
        <v>429</v>
      </c>
      <c r="B105" s="196" t="s">
        <v>427</v>
      </c>
      <c r="C105" s="196" t="s">
        <v>386</v>
      </c>
      <c r="D105" s="197">
        <v>43616</v>
      </c>
      <c r="F105" s="320">
        <v>31458.26</v>
      </c>
      <c r="G105" s="196" t="s">
        <v>36</v>
      </c>
      <c r="H105" s="196" t="s">
        <v>797</v>
      </c>
      <c r="I105" s="196" t="s">
        <v>353</v>
      </c>
      <c r="J105" s="196" t="s">
        <v>39</v>
      </c>
      <c r="L105" s="199">
        <v>43616</v>
      </c>
      <c r="M105" s="197">
        <v>43616</v>
      </c>
      <c r="P105" s="196" t="s">
        <v>430</v>
      </c>
      <c r="Q105" s="196" t="b">
        <v>1</v>
      </c>
      <c r="S105" s="196" t="s">
        <v>43</v>
      </c>
      <c r="T105" s="196" t="s">
        <v>19</v>
      </c>
      <c r="Y105" s="196">
        <f t="shared" si="1"/>
        <v>5</v>
      </c>
      <c r="Z105" s="199">
        <v>43623.5501176736</v>
      </c>
      <c r="AA105" s="196" t="s">
        <v>358</v>
      </c>
    </row>
    <row r="106" spans="1:27" ht="12.75" customHeight="1" x14ac:dyDescent="0.2">
      <c r="A106" s="196" t="s">
        <v>431</v>
      </c>
      <c r="B106" s="196" t="s">
        <v>427</v>
      </c>
      <c r="C106" s="196" t="s">
        <v>386</v>
      </c>
      <c r="D106" s="197">
        <v>43646</v>
      </c>
      <c r="F106" s="320">
        <v>27010.43</v>
      </c>
      <c r="G106" s="196" t="s">
        <v>36</v>
      </c>
      <c r="H106" s="196" t="s">
        <v>797</v>
      </c>
      <c r="I106" s="196" t="s">
        <v>353</v>
      </c>
      <c r="J106" s="196" t="s">
        <v>39</v>
      </c>
      <c r="L106" s="199">
        <v>43646</v>
      </c>
      <c r="M106" s="197">
        <v>43646</v>
      </c>
      <c r="P106" s="196" t="s">
        <v>432</v>
      </c>
      <c r="Q106" s="196" t="b">
        <v>1</v>
      </c>
      <c r="S106" s="196" t="s">
        <v>43</v>
      </c>
      <c r="T106" s="196" t="s">
        <v>19</v>
      </c>
      <c r="Y106" s="196">
        <f t="shared" si="1"/>
        <v>6</v>
      </c>
      <c r="Z106" s="199">
        <v>43655.491702233798</v>
      </c>
      <c r="AA106" s="196" t="s">
        <v>358</v>
      </c>
    </row>
    <row r="107" spans="1:27" ht="12.75" customHeight="1" x14ac:dyDescent="0.2">
      <c r="A107" s="196" t="s">
        <v>433</v>
      </c>
      <c r="B107" s="196" t="s">
        <v>427</v>
      </c>
      <c r="C107" s="196" t="s">
        <v>386</v>
      </c>
      <c r="D107" s="197">
        <v>43677</v>
      </c>
      <c r="F107" s="320">
        <v>30326.09</v>
      </c>
      <c r="G107" s="196" t="s">
        <v>36</v>
      </c>
      <c r="H107" s="196" t="s">
        <v>797</v>
      </c>
      <c r="I107" s="196" t="s">
        <v>353</v>
      </c>
      <c r="J107" s="196" t="s">
        <v>39</v>
      </c>
      <c r="L107" s="199">
        <v>43677</v>
      </c>
      <c r="M107" s="197">
        <v>43677</v>
      </c>
      <c r="P107" s="196" t="s">
        <v>434</v>
      </c>
      <c r="Q107" s="196" t="b">
        <v>1</v>
      </c>
      <c r="S107" s="196" t="s">
        <v>43</v>
      </c>
      <c r="T107" s="196" t="s">
        <v>19</v>
      </c>
      <c r="Y107" s="196">
        <f t="shared" si="1"/>
        <v>7</v>
      </c>
      <c r="Z107" s="199">
        <v>43684.549055474497</v>
      </c>
      <c r="AA107" s="196" t="s">
        <v>358</v>
      </c>
    </row>
    <row r="108" spans="1:27" ht="12.75" customHeight="1" x14ac:dyDescent="0.2">
      <c r="A108" s="196" t="s">
        <v>435</v>
      </c>
      <c r="B108" s="196" t="s">
        <v>427</v>
      </c>
      <c r="C108" s="196" t="s">
        <v>386</v>
      </c>
      <c r="D108" s="197">
        <v>43708</v>
      </c>
      <c r="F108" s="320">
        <v>29032.17</v>
      </c>
      <c r="G108" s="196" t="s">
        <v>36</v>
      </c>
      <c r="H108" s="196" t="s">
        <v>797</v>
      </c>
      <c r="I108" s="196" t="s">
        <v>353</v>
      </c>
      <c r="J108" s="196" t="s">
        <v>39</v>
      </c>
      <c r="L108" s="199">
        <v>43708</v>
      </c>
      <c r="M108" s="197">
        <v>43708</v>
      </c>
      <c r="P108" s="196" t="s">
        <v>436</v>
      </c>
      <c r="Q108" s="196" t="b">
        <v>1</v>
      </c>
      <c r="S108" s="196" t="s">
        <v>43</v>
      </c>
      <c r="T108" s="196" t="s">
        <v>19</v>
      </c>
      <c r="Y108" s="196">
        <f t="shared" si="1"/>
        <v>8</v>
      </c>
      <c r="Z108" s="199">
        <v>43717.422272997697</v>
      </c>
      <c r="AA108" s="196" t="s">
        <v>358</v>
      </c>
    </row>
    <row r="109" spans="1:27" ht="12.75" customHeight="1" x14ac:dyDescent="0.2">
      <c r="A109" s="196" t="s">
        <v>510</v>
      </c>
      <c r="B109" s="196" t="s">
        <v>427</v>
      </c>
      <c r="C109" s="196" t="s">
        <v>386</v>
      </c>
      <c r="D109" s="197">
        <v>43738</v>
      </c>
      <c r="F109" s="320">
        <v>33480</v>
      </c>
      <c r="G109" s="196" t="s">
        <v>36</v>
      </c>
      <c r="H109" s="196" t="s">
        <v>797</v>
      </c>
      <c r="J109" s="196" t="s">
        <v>39</v>
      </c>
      <c r="L109" s="199">
        <v>43738</v>
      </c>
      <c r="M109" s="197">
        <v>43738</v>
      </c>
      <c r="P109" s="196" t="s">
        <v>511</v>
      </c>
      <c r="Q109" s="196" t="b">
        <v>0</v>
      </c>
      <c r="S109" s="196" t="s">
        <v>43</v>
      </c>
      <c r="T109" s="196" t="s">
        <v>19</v>
      </c>
      <c r="Y109" s="196">
        <f t="shared" si="1"/>
        <v>9</v>
      </c>
      <c r="Z109" s="199">
        <v>43746.559310879602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</vt:i4>
      </vt:variant>
    </vt:vector>
  </HeadingPairs>
  <TitlesOfParts>
    <vt:vector size="15" baseType="lpstr">
      <vt:lpstr>R2020</vt:lpstr>
      <vt:lpstr>Počet porcí 2019</vt:lpstr>
      <vt:lpstr>2017 ceník</vt:lpstr>
      <vt:lpstr>rozpočet</vt:lpstr>
      <vt:lpstr>501 16 402</vt:lpstr>
      <vt:lpstr>501 16 403</vt:lpstr>
      <vt:lpstr>501 16 502</vt:lpstr>
      <vt:lpstr>518 07 411</vt:lpstr>
      <vt:lpstr>648 24 415</vt:lpstr>
      <vt:lpstr>649 08 512</vt:lpstr>
      <vt:lpstr>649 24 411</vt:lpstr>
      <vt:lpstr>649 24 413</vt:lpstr>
      <vt:lpstr>649 24 511</vt:lpstr>
      <vt:lpstr>'Počet porcí 2019'!Oblast_tisku</vt:lpstr>
      <vt:lpstr>'R2020'!Oblast_tisku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2019-11-11T14:34:43Z</cp:lastPrinted>
  <dcterms:modified xsi:type="dcterms:W3CDTF">2019-11-29T13:27:20Z</dcterms:modified>
</cp:coreProperties>
</file>