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9B50162E-0A1B-4C21-AE82-58D66864D4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K5" i="1" l="1"/>
  <c r="K115" i="1" l="1"/>
  <c r="I102" i="1" l="1"/>
  <c r="G45" i="1"/>
  <c r="K116" i="1" l="1"/>
  <c r="G103" i="1"/>
  <c r="G61" i="1" l="1"/>
  <c r="G17" i="1"/>
  <c r="G16" i="1"/>
  <c r="N99" i="1" l="1"/>
  <c r="R43" i="1"/>
  <c r="L54" i="1" l="1"/>
  <c r="L52" i="1"/>
  <c r="L35" i="1" l="1"/>
  <c r="L34" i="1"/>
  <c r="I29" i="1"/>
  <c r="I98" i="1" l="1"/>
  <c r="H98" i="1"/>
  <c r="G98" i="1"/>
  <c r="F98" i="1"/>
  <c r="E98" i="1"/>
  <c r="I76" i="1"/>
  <c r="H76" i="1"/>
  <c r="G76" i="1"/>
  <c r="F76" i="1"/>
  <c r="E76" i="1"/>
  <c r="I56" i="1"/>
  <c r="H56" i="1"/>
  <c r="G56" i="1"/>
  <c r="F56" i="1"/>
  <c r="E56" i="1"/>
  <c r="I50" i="1"/>
  <c r="H50" i="1"/>
  <c r="G50" i="1"/>
  <c r="F50" i="1"/>
  <c r="E50" i="1"/>
  <c r="I45" i="1"/>
  <c r="H45" i="1"/>
  <c r="F45" i="1"/>
  <c r="E45" i="1"/>
  <c r="I37" i="1"/>
  <c r="H37" i="1"/>
  <c r="G37" i="1"/>
  <c r="F37" i="1"/>
  <c r="E37" i="1"/>
  <c r="I30" i="1"/>
  <c r="H30" i="1"/>
  <c r="G30" i="1"/>
  <c r="F30" i="1"/>
  <c r="E30" i="1"/>
  <c r="I26" i="1" l="1"/>
  <c r="H26" i="1"/>
  <c r="G26" i="1"/>
  <c r="F26" i="1"/>
  <c r="E26" i="1"/>
  <c r="I14" i="1" l="1"/>
  <c r="I100" i="1" s="1"/>
  <c r="H14" i="1"/>
  <c r="H100" i="1" s="1"/>
  <c r="G14" i="1"/>
  <c r="F14" i="1"/>
  <c r="F100" i="1" s="1"/>
  <c r="E14" i="1"/>
  <c r="E100" i="1" s="1"/>
  <c r="G100" i="1" l="1"/>
  <c r="G105" i="1" s="1"/>
  <c r="I109" i="1" s="1"/>
  <c r="I110" i="1" s="1"/>
  <c r="L105" i="1"/>
  <c r="L106" i="1" s="1"/>
  <c r="N105" i="1"/>
  <c r="I113" i="1"/>
  <c r="I105" i="1"/>
  <c r="N107" i="1" l="1"/>
  <c r="I107" i="1"/>
  <c r="K113" i="1"/>
  <c r="K117" i="1" s="1"/>
  <c r="I114" i="1"/>
  <c r="K1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  <author>Martin</author>
  </authors>
  <commentList>
    <comment ref="K10" authorId="0" shapeId="0" xr:uid="{57610244-DB91-42A8-98EC-27CC927029BE}">
      <text>
        <r>
          <rPr>
            <sz val="9"/>
            <color indexed="81"/>
            <rFont val="Tahoma"/>
            <family val="2"/>
            <charset val="238"/>
          </rPr>
          <t xml:space="preserve">skutečná rezerva ÚHTS 400 tis. kč
</t>
        </r>
      </text>
    </comment>
    <comment ref="K17" authorId="0" shapeId="0" xr:uid="{185D6EED-1F35-4325-B5B7-83C35DE7DBAA}">
      <text>
        <r>
          <rPr>
            <sz val="9"/>
            <color indexed="81"/>
            <rFont val="Tahoma"/>
            <family val="2"/>
            <charset val="238"/>
          </rPr>
          <t xml:space="preserve">skutečná rezerva ÚHTS 2.160 tis. Kč
</t>
        </r>
      </text>
    </comment>
    <comment ref="I2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ZH: 700 tis. demolice vojenské vrátnice, 1.000 tis. demolice skladu pod TU, 1.500 tis. demolice objektu v areálu Balus, 700 tis. demolice skladu vedle OIN, 2000 tis. demolice krechtu u WD, 100 tis. demolice chlorovny odpadních vod.
</t>
        </r>
      </text>
    </comment>
    <comment ref="I35" authorId="0" shapeId="0" xr:uid="{00000000-0006-0000-0000-000002000000}">
      <text>
        <r>
          <rPr>
            <i/>
            <sz val="9"/>
            <color indexed="81"/>
            <rFont val="Tahoma"/>
            <family val="2"/>
            <charset val="238"/>
          </rPr>
          <t>2019 prádelna: 63.475,</t>
        </r>
        <r>
          <rPr>
            <sz val="9"/>
            <color indexed="81"/>
            <rFont val="Tahoma"/>
            <family val="2"/>
            <charset val="238"/>
          </rPr>
          <t xml:space="preserve">-
</t>
        </r>
      </text>
    </comment>
    <comment ref="I42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I4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I4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Závorový systém 1.440 tis. Kč, 2019 nic
</t>
        </r>
      </text>
    </comment>
    <comment ref="K52" authorId="0" shapeId="0" xr:uid="{30ABC898-79B6-4BD6-B432-61D158C2090B}">
      <text>
        <r>
          <rPr>
            <sz val="9"/>
            <color indexed="81"/>
            <rFont val="Tahoma"/>
            <family val="2"/>
            <charset val="238"/>
          </rPr>
          <t>skutečná rezerva ÚHTS
2.000 tis. Kč</t>
        </r>
      </text>
    </comment>
    <comment ref="K96" authorId="0" shapeId="0" xr:uid="{FA1B0A22-51FC-45BD-ACD9-37090ED64FEE}">
      <text>
        <r>
          <rPr>
            <sz val="9"/>
            <color indexed="81"/>
            <rFont val="Tahoma"/>
            <family val="2"/>
            <charset val="238"/>
          </rPr>
          <t xml:space="preserve">skutečná rezerva ÚHTS 1.500 tis. Kč
</t>
        </r>
      </text>
    </comment>
    <comment ref="G101" authorId="2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Oč se jedná?</t>
        </r>
      </text>
    </comment>
  </commentList>
</comments>
</file>

<file path=xl/sharedStrings.xml><?xml version="1.0" encoding="utf-8"?>
<sst xmlns="http://schemas.openxmlformats.org/spreadsheetml/2006/main" count="349" uniqueCount="264">
  <si>
    <t>Měsíc:</t>
  </si>
  <si>
    <t>Prosinec</t>
  </si>
  <si>
    <t>rozpočet</t>
  </si>
  <si>
    <t>Rok:</t>
  </si>
  <si>
    <t>2017</t>
  </si>
  <si>
    <t>2019</t>
  </si>
  <si>
    <t>Verze:</t>
  </si>
  <si>
    <t>Skutečnost</t>
  </si>
  <si>
    <t>Finanční plán FNOL</t>
  </si>
  <si>
    <t>HV</t>
  </si>
  <si>
    <t>GAR</t>
  </si>
  <si>
    <t>A501 12 001</t>
  </si>
  <si>
    <t xml:space="preserve">                    Automobilový benzín</t>
  </si>
  <si>
    <t>A501 12 002</t>
  </si>
  <si>
    <t xml:space="preserve">                    Motorová nafta</t>
  </si>
  <si>
    <t>A501 12 004</t>
  </si>
  <si>
    <t xml:space="preserve">                    Plyn (CNG)</t>
  </si>
  <si>
    <t>A501 18 007</t>
  </si>
  <si>
    <t xml:space="preserve">                    ND - doprava (sk.A50)</t>
  </si>
  <si>
    <t>A511 02 027</t>
  </si>
  <si>
    <t xml:space="preserve">                    Opravy a údržba vozového parku</t>
  </si>
  <si>
    <t>A518 08 011</t>
  </si>
  <si>
    <t xml:space="preserve">                    Revize, sml.servis - doprava</t>
  </si>
  <si>
    <t>A538 01 006</t>
  </si>
  <si>
    <t xml:space="preserve">                    Poplatky za užívání dálnic a rychl.silnic, mýtné</t>
  </si>
  <si>
    <t>A549 11 003</t>
  </si>
  <si>
    <t xml:space="preserve">                    Pojištění - vozidla(zák., havar.) (C,D 9402)</t>
  </si>
  <si>
    <t>Doprava</t>
  </si>
  <si>
    <t>Suma</t>
  </si>
  <si>
    <t>(1-10)</t>
  </si>
  <si>
    <t>A502 10 071</t>
  </si>
  <si>
    <t xml:space="preserve">                    Elektřina</t>
  </si>
  <si>
    <t>A502 10 073</t>
  </si>
  <si>
    <t xml:space="preserve">                    Pára</t>
  </si>
  <si>
    <t>A502 10 075</t>
  </si>
  <si>
    <t xml:space="preserve">                    Plyn</t>
  </si>
  <si>
    <t>A511 02 025</t>
  </si>
  <si>
    <t xml:space="preserve">                    Opravy - hl.energetik</t>
  </si>
  <si>
    <t>A518 08 007</t>
  </si>
  <si>
    <t xml:space="preserve">                    Revize, sml.servis - energetik</t>
  </si>
  <si>
    <t>A549 01 026</t>
  </si>
  <si>
    <t xml:space="preserve">                    TZ budov - OHE</t>
  </si>
  <si>
    <t>A649 25 441</t>
  </si>
  <si>
    <t xml:space="preserve">                    Plyn k pronájmům</t>
  </si>
  <si>
    <t>A649 25 443</t>
  </si>
  <si>
    <t xml:space="preserve">                    Elektřina k pronájmům</t>
  </si>
  <si>
    <t>A649 25 444</t>
  </si>
  <si>
    <t xml:space="preserve">                    Teplo k pronájmům</t>
  </si>
  <si>
    <t>A649 25 446</t>
  </si>
  <si>
    <t xml:space="preserve">                    Energetické služby k pronájmům</t>
  </si>
  <si>
    <t>Oddělení energetiky</t>
  </si>
  <si>
    <t>A518 05 001</t>
  </si>
  <si>
    <t xml:space="preserve">                    Průzkumné a projektové práce</t>
  </si>
  <si>
    <t>A518 74 001</t>
  </si>
  <si>
    <t xml:space="preserve">                    Ostatní služby - provozní</t>
  </si>
  <si>
    <t>Odbor investic</t>
  </si>
  <si>
    <t>A501 18 003</t>
  </si>
  <si>
    <t xml:space="preserve">                    ND - ostatní techn.(OSBTK, vč.metrologa)</t>
  </si>
  <si>
    <t>A501 18 004</t>
  </si>
  <si>
    <t xml:space="preserve">                    ND - zdravotní techn. (OSBTK, vč.metrologa)</t>
  </si>
  <si>
    <t>A511 02 021</t>
  </si>
  <si>
    <t xml:space="preserve">                    Opravy zdravotnické techniky - OSBTK, vč.metrologa</t>
  </si>
  <si>
    <t>A511 02 023</t>
  </si>
  <si>
    <t xml:space="preserve">                    Opravy ostatní techniky - OSBTK, vč.metrologa</t>
  </si>
  <si>
    <t>A511 02 026</t>
  </si>
  <si>
    <t xml:space="preserve">                    Opravy STA rozvodů (tel.antény) - ELSYS</t>
  </si>
  <si>
    <t>Oddělení oprav a údržby</t>
  </si>
  <si>
    <t>A518 06 001</t>
  </si>
  <si>
    <t xml:space="preserve">                    Úklid. služby - paušál</t>
  </si>
  <si>
    <t>A518 06 002</t>
  </si>
  <si>
    <t xml:space="preserve">                    Úklid. služby - více práce</t>
  </si>
  <si>
    <t>A518 06 003</t>
  </si>
  <si>
    <t xml:space="preserve">                    Úklid. služby - brigádnické služby</t>
  </si>
  <si>
    <t>A518 08 014</t>
  </si>
  <si>
    <t xml:space="preserve">                    Smluvní servis - potrubní pošta</t>
  </si>
  <si>
    <t>A518 74 002</t>
  </si>
  <si>
    <t xml:space="preserve">                    Služby (ostraha)</t>
  </si>
  <si>
    <t>Odbor provozu a služeb</t>
  </si>
  <si>
    <t>A501 17 005</t>
  </si>
  <si>
    <t xml:space="preserve">                    Údržbový materiál ZVIT (sk.B36,61,62,64)</t>
  </si>
  <si>
    <t>A501 18 006</t>
  </si>
  <si>
    <t xml:space="preserve">                    ND - ZVIT (sk.B63)</t>
  </si>
  <si>
    <t>A511 02 024</t>
  </si>
  <si>
    <t xml:space="preserve">                    Opravy - správa budov</t>
  </si>
  <si>
    <t>Oddělení spravy budov</t>
  </si>
  <si>
    <t>A518 08 008</t>
  </si>
  <si>
    <t xml:space="preserve">                    Revize, tech.kontroly, prev.prohl.- OSBTK</t>
  </si>
  <si>
    <t>A518 08 013</t>
  </si>
  <si>
    <t xml:space="preserve">                    Revize - kalibrace - metrolog</t>
  </si>
  <si>
    <t>A518 08 018</t>
  </si>
  <si>
    <t xml:space="preserve">                    Smluvní servis - OSBTK</t>
  </si>
  <si>
    <t>A518 08 019</t>
  </si>
  <si>
    <t xml:space="preserve">                    Zkoušky - zaškol.zdrav.techn.(instrukce uživatelům 268/2014 Sb)</t>
  </si>
  <si>
    <t>Oddělení servisu a kontrol</t>
  </si>
  <si>
    <t>A501 13 190</t>
  </si>
  <si>
    <t xml:space="preserve">                    Léky - medicinální plyny (sklad SVM)</t>
  </si>
  <si>
    <t>A501 17 190</t>
  </si>
  <si>
    <t xml:space="preserve">                    Technické plyny</t>
  </si>
  <si>
    <t>A501 18 009</t>
  </si>
  <si>
    <t xml:space="preserve">                    ND - ostatní techn. UTZ</t>
  </si>
  <si>
    <t>z A 501 18 003</t>
  </si>
  <si>
    <t>A502 10 072</t>
  </si>
  <si>
    <t xml:space="preserve">                    Vodné, stočné</t>
  </si>
  <si>
    <t>A511 02 029</t>
  </si>
  <si>
    <t xml:space="preserve">                    Opravy - vodní hospodářství</t>
  </si>
  <si>
    <t>A511 02 032</t>
  </si>
  <si>
    <t xml:space="preserve">                    opravy zdravotnické techniky - UTZ</t>
  </si>
  <si>
    <t>z A511 02 021</t>
  </si>
  <si>
    <t>A511 02 033</t>
  </si>
  <si>
    <t xml:space="preserve">                    opravy ostatní techniky - UTZ</t>
  </si>
  <si>
    <t>A511 02 034</t>
  </si>
  <si>
    <t xml:space="preserve">                    opravy ostatní techniky - ELSYS</t>
  </si>
  <si>
    <t>A518 04 005</t>
  </si>
  <si>
    <t xml:space="preserve">                    Náj. plynových lahví</t>
  </si>
  <si>
    <t>A518 06 004</t>
  </si>
  <si>
    <t xml:space="preserve">                    Popl. za DDD a ostatní služby</t>
  </si>
  <si>
    <t>A518 06 005</t>
  </si>
  <si>
    <t xml:space="preserve">                    Odpad (spalovna)</t>
  </si>
  <si>
    <t>A518 06 006</t>
  </si>
  <si>
    <t xml:space="preserve">                    Odpad (ostatní)</t>
  </si>
  <si>
    <t>A518 06 011</t>
  </si>
  <si>
    <t xml:space="preserve">                    Údržba dřevin a zeleně (EKOL)</t>
  </si>
  <si>
    <t>A518 08 010</t>
  </si>
  <si>
    <t xml:space="preserve">                    Revize, sml.servis - vodní hospod.</t>
  </si>
  <si>
    <t>A518 08 020</t>
  </si>
  <si>
    <t xml:space="preserve">                    smluvní servis - UTZ</t>
  </si>
  <si>
    <t>z A518 08 018</t>
  </si>
  <si>
    <t>A518 08 021</t>
  </si>
  <si>
    <t xml:space="preserve">                    revize, tech.kontroly, prev.prohl.- UTZ</t>
  </si>
  <si>
    <t>z A518 08 008</t>
  </si>
  <si>
    <t>A644 23 501</t>
  </si>
  <si>
    <t xml:space="preserve">                    Sběr</t>
  </si>
  <si>
    <t>A649 25 445</t>
  </si>
  <si>
    <t xml:space="preserve">                    Vodné, stočné k pronájmům</t>
  </si>
  <si>
    <t>Odbor energetiky a vodního hospodářství</t>
  </si>
  <si>
    <t>z A511 02 023</t>
  </si>
  <si>
    <t>A518 06 007</t>
  </si>
  <si>
    <t xml:space="preserve">                    Praní prádla</t>
  </si>
  <si>
    <t>A501 17 007</t>
  </si>
  <si>
    <t xml:space="preserve">                    Údržbový materiál ostatní - sklady (sk.T17)</t>
  </si>
  <si>
    <t>A501 17 008</t>
  </si>
  <si>
    <t xml:space="preserve">                    Spotřební materiál k PDS (potrubní pošta (sk.V22)</t>
  </si>
  <si>
    <t>A501 17 009</t>
  </si>
  <si>
    <t xml:space="preserve">                    Spotřební materiál k ZPr. (sk.V21)</t>
  </si>
  <si>
    <t>A501 17 020</t>
  </si>
  <si>
    <t xml:space="preserve">                    Všeob.mat. - nábytek (V30) do 1tis.</t>
  </si>
  <si>
    <t>A501 17 021</t>
  </si>
  <si>
    <t xml:space="preserve">                    Všeob.mat. - hosp.přístr.a nářadí (V32) od 1tis do 2999,99 </t>
  </si>
  <si>
    <t>A501 17 022</t>
  </si>
  <si>
    <t xml:space="preserve">                    Všeob.mat. - kuchyň tech. (V33) od 1tis do 2999,99 </t>
  </si>
  <si>
    <t>A501 17 023</t>
  </si>
  <si>
    <t xml:space="preserve">                    Všeob.mat. - kancel.tech. (V34) od 1tis do 2999,99 </t>
  </si>
  <si>
    <t>A501 17 025</t>
  </si>
  <si>
    <t xml:space="preserve">                    Všeob.mat. - razítka ostatní (V111) od 1 tis. do 2999,99 </t>
  </si>
  <si>
    <t>A501 18 001</t>
  </si>
  <si>
    <t xml:space="preserve">                    ND - ostatní (všeob.sklad) (sk.V38)</t>
  </si>
  <si>
    <t>A501 19 077</t>
  </si>
  <si>
    <t xml:space="preserve">                    OOPP a prádlo pro zaměstnance (sk.T14)</t>
  </si>
  <si>
    <t>A501 19 090</t>
  </si>
  <si>
    <t xml:space="preserve">                    OOPP pro pacienty a doprovod (sk.T11)</t>
  </si>
  <si>
    <t>A501 19 092</t>
  </si>
  <si>
    <t xml:space="preserve">                    Pokojový textil (sk. T15)</t>
  </si>
  <si>
    <t>A558 02 001</t>
  </si>
  <si>
    <t xml:space="preserve">                    DDHM - kuchyňské zařízení a nádobí (sk.V_26)</t>
  </si>
  <si>
    <t>A558 02 002</t>
  </si>
  <si>
    <t xml:space="preserve">                    DDHM - ostatní provozní technika (sk.V_35)</t>
  </si>
  <si>
    <t>A558 02 003</t>
  </si>
  <si>
    <t xml:space="preserve">                    DDHM - kacelářská technika (sk.V_37)</t>
  </si>
  <si>
    <t>A558 02 004</t>
  </si>
  <si>
    <t xml:space="preserve">                    DDHM - přepravní pouzdra pro PDS ( Potrubní poštu (sk.V_48)</t>
  </si>
  <si>
    <t>A558 02 005</t>
  </si>
  <si>
    <t xml:space="preserve">                    DDHM - OOPP pro pacienty a doprovod (sk.T_13)</t>
  </si>
  <si>
    <t>A558 05 001</t>
  </si>
  <si>
    <t xml:space="preserve">                    DDHM - ostatní (sk.T_19)</t>
  </si>
  <si>
    <t>A558 05 002</t>
  </si>
  <si>
    <t xml:space="preserve">                    DDHM - nábytek (sk.V_31)</t>
  </si>
  <si>
    <t>A558 06 001</t>
  </si>
  <si>
    <t xml:space="preserve">                    DDHM - ostatní, razítka (sk.V_47, V_112)</t>
  </si>
  <si>
    <t>Všeobecný materiál</t>
  </si>
  <si>
    <t>vč. rezervy 40 tis.Kč</t>
  </si>
  <si>
    <t>vč. rezervy 77,5 tis.Kč</t>
  </si>
  <si>
    <t>vč. rezervy</t>
  </si>
  <si>
    <t>nové 4 ks sanitek</t>
  </si>
  <si>
    <t>vč. rezervy 80 tis.Kč na navýšení cen a zimu</t>
  </si>
  <si>
    <t>2019: Tabulový vrch 11.817.991,- Kč, stará vrátnice 2.335.756,- Kč, Interna 5.860.298,- Kč (20.014.045,- Kč)</t>
  </si>
  <si>
    <t>rozděleno .. 511 02 032</t>
  </si>
  <si>
    <t>rozděleno ..511 02 033,511 02 034</t>
  </si>
  <si>
    <t>7.500 OBTKS, 100 UTZ</t>
  </si>
  <si>
    <t>opravy STA (100) DVBT2 (600)</t>
  </si>
  <si>
    <t>rezerva 200 tis. Kč</t>
  </si>
  <si>
    <t>rezerva 200 tis.</t>
  </si>
  <si>
    <t>rezerva 6.137 tis. Kč</t>
  </si>
  <si>
    <t>2019: zaparkováno 14.000 tis. Kč</t>
  </si>
  <si>
    <t>2019: zaparkováno 1.700 tis. Kč</t>
  </si>
  <si>
    <t>rozděleno .. 518 08 021</t>
  </si>
  <si>
    <t>rozděleno .. 518 08 020</t>
  </si>
  <si>
    <t>sum s OVEH</t>
  </si>
  <si>
    <t>rozpis Mgr. Svozil</t>
  </si>
  <si>
    <t>navýšení 0,5 mil.Kč na novou legislativu</t>
  </si>
  <si>
    <t>nedodáno</t>
  </si>
  <si>
    <t>vč. rezervy 120 tis.Kč</t>
  </si>
  <si>
    <t>vč. rezervy 110 tis.Kč</t>
  </si>
  <si>
    <t>2019: prádelna 71.636,12</t>
  </si>
  <si>
    <t>2019: prádelna 5.421,00</t>
  </si>
  <si>
    <t>2019: prádelna 265.334,34</t>
  </si>
  <si>
    <t>2019: prádelna 167.885,-</t>
  </si>
  <si>
    <t>2019: prádelna 1.494.914,-</t>
  </si>
  <si>
    <t>2019: prádelna 376.934,-</t>
  </si>
  <si>
    <t>2019: prádelna 15.947,-</t>
  </si>
  <si>
    <t>2019: prádelna 51.165,-</t>
  </si>
  <si>
    <t>2019: prádelna 2.880,-</t>
  </si>
  <si>
    <t>700 tis. demolice vojenské vrátnice, 1.000 tis. demolice skladu pod TU, 1.500 tis. demolice objektu v areálu Balus, 700 tis. demolice skladu vedle OIN, 2000 tis. demolice krechtu u WD, 100 tis. demolice chlorovny odpadních vod.</t>
  </si>
  <si>
    <t>ZC 344 038 Kč</t>
  </si>
  <si>
    <t>nová smlouva</t>
  </si>
  <si>
    <t>nárůst mezd</t>
  </si>
  <si>
    <t>navýšení prostor</t>
  </si>
  <si>
    <t>suma</t>
  </si>
  <si>
    <t>nový HOK</t>
  </si>
  <si>
    <t>dětská JIRP</t>
  </si>
  <si>
    <t>sklad potravin</t>
  </si>
  <si>
    <t>nárůst nábytek</t>
  </si>
  <si>
    <t>EYER: Zrušení provozu na prádelně úspora cca 1500tis.Kč, plánovaná spotřeba nové HOK 650 tis.Kč, projeví se letos asi z 1/3. Pokud nám vyjde letošní odhad 51.500 tis.Kč, tak tom máme na příští rok 50.220 tis.Kč, předpokládaný nárůst ceny 7%, máme 53750tis.Kč a rezerva 850 tis., protože tak mírná zima byla naposledy v r.2014.</t>
  </si>
  <si>
    <t>pára:</t>
  </si>
  <si>
    <t xml:space="preserve">oprava šoupat v kolektoru (havarijní stav) DN 300 x 4 (šachta 1,20, 9,) - 700 000,-Kč </t>
  </si>
  <si>
    <t>Šachta 14 rekonstrukce odtokového kanálu 150 000,-Kč</t>
  </si>
  <si>
    <t xml:space="preserve">Šachta 7 výměna uzávěru 100 000,-Kč </t>
  </si>
  <si>
    <t xml:space="preserve">Rozdělovací šachta ČOV oprava šibru 50 000,-Kč </t>
  </si>
  <si>
    <t>opravy havárie  500 000,-Kč</t>
  </si>
  <si>
    <t>opravy vodní hospodářství</t>
  </si>
  <si>
    <t>nárůst úklid</t>
  </si>
  <si>
    <t>- mimořádnosti</t>
  </si>
  <si>
    <t>- nečerpaná rezerva</t>
  </si>
  <si>
    <t>úklid</t>
  </si>
  <si>
    <t>praní prádla</t>
  </si>
  <si>
    <t>prádelna</t>
  </si>
  <si>
    <t>demolice</t>
  </si>
  <si>
    <t>rozdíl</t>
  </si>
  <si>
    <t>navýšení praní prádla</t>
  </si>
  <si>
    <t>Bez úklidu a praní prádla</t>
  </si>
  <si>
    <t>PLÁN 2019</t>
  </si>
  <si>
    <t>NÁVRH 2020</t>
  </si>
  <si>
    <t>Navýšení po zohl. 2019</t>
  </si>
  <si>
    <t>navýšení úklid</t>
  </si>
  <si>
    <t>z 18 mil. Kč - nechat rezervu min 8 mil. Kč</t>
  </si>
  <si>
    <t>AMBICE snížení plánu o</t>
  </si>
  <si>
    <t xml:space="preserve">tj. reálný nárůst o </t>
  </si>
  <si>
    <t xml:space="preserve">v tom nárůst </t>
  </si>
  <si>
    <t>bez úklidu praní prádla</t>
  </si>
  <si>
    <t>REAL navýšení bez rezervy</t>
  </si>
  <si>
    <t>Pozor nutno přesně identifikovat praní prádla, vlastní prádlo do dubna 2019, je možná rezerva 6.137 tis. Kč</t>
  </si>
  <si>
    <t>Nutno kalendarizovat.</t>
  </si>
  <si>
    <t>Prověřit končící technologie a servisní náklady. (nárůst, úspora)</t>
  </si>
  <si>
    <t>toto pokryje DDHM nábytek a demolice (6+6mil.)</t>
  </si>
  <si>
    <t>Energie - úspora z prádelny cca 2 mil, jsem připraveni přesunout do rezrvy cca 500 tis. oproti Eyerovi, ten tvrdí 1,5 milk</t>
  </si>
  <si>
    <t>Probrat elektrickou energii.</t>
  </si>
  <si>
    <t>CELKOVÉ plánované navýšení bez mimořádností 2019</t>
  </si>
  <si>
    <t>reálné plánované navýšení, ambice snížit o 18 mil Kč, navýšení pak 19 mil. Kč</t>
  </si>
  <si>
    <t>na ABS hodnotu</t>
  </si>
  <si>
    <t>bez mimořádností 2019</t>
  </si>
  <si>
    <t>v tom rezerva</t>
  </si>
  <si>
    <t>L. Olejníček - přesun úspor z energií a praní prádla 50 na 50% (rezerva - navýšení)</t>
  </si>
  <si>
    <t>Potenciál až 10 mil. Kč</t>
  </si>
  <si>
    <t>Foks rozhodit dle výkonnosti na pojišťovny.</t>
  </si>
  <si>
    <t>rezerva nová: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</si>
</sst>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1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theme="9" tint="0.7999816888943144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>
      <alignment horizontal="left"/>
    </xf>
    <xf numFmtId="0" fontId="2" fillId="3" borderId="0">
      <alignment horizontal="left"/>
    </xf>
  </cellStyleXfs>
  <cellXfs count="108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 applyFill="1">
      <alignment horizontal="left"/>
    </xf>
    <xf numFmtId="0" fontId="1" fillId="0" borderId="0" xfId="0" applyFont="1" applyAlignment="1">
      <alignment horizontal="center"/>
    </xf>
    <xf numFmtId="0" fontId="3" fillId="0" borderId="0" xfId="1" applyFont="1" applyFill="1">
      <alignment horizontal="left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/>
    <xf numFmtId="49" fontId="6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Fill="1"/>
    <xf numFmtId="49" fontId="1" fillId="0" borderId="0" xfId="0" applyNumberFormat="1" applyFont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3" fontId="0" fillId="4" borderId="3" xfId="0" applyNumberFormat="1" applyFill="1" applyBorder="1"/>
    <xf numFmtId="3" fontId="1" fillId="0" borderId="3" xfId="1" applyNumberFormat="1" applyFont="1" applyFill="1" applyBorder="1" applyAlignment="1">
      <alignment horizontal="right"/>
    </xf>
    <xf numFmtId="0" fontId="0" fillId="4" borderId="0" xfId="0" applyFill="1" applyBorder="1"/>
    <xf numFmtId="3" fontId="0" fillId="4" borderId="0" xfId="0" applyNumberFormat="1" applyFill="1" applyBorder="1"/>
    <xf numFmtId="3" fontId="0" fillId="4" borderId="2" xfId="0" applyNumberFormat="1" applyFill="1" applyBorder="1"/>
    <xf numFmtId="3" fontId="1" fillId="0" borderId="2" xfId="1" applyNumberFormat="1" applyFont="1" applyFill="1" applyBorder="1" applyAlignment="1">
      <alignment horizontal="right"/>
    </xf>
    <xf numFmtId="3" fontId="1" fillId="0" borderId="2" xfId="0" applyNumberFormat="1" applyFont="1" applyFill="1" applyBorder="1"/>
    <xf numFmtId="3" fontId="7" fillId="0" borderId="3" xfId="0" applyNumberFormat="1" applyFont="1" applyFill="1" applyBorder="1"/>
    <xf numFmtId="3" fontId="0" fillId="4" borderId="5" xfId="0" applyNumberFormat="1" applyFill="1" applyBorder="1"/>
    <xf numFmtId="3" fontId="1" fillId="0" borderId="4" xfId="1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1" fontId="3" fillId="0" borderId="1" xfId="0" applyNumberFormat="1" applyFont="1" applyBorder="1" applyAlignment="1">
      <alignment horizontal="center"/>
    </xf>
    <xf numFmtId="3" fontId="8" fillId="0" borderId="0" xfId="0" applyNumberFormat="1" applyFont="1"/>
    <xf numFmtId="3" fontId="7" fillId="0" borderId="6" xfId="0" applyNumberFormat="1" applyFont="1" applyBorder="1"/>
    <xf numFmtId="46" fontId="12" fillId="0" borderId="0" xfId="0" applyNumberFormat="1" applyFont="1"/>
    <xf numFmtId="0" fontId="8" fillId="0" borderId="0" xfId="0" applyFont="1"/>
    <xf numFmtId="0" fontId="11" fillId="4" borderId="0" xfId="0" applyFont="1" applyFill="1" applyBorder="1"/>
    <xf numFmtId="3" fontId="11" fillId="4" borderId="0" xfId="0" applyNumberFormat="1" applyFont="1" applyFill="1" applyBorder="1"/>
    <xf numFmtId="3" fontId="11" fillId="4" borderId="2" xfId="0" applyNumberFormat="1" applyFont="1" applyFill="1" applyBorder="1"/>
    <xf numFmtId="3" fontId="11" fillId="4" borderId="3" xfId="0" applyNumberFormat="1" applyFont="1" applyFill="1" applyBorder="1"/>
    <xf numFmtId="0" fontId="8" fillId="0" borderId="0" xfId="0" applyFont="1" applyAlignment="1">
      <alignment horizontal="right"/>
    </xf>
    <xf numFmtId="0" fontId="14" fillId="0" borderId="7" xfId="0" applyFont="1" applyBorder="1"/>
    <xf numFmtId="3" fontId="14" fillId="0" borderId="7" xfId="0" applyNumberFormat="1" applyFont="1" applyBorder="1"/>
    <xf numFmtId="0" fontId="8" fillId="0" borderId="0" xfId="0" applyFont="1" applyBorder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/>
    <xf numFmtId="3" fontId="0" fillId="0" borderId="0" xfId="0" applyNumberFormat="1"/>
    <xf numFmtId="49" fontId="0" fillId="0" borderId="0" xfId="0" applyNumberFormat="1" applyProtection="1">
      <protection locked="0"/>
    </xf>
    <xf numFmtId="3" fontId="11" fillId="0" borderId="0" xfId="0" applyNumberFormat="1" applyFont="1"/>
    <xf numFmtId="3" fontId="16" fillId="0" borderId="0" xfId="0" applyNumberFormat="1" applyFont="1"/>
    <xf numFmtId="0" fontId="16" fillId="0" borderId="0" xfId="0" applyFont="1"/>
    <xf numFmtId="3" fontId="1" fillId="7" borderId="2" xfId="1" applyNumberFormat="1" applyFont="1" applyFill="1" applyBorder="1" applyAlignment="1">
      <alignment horizontal="right"/>
    </xf>
    <xf numFmtId="3" fontId="1" fillId="7" borderId="3" xfId="1" applyNumberFormat="1" applyFont="1" applyFill="1" applyBorder="1" applyAlignment="1">
      <alignment horizontal="right"/>
    </xf>
    <xf numFmtId="3" fontId="18" fillId="0" borderId="0" xfId="0" applyNumberFormat="1" applyFont="1"/>
    <xf numFmtId="0" fontId="17" fillId="0" borderId="0" xfId="0" applyFont="1"/>
    <xf numFmtId="3" fontId="19" fillId="0" borderId="0" xfId="0" applyNumberFormat="1" applyFont="1"/>
    <xf numFmtId="3" fontId="20" fillId="0" borderId="0" xfId="0" applyNumberFormat="1" applyFont="1" applyProtection="1">
      <protection locked="0"/>
    </xf>
    <xf numFmtId="3" fontId="20" fillId="0" borderId="0" xfId="0" applyNumberFormat="1" applyFont="1"/>
    <xf numFmtId="3" fontId="19" fillId="5" borderId="8" xfId="0" applyNumberFormat="1" applyFont="1" applyFill="1" applyBorder="1" applyProtection="1">
      <protection locked="0"/>
    </xf>
    <xf numFmtId="3" fontId="17" fillId="0" borderId="0" xfId="0" applyNumberFormat="1" applyFont="1"/>
    <xf numFmtId="3" fontId="17" fillId="5" borderId="8" xfId="0" applyNumberFormat="1" applyFont="1" applyFill="1" applyBorder="1"/>
    <xf numFmtId="0" fontId="21" fillId="6" borderId="9" xfId="0" applyFont="1" applyFill="1" applyBorder="1"/>
    <xf numFmtId="0" fontId="21" fillId="6" borderId="10" xfId="0" applyFont="1" applyFill="1" applyBorder="1"/>
    <xf numFmtId="3" fontId="21" fillId="6" borderId="11" xfId="0" applyNumberFormat="1" applyFont="1" applyFill="1" applyBorder="1"/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0" fillId="0" borderId="15" xfId="0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0" fontId="0" fillId="0" borderId="16" xfId="0" applyFont="1" applyBorder="1"/>
    <xf numFmtId="0" fontId="0" fillId="0" borderId="17" xfId="0" applyFont="1" applyBorder="1"/>
    <xf numFmtId="3" fontId="0" fillId="0" borderId="18" xfId="0" applyNumberFormat="1" applyFont="1" applyBorder="1"/>
    <xf numFmtId="3" fontId="21" fillId="7" borderId="9" xfId="0" applyNumberFormat="1" applyFont="1" applyFill="1" applyBorder="1"/>
    <xf numFmtId="3" fontId="21" fillId="7" borderId="10" xfId="0" applyNumberFormat="1" applyFont="1" applyFill="1" applyBorder="1"/>
    <xf numFmtId="3" fontId="21" fillId="7" borderId="11" xfId="0" applyNumberFormat="1" applyFont="1" applyFill="1" applyBorder="1"/>
    <xf numFmtId="0" fontId="17" fillId="8" borderId="0" xfId="0" applyFont="1" applyFill="1"/>
    <xf numFmtId="3" fontId="17" fillId="8" borderId="0" xfId="0" applyNumberFormat="1" applyFont="1" applyFill="1"/>
    <xf numFmtId="0" fontId="0" fillId="0" borderId="0" xfId="0" applyAlignment="1">
      <alignment horizontal="right"/>
    </xf>
    <xf numFmtId="0" fontId="11" fillId="9" borderId="0" xfId="0" applyFont="1" applyFill="1"/>
    <xf numFmtId="3" fontId="11" fillId="9" borderId="0" xfId="0" applyNumberFormat="1" applyFont="1" applyFill="1"/>
    <xf numFmtId="0" fontId="23" fillId="10" borderId="0" xfId="0" applyFont="1" applyFill="1"/>
    <xf numFmtId="3" fontId="23" fillId="10" borderId="0" xfId="0" applyNumberFormat="1" applyFont="1" applyFill="1"/>
    <xf numFmtId="0" fontId="21" fillId="11" borderId="0" xfId="0" applyFont="1" applyFill="1"/>
    <xf numFmtId="3" fontId="21" fillId="11" borderId="0" xfId="0" applyNumberFormat="1" applyFont="1" applyFill="1"/>
    <xf numFmtId="3" fontId="0" fillId="0" borderId="14" xfId="0" applyNumberFormat="1" applyBorder="1"/>
    <xf numFmtId="0" fontId="24" fillId="0" borderId="0" xfId="0" applyFont="1"/>
    <xf numFmtId="0" fontId="16" fillId="7" borderId="0" xfId="0" applyFont="1" applyFill="1"/>
    <xf numFmtId="0" fontId="11" fillId="7" borderId="0" xfId="0" applyFont="1" applyFill="1"/>
    <xf numFmtId="0" fontId="25" fillId="0" borderId="0" xfId="0" applyFont="1"/>
    <xf numFmtId="3" fontId="16" fillId="7" borderId="0" xfId="0" applyNumberFormat="1" applyFont="1" applyFill="1"/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" fillId="0" borderId="0" xfId="1" applyFont="1" applyFill="1" applyBorder="1">
      <alignment horizontal="left"/>
    </xf>
    <xf numFmtId="0" fontId="1" fillId="0" borderId="0" xfId="1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</cellXfs>
  <cellStyles count="3">
    <cellStyle name="___row1" xfId="1" xr:uid="{00000000-0005-0000-0000-000000000000}"/>
    <cellStyle name="_page" xfId="2" xr:uid="{00000000-0005-0000-0000-000001000000}"/>
    <cellStyle name="Normální" xfId="0" builtinId="0"/>
  </cellStyles>
  <dxfs count="109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8"/>
  <sheetViews>
    <sheetView tabSelected="1" zoomScale="120" zoomScaleNormal="120" workbookViewId="0">
      <pane ySplit="5" topLeftCell="A81" activePane="bottomLeft" state="frozen"/>
      <selection pane="bottomLeft" activeCell="K96" sqref="K96"/>
    </sheetView>
  </sheetViews>
  <sheetFormatPr defaultRowHeight="15" x14ac:dyDescent="0.25"/>
  <cols>
    <col min="1" max="1" width="14.7109375" customWidth="1"/>
    <col min="2" max="2" width="20.7109375" customWidth="1"/>
    <col min="3" max="3" width="21.7109375" customWidth="1"/>
    <col min="4" max="4" width="22" customWidth="1"/>
    <col min="5" max="7" width="14.7109375" customWidth="1"/>
    <col min="8" max="8" width="16.28515625" customWidth="1"/>
    <col min="9" max="9" width="14.7109375" customWidth="1"/>
    <col min="10" max="10" width="25.5703125" customWidth="1"/>
    <col min="11" max="11" width="14.28515625" customWidth="1"/>
    <col min="12" max="12" width="14.85546875" customWidth="1"/>
    <col min="13" max="13" width="10.42578125" customWidth="1"/>
    <col min="14" max="14" width="13.85546875" customWidth="1"/>
  </cols>
  <sheetData>
    <row r="1" spans="1:22" ht="15.75" thickBot="1" x14ac:dyDescent="0.3">
      <c r="A1" s="1"/>
      <c r="B1" s="1"/>
      <c r="C1" s="2"/>
      <c r="D1" s="3"/>
      <c r="E1" s="1"/>
      <c r="F1" s="1"/>
      <c r="G1" s="1"/>
      <c r="H1" s="1"/>
      <c r="I1" s="1"/>
    </row>
    <row r="2" spans="1:22" ht="15.75" thickBot="1" x14ac:dyDescent="0.3">
      <c r="A2" s="1"/>
      <c r="B2" s="1"/>
      <c r="C2" s="1"/>
      <c r="D2" s="4" t="s">
        <v>0</v>
      </c>
      <c r="E2" s="11" t="s">
        <v>1</v>
      </c>
      <c r="F2" s="11" t="s">
        <v>1</v>
      </c>
      <c r="G2" s="11" t="s">
        <v>1</v>
      </c>
      <c r="H2" s="12" t="s">
        <v>29</v>
      </c>
      <c r="I2" s="14" t="s">
        <v>2</v>
      </c>
    </row>
    <row r="3" spans="1:22" ht="15.75" thickBot="1" x14ac:dyDescent="0.3">
      <c r="A3" s="1"/>
      <c r="B3" s="1"/>
      <c r="C3" s="1"/>
      <c r="D3" s="4" t="s">
        <v>3</v>
      </c>
      <c r="E3" s="11" t="s">
        <v>4</v>
      </c>
      <c r="F3" s="11">
        <v>2018</v>
      </c>
      <c r="G3" s="11" t="s">
        <v>5</v>
      </c>
      <c r="H3" s="13">
        <v>2019</v>
      </c>
      <c r="I3" s="37">
        <v>2020</v>
      </c>
    </row>
    <row r="4" spans="1:22" ht="15.75" thickBot="1" x14ac:dyDescent="0.3">
      <c r="A4" s="1"/>
      <c r="B4" s="1"/>
      <c r="C4" s="5"/>
      <c r="D4" s="4" t="s">
        <v>6</v>
      </c>
      <c r="E4" s="11" t="s">
        <v>7</v>
      </c>
      <c r="F4" s="11" t="s">
        <v>7</v>
      </c>
      <c r="G4" s="14" t="s">
        <v>8</v>
      </c>
      <c r="H4" s="15"/>
      <c r="I4" s="14" t="s">
        <v>8</v>
      </c>
    </row>
    <row r="5" spans="1:22" ht="15.75" thickBot="1" x14ac:dyDescent="0.3">
      <c r="A5" s="6" t="s">
        <v>9</v>
      </c>
      <c r="B5" s="7" t="s">
        <v>10</v>
      </c>
      <c r="C5" s="21"/>
      <c r="D5" s="22"/>
      <c r="E5" s="23"/>
      <c r="F5" s="23"/>
      <c r="G5" s="23"/>
      <c r="H5" s="23"/>
      <c r="I5" s="23"/>
      <c r="K5" s="101">
        <f>SUM(K7:K97)</f>
        <v>-24060000</v>
      </c>
    </row>
    <row r="6" spans="1:22" ht="15.75" thickTop="1" x14ac:dyDescent="0.25">
      <c r="A6" s="8" t="s">
        <v>11</v>
      </c>
      <c r="B6" s="9" t="s">
        <v>27</v>
      </c>
      <c r="C6" s="105" t="s">
        <v>12</v>
      </c>
      <c r="D6" s="105"/>
      <c r="E6" s="23">
        <v>-516162.48</v>
      </c>
      <c r="F6" s="23">
        <v>-477150.16</v>
      </c>
      <c r="G6" s="23">
        <v>-549999.99999995995</v>
      </c>
      <c r="H6" s="29">
        <v>-390019.67</v>
      </c>
      <c r="I6" s="33">
        <v>-550000</v>
      </c>
      <c r="J6" s="38" t="s">
        <v>179</v>
      </c>
    </row>
    <row r="7" spans="1:22" x14ac:dyDescent="0.25">
      <c r="A7" s="8" t="s">
        <v>13</v>
      </c>
      <c r="B7" s="9" t="s">
        <v>27</v>
      </c>
      <c r="C7" s="105" t="s">
        <v>14</v>
      </c>
      <c r="D7" s="105"/>
      <c r="E7" s="23">
        <v>-2140869.25</v>
      </c>
      <c r="F7" s="23">
        <v>-2322093.02</v>
      </c>
      <c r="G7" s="23">
        <v>-2299999.9999999902</v>
      </c>
      <c r="H7" s="29">
        <v>-2095098.8</v>
      </c>
      <c r="I7" s="25">
        <v>-2500000</v>
      </c>
      <c r="J7" s="18"/>
    </row>
    <row r="8" spans="1:22" x14ac:dyDescent="0.25">
      <c r="A8" s="8" t="s">
        <v>15</v>
      </c>
      <c r="B8" s="9" t="s">
        <v>27</v>
      </c>
      <c r="C8" s="105" t="s">
        <v>16</v>
      </c>
      <c r="D8" s="105"/>
      <c r="E8" s="23">
        <v>-145315.82</v>
      </c>
      <c r="F8" s="23">
        <v>-172455.48</v>
      </c>
      <c r="G8" s="23">
        <v>-190133.33333331801</v>
      </c>
      <c r="H8" s="29">
        <v>-139817.5</v>
      </c>
      <c r="I8" s="25">
        <v>-200000</v>
      </c>
      <c r="J8" s="18"/>
    </row>
    <row r="9" spans="1:22" x14ac:dyDescent="0.25">
      <c r="A9" s="8" t="s">
        <v>17</v>
      </c>
      <c r="B9" s="9" t="s">
        <v>27</v>
      </c>
      <c r="C9" s="105" t="s">
        <v>18</v>
      </c>
      <c r="D9" s="105"/>
      <c r="E9" s="23">
        <v>-434518.05</v>
      </c>
      <c r="F9" s="23">
        <v>-492176.67</v>
      </c>
      <c r="G9" s="23">
        <v>-449999.99999998801</v>
      </c>
      <c r="H9" s="29">
        <v>-309148.46000000002</v>
      </c>
      <c r="I9" s="25">
        <v>-550000</v>
      </c>
      <c r="J9" s="38" t="s">
        <v>180</v>
      </c>
    </row>
    <row r="10" spans="1:22" x14ac:dyDescent="0.25">
      <c r="A10" s="8" t="s">
        <v>19</v>
      </c>
      <c r="B10" s="9" t="s">
        <v>27</v>
      </c>
      <c r="C10" s="105" t="s">
        <v>20</v>
      </c>
      <c r="D10" s="105"/>
      <c r="E10" s="23">
        <v>-2636079.87</v>
      </c>
      <c r="F10" s="23">
        <v>-2840011.66</v>
      </c>
      <c r="G10" s="23">
        <v>-2599999.99999998</v>
      </c>
      <c r="H10" s="29">
        <v>-2585027.94</v>
      </c>
      <c r="I10" s="25">
        <v>-3300000</v>
      </c>
      <c r="J10" s="38" t="s">
        <v>181</v>
      </c>
      <c r="K10" s="101">
        <v>-400000</v>
      </c>
    </row>
    <row r="11" spans="1:22" x14ac:dyDescent="0.25">
      <c r="A11" s="8" t="s">
        <v>21</v>
      </c>
      <c r="B11" s="9" t="s">
        <v>27</v>
      </c>
      <c r="C11" s="105" t="s">
        <v>22</v>
      </c>
      <c r="D11" s="105"/>
      <c r="E11" s="23">
        <v>-280905.43000000098</v>
      </c>
      <c r="F11" s="23">
        <v>-356938.50000000099</v>
      </c>
      <c r="G11" s="23">
        <v>-329999.99999998399</v>
      </c>
      <c r="H11" s="29">
        <v>-244524.89</v>
      </c>
      <c r="I11" s="25">
        <v>-400000</v>
      </c>
      <c r="J11" s="18"/>
    </row>
    <row r="12" spans="1:22" x14ac:dyDescent="0.25">
      <c r="A12" s="8" t="s">
        <v>23</v>
      </c>
      <c r="B12" s="9" t="s">
        <v>27</v>
      </c>
      <c r="C12" s="105" t="s">
        <v>24</v>
      </c>
      <c r="D12" s="105"/>
      <c r="E12" s="23">
        <v>-20135</v>
      </c>
      <c r="F12" s="23">
        <v>-17099</v>
      </c>
      <c r="G12" s="23">
        <v>-24999.999999976</v>
      </c>
      <c r="H12" s="29">
        <v>-18130</v>
      </c>
      <c r="I12" s="25">
        <v>-25000</v>
      </c>
      <c r="J12" s="18"/>
    </row>
    <row r="13" spans="1:22" x14ac:dyDescent="0.25">
      <c r="A13" s="8" t="s">
        <v>25</v>
      </c>
      <c r="B13" s="9" t="s">
        <v>27</v>
      </c>
      <c r="C13" s="105" t="s">
        <v>26</v>
      </c>
      <c r="D13" s="105"/>
      <c r="E13" s="23">
        <v>-708764</v>
      </c>
      <c r="F13" s="23">
        <v>-808633</v>
      </c>
      <c r="G13" s="23">
        <v>-809999.99999997998</v>
      </c>
      <c r="H13" s="29">
        <v>-780195</v>
      </c>
      <c r="I13" s="25">
        <v>-900000</v>
      </c>
      <c r="J13" s="38" t="s">
        <v>182</v>
      </c>
    </row>
    <row r="14" spans="1:22" x14ac:dyDescent="0.25">
      <c r="C14" s="42" t="s">
        <v>28</v>
      </c>
      <c r="D14" s="42"/>
      <c r="E14" s="43">
        <f>SUM(E6:E13)</f>
        <v>-6882749.9000000004</v>
      </c>
      <c r="F14" s="43">
        <f t="shared" ref="F14:I14" si="0">SUM(F6:F13)</f>
        <v>-7486557.4900000012</v>
      </c>
      <c r="G14" s="43">
        <f t="shared" si="0"/>
        <v>-7255133.3333331756</v>
      </c>
      <c r="H14" s="44">
        <f t="shared" si="0"/>
        <v>-6561962.2599999998</v>
      </c>
      <c r="I14" s="45">
        <f t="shared" si="0"/>
        <v>-8425000</v>
      </c>
    </row>
    <row r="15" spans="1:22" x14ac:dyDescent="0.25">
      <c r="C15" s="34"/>
      <c r="D15" s="34"/>
      <c r="E15" s="34"/>
      <c r="F15" s="34"/>
      <c r="G15" s="34"/>
      <c r="H15" s="35"/>
      <c r="I15" s="36"/>
    </row>
    <row r="16" spans="1:22" x14ac:dyDescent="0.25">
      <c r="A16" s="8" t="s">
        <v>30</v>
      </c>
      <c r="B16" s="9" t="s">
        <v>50</v>
      </c>
      <c r="C16" s="104" t="s">
        <v>31</v>
      </c>
      <c r="D16" s="104"/>
      <c r="E16" s="23">
        <v>-31318503.25</v>
      </c>
      <c r="F16" s="23">
        <v>-32261471.149999999</v>
      </c>
      <c r="G16" s="23">
        <f>-42400497.1335645+379000</f>
        <v>-42021497.133564502</v>
      </c>
      <c r="H16" s="29">
        <v>-35557735.280000001</v>
      </c>
      <c r="I16" s="25">
        <v>-43000000</v>
      </c>
      <c r="J16" s="38" t="s">
        <v>205</v>
      </c>
      <c r="K16" s="101">
        <v>-4000000</v>
      </c>
      <c r="M16" s="51" t="s">
        <v>222</v>
      </c>
      <c r="N16" s="41"/>
      <c r="O16" s="41"/>
      <c r="P16" s="41"/>
      <c r="Q16" s="41"/>
      <c r="R16" s="41"/>
      <c r="S16" s="41"/>
      <c r="T16" s="41"/>
      <c r="U16" s="41"/>
      <c r="V16" s="41"/>
    </row>
    <row r="17" spans="1:25" x14ac:dyDescent="0.25">
      <c r="A17" s="8" t="s">
        <v>32</v>
      </c>
      <c r="B17" s="9" t="s">
        <v>50</v>
      </c>
      <c r="C17" s="104" t="s">
        <v>33</v>
      </c>
      <c r="D17" s="104"/>
      <c r="E17" s="23">
        <v>-53936823.649999999</v>
      </c>
      <c r="F17" s="23">
        <v>-50947252.649999999</v>
      </c>
      <c r="G17" s="23">
        <f>-55999977.9092224+3541000</f>
        <v>-52458977.909222402</v>
      </c>
      <c r="H17" s="29">
        <v>-38304623.020000003</v>
      </c>
      <c r="I17" s="25">
        <v>-54600000</v>
      </c>
      <c r="J17" s="38" t="s">
        <v>206</v>
      </c>
      <c r="K17" s="101">
        <f>-2000000-2160000</f>
        <v>-4160000</v>
      </c>
      <c r="M17" s="107" t="s">
        <v>221</v>
      </c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5" x14ac:dyDescent="0.25">
      <c r="A18" s="8" t="s">
        <v>34</v>
      </c>
      <c r="B18" s="9" t="s">
        <v>50</v>
      </c>
      <c r="C18" s="104" t="s">
        <v>35</v>
      </c>
      <c r="D18" s="104"/>
      <c r="E18" s="23">
        <v>-666754.27</v>
      </c>
      <c r="F18" s="23">
        <v>-560141.91</v>
      </c>
      <c r="G18" s="23">
        <v>-849695.84138200001</v>
      </c>
      <c r="H18" s="29">
        <v>-567880.5</v>
      </c>
      <c r="I18" s="25">
        <v>-750000</v>
      </c>
      <c r="J18" s="38" t="s">
        <v>183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</row>
    <row r="19" spans="1:25" x14ac:dyDescent="0.25">
      <c r="A19" s="8" t="s">
        <v>36</v>
      </c>
      <c r="B19" s="9" t="s">
        <v>50</v>
      </c>
      <c r="C19" s="104" t="s">
        <v>37</v>
      </c>
      <c r="D19" s="104"/>
      <c r="E19" s="23">
        <v>-9711805.3400000092</v>
      </c>
      <c r="F19" s="23">
        <v>-14402956</v>
      </c>
      <c r="G19" s="23">
        <v>-9700115.1786342803</v>
      </c>
      <c r="H19" s="29">
        <v>-10354646.74</v>
      </c>
      <c r="I19" s="25">
        <v>-12000000</v>
      </c>
      <c r="J19" s="38" t="s">
        <v>208</v>
      </c>
      <c r="K19" s="101">
        <v>-1000000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1:25" x14ac:dyDescent="0.25">
      <c r="A20" s="8" t="s">
        <v>38</v>
      </c>
      <c r="B20" s="9" t="s">
        <v>50</v>
      </c>
      <c r="C20" s="104" t="s">
        <v>39</v>
      </c>
      <c r="D20" s="104"/>
      <c r="E20" s="23">
        <v>-851633.2</v>
      </c>
      <c r="F20" s="23">
        <v>-1306703.8</v>
      </c>
      <c r="G20" s="23">
        <v>-999832.94181564497</v>
      </c>
      <c r="H20" s="29">
        <v>-1118484</v>
      </c>
      <c r="I20" s="25">
        <v>-1200000</v>
      </c>
    </row>
    <row r="21" spans="1:25" x14ac:dyDescent="0.25">
      <c r="A21" s="8" t="s">
        <v>40</v>
      </c>
      <c r="B21" s="9" t="s">
        <v>50</v>
      </c>
      <c r="C21" s="104" t="s">
        <v>41</v>
      </c>
      <c r="D21" s="104"/>
      <c r="E21" s="23">
        <v>-874797.69</v>
      </c>
      <c r="F21" s="23">
        <v>-431795.34</v>
      </c>
      <c r="G21" s="23">
        <v>0</v>
      </c>
      <c r="H21" s="29">
        <v>-437569.69</v>
      </c>
      <c r="I21" s="25">
        <v>0</v>
      </c>
    </row>
    <row r="22" spans="1:25" x14ac:dyDescent="0.25">
      <c r="A22" s="8" t="s">
        <v>42</v>
      </c>
      <c r="B22" s="9" t="s">
        <v>50</v>
      </c>
      <c r="C22" s="104" t="s">
        <v>43</v>
      </c>
      <c r="D22" s="104"/>
      <c r="E22" s="23">
        <v>143687.91</v>
      </c>
      <c r="F22" s="23">
        <v>102908.2</v>
      </c>
      <c r="G22" s="23">
        <v>104999.99999999101</v>
      </c>
      <c r="H22" s="29">
        <v>107519.97</v>
      </c>
      <c r="I22" s="25">
        <v>105000</v>
      </c>
    </row>
    <row r="23" spans="1:25" x14ac:dyDescent="0.25">
      <c r="A23" s="8" t="s">
        <v>44</v>
      </c>
      <c r="B23" s="9" t="s">
        <v>50</v>
      </c>
      <c r="C23" s="104" t="s">
        <v>45</v>
      </c>
      <c r="D23" s="104"/>
      <c r="E23" s="23">
        <v>1773117.54</v>
      </c>
      <c r="F23" s="23">
        <v>1750537.99</v>
      </c>
      <c r="G23" s="23">
        <v>1949999.99999997</v>
      </c>
      <c r="H23" s="29">
        <v>1790780.49</v>
      </c>
      <c r="I23" s="25">
        <v>1950000</v>
      </c>
    </row>
    <row r="24" spans="1:25" x14ac:dyDescent="0.25">
      <c r="A24" s="8" t="s">
        <v>46</v>
      </c>
      <c r="B24" s="9" t="s">
        <v>50</v>
      </c>
      <c r="C24" s="104" t="s">
        <v>47</v>
      </c>
      <c r="D24" s="104"/>
      <c r="E24" s="23">
        <v>1184571.1100000001</v>
      </c>
      <c r="F24" s="23">
        <v>1536035.57</v>
      </c>
      <c r="G24" s="23">
        <v>1799999.99999999</v>
      </c>
      <c r="H24" s="29">
        <v>957572.82</v>
      </c>
      <c r="I24" s="25">
        <v>1500000</v>
      </c>
    </row>
    <row r="25" spans="1:25" x14ac:dyDescent="0.25">
      <c r="A25" s="8" t="s">
        <v>48</v>
      </c>
      <c r="B25" s="9" t="s">
        <v>50</v>
      </c>
      <c r="C25" s="104" t="s">
        <v>49</v>
      </c>
      <c r="D25" s="104"/>
      <c r="E25" s="23">
        <v>191790.41</v>
      </c>
      <c r="F25" s="23">
        <v>206487.92</v>
      </c>
      <c r="G25" s="23">
        <v>199999.99999998501</v>
      </c>
      <c r="H25" s="29">
        <v>152990.34</v>
      </c>
      <c r="I25" s="25">
        <v>200000</v>
      </c>
    </row>
    <row r="26" spans="1:25" x14ac:dyDescent="0.25">
      <c r="C26" s="42" t="s">
        <v>28</v>
      </c>
      <c r="D26" s="42"/>
      <c r="E26" s="43">
        <f>SUM(E16:E25)</f>
        <v>-94067150.430000007</v>
      </c>
      <c r="F26" s="43">
        <f>SUM(F16:F25)</f>
        <v>-96314351.170000002</v>
      </c>
      <c r="G26" s="43">
        <f>SUM(G16:G25)</f>
        <v>-101975119.0046189</v>
      </c>
      <c r="H26" s="44">
        <f>SUM(H16:H25)</f>
        <v>-83332075.610000014</v>
      </c>
      <c r="I26" s="45">
        <f>SUM(I16:I25)</f>
        <v>-107795000</v>
      </c>
    </row>
    <row r="27" spans="1:25" x14ac:dyDescent="0.25">
      <c r="C27" s="34"/>
      <c r="D27" s="34"/>
      <c r="E27" s="34"/>
      <c r="F27" s="34"/>
      <c r="G27" s="34"/>
      <c r="H27" s="35"/>
      <c r="I27" s="36"/>
    </row>
    <row r="28" spans="1:25" ht="15" customHeight="1" x14ac:dyDescent="0.25">
      <c r="A28" s="8" t="s">
        <v>51</v>
      </c>
      <c r="B28" s="9" t="s">
        <v>55</v>
      </c>
      <c r="C28" s="104" t="s">
        <v>52</v>
      </c>
      <c r="D28" s="104"/>
      <c r="E28" s="23">
        <v>-932233</v>
      </c>
      <c r="F28" s="23">
        <v>-731444.5</v>
      </c>
      <c r="G28" s="23">
        <v>-500000</v>
      </c>
      <c r="H28" s="29">
        <v>-1622145.6</v>
      </c>
      <c r="I28" s="25">
        <v>-500000</v>
      </c>
    </row>
    <row r="29" spans="1:25" x14ac:dyDescent="0.25">
      <c r="A29" s="8" t="s">
        <v>53</v>
      </c>
      <c r="B29" s="9" t="s">
        <v>55</v>
      </c>
      <c r="C29" s="104" t="s">
        <v>54</v>
      </c>
      <c r="D29" s="104"/>
      <c r="E29" s="23">
        <v>-1107335.27</v>
      </c>
      <c r="F29" s="23">
        <v>-1164135.1399999999</v>
      </c>
      <c r="G29" s="23">
        <v>-18900000</v>
      </c>
      <c r="H29" s="29">
        <v>-21852903.239999998</v>
      </c>
      <c r="I29" s="39">
        <f>-700000-1000000-1500000-700000-2000000-100000</f>
        <v>-6000000</v>
      </c>
      <c r="J29" s="40" t="s">
        <v>184</v>
      </c>
      <c r="R29" s="53">
        <v>6000000</v>
      </c>
      <c r="S29" s="107" t="s">
        <v>211</v>
      </c>
      <c r="T29" s="107"/>
      <c r="U29" s="107"/>
      <c r="V29" s="107"/>
      <c r="W29" s="107"/>
      <c r="X29" s="107"/>
      <c r="Y29" s="107"/>
    </row>
    <row r="30" spans="1:25" x14ac:dyDescent="0.25">
      <c r="C30" s="42" t="s">
        <v>28</v>
      </c>
      <c r="D30" s="42"/>
      <c r="E30" s="43">
        <f>SUM(E28:E29)</f>
        <v>-2039568.27</v>
      </c>
      <c r="F30" s="43">
        <f t="shared" ref="F30:I30" si="1">SUM(F28:F29)</f>
        <v>-1895579.64</v>
      </c>
      <c r="G30" s="43">
        <f t="shared" si="1"/>
        <v>-19400000</v>
      </c>
      <c r="H30" s="44">
        <f t="shared" si="1"/>
        <v>-23475048.84</v>
      </c>
      <c r="I30" s="45">
        <f t="shared" si="1"/>
        <v>-6500000</v>
      </c>
      <c r="R30" s="46" t="s">
        <v>212</v>
      </c>
      <c r="S30" s="107"/>
      <c r="T30" s="107"/>
      <c r="U30" s="107"/>
      <c r="V30" s="107"/>
      <c r="W30" s="107"/>
      <c r="X30" s="107"/>
      <c r="Y30" s="107"/>
    </row>
    <row r="31" spans="1:25" x14ac:dyDescent="0.25">
      <c r="C31" s="34"/>
      <c r="D31" s="34"/>
      <c r="E31" s="34"/>
      <c r="F31" s="34"/>
      <c r="G31" s="34"/>
      <c r="H31" s="35"/>
      <c r="I31" s="36"/>
      <c r="R31" s="41"/>
      <c r="S31" s="107"/>
      <c r="T31" s="107"/>
      <c r="U31" s="107"/>
      <c r="V31" s="107"/>
      <c r="W31" s="107"/>
      <c r="X31" s="107"/>
      <c r="Y31" s="107"/>
    </row>
    <row r="32" spans="1:25" x14ac:dyDescent="0.25">
      <c r="A32" s="8" t="s">
        <v>56</v>
      </c>
      <c r="B32" s="9" t="s">
        <v>66</v>
      </c>
      <c r="C32" s="104" t="s">
        <v>57</v>
      </c>
      <c r="D32" s="104"/>
      <c r="E32" s="23">
        <v>-1236600.17</v>
      </c>
      <c r="F32" s="23">
        <v>-1020629.45</v>
      </c>
      <c r="G32" s="23">
        <v>-299999.999999939</v>
      </c>
      <c r="H32" s="29">
        <v>-1042322.08</v>
      </c>
      <c r="I32" s="25">
        <v>-100000</v>
      </c>
    </row>
    <row r="33" spans="1:18" x14ac:dyDescent="0.25">
      <c r="A33" s="8" t="s">
        <v>58</v>
      </c>
      <c r="B33" s="9" t="s">
        <v>66</v>
      </c>
      <c r="C33" s="104" t="s">
        <v>59</v>
      </c>
      <c r="D33" s="104"/>
      <c r="E33" s="23">
        <v>-8855827.8900000006</v>
      </c>
      <c r="F33" s="23">
        <v>-7500087.1900000004</v>
      </c>
      <c r="G33" s="23">
        <v>-7099999.9999997597</v>
      </c>
      <c r="H33" s="29">
        <v>-6102092.9800000004</v>
      </c>
      <c r="I33" s="25">
        <v>-7600000</v>
      </c>
      <c r="J33" s="38" t="s">
        <v>187</v>
      </c>
      <c r="L33" s="41" t="s">
        <v>196</v>
      </c>
      <c r="M33" s="38" t="s">
        <v>203</v>
      </c>
    </row>
    <row r="34" spans="1:18" x14ac:dyDescent="0.25">
      <c r="A34" s="8" t="s">
        <v>60</v>
      </c>
      <c r="B34" s="9" t="s">
        <v>66</v>
      </c>
      <c r="C34" s="104" t="s">
        <v>61</v>
      </c>
      <c r="D34" s="104"/>
      <c r="E34" s="23">
        <v>-29564770.009999901</v>
      </c>
      <c r="F34" s="23">
        <v>-37610420.93</v>
      </c>
      <c r="G34" s="23">
        <v>-28699999.999999601</v>
      </c>
      <c r="H34" s="29">
        <v>-24058614.309999999</v>
      </c>
      <c r="I34" s="25">
        <v>-28700000</v>
      </c>
      <c r="J34" s="17" t="s">
        <v>185</v>
      </c>
      <c r="L34" s="38">
        <f>+I34+I63</f>
        <v>-29000000</v>
      </c>
    </row>
    <row r="35" spans="1:18" x14ac:dyDescent="0.25">
      <c r="A35" s="8" t="s">
        <v>62</v>
      </c>
      <c r="B35" s="9" t="s">
        <v>66</v>
      </c>
      <c r="C35" s="104" t="s">
        <v>63</v>
      </c>
      <c r="D35" s="104"/>
      <c r="E35" s="23">
        <v>-7028569.2800000003</v>
      </c>
      <c r="F35" s="23">
        <v>-9425105.4800000004</v>
      </c>
      <c r="G35" s="23">
        <v>-499575.24436860101</v>
      </c>
      <c r="H35" s="59">
        <v>-11674655.48</v>
      </c>
      <c r="I35" s="60">
        <v>-500000</v>
      </c>
      <c r="J35" s="17" t="s">
        <v>186</v>
      </c>
      <c r="L35" s="38">
        <f>+I35+I64+I65</f>
        <v>-22100000</v>
      </c>
    </row>
    <row r="36" spans="1:18" x14ac:dyDescent="0.25">
      <c r="A36" s="8" t="s">
        <v>64</v>
      </c>
      <c r="B36" s="9" t="s">
        <v>66</v>
      </c>
      <c r="C36" s="104" t="s">
        <v>65</v>
      </c>
      <c r="D36" s="104"/>
      <c r="E36" s="23">
        <v>-106009.19</v>
      </c>
      <c r="F36" s="23">
        <v>-107921.86</v>
      </c>
      <c r="G36" s="23">
        <v>-79999.999999987995</v>
      </c>
      <c r="H36" s="29">
        <v>-60515.13</v>
      </c>
      <c r="I36" s="25">
        <v>-700000</v>
      </c>
      <c r="J36" s="38" t="s">
        <v>188</v>
      </c>
    </row>
    <row r="37" spans="1:18" x14ac:dyDescent="0.25">
      <c r="C37" s="42" t="s">
        <v>28</v>
      </c>
      <c r="D37" s="42"/>
      <c r="E37" s="43">
        <f>SUM(E32:E36)</f>
        <v>-46791776.539999902</v>
      </c>
      <c r="F37" s="43">
        <f t="shared" ref="F37:I37" si="2">SUM(F32:F36)</f>
        <v>-55664164.909999996</v>
      </c>
      <c r="G37" s="43">
        <f t="shared" si="2"/>
        <v>-36679575.244367883</v>
      </c>
      <c r="H37" s="44">
        <f t="shared" si="2"/>
        <v>-42938199.979999997</v>
      </c>
      <c r="I37" s="45">
        <f t="shared" si="2"/>
        <v>-37600000</v>
      </c>
    </row>
    <row r="38" spans="1:18" x14ac:dyDescent="0.25">
      <c r="C38" s="34"/>
      <c r="D38" s="34"/>
      <c r="E38" s="34"/>
      <c r="F38" s="34"/>
      <c r="G38" s="34"/>
      <c r="H38" s="35"/>
      <c r="I38" s="36"/>
    </row>
    <row r="39" spans="1:18" x14ac:dyDescent="0.25">
      <c r="A39" s="8" t="s">
        <v>67</v>
      </c>
      <c r="B39" s="10" t="s">
        <v>77</v>
      </c>
      <c r="C39" s="104" t="s">
        <v>68</v>
      </c>
      <c r="D39" s="104"/>
      <c r="E39" s="23">
        <v>-40931802.000000201</v>
      </c>
      <c r="F39" s="23">
        <v>-44541352.250000097</v>
      </c>
      <c r="G39" s="23">
        <v>-49000339.038001701</v>
      </c>
      <c r="H39" s="29">
        <v>-39600306.920000002</v>
      </c>
      <c r="I39" s="25">
        <v>-55700000</v>
      </c>
      <c r="J39" s="38" t="s">
        <v>190</v>
      </c>
      <c r="K39" s="41" t="s">
        <v>193</v>
      </c>
      <c r="N39" s="38" t="s">
        <v>209</v>
      </c>
      <c r="P39" s="52" t="s">
        <v>229</v>
      </c>
      <c r="Q39" s="51"/>
      <c r="R39" s="38"/>
    </row>
    <row r="40" spans="1:18" x14ac:dyDescent="0.25">
      <c r="A40" s="8" t="s">
        <v>69</v>
      </c>
      <c r="B40" s="10" t="s">
        <v>77</v>
      </c>
      <c r="C40" s="104" t="s">
        <v>70</v>
      </c>
      <c r="D40" s="104"/>
      <c r="E40" s="23">
        <v>-1306156</v>
      </c>
      <c r="F40" s="23">
        <v>-2720491</v>
      </c>
      <c r="G40" s="23">
        <v>-1500000</v>
      </c>
      <c r="H40" s="29">
        <v>-3242302.96</v>
      </c>
      <c r="I40" s="25">
        <v>-2200000</v>
      </c>
      <c r="J40" s="38" t="s">
        <v>189</v>
      </c>
      <c r="N40" s="38" t="s">
        <v>210</v>
      </c>
      <c r="P40" s="49" t="s">
        <v>213</v>
      </c>
      <c r="Q40" s="41"/>
      <c r="R40" s="38">
        <v>2396000</v>
      </c>
    </row>
    <row r="41" spans="1:18" x14ac:dyDescent="0.25">
      <c r="A41" s="8" t="s">
        <v>71</v>
      </c>
      <c r="B41" s="10" t="s">
        <v>77</v>
      </c>
      <c r="C41" s="104" t="s">
        <v>72</v>
      </c>
      <c r="D41" s="104"/>
      <c r="E41" s="23">
        <v>-414050</v>
      </c>
      <c r="F41" s="23">
        <v>-37619</v>
      </c>
      <c r="G41" s="23">
        <v>-50000</v>
      </c>
      <c r="H41" s="29">
        <v>0</v>
      </c>
      <c r="I41" s="25">
        <v>0</v>
      </c>
      <c r="P41" s="41" t="s">
        <v>214</v>
      </c>
      <c r="Q41" s="41"/>
      <c r="R41" s="38">
        <v>3288765</v>
      </c>
    </row>
    <row r="42" spans="1:18" x14ac:dyDescent="0.25">
      <c r="A42" s="8" t="s">
        <v>136</v>
      </c>
      <c r="B42" s="10" t="s">
        <v>77</v>
      </c>
      <c r="C42" s="104" t="s">
        <v>137</v>
      </c>
      <c r="D42" s="104"/>
      <c r="E42" s="23">
        <v>0</v>
      </c>
      <c r="F42" s="23">
        <v>0</v>
      </c>
      <c r="G42" s="23">
        <v>-14081000</v>
      </c>
      <c r="H42" s="30">
        <v>0</v>
      </c>
      <c r="I42" s="25">
        <v>-38500000</v>
      </c>
      <c r="J42" s="38" t="s">
        <v>191</v>
      </c>
      <c r="P42" s="41" t="s">
        <v>215</v>
      </c>
      <c r="Q42" s="41"/>
      <c r="R42" s="38">
        <v>1000000</v>
      </c>
    </row>
    <row r="43" spans="1:18" x14ac:dyDescent="0.25">
      <c r="A43" s="8" t="s">
        <v>73</v>
      </c>
      <c r="B43" s="10" t="s">
        <v>77</v>
      </c>
      <c r="C43" s="104" t="s">
        <v>74</v>
      </c>
      <c r="D43" s="104"/>
      <c r="E43" s="23">
        <v>0</v>
      </c>
      <c r="F43" s="23">
        <v>0</v>
      </c>
      <c r="G43" s="23">
        <v>0</v>
      </c>
      <c r="H43" s="29">
        <v>0</v>
      </c>
      <c r="I43" s="25">
        <v>-1488022.91</v>
      </c>
      <c r="P43" s="47" t="s">
        <v>216</v>
      </c>
      <c r="Q43" s="47"/>
      <c r="R43" s="48">
        <f>+SUM(R40:R42)</f>
        <v>6684765</v>
      </c>
    </row>
    <row r="44" spans="1:18" x14ac:dyDescent="0.25">
      <c r="A44" s="8" t="s">
        <v>75</v>
      </c>
      <c r="B44" s="10" t="s">
        <v>77</v>
      </c>
      <c r="C44" s="104" t="s">
        <v>76</v>
      </c>
      <c r="D44" s="104"/>
      <c r="E44" s="23">
        <v>-315142</v>
      </c>
      <c r="F44" s="23">
        <v>-323739</v>
      </c>
      <c r="G44" s="23">
        <v>-1829999.99999999</v>
      </c>
      <c r="H44" s="29">
        <v>-280902.5</v>
      </c>
      <c r="I44" s="25">
        <v>-1830000</v>
      </c>
    </row>
    <row r="45" spans="1:18" x14ac:dyDescent="0.25">
      <c r="C45" s="42" t="s">
        <v>28</v>
      </c>
      <c r="D45" s="42"/>
      <c r="E45" s="43">
        <f>SUM(E39:E44)</f>
        <v>-42967150.000000201</v>
      </c>
      <c r="F45" s="43">
        <f t="shared" ref="F45" si="3">SUM(F39:F44)</f>
        <v>-47623201.250000097</v>
      </c>
      <c r="G45" s="43">
        <f>SUM(G39:G44)</f>
        <v>-66461339.038001694</v>
      </c>
      <c r="H45" s="44">
        <f t="shared" ref="H45" si="4">SUM(H39:H44)</f>
        <v>-43123512.380000003</v>
      </c>
      <c r="I45" s="45">
        <f t="shared" ref="I45" si="5">SUM(I39:I44)</f>
        <v>-99718022.909999996</v>
      </c>
    </row>
    <row r="46" spans="1:18" x14ac:dyDescent="0.25">
      <c r="C46" s="34"/>
      <c r="D46" s="34"/>
      <c r="E46" s="34"/>
      <c r="F46" s="34"/>
      <c r="G46" s="34"/>
      <c r="H46" s="35"/>
      <c r="I46" s="36"/>
    </row>
    <row r="47" spans="1:18" x14ac:dyDescent="0.25">
      <c r="A47" s="8" t="s">
        <v>78</v>
      </c>
      <c r="B47" s="9" t="s">
        <v>84</v>
      </c>
      <c r="C47" s="104" t="s">
        <v>79</v>
      </c>
      <c r="D47" s="104"/>
      <c r="E47" s="23">
        <v>-1074839.1399999999</v>
      </c>
      <c r="F47" s="23">
        <v>-1530055.78</v>
      </c>
      <c r="G47" s="23">
        <v>-1499979.77380611</v>
      </c>
      <c r="H47" s="29">
        <v>-1469612.73</v>
      </c>
      <c r="I47" s="25">
        <v>-1603000</v>
      </c>
    </row>
    <row r="48" spans="1:18" x14ac:dyDescent="0.25">
      <c r="A48" s="8" t="s">
        <v>80</v>
      </c>
      <c r="B48" s="9" t="s">
        <v>84</v>
      </c>
      <c r="C48" s="104" t="s">
        <v>81</v>
      </c>
      <c r="D48" s="104"/>
      <c r="E48" s="23">
        <v>-504853.28999999899</v>
      </c>
      <c r="F48" s="23">
        <v>-634431.09999999905</v>
      </c>
      <c r="G48" s="23">
        <v>-599647.20608354697</v>
      </c>
      <c r="H48" s="29">
        <v>-615703.68999999901</v>
      </c>
      <c r="I48" s="25">
        <v>-700000</v>
      </c>
      <c r="J48" s="38" t="s">
        <v>202</v>
      </c>
    </row>
    <row r="49" spans="1:21" x14ac:dyDescent="0.25">
      <c r="A49" s="8" t="s">
        <v>82</v>
      </c>
      <c r="B49" s="9" t="s">
        <v>84</v>
      </c>
      <c r="C49" s="104" t="s">
        <v>83</v>
      </c>
      <c r="D49" s="104"/>
      <c r="E49" s="23">
        <v>-13436472.689999999</v>
      </c>
      <c r="F49" s="23">
        <v>-13023648.689999999</v>
      </c>
      <c r="G49" s="23">
        <v>-36555337.381816</v>
      </c>
      <c r="H49" s="29">
        <v>-20129123.870000001</v>
      </c>
      <c r="I49" s="31">
        <v>-20570000</v>
      </c>
      <c r="J49" s="41" t="s">
        <v>192</v>
      </c>
      <c r="K49" s="101">
        <v>-6000000</v>
      </c>
    </row>
    <row r="50" spans="1:21" x14ac:dyDescent="0.25">
      <c r="C50" s="42" t="s">
        <v>28</v>
      </c>
      <c r="D50" s="42"/>
      <c r="E50" s="43">
        <f>SUM(E47:E49)</f>
        <v>-15016165.119999997</v>
      </c>
      <c r="F50" s="43">
        <f t="shared" ref="F50:I50" si="6">SUM(F47:F49)</f>
        <v>-15188135.569999998</v>
      </c>
      <c r="G50" s="43">
        <f t="shared" si="6"/>
        <v>-38654964.361705653</v>
      </c>
      <c r="H50" s="44">
        <f t="shared" si="6"/>
        <v>-22214440.289999999</v>
      </c>
      <c r="I50" s="45">
        <f t="shared" si="6"/>
        <v>-22873000</v>
      </c>
    </row>
    <row r="51" spans="1:21" x14ac:dyDescent="0.25">
      <c r="C51" s="34"/>
      <c r="D51" s="34"/>
      <c r="E51" s="34"/>
      <c r="F51" s="34"/>
      <c r="G51" s="34"/>
      <c r="H51" s="35"/>
      <c r="I51" s="36"/>
      <c r="L51" s="41" t="s">
        <v>196</v>
      </c>
    </row>
    <row r="52" spans="1:21" x14ac:dyDescent="0.25">
      <c r="A52" s="8" t="s">
        <v>85</v>
      </c>
      <c r="B52" s="16" t="s">
        <v>93</v>
      </c>
      <c r="C52" s="104" t="s">
        <v>86</v>
      </c>
      <c r="D52" s="104"/>
      <c r="E52" s="23">
        <v>-20860103.920000002</v>
      </c>
      <c r="F52" s="23">
        <v>-20423598.649999999</v>
      </c>
      <c r="G52" s="23">
        <v>-19999999.9999994</v>
      </c>
      <c r="H52" s="30">
        <v>-16302338.68</v>
      </c>
      <c r="I52" s="25">
        <v>-20000000</v>
      </c>
      <c r="J52" s="17" t="s">
        <v>194</v>
      </c>
      <c r="K52" s="101">
        <v>-2000000</v>
      </c>
      <c r="L52" s="38">
        <f>+I52+I73</f>
        <v>-22200000</v>
      </c>
    </row>
    <row r="53" spans="1:21" x14ac:dyDescent="0.25">
      <c r="A53" s="8" t="s">
        <v>87</v>
      </c>
      <c r="B53" s="16" t="s">
        <v>93</v>
      </c>
      <c r="C53" s="104" t="s">
        <v>88</v>
      </c>
      <c r="D53" s="104"/>
      <c r="E53" s="23">
        <v>-3273622.94</v>
      </c>
      <c r="F53" s="23">
        <v>-4100118.37</v>
      </c>
      <c r="G53" s="23">
        <v>-3969999.9999998002</v>
      </c>
      <c r="H53" s="30">
        <v>-3457974.39</v>
      </c>
      <c r="I53" s="25">
        <v>-4290000</v>
      </c>
      <c r="J53" s="19"/>
      <c r="L53" s="38"/>
    </row>
    <row r="54" spans="1:21" x14ac:dyDescent="0.25">
      <c r="A54" s="8" t="s">
        <v>89</v>
      </c>
      <c r="B54" s="16" t="s">
        <v>93</v>
      </c>
      <c r="C54" s="104" t="s">
        <v>90</v>
      </c>
      <c r="D54" s="104"/>
      <c r="E54" s="23">
        <v>-29732296.989999998</v>
      </c>
      <c r="F54" s="23">
        <v>-32725622.690000001</v>
      </c>
      <c r="G54" s="23">
        <v>-34379999.999999397</v>
      </c>
      <c r="H54" s="30">
        <v>-33596464.479999997</v>
      </c>
      <c r="I54" s="25">
        <v>-35572000</v>
      </c>
      <c r="J54" s="17" t="s">
        <v>195</v>
      </c>
      <c r="K54" s="101">
        <v>-3000000</v>
      </c>
      <c r="L54" s="38">
        <f>+I54+I72</f>
        <v>-40072000</v>
      </c>
    </row>
    <row r="55" spans="1:21" x14ac:dyDescent="0.25">
      <c r="A55" s="8" t="s">
        <v>91</v>
      </c>
      <c r="B55" s="16" t="s">
        <v>93</v>
      </c>
      <c r="C55" s="104" t="s">
        <v>92</v>
      </c>
      <c r="D55" s="104"/>
      <c r="E55" s="23">
        <v>-213146.59</v>
      </c>
      <c r="F55" s="23">
        <v>-76728.759999999995</v>
      </c>
      <c r="G55" s="23">
        <v>-499999.99999997998</v>
      </c>
      <c r="H55" s="30">
        <v>-76604.75</v>
      </c>
      <c r="I55" s="25">
        <v>-100000</v>
      </c>
      <c r="J55" s="18"/>
    </row>
    <row r="56" spans="1:21" x14ac:dyDescent="0.25">
      <c r="C56" s="42" t="s">
        <v>28</v>
      </c>
      <c r="D56" s="42"/>
      <c r="E56" s="43">
        <f>SUM(E52:E55)</f>
        <v>-54079170.440000005</v>
      </c>
      <c r="F56" s="43">
        <f t="shared" ref="F56:I56" si="7">SUM(F52:F55)</f>
        <v>-57326068.469999999</v>
      </c>
      <c r="G56" s="43">
        <f t="shared" si="7"/>
        <v>-58849999.999998577</v>
      </c>
      <c r="H56" s="44">
        <f t="shared" si="7"/>
        <v>-53433382.299999997</v>
      </c>
      <c r="I56" s="45">
        <f t="shared" si="7"/>
        <v>-59962000</v>
      </c>
    </row>
    <row r="57" spans="1:21" x14ac:dyDescent="0.25">
      <c r="C57" s="34"/>
      <c r="D57" s="34"/>
      <c r="E57" s="34"/>
      <c r="F57" s="34"/>
      <c r="G57" s="34"/>
      <c r="H57" s="35"/>
      <c r="I57" s="36"/>
    </row>
    <row r="58" spans="1:21" x14ac:dyDescent="0.25">
      <c r="A58" s="8" t="s">
        <v>94</v>
      </c>
      <c r="B58" s="20" t="s">
        <v>134</v>
      </c>
      <c r="C58" s="104" t="s">
        <v>95</v>
      </c>
      <c r="D58" s="104"/>
      <c r="E58" s="23">
        <v>-5771419.3200000003</v>
      </c>
      <c r="F58" s="23">
        <v>-5288612.3299999898</v>
      </c>
      <c r="G58" s="23">
        <v>-5977011.3616224304</v>
      </c>
      <c r="H58" s="29">
        <v>-4765962.83</v>
      </c>
      <c r="I58" s="25">
        <v>-6370387</v>
      </c>
      <c r="J58" s="23"/>
    </row>
    <row r="59" spans="1:21" x14ac:dyDescent="0.25">
      <c r="A59" s="8" t="s">
        <v>96</v>
      </c>
      <c r="B59" s="20" t="s">
        <v>134</v>
      </c>
      <c r="C59" s="104" t="s">
        <v>97</v>
      </c>
      <c r="D59" s="104"/>
      <c r="E59" s="23">
        <v>-1388594.84</v>
      </c>
      <c r="F59" s="23">
        <v>-1440965.31</v>
      </c>
      <c r="G59" s="23">
        <v>-1480000</v>
      </c>
      <c r="H59" s="29">
        <v>-1371936.15</v>
      </c>
      <c r="I59" s="25">
        <v>-1620000</v>
      </c>
      <c r="J59" s="19"/>
    </row>
    <row r="60" spans="1:21" x14ac:dyDescent="0.25">
      <c r="A60" s="8" t="s">
        <v>98</v>
      </c>
      <c r="B60" s="20" t="s">
        <v>134</v>
      </c>
      <c r="C60" s="104" t="s">
        <v>99</v>
      </c>
      <c r="D60" s="104"/>
      <c r="E60" s="23">
        <v>0</v>
      </c>
      <c r="F60" s="23">
        <v>0</v>
      </c>
      <c r="G60" s="23">
        <v>-699999.99999993597</v>
      </c>
      <c r="H60" s="30">
        <v>0</v>
      </c>
      <c r="I60" s="25">
        <v>-900000</v>
      </c>
      <c r="J60" s="17" t="s">
        <v>100</v>
      </c>
    </row>
    <row r="61" spans="1:21" x14ac:dyDescent="0.25">
      <c r="A61" s="8" t="s">
        <v>101</v>
      </c>
      <c r="B61" s="20" t="s">
        <v>134</v>
      </c>
      <c r="C61" s="104" t="s">
        <v>102</v>
      </c>
      <c r="D61" s="104"/>
      <c r="E61" s="23">
        <v>-16128681</v>
      </c>
      <c r="F61" s="23">
        <v>-18042620</v>
      </c>
      <c r="G61" s="23">
        <f>-17750079.3416158+789000</f>
        <v>-16961079.3416158</v>
      </c>
      <c r="H61" s="29">
        <v>-13734731</v>
      </c>
      <c r="I61" s="25">
        <v>-17350000</v>
      </c>
      <c r="J61" s="38" t="s">
        <v>207</v>
      </c>
      <c r="L61" s="51" t="s">
        <v>228</v>
      </c>
    </row>
    <row r="62" spans="1:21" x14ac:dyDescent="0.25">
      <c r="A62" s="8" t="s">
        <v>103</v>
      </c>
      <c r="B62" s="20" t="s">
        <v>134</v>
      </c>
      <c r="C62" s="104" t="s">
        <v>104</v>
      </c>
      <c r="D62" s="104"/>
      <c r="E62" s="23">
        <v>-207846.65</v>
      </c>
      <c r="F62" s="23">
        <v>-499596.47</v>
      </c>
      <c r="G62" s="23">
        <v>-349999.99999999499</v>
      </c>
      <c r="H62" s="29">
        <v>-396012.79</v>
      </c>
      <c r="I62" s="25">
        <v>-1500000</v>
      </c>
      <c r="J62" s="38" t="s">
        <v>197</v>
      </c>
      <c r="L62" s="106" t="s">
        <v>223</v>
      </c>
      <c r="M62" s="107"/>
      <c r="N62" s="107"/>
      <c r="O62" s="107"/>
      <c r="P62" s="107"/>
      <c r="Q62" s="107"/>
      <c r="R62" s="50"/>
      <c r="S62" s="50"/>
      <c r="T62" s="50"/>
      <c r="U62" s="50"/>
    </row>
    <row r="63" spans="1:21" x14ac:dyDescent="0.25">
      <c r="A63" s="8" t="s">
        <v>105</v>
      </c>
      <c r="B63" s="20" t="s">
        <v>134</v>
      </c>
      <c r="C63" s="104" t="s">
        <v>106</v>
      </c>
      <c r="D63" s="104"/>
      <c r="E63" s="23">
        <v>0</v>
      </c>
      <c r="F63" s="23">
        <v>0</v>
      </c>
      <c r="G63" s="23">
        <v>-299999.99999957101</v>
      </c>
      <c r="H63" s="30">
        <v>0</v>
      </c>
      <c r="I63" s="25">
        <v>-300000</v>
      </c>
      <c r="J63" s="17" t="s">
        <v>107</v>
      </c>
      <c r="L63" s="106" t="s">
        <v>224</v>
      </c>
      <c r="M63" s="107"/>
      <c r="N63" s="107"/>
      <c r="O63" s="107"/>
      <c r="P63" s="107"/>
      <c r="Q63" s="107"/>
      <c r="R63" s="107"/>
      <c r="S63" s="107"/>
      <c r="T63" s="107"/>
      <c r="U63" s="107"/>
    </row>
    <row r="64" spans="1:21" x14ac:dyDescent="0.25">
      <c r="A64" s="8" t="s">
        <v>108</v>
      </c>
      <c r="B64" s="20" t="s">
        <v>134</v>
      </c>
      <c r="C64" s="104" t="s">
        <v>109</v>
      </c>
      <c r="D64" s="104"/>
      <c r="E64" s="23">
        <v>0</v>
      </c>
      <c r="F64" s="23">
        <v>0</v>
      </c>
      <c r="G64" s="23">
        <v>-7399631.9180194195</v>
      </c>
      <c r="H64" s="30">
        <v>0</v>
      </c>
      <c r="I64" s="25">
        <v>-18100000</v>
      </c>
      <c r="J64" s="17" t="s">
        <v>135</v>
      </c>
      <c r="L64" s="106" t="s">
        <v>225</v>
      </c>
      <c r="M64" s="107"/>
      <c r="N64" s="107"/>
      <c r="O64" s="107"/>
      <c r="P64" s="107"/>
      <c r="Q64" s="107"/>
      <c r="R64" s="107"/>
      <c r="S64" s="107"/>
      <c r="T64" s="107"/>
      <c r="U64" s="107"/>
    </row>
    <row r="65" spans="1:21" x14ac:dyDescent="0.25">
      <c r="A65" s="8" t="s">
        <v>110</v>
      </c>
      <c r="B65" s="20" t="s">
        <v>134</v>
      </c>
      <c r="C65" s="104" t="s">
        <v>111</v>
      </c>
      <c r="D65" s="104"/>
      <c r="E65" s="23">
        <v>0</v>
      </c>
      <c r="F65" s="23">
        <v>0</v>
      </c>
      <c r="G65" s="23">
        <v>-2399880.6220601299</v>
      </c>
      <c r="H65" s="29">
        <v>-209809.29</v>
      </c>
      <c r="I65" s="25">
        <v>-3500000</v>
      </c>
      <c r="J65" s="19"/>
      <c r="K65" s="101">
        <v>-1000000</v>
      </c>
      <c r="L65" s="106" t="s">
        <v>226</v>
      </c>
      <c r="M65" s="107"/>
      <c r="N65" s="107"/>
      <c r="O65" s="107"/>
      <c r="P65" s="107"/>
      <c r="Q65" s="107"/>
      <c r="R65" s="107"/>
      <c r="S65" s="107"/>
      <c r="T65" s="107"/>
      <c r="U65" s="107"/>
    </row>
    <row r="66" spans="1:21" x14ac:dyDescent="0.25">
      <c r="A66" s="8" t="s">
        <v>112</v>
      </c>
      <c r="B66" s="20" t="s">
        <v>134</v>
      </c>
      <c r="C66" s="104" t="s">
        <v>113</v>
      </c>
      <c r="D66" s="104"/>
      <c r="E66" s="23">
        <v>-1674285.9300000099</v>
      </c>
      <c r="F66" s="23">
        <v>-1710616.1300000099</v>
      </c>
      <c r="G66" s="23">
        <v>-1799999.99999977</v>
      </c>
      <c r="H66" s="29">
        <v>-1775061.72</v>
      </c>
      <c r="I66" s="25">
        <v>-1920000</v>
      </c>
      <c r="J66" s="19"/>
      <c r="L66" s="106" t="s">
        <v>227</v>
      </c>
      <c r="M66" s="107"/>
      <c r="N66" s="107"/>
      <c r="O66" s="107"/>
      <c r="P66" s="107"/>
      <c r="Q66" s="107"/>
      <c r="R66" s="107"/>
      <c r="S66" s="107"/>
      <c r="T66" s="107"/>
      <c r="U66" s="107"/>
    </row>
    <row r="67" spans="1:21" x14ac:dyDescent="0.25">
      <c r="A67" s="8" t="s">
        <v>114</v>
      </c>
      <c r="B67" s="20" t="s">
        <v>134</v>
      </c>
      <c r="C67" s="104" t="s">
        <v>115</v>
      </c>
      <c r="D67" s="104"/>
      <c r="E67" s="23">
        <v>-357833.4</v>
      </c>
      <c r="F67" s="23">
        <v>-398469.6</v>
      </c>
      <c r="G67" s="23">
        <v>-399762.74951735197</v>
      </c>
      <c r="H67" s="29">
        <v>-400796.2</v>
      </c>
      <c r="I67" s="25">
        <v>-460000</v>
      </c>
      <c r="J67" s="19"/>
    </row>
    <row r="68" spans="1:21" x14ac:dyDescent="0.25">
      <c r="A68" s="8" t="s">
        <v>116</v>
      </c>
      <c r="B68" s="20" t="s">
        <v>134</v>
      </c>
      <c r="C68" s="104" t="s">
        <v>117</v>
      </c>
      <c r="D68" s="104"/>
      <c r="E68" s="23">
        <v>-8676197.0000000093</v>
      </c>
      <c r="F68" s="23">
        <v>-8191317.0000000102</v>
      </c>
      <c r="G68" s="23">
        <v>-8499537.3121738005</v>
      </c>
      <c r="H68" s="29">
        <v>-7022693.0200000098</v>
      </c>
      <c r="I68" s="25">
        <v>-9000000</v>
      </c>
      <c r="J68" s="38" t="s">
        <v>198</v>
      </c>
      <c r="K68" s="101">
        <v>-500000</v>
      </c>
    </row>
    <row r="69" spans="1:21" x14ac:dyDescent="0.25">
      <c r="A69" s="8" t="s">
        <v>118</v>
      </c>
      <c r="B69" s="20" t="s">
        <v>134</v>
      </c>
      <c r="C69" s="104" t="s">
        <v>119</v>
      </c>
      <c r="D69" s="104"/>
      <c r="E69" s="23">
        <v>-67561.2</v>
      </c>
      <c r="F69" s="23">
        <v>-79893.2</v>
      </c>
      <c r="G69" s="23">
        <v>-74999.999999991996</v>
      </c>
      <c r="H69" s="29">
        <v>-52334.65</v>
      </c>
      <c r="I69" s="25">
        <v>-75000</v>
      </c>
      <c r="J69" s="19"/>
    </row>
    <row r="70" spans="1:21" x14ac:dyDescent="0.25">
      <c r="A70" s="8" t="s">
        <v>120</v>
      </c>
      <c r="B70" s="20" t="s">
        <v>134</v>
      </c>
      <c r="C70" s="104" t="s">
        <v>121</v>
      </c>
      <c r="D70" s="104"/>
      <c r="E70" s="23">
        <v>-274789.40000000002</v>
      </c>
      <c r="F70" s="23">
        <v>-214710</v>
      </c>
      <c r="G70" s="23">
        <v>-1100000</v>
      </c>
      <c r="H70" s="29">
        <v>-787629.75</v>
      </c>
      <c r="I70" s="25">
        <v>-1500000</v>
      </c>
      <c r="J70" s="38" t="s">
        <v>197</v>
      </c>
      <c r="K70" s="101">
        <v>-500000</v>
      </c>
    </row>
    <row r="71" spans="1:21" x14ac:dyDescent="0.25">
      <c r="A71" s="8" t="s">
        <v>122</v>
      </c>
      <c r="B71" s="20" t="s">
        <v>134</v>
      </c>
      <c r="C71" s="104" t="s">
        <v>123</v>
      </c>
      <c r="D71" s="104"/>
      <c r="E71" s="23">
        <v>-98868.22</v>
      </c>
      <c r="F71" s="23">
        <v>-278119</v>
      </c>
      <c r="G71" s="23">
        <v>-249999.999999989</v>
      </c>
      <c r="H71" s="29">
        <v>-188768.18</v>
      </c>
      <c r="I71" s="25">
        <v>-350000</v>
      </c>
      <c r="J71" s="19"/>
    </row>
    <row r="72" spans="1:21" x14ac:dyDescent="0.25">
      <c r="A72" s="8" t="s">
        <v>124</v>
      </c>
      <c r="B72" s="20" t="s">
        <v>134</v>
      </c>
      <c r="C72" s="104" t="s">
        <v>125</v>
      </c>
      <c r="D72" s="104"/>
      <c r="E72" s="23"/>
      <c r="F72" s="23"/>
      <c r="G72" s="23"/>
      <c r="H72" s="30">
        <v>0</v>
      </c>
      <c r="I72" s="31">
        <v>-4500000</v>
      </c>
      <c r="J72" s="17" t="s">
        <v>126</v>
      </c>
    </row>
    <row r="73" spans="1:21" x14ac:dyDescent="0.25">
      <c r="A73" s="8" t="s">
        <v>127</v>
      </c>
      <c r="B73" s="20" t="s">
        <v>134</v>
      </c>
      <c r="C73" s="104" t="s">
        <v>128</v>
      </c>
      <c r="D73" s="104"/>
      <c r="E73" s="23"/>
      <c r="F73" s="23"/>
      <c r="G73" s="23"/>
      <c r="H73" s="30">
        <v>0</v>
      </c>
      <c r="I73" s="31">
        <v>-2200000</v>
      </c>
      <c r="J73" s="17" t="s">
        <v>129</v>
      </c>
    </row>
    <row r="74" spans="1:21" x14ac:dyDescent="0.25">
      <c r="A74" s="8" t="s">
        <v>130</v>
      </c>
      <c r="B74" s="20" t="s">
        <v>134</v>
      </c>
      <c r="C74" s="104" t="s">
        <v>131</v>
      </c>
      <c r="D74" s="104"/>
      <c r="E74" s="23">
        <v>38727.699999999997</v>
      </c>
      <c r="F74" s="23">
        <v>82455.600000000006</v>
      </c>
      <c r="G74" s="23">
        <v>19999.999999994001</v>
      </c>
      <c r="H74" s="29">
        <v>95726</v>
      </c>
      <c r="I74" s="25">
        <v>20000</v>
      </c>
      <c r="J74" s="19"/>
    </row>
    <row r="75" spans="1:21" x14ac:dyDescent="0.25">
      <c r="A75" s="8" t="s">
        <v>132</v>
      </c>
      <c r="B75" s="20" t="s">
        <v>134</v>
      </c>
      <c r="C75" s="104" t="s">
        <v>133</v>
      </c>
      <c r="D75" s="104"/>
      <c r="E75" s="23">
        <v>663134.14</v>
      </c>
      <c r="F75" s="23">
        <v>893514.08</v>
      </c>
      <c r="G75" s="23">
        <v>989999.99999997194</v>
      </c>
      <c r="H75" s="29">
        <v>734621.22</v>
      </c>
      <c r="I75" s="25">
        <v>990000</v>
      </c>
      <c r="J75" s="18"/>
    </row>
    <row r="76" spans="1:21" x14ac:dyDescent="0.25">
      <c r="C76" s="26" t="s">
        <v>28</v>
      </c>
      <c r="D76" s="26"/>
      <c r="E76" s="27">
        <f>SUM(E58:E75)</f>
        <v>-33944215.120000012</v>
      </c>
      <c r="F76" s="27">
        <f t="shared" ref="F76:I76" si="8">SUM(F58:F75)</f>
        <v>-35168949.360000014</v>
      </c>
      <c r="G76" s="27">
        <f t="shared" si="8"/>
        <v>-46681903.305008225</v>
      </c>
      <c r="H76" s="28">
        <f t="shared" si="8"/>
        <v>-29875388.360000007</v>
      </c>
      <c r="I76" s="24">
        <f t="shared" si="8"/>
        <v>-68635387</v>
      </c>
    </row>
    <row r="77" spans="1:21" x14ac:dyDescent="0.25">
      <c r="C77" s="34"/>
      <c r="D77" s="34"/>
      <c r="E77" s="34"/>
      <c r="F77" s="34"/>
      <c r="G77" s="34"/>
      <c r="H77" s="35"/>
      <c r="I77" s="36"/>
    </row>
    <row r="78" spans="1:21" x14ac:dyDescent="0.25">
      <c r="A78" s="8" t="s">
        <v>138</v>
      </c>
      <c r="B78" s="10" t="s">
        <v>178</v>
      </c>
      <c r="C78" s="104" t="s">
        <v>139</v>
      </c>
      <c r="D78" s="104"/>
      <c r="E78" s="23">
        <v>-316206.67</v>
      </c>
      <c r="F78" s="23">
        <v>-307104.88</v>
      </c>
      <c r="G78" s="23">
        <v>-300000</v>
      </c>
      <c r="H78" s="29">
        <v>-94050.08</v>
      </c>
      <c r="I78" s="25">
        <v>-150000</v>
      </c>
    </row>
    <row r="79" spans="1:21" x14ac:dyDescent="0.25">
      <c r="A79" s="8" t="s">
        <v>140</v>
      </c>
      <c r="B79" s="10" t="s">
        <v>178</v>
      </c>
      <c r="C79" s="104" t="s">
        <v>141</v>
      </c>
      <c r="D79" s="104"/>
      <c r="E79" s="23">
        <v>-869138.85</v>
      </c>
      <c r="F79" s="23">
        <v>-1192111.68</v>
      </c>
      <c r="G79" s="23">
        <v>-2100000</v>
      </c>
      <c r="H79" s="29">
        <v>-1202826.74</v>
      </c>
      <c r="I79" s="25">
        <v>-2186000</v>
      </c>
    </row>
    <row r="80" spans="1:21" x14ac:dyDescent="0.25">
      <c r="A80" s="8" t="s">
        <v>142</v>
      </c>
      <c r="B80" s="10" t="s">
        <v>178</v>
      </c>
      <c r="C80" s="104" t="s">
        <v>143</v>
      </c>
      <c r="D80" s="104"/>
      <c r="E80" s="23">
        <v>-192923.83</v>
      </c>
      <c r="F80" s="23">
        <v>-166275.57999999999</v>
      </c>
      <c r="G80" s="23">
        <v>-150000</v>
      </c>
      <c r="H80" s="29">
        <v>-163098.53</v>
      </c>
      <c r="I80" s="25">
        <v>-200000</v>
      </c>
    </row>
    <row r="81" spans="1:14" x14ac:dyDescent="0.25">
      <c r="A81" s="8" t="s">
        <v>144</v>
      </c>
      <c r="B81" s="10" t="s">
        <v>178</v>
      </c>
      <c r="C81" s="104" t="s">
        <v>145</v>
      </c>
      <c r="D81" s="104"/>
      <c r="E81" s="23">
        <v>-740884.46</v>
      </c>
      <c r="F81" s="23">
        <v>-579770.76</v>
      </c>
      <c r="G81" s="23">
        <v>-399999.99999999598</v>
      </c>
      <c r="H81" s="29">
        <v>-316591.57</v>
      </c>
      <c r="I81" s="25">
        <v>-450000</v>
      </c>
    </row>
    <row r="82" spans="1:14" x14ac:dyDescent="0.25">
      <c r="A82" s="8" t="s">
        <v>146</v>
      </c>
      <c r="B82" s="10" t="s">
        <v>178</v>
      </c>
      <c r="C82" s="104" t="s">
        <v>147</v>
      </c>
      <c r="D82" s="104"/>
      <c r="E82" s="23">
        <v>-244487.8</v>
      </c>
      <c r="F82" s="23">
        <v>-612253.15</v>
      </c>
      <c r="G82" s="23">
        <v>-450000</v>
      </c>
      <c r="H82" s="29">
        <v>-261792.03</v>
      </c>
      <c r="I82" s="25">
        <v>-300000</v>
      </c>
    </row>
    <row r="83" spans="1:14" x14ac:dyDescent="0.25">
      <c r="A83" s="8" t="s">
        <v>148</v>
      </c>
      <c r="B83" s="10" t="s">
        <v>178</v>
      </c>
      <c r="C83" s="104" t="s">
        <v>149</v>
      </c>
      <c r="D83" s="104"/>
      <c r="E83" s="23">
        <v>-41235.96</v>
      </c>
      <c r="F83" s="23">
        <v>-123444.04</v>
      </c>
      <c r="G83" s="23">
        <v>-99999.999999972002</v>
      </c>
      <c r="H83" s="29">
        <v>-51064</v>
      </c>
      <c r="I83" s="25">
        <v>-120000</v>
      </c>
    </row>
    <row r="84" spans="1:14" x14ac:dyDescent="0.25">
      <c r="A84" s="8" t="s">
        <v>150</v>
      </c>
      <c r="B84" s="10" t="s">
        <v>178</v>
      </c>
      <c r="C84" s="104" t="s">
        <v>151</v>
      </c>
      <c r="D84" s="104"/>
      <c r="E84" s="23">
        <v>-139102.19</v>
      </c>
      <c r="F84" s="23">
        <v>-166962.64000000001</v>
      </c>
      <c r="G84" s="23">
        <v>-180000</v>
      </c>
      <c r="H84" s="29">
        <v>-148938.88</v>
      </c>
      <c r="I84" s="25">
        <v>-180000</v>
      </c>
    </row>
    <row r="85" spans="1:14" x14ac:dyDescent="0.25">
      <c r="A85" s="8" t="s">
        <v>152</v>
      </c>
      <c r="B85" s="10" t="s">
        <v>178</v>
      </c>
      <c r="C85" s="104" t="s">
        <v>153</v>
      </c>
      <c r="D85" s="104"/>
      <c r="E85" s="23">
        <v>-599</v>
      </c>
      <c r="F85" s="23">
        <v>-1710</v>
      </c>
      <c r="G85" s="23">
        <v>-4999.999999996</v>
      </c>
      <c r="H85" s="29">
        <v>-1890</v>
      </c>
      <c r="I85" s="25">
        <v>0</v>
      </c>
      <c r="J85" s="41" t="s">
        <v>199</v>
      </c>
    </row>
    <row r="86" spans="1:14" x14ac:dyDescent="0.25">
      <c r="A86" s="8" t="s">
        <v>154</v>
      </c>
      <c r="B86" s="10" t="s">
        <v>178</v>
      </c>
      <c r="C86" s="104" t="s">
        <v>155</v>
      </c>
      <c r="D86" s="104"/>
      <c r="E86" s="23">
        <v>-226270.35</v>
      </c>
      <c r="F86" s="23">
        <v>-169543.03</v>
      </c>
      <c r="G86" s="23">
        <v>-139999.999999992</v>
      </c>
      <c r="H86" s="29">
        <v>-176024.26</v>
      </c>
      <c r="I86" s="25">
        <v>0</v>
      </c>
      <c r="J86" s="41" t="s">
        <v>199</v>
      </c>
    </row>
    <row r="87" spans="1:14" x14ac:dyDescent="0.25">
      <c r="A87" s="8" t="s">
        <v>156</v>
      </c>
      <c r="B87" s="10" t="s">
        <v>178</v>
      </c>
      <c r="C87" s="104" t="s">
        <v>157</v>
      </c>
      <c r="D87" s="104"/>
      <c r="E87" s="23">
        <v>-2592689.21999999</v>
      </c>
      <c r="F87" s="23">
        <v>-3654037.6600000099</v>
      </c>
      <c r="G87" s="23">
        <v>-2900000.0000000098</v>
      </c>
      <c r="H87" s="29">
        <v>-1806052.81</v>
      </c>
      <c r="I87" s="25">
        <v>-1000000</v>
      </c>
      <c r="J87" s="38" t="s">
        <v>200</v>
      </c>
    </row>
    <row r="88" spans="1:14" x14ac:dyDescent="0.25">
      <c r="A88" s="8" t="s">
        <v>158</v>
      </c>
      <c r="B88" s="10" t="s">
        <v>178</v>
      </c>
      <c r="C88" s="104" t="s">
        <v>159</v>
      </c>
      <c r="D88" s="104"/>
      <c r="E88" s="23">
        <v>-94187.940000000104</v>
      </c>
      <c r="F88" s="23">
        <v>-65961.8</v>
      </c>
      <c r="G88" s="23">
        <v>-63999.999999995998</v>
      </c>
      <c r="H88" s="29">
        <v>-106253.85</v>
      </c>
      <c r="I88" s="25">
        <v>-125000</v>
      </c>
    </row>
    <row r="89" spans="1:14" x14ac:dyDescent="0.25">
      <c r="A89" s="8" t="s">
        <v>160</v>
      </c>
      <c r="B89" s="10" t="s">
        <v>178</v>
      </c>
      <c r="C89" s="104" t="s">
        <v>161</v>
      </c>
      <c r="D89" s="104"/>
      <c r="E89" s="23">
        <v>-190794.35</v>
      </c>
      <c r="F89" s="23">
        <v>-2203147.31</v>
      </c>
      <c r="G89" s="23">
        <v>-1524000</v>
      </c>
      <c r="H89" s="29">
        <v>-376132.27</v>
      </c>
      <c r="I89" s="25">
        <v>-250000</v>
      </c>
      <c r="J89" s="38" t="s">
        <v>204</v>
      </c>
    </row>
    <row r="90" spans="1:14" x14ac:dyDescent="0.25">
      <c r="A90" s="8" t="s">
        <v>162</v>
      </c>
      <c r="B90" s="10" t="s">
        <v>178</v>
      </c>
      <c r="C90" s="104" t="s">
        <v>163</v>
      </c>
      <c r="D90" s="104"/>
      <c r="E90" s="23">
        <v>-655057.78</v>
      </c>
      <c r="F90" s="23">
        <v>-783461</v>
      </c>
      <c r="G90" s="23">
        <v>-859999.99999995704</v>
      </c>
      <c r="H90" s="29">
        <v>-805966.77</v>
      </c>
      <c r="I90" s="25">
        <v>-860000</v>
      </c>
      <c r="J90" s="38" t="s">
        <v>201</v>
      </c>
    </row>
    <row r="91" spans="1:14" x14ac:dyDescent="0.25">
      <c r="A91" s="8" t="s">
        <v>164</v>
      </c>
      <c r="B91" s="10" t="s">
        <v>178</v>
      </c>
      <c r="C91" s="104" t="s">
        <v>165</v>
      </c>
      <c r="D91" s="104"/>
      <c r="E91" s="23">
        <v>-491485.45</v>
      </c>
      <c r="F91" s="23">
        <v>-333203.27</v>
      </c>
      <c r="G91" s="23">
        <v>-479999.99999995198</v>
      </c>
      <c r="H91" s="29">
        <v>-359991.01</v>
      </c>
      <c r="I91" s="25">
        <v>-510000</v>
      </c>
    </row>
    <row r="92" spans="1:14" x14ac:dyDescent="0.25">
      <c r="A92" s="8" t="s">
        <v>166</v>
      </c>
      <c r="B92" s="10" t="s">
        <v>178</v>
      </c>
      <c r="C92" s="104" t="s">
        <v>167</v>
      </c>
      <c r="D92" s="104"/>
      <c r="E92" s="23">
        <v>-100096.38</v>
      </c>
      <c r="F92" s="23">
        <v>-214434.94</v>
      </c>
      <c r="G92" s="23">
        <v>-204999.99999999601</v>
      </c>
      <c r="H92" s="29">
        <v>-122518.52</v>
      </c>
      <c r="I92" s="25">
        <v>-200000</v>
      </c>
    </row>
    <row r="93" spans="1:14" x14ac:dyDescent="0.25">
      <c r="A93" s="8" t="s">
        <v>168</v>
      </c>
      <c r="B93" s="10" t="s">
        <v>178</v>
      </c>
      <c r="C93" s="104" t="s">
        <v>169</v>
      </c>
      <c r="D93" s="104"/>
      <c r="E93" s="23">
        <v>-2275385.64</v>
      </c>
      <c r="F93" s="23">
        <v>-196668.56</v>
      </c>
      <c r="G93" s="23">
        <v>0</v>
      </c>
      <c r="H93" s="29">
        <v>-127033.06</v>
      </c>
      <c r="I93" s="25">
        <v>0</v>
      </c>
    </row>
    <row r="94" spans="1:14" x14ac:dyDescent="0.25">
      <c r="A94" s="8" t="s">
        <v>170</v>
      </c>
      <c r="B94" s="10" t="s">
        <v>178</v>
      </c>
      <c r="C94" s="104" t="s">
        <v>171</v>
      </c>
      <c r="D94" s="104"/>
      <c r="E94" s="23">
        <v>-57548.3</v>
      </c>
      <c r="F94" s="23">
        <v>-144825</v>
      </c>
      <c r="G94" s="23">
        <v>-34999.999999991996</v>
      </c>
      <c r="H94" s="29">
        <v>-47323</v>
      </c>
      <c r="I94" s="25">
        <v>-35000</v>
      </c>
    </row>
    <row r="95" spans="1:14" x14ac:dyDescent="0.25">
      <c r="A95" s="8" t="s">
        <v>172</v>
      </c>
      <c r="B95" s="10" t="s">
        <v>178</v>
      </c>
      <c r="C95" s="104" t="s">
        <v>173</v>
      </c>
      <c r="D95" s="104"/>
      <c r="E95" s="23">
        <v>-6700</v>
      </c>
      <c r="F95" s="23">
        <v>-909061.74</v>
      </c>
      <c r="G95" s="23">
        <v>-150000</v>
      </c>
      <c r="H95" s="29">
        <v>-342808.44</v>
      </c>
      <c r="I95" s="25">
        <v>-350000</v>
      </c>
      <c r="L95" s="51" t="s">
        <v>220</v>
      </c>
    </row>
    <row r="96" spans="1:14" x14ac:dyDescent="0.25">
      <c r="A96" s="8" t="s">
        <v>174</v>
      </c>
      <c r="B96" s="10" t="s">
        <v>178</v>
      </c>
      <c r="C96" s="104" t="s">
        <v>175</v>
      </c>
      <c r="D96" s="104"/>
      <c r="E96" s="23">
        <v>-7109320.8899999997</v>
      </c>
      <c r="F96" s="23">
        <v>-11407038.82</v>
      </c>
      <c r="G96" s="23">
        <v>-8999600</v>
      </c>
      <c r="H96" s="29">
        <v>-3453300.63</v>
      </c>
      <c r="I96" s="25">
        <v>-15000000</v>
      </c>
      <c r="K96" s="101">
        <v>-1500000</v>
      </c>
      <c r="L96" s="41" t="s">
        <v>217</v>
      </c>
      <c r="M96" s="41"/>
      <c r="N96" s="38">
        <v>5566000</v>
      </c>
    </row>
    <row r="97" spans="1:14" x14ac:dyDescent="0.25">
      <c r="A97" s="8" t="s">
        <v>176</v>
      </c>
      <c r="B97" s="10" t="s">
        <v>178</v>
      </c>
      <c r="C97" s="104" t="s">
        <v>177</v>
      </c>
      <c r="D97" s="104"/>
      <c r="E97" s="23">
        <v>-1222139.83</v>
      </c>
      <c r="F97" s="23">
        <v>-1811356.23</v>
      </c>
      <c r="G97" s="23">
        <v>-1500000</v>
      </c>
      <c r="H97" s="29">
        <v>-714918.94</v>
      </c>
      <c r="I97" s="25">
        <v>-1000000</v>
      </c>
      <c r="L97" s="41" t="s">
        <v>218</v>
      </c>
      <c r="M97" s="41"/>
      <c r="N97" s="38">
        <v>2299000</v>
      </c>
    </row>
    <row r="98" spans="1:14" ht="15.75" thickBot="1" x14ac:dyDescent="0.3">
      <c r="C98" s="26" t="s">
        <v>28</v>
      </c>
      <c r="D98" s="26"/>
      <c r="E98" s="27">
        <f>SUM(E78:E97)</f>
        <v>-17566254.889999993</v>
      </c>
      <c r="F98" s="27">
        <f t="shared" ref="F98:I98" si="9">SUM(F78:F97)</f>
        <v>-25042372.090000011</v>
      </c>
      <c r="G98" s="27">
        <f t="shared" si="9"/>
        <v>-20542599.999999858</v>
      </c>
      <c r="H98" s="28">
        <f t="shared" si="9"/>
        <v>-10678575.389999999</v>
      </c>
      <c r="I98" s="32">
        <f t="shared" si="9"/>
        <v>-22916000</v>
      </c>
      <c r="L98" s="41" t="s">
        <v>219</v>
      </c>
      <c r="M98" s="41"/>
      <c r="N98" s="38">
        <v>1452000</v>
      </c>
    </row>
    <row r="99" spans="1:14" ht="15.75" thickTop="1" x14ac:dyDescent="0.25">
      <c r="L99" s="47" t="s">
        <v>216</v>
      </c>
      <c r="M99" s="47"/>
      <c r="N99" s="48">
        <f>+SUM(N96:N98)</f>
        <v>9317000</v>
      </c>
    </row>
    <row r="100" spans="1:14" x14ac:dyDescent="0.25">
      <c r="E100" s="54">
        <f t="shared" ref="E100:H100" si="10">+E98+E76+E56+E50+E37+E30+E26+E14+E45</f>
        <v>-313354200.7100001</v>
      </c>
      <c r="F100" s="54">
        <f t="shared" si="10"/>
        <v>-341709379.95000011</v>
      </c>
      <c r="G100" s="63">
        <f>+G98+G76+G56+G50+G37+G30+G26+G14+G45</f>
        <v>-396500634.28703398</v>
      </c>
      <c r="H100" s="54">
        <f t="shared" si="10"/>
        <v>-315632585.41000003</v>
      </c>
      <c r="I100" s="67">
        <f>+I98+I76+I56+I50+I37+I30+I26+I14+I45</f>
        <v>-434424409.90999997</v>
      </c>
    </row>
    <row r="101" spans="1:14" x14ac:dyDescent="0.25">
      <c r="E101" s="55" t="s">
        <v>230</v>
      </c>
      <c r="F101" s="55" t="s">
        <v>234</v>
      </c>
      <c r="G101" s="64">
        <v>2515591.46</v>
      </c>
      <c r="I101" s="61">
        <v>6700000</v>
      </c>
      <c r="J101" s="62" t="s">
        <v>242</v>
      </c>
    </row>
    <row r="102" spans="1:14" x14ac:dyDescent="0.25">
      <c r="F102" s="55" t="s">
        <v>235</v>
      </c>
      <c r="G102" s="64">
        <v>18900000</v>
      </c>
      <c r="I102" s="61">
        <f>-(I42-G42)</f>
        <v>24419000</v>
      </c>
      <c r="J102" s="62" t="s">
        <v>237</v>
      </c>
      <c r="L102" s="72" t="s">
        <v>239</v>
      </c>
      <c r="M102" s="73"/>
      <c r="N102" s="74" t="s">
        <v>240</v>
      </c>
    </row>
    <row r="103" spans="1:14" x14ac:dyDescent="0.25">
      <c r="E103" s="55" t="s">
        <v>231</v>
      </c>
      <c r="G103" s="65">
        <f>14000000-5000000</f>
        <v>9000000</v>
      </c>
      <c r="I103" s="61"/>
      <c r="L103" s="102" t="s">
        <v>238</v>
      </c>
      <c r="M103" s="75"/>
      <c r="N103" s="103" t="s">
        <v>238</v>
      </c>
    </row>
    <row r="104" spans="1:14" ht="15.75" thickBot="1" x14ac:dyDescent="0.3">
      <c r="G104" s="65"/>
      <c r="I104" s="61"/>
      <c r="L104" s="102"/>
      <c r="M104" s="75"/>
      <c r="N104" s="103"/>
    </row>
    <row r="105" spans="1:14" ht="15.75" thickBot="1" x14ac:dyDescent="0.3">
      <c r="F105" s="55" t="s">
        <v>216</v>
      </c>
      <c r="G105" s="66">
        <f>SUM(G100:G103)</f>
        <v>-366085042.827034</v>
      </c>
      <c r="I105" s="68">
        <f>I100+I101+I102</f>
        <v>-403305409.90999997</v>
      </c>
      <c r="L105" s="78">
        <f>+G98+G76+G56+G50+G37+G30+G26+G14+G45-G42-G39</f>
        <v>-333419295.24903226</v>
      </c>
      <c r="M105" s="79"/>
      <c r="N105" s="80">
        <f>+I98+I76+I56+I50+I37+I30+I26+I14+I45-I42-I39</f>
        <v>-340224409.90999997</v>
      </c>
    </row>
    <row r="106" spans="1:14" ht="15.75" thickBot="1" x14ac:dyDescent="0.3">
      <c r="I106" s="54"/>
      <c r="L106" s="96">
        <f>+L105+SUM(G101:G103)</f>
        <v>-303003703.78903228</v>
      </c>
      <c r="M106" s="76"/>
      <c r="N106" s="77"/>
    </row>
    <row r="107" spans="1:14" ht="15.75" thickBot="1" x14ac:dyDescent="0.3">
      <c r="G107" s="69" t="s">
        <v>236</v>
      </c>
      <c r="H107" s="70"/>
      <c r="I107" s="71">
        <f>I105-G105</f>
        <v>-37220367.08296597</v>
      </c>
      <c r="L107" s="81" t="s">
        <v>241</v>
      </c>
      <c r="M107" s="82"/>
      <c r="N107" s="83">
        <f>N105-L105-G101-G102-G103</f>
        <v>-37220706.120967709</v>
      </c>
    </row>
    <row r="108" spans="1:14" x14ac:dyDescent="0.25">
      <c r="K108" s="58"/>
    </row>
    <row r="109" spans="1:14" x14ac:dyDescent="0.25">
      <c r="I109" s="56">
        <f>-I100+G105</f>
        <v>68339367.08296597</v>
      </c>
      <c r="J109" t="s">
        <v>255</v>
      </c>
    </row>
    <row r="110" spans="1:14" x14ac:dyDescent="0.25">
      <c r="I110" s="57">
        <f>I109-I102-I101</f>
        <v>37220367.08296597</v>
      </c>
      <c r="J110" s="58" t="s">
        <v>256</v>
      </c>
    </row>
    <row r="111" spans="1:14" ht="15.75" thickBot="1" x14ac:dyDescent="0.3">
      <c r="J111" t="s">
        <v>243</v>
      </c>
    </row>
    <row r="112" spans="1:14" ht="15.75" thickBot="1" x14ac:dyDescent="0.3">
      <c r="G112" s="84" t="s">
        <v>244</v>
      </c>
      <c r="H112" s="85"/>
      <c r="I112" s="86">
        <v>18000000</v>
      </c>
    </row>
    <row r="113" spans="8:14" x14ac:dyDescent="0.25">
      <c r="H113" s="87" t="s">
        <v>257</v>
      </c>
      <c r="I113" s="88">
        <f>-(I100+I112)</f>
        <v>416424409.90999997</v>
      </c>
      <c r="J113" t="s">
        <v>245</v>
      </c>
      <c r="K113" s="56">
        <f>I113+G105</f>
        <v>50339367.08296597</v>
      </c>
      <c r="L113" t="s">
        <v>258</v>
      </c>
    </row>
    <row r="114" spans="8:14" x14ac:dyDescent="0.25">
      <c r="I114" s="54">
        <f>+I113-K118</f>
        <v>410364409.90999997</v>
      </c>
      <c r="J114" t="s">
        <v>246</v>
      </c>
    </row>
    <row r="115" spans="8:14" x14ac:dyDescent="0.25">
      <c r="J115" s="89" t="s">
        <v>232</v>
      </c>
      <c r="K115" s="54">
        <f>I101</f>
        <v>6700000</v>
      </c>
    </row>
    <row r="116" spans="8:14" x14ac:dyDescent="0.25">
      <c r="J116" s="89" t="s">
        <v>233</v>
      </c>
      <c r="K116" s="54">
        <f>I102</f>
        <v>24419000</v>
      </c>
    </row>
    <row r="117" spans="8:14" x14ac:dyDescent="0.25">
      <c r="J117" s="90" t="s">
        <v>247</v>
      </c>
      <c r="K117" s="91">
        <f>K113-K115-K116</f>
        <v>19220367.08296597</v>
      </c>
    </row>
    <row r="118" spans="8:14" x14ac:dyDescent="0.25">
      <c r="J118" s="94" t="s">
        <v>259</v>
      </c>
      <c r="K118" s="95">
        <v>6060000</v>
      </c>
      <c r="L118" t="s">
        <v>263</v>
      </c>
      <c r="M118" s="54"/>
    </row>
    <row r="119" spans="8:14" x14ac:dyDescent="0.25">
      <c r="J119" s="92" t="s">
        <v>248</v>
      </c>
      <c r="K119" s="93">
        <f>K117-K118</f>
        <v>13160367.08296597</v>
      </c>
      <c r="L119" t="s">
        <v>252</v>
      </c>
    </row>
    <row r="121" spans="8:14" x14ac:dyDescent="0.25">
      <c r="J121" s="97" t="s">
        <v>249</v>
      </c>
    </row>
    <row r="122" spans="8:14" x14ac:dyDescent="0.25">
      <c r="J122" s="97" t="s">
        <v>250</v>
      </c>
      <c r="K122" s="100" t="s">
        <v>262</v>
      </c>
    </row>
    <row r="123" spans="8:14" x14ac:dyDescent="0.25">
      <c r="J123" s="97" t="s">
        <v>251</v>
      </c>
    </row>
    <row r="124" spans="8:14" x14ac:dyDescent="0.25">
      <c r="J124" s="97" t="s">
        <v>253</v>
      </c>
    </row>
    <row r="125" spans="8:14" x14ac:dyDescent="0.25">
      <c r="J125" s="97" t="s">
        <v>254</v>
      </c>
    </row>
    <row r="127" spans="8:14" x14ac:dyDescent="0.25">
      <c r="J127" s="98" t="s">
        <v>260</v>
      </c>
      <c r="K127" s="99"/>
      <c r="L127" s="99"/>
      <c r="M127" s="99"/>
      <c r="N127" s="99"/>
    </row>
    <row r="128" spans="8:14" x14ac:dyDescent="0.25">
      <c r="J128" s="58" t="s">
        <v>261</v>
      </c>
    </row>
  </sheetData>
  <mergeCells count="85">
    <mergeCell ref="L64:U64"/>
    <mergeCell ref="L65:U65"/>
    <mergeCell ref="L66:U66"/>
    <mergeCell ref="S29:Y31"/>
    <mergeCell ref="M17:V19"/>
    <mergeCell ref="L62:Q62"/>
    <mergeCell ref="L63:U6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5:D75"/>
    <mergeCell ref="C42:D42"/>
    <mergeCell ref="C78:D78"/>
    <mergeCell ref="C79:D79"/>
    <mergeCell ref="C80:D80"/>
    <mergeCell ref="C81:D81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5:D55"/>
    <mergeCell ref="C58:D58"/>
    <mergeCell ref="C59:D59"/>
    <mergeCell ref="C60:D60"/>
    <mergeCell ref="C61:D61"/>
    <mergeCell ref="C62:D62"/>
    <mergeCell ref="C54:D54"/>
    <mergeCell ref="C36:D36"/>
    <mergeCell ref="C39:D39"/>
    <mergeCell ref="C40:D40"/>
    <mergeCell ref="C41:D41"/>
    <mergeCell ref="C43:D43"/>
    <mergeCell ref="C44:D44"/>
    <mergeCell ref="C47:D47"/>
    <mergeCell ref="C48:D48"/>
    <mergeCell ref="C49:D49"/>
    <mergeCell ref="C52:D52"/>
    <mergeCell ref="C53:D53"/>
    <mergeCell ref="C28:D28"/>
    <mergeCell ref="C29:D29"/>
    <mergeCell ref="C32:D32"/>
    <mergeCell ref="C33:D33"/>
    <mergeCell ref="C34:D34"/>
    <mergeCell ref="C21:D21"/>
    <mergeCell ref="C22:D22"/>
    <mergeCell ref="C23:D23"/>
    <mergeCell ref="C24:D24"/>
    <mergeCell ref="C25:D25"/>
    <mergeCell ref="L103:L104"/>
    <mergeCell ref="N103:N104"/>
    <mergeCell ref="C19:D19"/>
    <mergeCell ref="C6:D6"/>
    <mergeCell ref="C7:D7"/>
    <mergeCell ref="C8:D8"/>
    <mergeCell ref="C9:D9"/>
    <mergeCell ref="C10:D10"/>
    <mergeCell ref="C11:D11"/>
    <mergeCell ref="C12:D12"/>
    <mergeCell ref="C13:D13"/>
    <mergeCell ref="C16:D16"/>
    <mergeCell ref="C17:D17"/>
    <mergeCell ref="C18:D18"/>
    <mergeCell ref="C35:D35"/>
    <mergeCell ref="C20:D20"/>
  </mergeCells>
  <conditionalFormatting sqref="E5:G13 C10:C13 C6:C8 I6:I13">
    <cfRule type="expression" dxfId="108" priority="196">
      <formula>AND(#REF!=0,#REF!=1,LEFT($A5,1)="A")</formula>
    </cfRule>
    <cfRule type="expression" dxfId="107" priority="197">
      <formula>#REF!=3</formula>
    </cfRule>
    <cfRule type="expression" dxfId="106" priority="198">
      <formula>#REF!=2</formula>
    </cfRule>
    <cfRule type="expression" dxfId="105" priority="199">
      <formula>AND(#REF!=1,OR(#REF!&lt;&gt;0,LEFT($A5,1)="I",LEFT($A5,1)="C",RIGHT($A5,1)="X"))</formula>
    </cfRule>
    <cfRule type="expression" dxfId="104" priority="200">
      <formula>#REF!=0</formula>
    </cfRule>
  </conditionalFormatting>
  <conditionalFormatting sqref="C5">
    <cfRule type="expression" dxfId="103" priority="201">
      <formula>AND(#REF!=0,#REF!=1,LEFT($A6,1)="A")</formula>
    </cfRule>
    <cfRule type="expression" dxfId="102" priority="202">
      <formula>#REF!=3</formula>
    </cfRule>
    <cfRule type="expression" dxfId="101" priority="203">
      <formula>#REF!=2</formula>
    </cfRule>
    <cfRule type="expression" dxfId="100" priority="204">
      <formula>AND(#REF!=1,OR(#REF!&lt;&gt;0,LEFT($A6,1)="I",LEFT($A6,1)="C",RIGHT($A6,1)="X"))</formula>
    </cfRule>
    <cfRule type="expression" dxfId="99" priority="205">
      <formula>#REF!=0</formula>
    </cfRule>
  </conditionalFormatting>
  <conditionalFormatting sqref="H5">
    <cfRule type="expression" dxfId="98" priority="191">
      <formula>AND(#REF!=0,#REF!=1,LEFT($A5,1)="A")</formula>
    </cfRule>
    <cfRule type="expression" dxfId="97" priority="192">
      <formula>#REF!=3</formula>
    </cfRule>
    <cfRule type="expression" dxfId="96" priority="193">
      <formula>#REF!=2</formula>
    </cfRule>
    <cfRule type="expression" dxfId="95" priority="194">
      <formula>AND(#REF!=1,OR(#REF!&lt;&gt;0,LEFT($A5,1)="I",LEFT($A5,1)="C",RIGHT($A5,1)="X"))</formula>
    </cfRule>
    <cfRule type="expression" dxfId="94" priority="195">
      <formula>#REF!=0</formula>
    </cfRule>
  </conditionalFormatting>
  <conditionalFormatting sqref="I5">
    <cfRule type="expression" dxfId="93" priority="186">
      <formula>AND(#REF!=0,#REF!=1,LEFT($A5,1)="A")</formula>
    </cfRule>
    <cfRule type="expression" dxfId="92" priority="187">
      <formula>#REF!=3</formula>
    </cfRule>
    <cfRule type="expression" dxfId="91" priority="188">
      <formula>#REF!=2</formula>
    </cfRule>
    <cfRule type="expression" dxfId="90" priority="189">
      <formula>AND(#REF!=1,OR(#REF!&lt;&gt;0,LEFT($A5,1)="I",LEFT($A5,1)="C",RIGHT($A5,1)="X"))</formula>
    </cfRule>
    <cfRule type="expression" dxfId="89" priority="190">
      <formula>#REF!=0</formula>
    </cfRule>
  </conditionalFormatting>
  <conditionalFormatting sqref="C9">
    <cfRule type="expression" dxfId="88" priority="181">
      <formula>AND(#REF!=0,#REF!=1,LEFT($A9,1)="A")</formula>
    </cfRule>
    <cfRule type="expression" dxfId="87" priority="182">
      <formula>#REF!=3</formula>
    </cfRule>
    <cfRule type="expression" dxfId="86" priority="183">
      <formula>#REF!=2</formula>
    </cfRule>
    <cfRule type="expression" dxfId="85" priority="184">
      <formula>AND(#REF!=1,OR(#REF!&lt;&gt;0,LEFT($A9,1)="I",LEFT($A9,1)="C",RIGHT($A9,1)="X"))</formula>
    </cfRule>
    <cfRule type="expression" dxfId="84" priority="185">
      <formula>#REF!=0</formula>
    </cfRule>
  </conditionalFormatting>
  <conditionalFormatting sqref="H59 H43">
    <cfRule type="expression" dxfId="83" priority="36">
      <formula>#REF!=4</formula>
    </cfRule>
  </conditionalFormatting>
  <conditionalFormatting sqref="H6:H13">
    <cfRule type="expression" dxfId="82" priority="170">
      <formula>#REF!=4</formula>
    </cfRule>
  </conditionalFormatting>
  <conditionalFormatting sqref="E16:G25 C16:C25 I16:I25">
    <cfRule type="expression" dxfId="81" priority="164">
      <formula>AND(#REF!=0,#REF!=1,LEFT($A16,1)="A")</formula>
    </cfRule>
    <cfRule type="expression" dxfId="80" priority="165">
      <formula>#REF!=3</formula>
    </cfRule>
    <cfRule type="expression" dxfId="79" priority="166">
      <formula>#REF!=2</formula>
    </cfRule>
    <cfRule type="expression" dxfId="78" priority="167">
      <formula>AND(#REF!=1,OR(#REF!&lt;&gt;0,LEFT($A16,1)="I",LEFT($A16,1)="C",RIGHT($A16,1)="X"))</formula>
    </cfRule>
    <cfRule type="expression" dxfId="77" priority="168">
      <formula>#REF!=0</formula>
    </cfRule>
  </conditionalFormatting>
  <conditionalFormatting sqref="H16:H25">
    <cfRule type="expression" dxfId="76" priority="159">
      <formula>#REF!=4</formula>
    </cfRule>
  </conditionalFormatting>
  <conditionalFormatting sqref="E28:G29 C28:C29 I28">
    <cfRule type="expression" dxfId="75" priority="153">
      <formula>AND(#REF!=0,#REF!=1,LEFT($A28,1)="A")</formula>
    </cfRule>
    <cfRule type="expression" dxfId="74" priority="154">
      <formula>#REF!=3</formula>
    </cfRule>
    <cfRule type="expression" dxfId="73" priority="155">
      <formula>#REF!=2</formula>
    </cfRule>
    <cfRule type="expression" dxfId="72" priority="156">
      <formula>AND(#REF!=1,OR(#REF!&lt;&gt;0,LEFT($A28,1)="I",LEFT($A28,1)="C",RIGHT($A28,1)="X"))</formula>
    </cfRule>
    <cfRule type="expression" dxfId="71" priority="157">
      <formula>#REF!=0</formula>
    </cfRule>
  </conditionalFormatting>
  <conditionalFormatting sqref="H28:H29">
    <cfRule type="expression" dxfId="70" priority="148">
      <formula>#REF!=4</formula>
    </cfRule>
  </conditionalFormatting>
  <conditionalFormatting sqref="E32:G36 C32:C36 I32:I36">
    <cfRule type="expression" dxfId="69" priority="142">
      <formula>AND(#REF!=0,#REF!=1,LEFT($A32,1)="A")</formula>
    </cfRule>
    <cfRule type="expression" dxfId="68" priority="143">
      <formula>#REF!=3</formula>
    </cfRule>
    <cfRule type="expression" dxfId="67" priority="144">
      <formula>#REF!=2</formula>
    </cfRule>
    <cfRule type="expression" dxfId="66" priority="145">
      <formula>AND(#REF!=1,OR(#REF!&lt;&gt;0,LEFT($A32,1)="I",LEFT($A32,1)="C",RIGHT($A32,1)="X"))</formula>
    </cfRule>
    <cfRule type="expression" dxfId="65" priority="146">
      <formula>#REF!=0</formula>
    </cfRule>
  </conditionalFormatting>
  <conditionalFormatting sqref="H32:H36">
    <cfRule type="expression" dxfId="64" priority="137">
      <formula>#REF!=4</formula>
    </cfRule>
  </conditionalFormatting>
  <conditionalFormatting sqref="C44 E39:G41 C39:C40 I39:I41 I43:I44 E43:G44">
    <cfRule type="expression" dxfId="63" priority="131">
      <formula>AND(#REF!=0,#REF!=1,LEFT($A39,1)="A")</formula>
    </cfRule>
    <cfRule type="expression" dxfId="62" priority="132">
      <formula>#REF!=3</formula>
    </cfRule>
    <cfRule type="expression" dxfId="61" priority="133">
      <formula>#REF!=2</formula>
    </cfRule>
    <cfRule type="expression" dxfId="60" priority="134">
      <formula>AND(#REF!=1,OR(#REF!&lt;&gt;0,LEFT($A39,1)="I",LEFT($A39,1)="C",RIGHT($A39,1)="X"))</formula>
    </cfRule>
    <cfRule type="expression" dxfId="59" priority="135">
      <formula>#REF!=0</formula>
    </cfRule>
  </conditionalFormatting>
  <conditionalFormatting sqref="C41">
    <cfRule type="expression" dxfId="58" priority="126">
      <formula>AND(#REF!=0,#REF!=1,LEFT($A41,1)="A")</formula>
    </cfRule>
    <cfRule type="expression" dxfId="57" priority="127">
      <formula>#REF!=3</formula>
    </cfRule>
    <cfRule type="expression" dxfId="56" priority="128">
      <formula>#REF!=2</formula>
    </cfRule>
    <cfRule type="expression" dxfId="55" priority="129">
      <formula>AND(#REF!=1,OR(#REF!&lt;&gt;0,LEFT($A41,1)="I",LEFT($A41,1)="C",RIGHT($A41,1)="X"))</formula>
    </cfRule>
    <cfRule type="expression" dxfId="54" priority="130">
      <formula>#REF!=0</formula>
    </cfRule>
  </conditionalFormatting>
  <conditionalFormatting sqref="C43">
    <cfRule type="expression" dxfId="53" priority="121">
      <formula>AND(#REF!=0,#REF!=1,LEFT($A43,1)="A")</formula>
    </cfRule>
    <cfRule type="expression" dxfId="52" priority="122">
      <formula>#REF!=3</formula>
    </cfRule>
    <cfRule type="expression" dxfId="51" priority="123">
      <formula>#REF!=2</formula>
    </cfRule>
    <cfRule type="expression" dxfId="50" priority="124">
      <formula>AND(#REF!=1,OR(#REF!&lt;&gt;0,LEFT($A43,1)="I",LEFT($A43,1)="C",RIGHT($A43,1)="X"))</formula>
    </cfRule>
    <cfRule type="expression" dxfId="49" priority="125">
      <formula>#REF!=0</formula>
    </cfRule>
  </conditionalFormatting>
  <conditionalFormatting sqref="H39:H41">
    <cfRule type="expression" dxfId="48" priority="116">
      <formula>#REF!=4</formula>
    </cfRule>
  </conditionalFormatting>
  <conditionalFormatting sqref="H44">
    <cfRule type="expression" dxfId="47" priority="110">
      <formula>#REF!=4</formula>
    </cfRule>
  </conditionalFormatting>
  <conditionalFormatting sqref="E47:G49 C47:C49 I47:I48">
    <cfRule type="expression" dxfId="46" priority="104">
      <formula>AND(#REF!=0,#REF!=1,LEFT($A47,1)="A")</formula>
    </cfRule>
    <cfRule type="expression" dxfId="45" priority="105">
      <formula>#REF!=3</formula>
    </cfRule>
    <cfRule type="expression" dxfId="44" priority="106">
      <formula>#REF!=2</formula>
    </cfRule>
    <cfRule type="expression" dxfId="43" priority="107">
      <formula>AND(#REF!=1,OR(#REF!&lt;&gt;0,LEFT($A47,1)="I",LEFT($A47,1)="C",RIGHT($A47,1)="X"))</formula>
    </cfRule>
    <cfRule type="expression" dxfId="42" priority="108">
      <formula>#REF!=0</formula>
    </cfRule>
  </conditionalFormatting>
  <conditionalFormatting sqref="H47:H49">
    <cfRule type="expression" dxfId="41" priority="99">
      <formula>#REF!=4</formula>
    </cfRule>
  </conditionalFormatting>
  <conditionalFormatting sqref="E52:G55 C52:C55 I52:I55">
    <cfRule type="expression" dxfId="40" priority="93">
      <formula>AND(#REF!=0,#REF!=1,LEFT($A52,1)="A")</formula>
    </cfRule>
    <cfRule type="expression" dxfId="39" priority="94">
      <formula>#REF!=3</formula>
    </cfRule>
    <cfRule type="expression" dxfId="38" priority="95">
      <formula>#REF!=2</formula>
    </cfRule>
    <cfRule type="expression" dxfId="37" priority="96">
      <formula>AND(#REF!=1,OR(#REF!&lt;&gt;0,LEFT($A52,1)="I",LEFT($A52,1)="C",RIGHT($A52,1)="X"))</formula>
    </cfRule>
    <cfRule type="expression" dxfId="36" priority="97">
      <formula>#REF!=0</formula>
    </cfRule>
  </conditionalFormatting>
  <conditionalFormatting sqref="E58:G75 I74:I75 C61:C75 C58:C59 I58:I71">
    <cfRule type="expression" dxfId="35" priority="88">
      <formula>AND(#REF!=0,#REF!=1,LEFT($A58,1)="A")</formula>
    </cfRule>
    <cfRule type="expression" dxfId="34" priority="89">
      <formula>#REF!=3</formula>
    </cfRule>
    <cfRule type="expression" dxfId="33" priority="90">
      <formula>#REF!=2</formula>
    </cfRule>
    <cfRule type="expression" dxfId="32" priority="91">
      <formula>AND(#REF!=1,OR(#REF!&lt;&gt;0,LEFT($A58,1)="I",LEFT($A58,1)="C",RIGHT($A58,1)="X"))</formula>
    </cfRule>
    <cfRule type="expression" dxfId="31" priority="92">
      <formula>#REF!=0</formula>
    </cfRule>
  </conditionalFormatting>
  <conditionalFormatting sqref="J58">
    <cfRule type="expression" dxfId="30" priority="83">
      <formula>#REF!=4</formula>
    </cfRule>
  </conditionalFormatting>
  <conditionalFormatting sqref="C60">
    <cfRule type="expression" dxfId="29" priority="77">
      <formula>AND(#REF!=0,#REF!=1,LEFT($A60,1)="A")</formula>
    </cfRule>
    <cfRule type="expression" dxfId="28" priority="78">
      <formula>#REF!=3</formula>
    </cfRule>
    <cfRule type="expression" dxfId="27" priority="79">
      <formula>#REF!=2</formula>
    </cfRule>
    <cfRule type="expression" dxfId="26" priority="80">
      <formula>AND(#REF!=1,OR(#REF!&lt;&gt;0,LEFT($A60,1)="I",LEFT($A60,1)="C",RIGHT($A60,1)="X"))</formula>
    </cfRule>
    <cfRule type="expression" dxfId="25" priority="81">
      <formula>#REF!=0</formula>
    </cfRule>
  </conditionalFormatting>
  <conditionalFormatting sqref="H61:H62">
    <cfRule type="expression" dxfId="24" priority="72">
      <formula>#REF!=4</formula>
    </cfRule>
  </conditionalFormatting>
  <conditionalFormatting sqref="H65">
    <cfRule type="expression" dxfId="23" priority="66">
      <formula>#REF!=4</formula>
    </cfRule>
  </conditionalFormatting>
  <conditionalFormatting sqref="H67:H70">
    <cfRule type="expression" dxfId="22" priority="60">
      <formula>#REF!=4</formula>
    </cfRule>
  </conditionalFormatting>
  <conditionalFormatting sqref="H71">
    <cfRule type="expression" dxfId="21" priority="54">
      <formula>#REF!=4</formula>
    </cfRule>
  </conditionalFormatting>
  <conditionalFormatting sqref="H74:H75">
    <cfRule type="expression" dxfId="20" priority="48">
      <formula>#REF!=4</formula>
    </cfRule>
  </conditionalFormatting>
  <conditionalFormatting sqref="H58">
    <cfRule type="expression" dxfId="19" priority="42">
      <formula>#REF!=4</formula>
    </cfRule>
  </conditionalFormatting>
  <conditionalFormatting sqref="H66">
    <cfRule type="expression" dxfId="18" priority="30">
      <formula>#REF!=4</formula>
    </cfRule>
  </conditionalFormatting>
  <conditionalFormatting sqref="C42 I42 E42:G42">
    <cfRule type="expression" dxfId="17" priority="24">
      <formula>AND(#REF!=0,#REF!=1,LEFT($A42,1)="A")</formula>
    </cfRule>
    <cfRule type="expression" dxfId="16" priority="25">
      <formula>#REF!=3</formula>
    </cfRule>
    <cfRule type="expression" dxfId="15" priority="26">
      <formula>#REF!=2</formula>
    </cfRule>
    <cfRule type="expression" dxfId="14" priority="27">
      <formula>AND(#REF!=1,OR(#REF!&lt;&gt;0,LEFT($A42,1)="I",LEFT($A42,1)="C",RIGHT($A42,1)="X"))</formula>
    </cfRule>
    <cfRule type="expression" dxfId="13" priority="28">
      <formula>#REF!=0</formula>
    </cfRule>
  </conditionalFormatting>
  <conditionalFormatting sqref="E78:G97 C78:C97 I78:I97">
    <cfRule type="expression" dxfId="12" priority="19">
      <formula>AND(#REF!=0,#REF!=1,LEFT($A78,1)="A")</formula>
    </cfRule>
    <cfRule type="expression" dxfId="11" priority="20">
      <formula>#REF!=3</formula>
    </cfRule>
    <cfRule type="expression" dxfId="10" priority="21">
      <formula>#REF!=2</formula>
    </cfRule>
    <cfRule type="expression" dxfId="9" priority="22">
      <formula>AND(#REF!=1,OR(#REF!&lt;&gt;0,LEFT($A78,1)="I",LEFT($A78,1)="C",RIGHT($A78,1)="X"))</formula>
    </cfRule>
    <cfRule type="expression" dxfId="8" priority="23">
      <formula>#REF!=0</formula>
    </cfRule>
  </conditionalFormatting>
  <conditionalFormatting sqref="H78:H84">
    <cfRule type="expression" dxfId="7" priority="14">
      <formula>#REF!=4</formula>
    </cfRule>
  </conditionalFormatting>
  <conditionalFormatting sqref="H85:H89">
    <cfRule type="expression" dxfId="6" priority="8">
      <formula>#REF!=4</formula>
    </cfRule>
  </conditionalFormatting>
  <conditionalFormatting sqref="H90:H97">
    <cfRule type="expression" dxfId="5" priority="2">
      <formula>#REF!=4</formula>
    </cfRule>
  </conditionalFormatting>
  <conditionalFormatting sqref="H6:H13 H16:H25 H28:H29 H32:H36 H39:H41 H43:H44 H47:H49 J58 H61:H62 H74:H75 H58:H59 H65:H71 H78:H97">
    <cfRule type="expression" dxfId="4" priority="206">
      <formula>AND($B6=0,#REF!=1,LEFT($C6,1)="A")</formula>
    </cfRule>
    <cfRule type="expression" dxfId="3" priority="207">
      <formula>#REF!=3</formula>
    </cfRule>
    <cfRule type="expression" dxfId="2" priority="208">
      <formula>#REF!=2</formula>
    </cfRule>
    <cfRule type="expression" dxfId="1" priority="209">
      <formula>AND(#REF!=1,OR($B6&lt;&gt;0,LEFT($C6,1)="I",LEFT($C6,1)="C",RIGHT($C6,1)="X"))</formula>
    </cfRule>
    <cfRule type="expression" dxfId="0" priority="210">
      <formula>#REF!=0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3 E3" numberStoredAsText="1"/>
    <ignoredError sqref="G10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2019-12-04T06:36:28Z</dcterms:created>
  <dcterms:modified xsi:type="dcterms:W3CDTF">2019-12-16T13:13:25Z</dcterms:modified>
</cp:coreProperties>
</file>