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"/>
    </mc:Choice>
  </mc:AlternateContent>
  <xr:revisionPtr revIDLastSave="0" documentId="13_ncr:1_{F4E6E3B1-7210-451F-A60B-D2240EDB6361}" xr6:coauthVersionLast="45" xr6:coauthVersionMax="45" xr10:uidLastSave="{00000000-0000-0000-0000-000000000000}"/>
  <bookViews>
    <workbookView xWindow="-120" yWindow="-120" windowWidth="29040" windowHeight="15840" tabRatio="583" xr2:uid="{00000000-000D-0000-FFFF-FFFF00000000}"/>
  </bookViews>
  <sheets>
    <sheet name="Návrh" sheetId="1" r:id="rId1"/>
    <sheet name="plán výpočtu LP a ZM" sheetId="4" state="hidden" r:id="rId2"/>
    <sheet name="highlights" sheetId="5" r:id="rId3"/>
    <sheet name="v tis." sheetId="3" r:id="rId4"/>
  </sheets>
  <definedNames>
    <definedName name="_xlnm._FilterDatabase" localSheetId="0" hidden="1">Návrh!$A$1:$T$837</definedName>
    <definedName name="_xlnm._FilterDatabase" localSheetId="3" hidden="1">'v tis.'!$B$13:$D$840</definedName>
    <definedName name="_xlnm.Print_Titles" localSheetId="0">Návrh!$4:$10</definedName>
    <definedName name="_xlnm.Print_Area" localSheetId="0">Návrh!$A$329:$K$387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8" i="1" l="1"/>
  <c r="K147" i="1"/>
  <c r="K146" i="1"/>
  <c r="K99" i="1" l="1"/>
  <c r="H26" i="5" l="1"/>
  <c r="K317" i="1" l="1"/>
  <c r="H17" i="5" l="1"/>
  <c r="H9" i="5"/>
  <c r="H10" i="5" s="1"/>
  <c r="I23" i="4" l="1"/>
  <c r="I30" i="4"/>
  <c r="K763" i="1" l="1"/>
  <c r="K288" i="1" l="1"/>
  <c r="K741" i="1" l="1"/>
  <c r="K764" i="1" l="1"/>
  <c r="K104" i="1"/>
  <c r="K749" i="1"/>
  <c r="K284" i="1" l="1"/>
  <c r="K315" i="1"/>
  <c r="K531" i="1" l="1"/>
  <c r="K228" i="1" l="1"/>
  <c r="K175" i="1"/>
  <c r="K550" i="1" l="1"/>
  <c r="K279" i="1"/>
  <c r="K277" i="1"/>
  <c r="K237" i="1"/>
  <c r="K295" i="1"/>
  <c r="K229" i="1"/>
  <c r="K173" i="1"/>
  <c r="K231" i="1"/>
  <c r="K312" i="1" l="1"/>
  <c r="L666" i="1"/>
  <c r="M8" i="1" l="1"/>
  <c r="K504" i="1" l="1"/>
  <c r="I31" i="4" l="1"/>
  <c r="I24" i="4"/>
  <c r="G17" i="4"/>
  <c r="G4" i="4" l="1"/>
  <c r="G6" i="4" s="1"/>
  <c r="K40" i="1"/>
  <c r="J380" i="1"/>
  <c r="J363" i="1"/>
  <c r="J361" i="1"/>
  <c r="J320" i="1"/>
  <c r="J303" i="1"/>
  <c r="J301" i="1"/>
  <c r="J299" i="1"/>
  <c r="J286" i="1"/>
  <c r="J282" i="1"/>
  <c r="J273" i="1"/>
  <c r="J271" i="1"/>
  <c r="J265" i="1"/>
  <c r="J224" i="1"/>
  <c r="J214" i="1"/>
  <c r="J209" i="1"/>
  <c r="J189" i="1"/>
  <c r="J151" i="1"/>
  <c r="J149" i="1"/>
  <c r="J139" i="1"/>
  <c r="J129" i="1"/>
  <c r="J108" i="1"/>
  <c r="J97" i="1"/>
  <c r="J47" i="1"/>
  <c r="J44" i="1"/>
  <c r="J6" i="4" l="1"/>
  <c r="I6" i="4"/>
  <c r="H6" i="4"/>
  <c r="G15" i="4" l="1"/>
  <c r="G14" i="4"/>
  <c r="J14" i="4"/>
  <c r="J15" i="4"/>
  <c r="K120" i="1"/>
  <c r="K266" i="1"/>
  <c r="K544" i="1" l="1"/>
  <c r="K558" i="1"/>
  <c r="K311" i="1"/>
  <c r="K514" i="1" l="1"/>
  <c r="K507" i="1"/>
  <c r="K316" i="1" l="1"/>
  <c r="K41" i="1" l="1"/>
  <c r="K26" i="1" l="1"/>
  <c r="K665" i="1"/>
  <c r="J41" i="1" l="1"/>
  <c r="J25" i="1" s="1"/>
  <c r="L664" i="1" l="1"/>
  <c r="K503" i="1" l="1"/>
  <c r="K508" i="1" l="1"/>
  <c r="K505" i="1"/>
  <c r="K304" i="1" l="1"/>
  <c r="K248" i="1"/>
  <c r="K61" i="1"/>
  <c r="K84" i="1" l="1"/>
  <c r="K80" i="1" l="1"/>
  <c r="K75" i="1"/>
  <c r="K72" i="1"/>
  <c r="K71" i="1"/>
  <c r="K70" i="1"/>
  <c r="K69" i="1"/>
  <c r="K68" i="1"/>
  <c r="K66" i="1"/>
  <c r="K65" i="1"/>
  <c r="K64" i="1"/>
  <c r="K57" i="1"/>
  <c r="K47" i="1" l="1"/>
  <c r="K38" i="1"/>
  <c r="K37" i="1"/>
  <c r="K34" i="1"/>
  <c r="K33" i="1"/>
  <c r="K32" i="1"/>
  <c r="K31" i="1"/>
  <c r="K27" i="1"/>
  <c r="K25" i="1" l="1"/>
  <c r="L25" i="1" s="1"/>
  <c r="K630" i="1"/>
  <c r="K700" i="1"/>
  <c r="K703" i="1"/>
  <c r="J743" i="1" l="1"/>
  <c r="J664" i="1" l="1"/>
  <c r="J548" i="1" l="1"/>
  <c r="S837" i="1" l="1"/>
  <c r="S836" i="1"/>
  <c r="S835" i="1"/>
  <c r="S833" i="1"/>
  <c r="S832" i="1"/>
  <c r="S831" i="1"/>
  <c r="S830" i="1"/>
  <c r="S828" i="1"/>
  <c r="S826" i="1"/>
  <c r="S825" i="1"/>
  <c r="S823" i="1"/>
  <c r="S822" i="1"/>
  <c r="S821" i="1"/>
  <c r="S820" i="1"/>
  <c r="S819" i="1"/>
  <c r="S818" i="1"/>
  <c r="S817" i="1"/>
  <c r="S814" i="1"/>
  <c r="S812" i="1"/>
  <c r="S811" i="1"/>
  <c r="S810" i="1"/>
  <c r="S809" i="1"/>
  <c r="S808" i="1"/>
  <c r="S807" i="1"/>
  <c r="S804" i="1"/>
  <c r="S801" i="1"/>
  <c r="S798" i="1"/>
  <c r="S796" i="1"/>
  <c r="S795" i="1"/>
  <c r="S793" i="1"/>
  <c r="S791" i="1"/>
  <c r="S790" i="1"/>
  <c r="S789" i="1"/>
  <c r="S788" i="1"/>
  <c r="S787" i="1"/>
  <c r="S786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59" i="1"/>
  <c r="S758" i="1"/>
  <c r="S757" i="1"/>
  <c r="S756" i="1"/>
  <c r="S754" i="1"/>
  <c r="S753" i="1"/>
  <c r="S752" i="1"/>
  <c r="S751" i="1"/>
  <c r="S750" i="1"/>
  <c r="S749" i="1"/>
  <c r="S748" i="1"/>
  <c r="S747" i="1"/>
  <c r="S745" i="1"/>
  <c r="S742" i="1"/>
  <c r="S741" i="1"/>
  <c r="S740" i="1"/>
  <c r="S738" i="1"/>
  <c r="S736" i="1"/>
  <c r="S735" i="1"/>
  <c r="S733" i="1"/>
  <c r="S730" i="1"/>
  <c r="S729" i="1"/>
  <c r="S728" i="1"/>
  <c r="S727" i="1"/>
  <c r="S726" i="1"/>
  <c r="S723" i="1"/>
  <c r="S720" i="1"/>
  <c r="S719" i="1"/>
  <c r="S718" i="1"/>
  <c r="S717" i="1"/>
  <c r="S713" i="1"/>
  <c r="S712" i="1"/>
  <c r="S711" i="1"/>
  <c r="S710" i="1"/>
  <c r="S708" i="1"/>
  <c r="S706" i="1"/>
  <c r="S703" i="1"/>
  <c r="S702" i="1"/>
  <c r="S701" i="1"/>
  <c r="S700" i="1"/>
  <c r="S699" i="1"/>
  <c r="S698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6" i="1"/>
  <c r="S675" i="1"/>
  <c r="S672" i="1"/>
  <c r="S671" i="1"/>
  <c r="S669" i="1"/>
  <c r="S668" i="1"/>
  <c r="S667" i="1"/>
  <c r="S666" i="1"/>
  <c r="S665" i="1"/>
  <c r="S663" i="1"/>
  <c r="S661" i="1"/>
  <c r="S660" i="1"/>
  <c r="S658" i="1"/>
  <c r="S657" i="1"/>
  <c r="S656" i="1"/>
  <c r="S655" i="1"/>
  <c r="S653" i="1"/>
  <c r="S652" i="1"/>
  <c r="S650" i="1"/>
  <c r="S649" i="1"/>
  <c r="S648" i="1"/>
  <c r="S647" i="1"/>
  <c r="S646" i="1"/>
  <c r="S645" i="1"/>
  <c r="S644" i="1"/>
  <c r="S643" i="1"/>
  <c r="S642" i="1"/>
  <c r="S641" i="1"/>
  <c r="S639" i="1"/>
  <c r="S638" i="1"/>
  <c r="S637" i="1"/>
  <c r="S636" i="1"/>
  <c r="S635" i="1"/>
  <c r="S634" i="1"/>
  <c r="S632" i="1"/>
  <c r="S631" i="1"/>
  <c r="S630" i="1"/>
  <c r="S628" i="1"/>
  <c r="S627" i="1"/>
  <c r="S626" i="1"/>
  <c r="S625" i="1"/>
  <c r="S624" i="1"/>
  <c r="S623" i="1"/>
  <c r="S620" i="1"/>
  <c r="S617" i="1"/>
  <c r="S616" i="1"/>
  <c r="S615" i="1"/>
  <c r="S614" i="1"/>
  <c r="S613" i="1"/>
  <c r="S612" i="1"/>
  <c r="S611" i="1"/>
  <c r="S610" i="1"/>
  <c r="S609" i="1"/>
  <c r="S608" i="1"/>
  <c r="S607" i="1"/>
  <c r="S603" i="1"/>
  <c r="S602" i="1"/>
  <c r="S601" i="1"/>
  <c r="S600" i="1"/>
  <c r="S599" i="1"/>
  <c r="S598" i="1"/>
  <c r="S597" i="1"/>
  <c r="S596" i="1"/>
  <c r="S595" i="1"/>
  <c r="S593" i="1"/>
  <c r="S592" i="1"/>
  <c r="S590" i="1"/>
  <c r="S589" i="1"/>
  <c r="S588" i="1"/>
  <c r="S587" i="1"/>
  <c r="S586" i="1"/>
  <c r="S583" i="1"/>
  <c r="S581" i="1"/>
  <c r="S579" i="1"/>
  <c r="S576" i="1"/>
  <c r="S575" i="1"/>
  <c r="S574" i="1"/>
  <c r="S573" i="1"/>
  <c r="S571" i="1"/>
  <c r="S569" i="1"/>
  <c r="S566" i="1"/>
  <c r="S564" i="1"/>
  <c r="S563" i="1"/>
  <c r="S562" i="1"/>
  <c r="S560" i="1"/>
  <c r="S559" i="1"/>
  <c r="S558" i="1"/>
  <c r="S556" i="1"/>
  <c r="S555" i="1"/>
  <c r="S554" i="1"/>
  <c r="S552" i="1"/>
  <c r="S551" i="1"/>
  <c r="S550" i="1"/>
  <c r="S549" i="1"/>
  <c r="S547" i="1"/>
  <c r="S546" i="1"/>
  <c r="S545" i="1"/>
  <c r="S544" i="1"/>
  <c r="S542" i="1"/>
  <c r="S541" i="1"/>
  <c r="S540" i="1"/>
  <c r="S539" i="1"/>
  <c r="S538" i="1"/>
  <c r="S537" i="1"/>
  <c r="S536" i="1"/>
  <c r="S534" i="1"/>
  <c r="S533" i="1"/>
  <c r="S532" i="1"/>
  <c r="S531" i="1"/>
  <c r="S529" i="1"/>
  <c r="S526" i="1"/>
  <c r="S524" i="1"/>
  <c r="S520" i="1"/>
  <c r="S519" i="1"/>
  <c r="S518" i="1"/>
  <c r="S517" i="1"/>
  <c r="S515" i="1"/>
  <c r="S514" i="1"/>
  <c r="S513" i="1"/>
  <c r="S512" i="1"/>
  <c r="S511" i="1"/>
  <c r="S510" i="1"/>
  <c r="S508" i="1"/>
  <c r="S507" i="1"/>
  <c r="S506" i="1"/>
  <c r="S505" i="1"/>
  <c r="S504" i="1"/>
  <c r="S503" i="1"/>
  <c r="S502" i="1"/>
  <c r="S500" i="1"/>
  <c r="S496" i="1"/>
  <c r="S495" i="1"/>
  <c r="S494" i="1"/>
  <c r="S492" i="1"/>
  <c r="S491" i="1"/>
  <c r="S490" i="1"/>
  <c r="S488" i="1"/>
  <c r="S486" i="1"/>
  <c r="S484" i="1"/>
  <c r="S482" i="1"/>
  <c r="S480" i="1"/>
  <c r="S478" i="1"/>
  <c r="S476" i="1"/>
  <c r="S474" i="1"/>
  <c r="S472" i="1"/>
  <c r="S471" i="1"/>
  <c r="S469" i="1"/>
  <c r="S467" i="1"/>
  <c r="S465" i="1"/>
  <c r="S464" i="1"/>
  <c r="S463" i="1"/>
  <c r="S462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5" i="1"/>
  <c r="S443" i="1"/>
  <c r="S442" i="1"/>
  <c r="S441" i="1"/>
  <c r="S439" i="1"/>
  <c r="S438" i="1"/>
  <c r="S436" i="1"/>
  <c r="S433" i="1"/>
  <c r="S432" i="1"/>
  <c r="S430" i="1"/>
  <c r="S428" i="1"/>
  <c r="S425" i="1"/>
  <c r="S424" i="1"/>
  <c r="S423" i="1"/>
  <c r="S422" i="1"/>
  <c r="S421" i="1"/>
  <c r="S418" i="1"/>
  <c r="S417" i="1"/>
  <c r="S416" i="1"/>
  <c r="S415" i="1"/>
  <c r="S414" i="1"/>
  <c r="S413" i="1"/>
  <c r="S412" i="1"/>
  <c r="S410" i="1"/>
  <c r="S407" i="1"/>
  <c r="S405" i="1"/>
  <c r="S401" i="1"/>
  <c r="S400" i="1"/>
  <c r="S399" i="1"/>
  <c r="S398" i="1"/>
  <c r="S397" i="1"/>
  <c r="S394" i="1"/>
  <c r="S391" i="1"/>
  <c r="S387" i="1"/>
  <c r="S386" i="1"/>
  <c r="S383" i="1"/>
  <c r="S381" i="1"/>
  <c r="S379" i="1"/>
  <c r="S376" i="1"/>
  <c r="S375" i="1"/>
  <c r="S374" i="1"/>
  <c r="S371" i="1"/>
  <c r="S370" i="1"/>
  <c r="S368" i="1"/>
  <c r="S366" i="1"/>
  <c r="S364" i="1"/>
  <c r="S362" i="1"/>
  <c r="S360" i="1"/>
  <c r="S357" i="1"/>
  <c r="S356" i="1"/>
  <c r="S355" i="1"/>
  <c r="S354" i="1"/>
  <c r="S353" i="1"/>
  <c r="S352" i="1"/>
  <c r="S350" i="1"/>
  <c r="S348" i="1"/>
  <c r="S346" i="1"/>
  <c r="S344" i="1"/>
  <c r="S342" i="1"/>
  <c r="S340" i="1"/>
  <c r="S338" i="1"/>
  <c r="S336" i="1"/>
  <c r="S334" i="1"/>
  <c r="S332" i="1"/>
  <c r="S328" i="1"/>
  <c r="S327" i="1"/>
  <c r="S326" i="1"/>
  <c r="S325" i="1"/>
  <c r="S324" i="1"/>
  <c r="S322" i="1"/>
  <c r="S321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2" i="1"/>
  <c r="S300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5" i="1"/>
  <c r="S284" i="1"/>
  <c r="S283" i="1"/>
  <c r="S281" i="1"/>
  <c r="S280" i="1"/>
  <c r="S279" i="1"/>
  <c r="S278" i="1"/>
  <c r="S277" i="1"/>
  <c r="S276" i="1"/>
  <c r="S275" i="1"/>
  <c r="S274" i="1"/>
  <c r="S272" i="1"/>
  <c r="S270" i="1"/>
  <c r="S269" i="1"/>
  <c r="S268" i="1"/>
  <c r="S267" i="1"/>
  <c r="S266" i="1"/>
  <c r="S264" i="1"/>
  <c r="S263" i="1"/>
  <c r="S262" i="1"/>
  <c r="S260" i="1"/>
  <c r="S258" i="1"/>
  <c r="S255" i="1"/>
  <c r="S254" i="1"/>
  <c r="S251" i="1"/>
  <c r="S249" i="1"/>
  <c r="S248" i="1"/>
  <c r="S246" i="1"/>
  <c r="S244" i="1"/>
  <c r="S243" i="1"/>
  <c r="S240" i="1"/>
  <c r="S239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3" i="1"/>
  <c r="S219" i="1"/>
  <c r="S217" i="1"/>
  <c r="S216" i="1"/>
  <c r="S215" i="1"/>
  <c r="S213" i="1"/>
  <c r="S212" i="1"/>
  <c r="S211" i="1"/>
  <c r="S210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8" i="1"/>
  <c r="S186" i="1"/>
  <c r="S185" i="1"/>
  <c r="S184" i="1"/>
  <c r="S181" i="1"/>
  <c r="S180" i="1"/>
  <c r="S179" i="1"/>
  <c r="S178" i="1"/>
  <c r="S176" i="1"/>
  <c r="S175" i="1"/>
  <c r="S174" i="1"/>
  <c r="S173" i="1"/>
  <c r="S171" i="1"/>
  <c r="S168" i="1"/>
  <c r="S167" i="1"/>
  <c r="S165" i="1"/>
  <c r="S163" i="1"/>
  <c r="S162" i="1"/>
  <c r="S161" i="1"/>
  <c r="S160" i="1"/>
  <c r="S159" i="1"/>
  <c r="S158" i="1"/>
  <c r="S156" i="1"/>
  <c r="S154" i="1"/>
  <c r="S153" i="1"/>
  <c r="S152" i="1"/>
  <c r="S150" i="1"/>
  <c r="S148" i="1"/>
  <c r="S147" i="1"/>
  <c r="S146" i="1"/>
  <c r="S145" i="1"/>
  <c r="S144" i="1"/>
  <c r="S143" i="1"/>
  <c r="S142" i="1"/>
  <c r="S141" i="1"/>
  <c r="S140" i="1"/>
  <c r="S138" i="1"/>
  <c r="S137" i="1"/>
  <c r="S136" i="1"/>
  <c r="S135" i="1"/>
  <c r="S134" i="1"/>
  <c r="S133" i="1"/>
  <c r="S132" i="1"/>
  <c r="S131" i="1"/>
  <c r="S130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7" i="1"/>
  <c r="S106" i="1"/>
  <c r="S105" i="1"/>
  <c r="S104" i="1"/>
  <c r="S103" i="1"/>
  <c r="S102" i="1"/>
  <c r="S101" i="1"/>
  <c r="S100" i="1"/>
  <c r="S99" i="1"/>
  <c r="S98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6" i="1"/>
  <c r="S45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4" i="1"/>
  <c r="S23" i="1"/>
  <c r="S22" i="1"/>
  <c r="S21" i="1"/>
  <c r="S19" i="1"/>
  <c r="S17" i="1"/>
  <c r="S15" i="1"/>
  <c r="K183" i="1" l="1"/>
  <c r="K306" i="1" l="1"/>
  <c r="S25" i="1" l="1"/>
  <c r="I25" i="1"/>
  <c r="H25" i="1"/>
  <c r="G25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R837" i="1" l="1"/>
  <c r="Q837" i="1"/>
  <c r="P837" i="1"/>
  <c r="O837" i="1"/>
  <c r="N837" i="1"/>
  <c r="R836" i="1"/>
  <c r="Q836" i="1"/>
  <c r="P836" i="1"/>
  <c r="O836" i="1"/>
  <c r="N836" i="1"/>
  <c r="R835" i="1"/>
  <c r="Q835" i="1"/>
  <c r="P835" i="1"/>
  <c r="O835" i="1"/>
  <c r="N835" i="1"/>
  <c r="R833" i="1"/>
  <c r="Q833" i="1"/>
  <c r="P833" i="1"/>
  <c r="O833" i="1"/>
  <c r="N833" i="1"/>
  <c r="R832" i="1"/>
  <c r="Q832" i="1"/>
  <c r="P832" i="1"/>
  <c r="O832" i="1"/>
  <c r="N832" i="1"/>
  <c r="R831" i="1"/>
  <c r="Q831" i="1"/>
  <c r="P831" i="1"/>
  <c r="O831" i="1"/>
  <c r="N831" i="1"/>
  <c r="R830" i="1"/>
  <c r="Q830" i="1"/>
  <c r="P830" i="1"/>
  <c r="O830" i="1"/>
  <c r="N830" i="1"/>
  <c r="Q828" i="1"/>
  <c r="P828" i="1"/>
  <c r="O828" i="1"/>
  <c r="N828" i="1"/>
  <c r="Q826" i="1"/>
  <c r="P826" i="1"/>
  <c r="O826" i="1"/>
  <c r="N826" i="1"/>
  <c r="Q825" i="1"/>
  <c r="P825" i="1"/>
  <c r="O825" i="1"/>
  <c r="N825" i="1"/>
  <c r="Q823" i="1"/>
  <c r="P823" i="1"/>
  <c r="O823" i="1"/>
  <c r="N823" i="1"/>
  <c r="Q822" i="1"/>
  <c r="P822" i="1"/>
  <c r="O822" i="1"/>
  <c r="N822" i="1"/>
  <c r="Q821" i="1"/>
  <c r="P821" i="1"/>
  <c r="O821" i="1"/>
  <c r="N821" i="1"/>
  <c r="Q820" i="1"/>
  <c r="P820" i="1"/>
  <c r="O820" i="1"/>
  <c r="N820" i="1"/>
  <c r="Q819" i="1"/>
  <c r="P819" i="1"/>
  <c r="O819" i="1"/>
  <c r="N819" i="1"/>
  <c r="Q818" i="1"/>
  <c r="P818" i="1"/>
  <c r="O818" i="1"/>
  <c r="N818" i="1"/>
  <c r="R814" i="1"/>
  <c r="Q814" i="1"/>
  <c r="P814" i="1"/>
  <c r="O814" i="1"/>
  <c r="N814" i="1"/>
  <c r="R812" i="1"/>
  <c r="Q812" i="1"/>
  <c r="P812" i="1"/>
  <c r="O812" i="1"/>
  <c r="N812" i="1"/>
  <c r="R811" i="1"/>
  <c r="Q811" i="1"/>
  <c r="P811" i="1"/>
  <c r="O811" i="1"/>
  <c r="N811" i="1"/>
  <c r="R810" i="1"/>
  <c r="Q810" i="1"/>
  <c r="P810" i="1"/>
  <c r="O810" i="1"/>
  <c r="N810" i="1"/>
  <c r="R809" i="1"/>
  <c r="Q809" i="1"/>
  <c r="P809" i="1"/>
  <c r="O809" i="1"/>
  <c r="N809" i="1"/>
  <c r="R808" i="1"/>
  <c r="Q808" i="1"/>
  <c r="P808" i="1"/>
  <c r="O808" i="1"/>
  <c r="N808" i="1"/>
  <c r="Q807" i="1"/>
  <c r="P807" i="1"/>
  <c r="O807" i="1"/>
  <c r="N807" i="1"/>
  <c r="Q804" i="1"/>
  <c r="P804" i="1"/>
  <c r="O804" i="1"/>
  <c r="N804" i="1"/>
  <c r="Q801" i="1"/>
  <c r="P801" i="1"/>
  <c r="O801" i="1"/>
  <c r="N801" i="1"/>
  <c r="R798" i="1"/>
  <c r="Q798" i="1"/>
  <c r="P798" i="1"/>
  <c r="O798" i="1"/>
  <c r="N798" i="1"/>
  <c r="R796" i="1"/>
  <c r="Q796" i="1"/>
  <c r="P796" i="1"/>
  <c r="O796" i="1"/>
  <c r="N796" i="1"/>
  <c r="R795" i="1"/>
  <c r="Q795" i="1"/>
  <c r="P795" i="1"/>
  <c r="O795" i="1"/>
  <c r="N795" i="1"/>
  <c r="Q793" i="1"/>
  <c r="P793" i="1"/>
  <c r="O793" i="1"/>
  <c r="N793" i="1"/>
  <c r="Q791" i="1"/>
  <c r="P791" i="1"/>
  <c r="O791" i="1"/>
  <c r="N791" i="1"/>
  <c r="Q790" i="1"/>
  <c r="P790" i="1"/>
  <c r="O790" i="1"/>
  <c r="N790" i="1"/>
  <c r="Q789" i="1"/>
  <c r="P789" i="1"/>
  <c r="O789" i="1"/>
  <c r="N789" i="1"/>
  <c r="Q788" i="1"/>
  <c r="P788" i="1"/>
  <c r="O788" i="1"/>
  <c r="N788" i="1"/>
  <c r="Q787" i="1"/>
  <c r="P787" i="1"/>
  <c r="O787" i="1"/>
  <c r="N787" i="1"/>
  <c r="Q786" i="1"/>
  <c r="P786" i="1"/>
  <c r="O786" i="1"/>
  <c r="N786" i="1"/>
  <c r="Q784" i="1"/>
  <c r="P784" i="1"/>
  <c r="O784" i="1"/>
  <c r="N784" i="1"/>
  <c r="Q783" i="1"/>
  <c r="P783" i="1"/>
  <c r="O783" i="1"/>
  <c r="N783" i="1"/>
  <c r="Q782" i="1"/>
  <c r="P782" i="1"/>
  <c r="O782" i="1"/>
  <c r="N782" i="1"/>
  <c r="Q781" i="1"/>
  <c r="P781" i="1"/>
  <c r="O781" i="1"/>
  <c r="N781" i="1"/>
  <c r="Q780" i="1"/>
  <c r="P780" i="1"/>
  <c r="O780" i="1"/>
  <c r="N780" i="1"/>
  <c r="Q779" i="1"/>
  <c r="P779" i="1"/>
  <c r="O779" i="1"/>
  <c r="N779" i="1"/>
  <c r="Q778" i="1"/>
  <c r="P778" i="1"/>
  <c r="O778" i="1"/>
  <c r="N778" i="1"/>
  <c r="Q777" i="1"/>
  <c r="P777" i="1"/>
  <c r="O777" i="1"/>
  <c r="N777" i="1"/>
  <c r="Q776" i="1"/>
  <c r="P776" i="1"/>
  <c r="O776" i="1"/>
  <c r="N776" i="1"/>
  <c r="Q775" i="1"/>
  <c r="P775" i="1"/>
  <c r="O775" i="1"/>
  <c r="N775" i="1"/>
  <c r="Q774" i="1"/>
  <c r="P774" i="1"/>
  <c r="O774" i="1"/>
  <c r="N774" i="1"/>
  <c r="Q773" i="1"/>
  <c r="P773" i="1"/>
  <c r="O773" i="1"/>
  <c r="N773" i="1"/>
  <c r="Q772" i="1"/>
  <c r="P772" i="1"/>
  <c r="O772" i="1"/>
  <c r="N772" i="1"/>
  <c r="Q771" i="1"/>
  <c r="P771" i="1"/>
  <c r="O771" i="1"/>
  <c r="N771" i="1"/>
  <c r="Q770" i="1"/>
  <c r="P770" i="1"/>
  <c r="O770" i="1"/>
  <c r="N770" i="1"/>
  <c r="Q769" i="1"/>
  <c r="P769" i="1"/>
  <c r="O769" i="1"/>
  <c r="N769" i="1"/>
  <c r="Q768" i="1"/>
  <c r="P768" i="1"/>
  <c r="O768" i="1"/>
  <c r="N768" i="1"/>
  <c r="Q767" i="1"/>
  <c r="P767" i="1"/>
  <c r="O767" i="1"/>
  <c r="N767" i="1"/>
  <c r="Q766" i="1"/>
  <c r="P766" i="1"/>
  <c r="O766" i="1"/>
  <c r="N766" i="1"/>
  <c r="Q765" i="1"/>
  <c r="P765" i="1"/>
  <c r="O765" i="1"/>
  <c r="N765" i="1"/>
  <c r="Q764" i="1"/>
  <c r="P764" i="1"/>
  <c r="O764" i="1"/>
  <c r="N764" i="1"/>
  <c r="Q763" i="1"/>
  <c r="P763" i="1"/>
  <c r="O763" i="1"/>
  <c r="N763" i="1"/>
  <c r="Q762" i="1"/>
  <c r="P762" i="1"/>
  <c r="O762" i="1"/>
  <c r="N762" i="1"/>
  <c r="Q761" i="1"/>
  <c r="P761" i="1"/>
  <c r="O761" i="1"/>
  <c r="N761" i="1"/>
  <c r="Q759" i="1"/>
  <c r="P759" i="1"/>
  <c r="O759" i="1"/>
  <c r="N759" i="1"/>
  <c r="Q758" i="1"/>
  <c r="P758" i="1"/>
  <c r="O758" i="1"/>
  <c r="N758" i="1"/>
  <c r="Q757" i="1"/>
  <c r="P757" i="1"/>
  <c r="O757" i="1"/>
  <c r="N757" i="1"/>
  <c r="Q756" i="1"/>
  <c r="P756" i="1"/>
  <c r="O756" i="1"/>
  <c r="N756" i="1"/>
  <c r="Q754" i="1"/>
  <c r="P754" i="1"/>
  <c r="O754" i="1"/>
  <c r="N754" i="1"/>
  <c r="Q753" i="1"/>
  <c r="P753" i="1"/>
  <c r="O753" i="1"/>
  <c r="N753" i="1"/>
  <c r="Q752" i="1"/>
  <c r="P752" i="1"/>
  <c r="O752" i="1"/>
  <c r="N752" i="1"/>
  <c r="Q751" i="1"/>
  <c r="P751" i="1"/>
  <c r="O751" i="1"/>
  <c r="N751" i="1"/>
  <c r="Q750" i="1"/>
  <c r="P750" i="1"/>
  <c r="O750" i="1"/>
  <c r="N750" i="1"/>
  <c r="Q749" i="1"/>
  <c r="P749" i="1"/>
  <c r="O749" i="1"/>
  <c r="N749" i="1"/>
  <c r="Q748" i="1"/>
  <c r="P748" i="1"/>
  <c r="O748" i="1"/>
  <c r="N748" i="1"/>
  <c r="Q747" i="1"/>
  <c r="P747" i="1"/>
  <c r="O747" i="1"/>
  <c r="N747" i="1"/>
  <c r="Q745" i="1"/>
  <c r="P745" i="1"/>
  <c r="O745" i="1"/>
  <c r="N745" i="1"/>
  <c r="Q742" i="1"/>
  <c r="P742" i="1"/>
  <c r="O742" i="1"/>
  <c r="N742" i="1"/>
  <c r="Q741" i="1"/>
  <c r="P741" i="1"/>
  <c r="O741" i="1"/>
  <c r="N741" i="1"/>
  <c r="Q740" i="1"/>
  <c r="P740" i="1"/>
  <c r="O740" i="1"/>
  <c r="N740" i="1"/>
  <c r="Q738" i="1"/>
  <c r="P738" i="1"/>
  <c r="O738" i="1"/>
  <c r="N738" i="1"/>
  <c r="Q736" i="1"/>
  <c r="P736" i="1"/>
  <c r="O736" i="1"/>
  <c r="N736" i="1"/>
  <c r="Q733" i="1"/>
  <c r="P733" i="1"/>
  <c r="O733" i="1"/>
  <c r="N733" i="1"/>
  <c r="Q730" i="1"/>
  <c r="P730" i="1"/>
  <c r="O730" i="1"/>
  <c r="N730" i="1"/>
  <c r="Q729" i="1"/>
  <c r="P729" i="1"/>
  <c r="O729" i="1"/>
  <c r="N729" i="1"/>
  <c r="Q728" i="1"/>
  <c r="P728" i="1"/>
  <c r="O728" i="1"/>
  <c r="N728" i="1"/>
  <c r="Q727" i="1"/>
  <c r="P727" i="1"/>
  <c r="O727" i="1"/>
  <c r="N727" i="1"/>
  <c r="Q726" i="1"/>
  <c r="P726" i="1"/>
  <c r="O726" i="1"/>
  <c r="N726" i="1"/>
  <c r="Q723" i="1"/>
  <c r="P723" i="1"/>
  <c r="O723" i="1"/>
  <c r="N723" i="1"/>
  <c r="Q720" i="1"/>
  <c r="P720" i="1"/>
  <c r="O720" i="1"/>
  <c r="N720" i="1"/>
  <c r="Q719" i="1"/>
  <c r="P719" i="1"/>
  <c r="O719" i="1"/>
  <c r="N719" i="1"/>
  <c r="Q718" i="1"/>
  <c r="P718" i="1"/>
  <c r="O718" i="1"/>
  <c r="N718" i="1"/>
  <c r="Q717" i="1"/>
  <c r="P717" i="1"/>
  <c r="O717" i="1"/>
  <c r="N717" i="1"/>
  <c r="Q713" i="1"/>
  <c r="P713" i="1"/>
  <c r="O713" i="1"/>
  <c r="N713" i="1"/>
  <c r="Q712" i="1"/>
  <c r="P712" i="1"/>
  <c r="O712" i="1"/>
  <c r="N712" i="1"/>
  <c r="Q711" i="1"/>
  <c r="P711" i="1"/>
  <c r="O711" i="1"/>
  <c r="N711" i="1"/>
  <c r="Q710" i="1"/>
  <c r="P710" i="1"/>
  <c r="O710" i="1"/>
  <c r="N710" i="1"/>
  <c r="Q708" i="1"/>
  <c r="P708" i="1"/>
  <c r="O708" i="1"/>
  <c r="N708" i="1"/>
  <c r="Q706" i="1"/>
  <c r="P706" i="1"/>
  <c r="O706" i="1"/>
  <c r="N706" i="1"/>
  <c r="Q703" i="1"/>
  <c r="P703" i="1"/>
  <c r="O703" i="1"/>
  <c r="N703" i="1"/>
  <c r="Q702" i="1"/>
  <c r="P702" i="1"/>
  <c r="O702" i="1"/>
  <c r="N702" i="1"/>
  <c r="Q701" i="1"/>
  <c r="P701" i="1"/>
  <c r="O701" i="1"/>
  <c r="N701" i="1"/>
  <c r="Q700" i="1"/>
  <c r="P700" i="1"/>
  <c r="O700" i="1"/>
  <c r="N700" i="1"/>
  <c r="Q699" i="1"/>
  <c r="P699" i="1"/>
  <c r="O699" i="1"/>
  <c r="N699" i="1"/>
  <c r="Q698" i="1"/>
  <c r="P698" i="1"/>
  <c r="O698" i="1"/>
  <c r="N698" i="1"/>
  <c r="Q695" i="1"/>
  <c r="P695" i="1"/>
  <c r="O695" i="1"/>
  <c r="N695" i="1"/>
  <c r="Q694" i="1"/>
  <c r="P694" i="1"/>
  <c r="O694" i="1"/>
  <c r="N694" i="1"/>
  <c r="Q693" i="1"/>
  <c r="P693" i="1"/>
  <c r="O693" i="1"/>
  <c r="N693" i="1"/>
  <c r="Q692" i="1"/>
  <c r="P692" i="1"/>
  <c r="O692" i="1"/>
  <c r="N692" i="1"/>
  <c r="Q691" i="1"/>
  <c r="P691" i="1"/>
  <c r="O691" i="1"/>
  <c r="N691" i="1"/>
  <c r="Q690" i="1"/>
  <c r="P690" i="1"/>
  <c r="O690" i="1"/>
  <c r="N690" i="1"/>
  <c r="Q689" i="1"/>
  <c r="P689" i="1"/>
  <c r="O689" i="1"/>
  <c r="N689" i="1"/>
  <c r="Q688" i="1"/>
  <c r="P688" i="1"/>
  <c r="O688" i="1"/>
  <c r="N688" i="1"/>
  <c r="Q687" i="1"/>
  <c r="P687" i="1"/>
  <c r="O687" i="1"/>
  <c r="N687" i="1"/>
  <c r="Q686" i="1"/>
  <c r="P686" i="1"/>
  <c r="O686" i="1"/>
  <c r="N686" i="1"/>
  <c r="Q685" i="1"/>
  <c r="P685" i="1"/>
  <c r="O685" i="1"/>
  <c r="N685" i="1"/>
  <c r="Q684" i="1"/>
  <c r="P684" i="1"/>
  <c r="O684" i="1"/>
  <c r="N684" i="1"/>
  <c r="Q683" i="1"/>
  <c r="P683" i="1"/>
  <c r="O683" i="1"/>
  <c r="N683" i="1"/>
  <c r="Q682" i="1"/>
  <c r="P682" i="1"/>
  <c r="O682" i="1"/>
  <c r="N682" i="1"/>
  <c r="Q681" i="1"/>
  <c r="P681" i="1"/>
  <c r="O681" i="1"/>
  <c r="N681" i="1"/>
  <c r="Q680" i="1"/>
  <c r="P680" i="1"/>
  <c r="O680" i="1"/>
  <c r="N680" i="1"/>
  <c r="Q679" i="1"/>
  <c r="P679" i="1"/>
  <c r="O679" i="1"/>
  <c r="N679" i="1"/>
  <c r="Q678" i="1"/>
  <c r="P678" i="1"/>
  <c r="O678" i="1"/>
  <c r="N678" i="1"/>
  <c r="Q676" i="1"/>
  <c r="P676" i="1"/>
  <c r="O676" i="1"/>
  <c r="N676" i="1"/>
  <c r="Q672" i="1"/>
  <c r="P672" i="1"/>
  <c r="O672" i="1"/>
  <c r="N672" i="1"/>
  <c r="Q671" i="1"/>
  <c r="P671" i="1"/>
  <c r="O671" i="1"/>
  <c r="N671" i="1"/>
  <c r="Q669" i="1"/>
  <c r="P669" i="1"/>
  <c r="O669" i="1"/>
  <c r="N669" i="1"/>
  <c r="Q668" i="1"/>
  <c r="P668" i="1"/>
  <c r="O668" i="1"/>
  <c r="N668" i="1"/>
  <c r="Q667" i="1"/>
  <c r="P667" i="1"/>
  <c r="O667" i="1"/>
  <c r="N667" i="1"/>
  <c r="Q666" i="1"/>
  <c r="P666" i="1"/>
  <c r="O666" i="1"/>
  <c r="N666" i="1"/>
  <c r="Q665" i="1"/>
  <c r="P665" i="1"/>
  <c r="O665" i="1"/>
  <c r="N665" i="1"/>
  <c r="Q663" i="1"/>
  <c r="P663" i="1"/>
  <c r="O663" i="1"/>
  <c r="N663" i="1"/>
  <c r="Q661" i="1"/>
  <c r="P661" i="1"/>
  <c r="O661" i="1"/>
  <c r="N661" i="1"/>
  <c r="Q660" i="1"/>
  <c r="P660" i="1"/>
  <c r="O660" i="1"/>
  <c r="N660" i="1"/>
  <c r="Q658" i="1"/>
  <c r="P658" i="1"/>
  <c r="O658" i="1"/>
  <c r="N658" i="1"/>
  <c r="Q657" i="1"/>
  <c r="P657" i="1"/>
  <c r="O657" i="1"/>
  <c r="N657" i="1"/>
  <c r="Q656" i="1"/>
  <c r="P656" i="1"/>
  <c r="O656" i="1"/>
  <c r="N656" i="1"/>
  <c r="Q655" i="1"/>
  <c r="P655" i="1"/>
  <c r="O655" i="1"/>
  <c r="N655" i="1"/>
  <c r="Q653" i="1"/>
  <c r="P653" i="1"/>
  <c r="O653" i="1"/>
  <c r="N653" i="1"/>
  <c r="Q652" i="1"/>
  <c r="P652" i="1"/>
  <c r="O652" i="1"/>
  <c r="N652" i="1"/>
  <c r="Q650" i="1"/>
  <c r="P650" i="1"/>
  <c r="O650" i="1"/>
  <c r="N650" i="1"/>
  <c r="Q649" i="1"/>
  <c r="P649" i="1"/>
  <c r="O649" i="1"/>
  <c r="N649" i="1"/>
  <c r="Q648" i="1"/>
  <c r="P648" i="1"/>
  <c r="O648" i="1"/>
  <c r="N648" i="1"/>
  <c r="Q647" i="1"/>
  <c r="P647" i="1"/>
  <c r="O647" i="1"/>
  <c r="N647" i="1"/>
  <c r="Q646" i="1"/>
  <c r="P646" i="1"/>
  <c r="O646" i="1"/>
  <c r="N646" i="1"/>
  <c r="Q645" i="1"/>
  <c r="P645" i="1"/>
  <c r="O645" i="1"/>
  <c r="N645" i="1"/>
  <c r="Q644" i="1"/>
  <c r="P644" i="1"/>
  <c r="O644" i="1"/>
  <c r="N644" i="1"/>
  <c r="Q643" i="1"/>
  <c r="P643" i="1"/>
  <c r="O643" i="1"/>
  <c r="N643" i="1"/>
  <c r="Q642" i="1"/>
  <c r="P642" i="1"/>
  <c r="O642" i="1"/>
  <c r="N642" i="1"/>
  <c r="Q641" i="1"/>
  <c r="P641" i="1"/>
  <c r="O641" i="1"/>
  <c r="N641" i="1"/>
  <c r="Q639" i="1"/>
  <c r="P639" i="1"/>
  <c r="O639" i="1"/>
  <c r="N639" i="1"/>
  <c r="Q638" i="1"/>
  <c r="P638" i="1"/>
  <c r="O638" i="1"/>
  <c r="N638" i="1"/>
  <c r="Q637" i="1"/>
  <c r="P637" i="1"/>
  <c r="O637" i="1"/>
  <c r="N637" i="1"/>
  <c r="Q636" i="1"/>
  <c r="P636" i="1"/>
  <c r="O636" i="1"/>
  <c r="N636" i="1"/>
  <c r="Q635" i="1"/>
  <c r="P635" i="1"/>
  <c r="O635" i="1"/>
  <c r="N635" i="1"/>
  <c r="Q634" i="1"/>
  <c r="P634" i="1"/>
  <c r="O634" i="1"/>
  <c r="N634" i="1"/>
  <c r="Q632" i="1"/>
  <c r="P632" i="1"/>
  <c r="O632" i="1"/>
  <c r="N632" i="1"/>
  <c r="Q631" i="1"/>
  <c r="P631" i="1"/>
  <c r="O631" i="1"/>
  <c r="N631" i="1"/>
  <c r="Q630" i="1"/>
  <c r="P630" i="1"/>
  <c r="O630" i="1"/>
  <c r="N630" i="1"/>
  <c r="Q628" i="1"/>
  <c r="P628" i="1"/>
  <c r="O628" i="1"/>
  <c r="N628" i="1"/>
  <c r="Q627" i="1"/>
  <c r="P627" i="1"/>
  <c r="O627" i="1"/>
  <c r="N627" i="1"/>
  <c r="Q626" i="1"/>
  <c r="P626" i="1"/>
  <c r="O626" i="1"/>
  <c r="N626" i="1"/>
  <c r="Q625" i="1"/>
  <c r="P625" i="1"/>
  <c r="O625" i="1"/>
  <c r="N625" i="1"/>
  <c r="Q624" i="1"/>
  <c r="P624" i="1"/>
  <c r="O624" i="1"/>
  <c r="N624" i="1"/>
  <c r="Q623" i="1"/>
  <c r="P623" i="1"/>
  <c r="O623" i="1"/>
  <c r="N623" i="1"/>
  <c r="Q620" i="1"/>
  <c r="O620" i="1"/>
  <c r="Q617" i="1"/>
  <c r="P617" i="1"/>
  <c r="O617" i="1"/>
  <c r="N617" i="1"/>
  <c r="Q616" i="1"/>
  <c r="P616" i="1"/>
  <c r="O616" i="1"/>
  <c r="N616" i="1"/>
  <c r="Q615" i="1"/>
  <c r="P615" i="1"/>
  <c r="O615" i="1"/>
  <c r="N615" i="1"/>
  <c r="Q614" i="1"/>
  <c r="P614" i="1"/>
  <c r="O614" i="1"/>
  <c r="N614" i="1"/>
  <c r="Q613" i="1"/>
  <c r="P613" i="1"/>
  <c r="O613" i="1"/>
  <c r="N613" i="1"/>
  <c r="Q612" i="1"/>
  <c r="P612" i="1"/>
  <c r="O612" i="1"/>
  <c r="N612" i="1"/>
  <c r="Q611" i="1"/>
  <c r="P611" i="1"/>
  <c r="O611" i="1"/>
  <c r="N611" i="1"/>
  <c r="Q610" i="1"/>
  <c r="P610" i="1"/>
  <c r="O610" i="1"/>
  <c r="N610" i="1"/>
  <c r="Q609" i="1"/>
  <c r="P609" i="1"/>
  <c r="O609" i="1"/>
  <c r="N609" i="1"/>
  <c r="Q608" i="1"/>
  <c r="P608" i="1"/>
  <c r="O608" i="1"/>
  <c r="N608" i="1"/>
  <c r="Q607" i="1"/>
  <c r="P607" i="1"/>
  <c r="O607" i="1"/>
  <c r="N607" i="1"/>
  <c r="Q603" i="1"/>
  <c r="P603" i="1"/>
  <c r="O603" i="1"/>
  <c r="N603" i="1"/>
  <c r="Q602" i="1"/>
  <c r="P602" i="1"/>
  <c r="O602" i="1"/>
  <c r="N602" i="1"/>
  <c r="Q601" i="1"/>
  <c r="P601" i="1"/>
  <c r="O601" i="1"/>
  <c r="N601" i="1"/>
  <c r="Q600" i="1"/>
  <c r="P600" i="1"/>
  <c r="O600" i="1"/>
  <c r="N600" i="1"/>
  <c r="Q599" i="1"/>
  <c r="P599" i="1"/>
  <c r="O599" i="1"/>
  <c r="N599" i="1"/>
  <c r="Q598" i="1"/>
  <c r="P598" i="1"/>
  <c r="O598" i="1"/>
  <c r="N598" i="1"/>
  <c r="Q597" i="1"/>
  <c r="P597" i="1"/>
  <c r="O597" i="1"/>
  <c r="N597" i="1"/>
  <c r="Q596" i="1"/>
  <c r="P596" i="1"/>
  <c r="O596" i="1"/>
  <c r="N596" i="1"/>
  <c r="Q595" i="1"/>
  <c r="P595" i="1"/>
  <c r="O595" i="1"/>
  <c r="N595" i="1"/>
  <c r="Q593" i="1"/>
  <c r="P593" i="1"/>
  <c r="O593" i="1"/>
  <c r="N593" i="1"/>
  <c r="Q592" i="1"/>
  <c r="P592" i="1"/>
  <c r="O592" i="1"/>
  <c r="N592" i="1"/>
  <c r="Q590" i="1"/>
  <c r="P590" i="1"/>
  <c r="O590" i="1"/>
  <c r="N590" i="1"/>
  <c r="Q589" i="1"/>
  <c r="P589" i="1"/>
  <c r="O589" i="1"/>
  <c r="N589" i="1"/>
  <c r="Q588" i="1"/>
  <c r="P588" i="1"/>
  <c r="O588" i="1"/>
  <c r="N588" i="1"/>
  <c r="Q587" i="1"/>
  <c r="P587" i="1"/>
  <c r="O587" i="1"/>
  <c r="N587" i="1"/>
  <c r="Q586" i="1"/>
  <c r="P586" i="1"/>
  <c r="O586" i="1"/>
  <c r="N586" i="1"/>
  <c r="Q583" i="1"/>
  <c r="P583" i="1"/>
  <c r="O583" i="1"/>
  <c r="N583" i="1"/>
  <c r="Q581" i="1"/>
  <c r="P581" i="1"/>
  <c r="O581" i="1"/>
  <c r="N581" i="1"/>
  <c r="Q579" i="1"/>
  <c r="P579" i="1"/>
  <c r="O579" i="1"/>
  <c r="N579" i="1"/>
  <c r="Q576" i="1"/>
  <c r="P576" i="1"/>
  <c r="O576" i="1"/>
  <c r="N576" i="1"/>
  <c r="Q573" i="1"/>
  <c r="O573" i="1"/>
  <c r="Q571" i="1"/>
  <c r="P571" i="1"/>
  <c r="O571" i="1"/>
  <c r="N571" i="1"/>
  <c r="Q569" i="1"/>
  <c r="P569" i="1"/>
  <c r="O569" i="1"/>
  <c r="N569" i="1"/>
  <c r="Q566" i="1"/>
  <c r="P566" i="1"/>
  <c r="O566" i="1"/>
  <c r="N566" i="1"/>
  <c r="Q563" i="1"/>
  <c r="O563" i="1"/>
  <c r="Q562" i="1"/>
  <c r="P562" i="1"/>
  <c r="O562" i="1"/>
  <c r="N562" i="1"/>
  <c r="Q560" i="1"/>
  <c r="P560" i="1"/>
  <c r="O560" i="1"/>
  <c r="N560" i="1"/>
  <c r="Q559" i="1"/>
  <c r="P559" i="1"/>
  <c r="O559" i="1"/>
  <c r="N559" i="1"/>
  <c r="Q558" i="1"/>
  <c r="P558" i="1"/>
  <c r="O558" i="1"/>
  <c r="N558" i="1"/>
  <c r="Q556" i="1"/>
  <c r="P556" i="1"/>
  <c r="O556" i="1"/>
  <c r="N556" i="1"/>
  <c r="Q555" i="1"/>
  <c r="P555" i="1"/>
  <c r="O555" i="1"/>
  <c r="N555" i="1"/>
  <c r="Q554" i="1"/>
  <c r="P554" i="1"/>
  <c r="O554" i="1"/>
  <c r="N554" i="1"/>
  <c r="Q552" i="1"/>
  <c r="P552" i="1"/>
  <c r="O552" i="1"/>
  <c r="N552" i="1"/>
  <c r="Q551" i="1"/>
  <c r="P551" i="1"/>
  <c r="O551" i="1"/>
  <c r="N551" i="1"/>
  <c r="Q550" i="1"/>
  <c r="P550" i="1"/>
  <c r="O550" i="1"/>
  <c r="N550" i="1"/>
  <c r="Q549" i="1"/>
  <c r="P549" i="1"/>
  <c r="O549" i="1"/>
  <c r="N549" i="1"/>
  <c r="Q547" i="1"/>
  <c r="P547" i="1"/>
  <c r="O547" i="1"/>
  <c r="N547" i="1"/>
  <c r="Q546" i="1"/>
  <c r="P546" i="1"/>
  <c r="O546" i="1"/>
  <c r="N546" i="1"/>
  <c r="Q545" i="1"/>
  <c r="P545" i="1"/>
  <c r="O545" i="1"/>
  <c r="N545" i="1"/>
  <c r="Q544" i="1"/>
  <c r="P544" i="1"/>
  <c r="O544" i="1"/>
  <c r="N544" i="1"/>
  <c r="Q542" i="1"/>
  <c r="P542" i="1"/>
  <c r="O542" i="1"/>
  <c r="N542" i="1"/>
  <c r="Q541" i="1"/>
  <c r="P541" i="1"/>
  <c r="O541" i="1"/>
  <c r="N541" i="1"/>
  <c r="Q540" i="1"/>
  <c r="P540" i="1"/>
  <c r="O540" i="1"/>
  <c r="N540" i="1"/>
  <c r="Q539" i="1"/>
  <c r="P539" i="1"/>
  <c r="O539" i="1"/>
  <c r="N539" i="1"/>
  <c r="Q538" i="1"/>
  <c r="P538" i="1"/>
  <c r="O538" i="1"/>
  <c r="N538" i="1"/>
  <c r="Q537" i="1"/>
  <c r="P537" i="1"/>
  <c r="O537" i="1"/>
  <c r="N537" i="1"/>
  <c r="Q536" i="1"/>
  <c r="P536" i="1"/>
  <c r="O536" i="1"/>
  <c r="N536" i="1"/>
  <c r="Q534" i="1"/>
  <c r="P534" i="1"/>
  <c r="O534" i="1"/>
  <c r="N534" i="1"/>
  <c r="Q533" i="1"/>
  <c r="P533" i="1"/>
  <c r="O533" i="1"/>
  <c r="N533" i="1"/>
  <c r="Q532" i="1"/>
  <c r="P532" i="1"/>
  <c r="O532" i="1"/>
  <c r="N532" i="1"/>
  <c r="Q531" i="1"/>
  <c r="P531" i="1"/>
  <c r="O531" i="1"/>
  <c r="N531" i="1"/>
  <c r="Q529" i="1"/>
  <c r="P529" i="1"/>
  <c r="O529" i="1"/>
  <c r="N529" i="1"/>
  <c r="Q526" i="1"/>
  <c r="P526" i="1"/>
  <c r="O526" i="1"/>
  <c r="N526" i="1"/>
  <c r="Q524" i="1"/>
  <c r="P524" i="1"/>
  <c r="O524" i="1"/>
  <c r="N524" i="1"/>
  <c r="Q521" i="1"/>
  <c r="O521" i="1"/>
  <c r="Q520" i="1"/>
  <c r="O520" i="1"/>
  <c r="Q519" i="1"/>
  <c r="O519" i="1"/>
  <c r="Q518" i="1"/>
  <c r="P518" i="1"/>
  <c r="O518" i="1"/>
  <c r="N518" i="1"/>
  <c r="Q517" i="1"/>
  <c r="P517" i="1"/>
  <c r="O517" i="1"/>
  <c r="N517" i="1"/>
  <c r="Q515" i="1"/>
  <c r="P515" i="1"/>
  <c r="O515" i="1"/>
  <c r="N515" i="1"/>
  <c r="Q514" i="1"/>
  <c r="P514" i="1"/>
  <c r="O514" i="1"/>
  <c r="N514" i="1"/>
  <c r="Q513" i="1"/>
  <c r="P513" i="1"/>
  <c r="O513" i="1"/>
  <c r="N513" i="1"/>
  <c r="Q512" i="1"/>
  <c r="P512" i="1"/>
  <c r="O512" i="1"/>
  <c r="N512" i="1"/>
  <c r="Q511" i="1"/>
  <c r="P511" i="1"/>
  <c r="O511" i="1"/>
  <c r="N511" i="1"/>
  <c r="Q510" i="1"/>
  <c r="P510" i="1"/>
  <c r="O510" i="1"/>
  <c r="N510" i="1"/>
  <c r="Q508" i="1"/>
  <c r="P508" i="1"/>
  <c r="O508" i="1"/>
  <c r="N508" i="1"/>
  <c r="Q507" i="1"/>
  <c r="P507" i="1"/>
  <c r="O507" i="1"/>
  <c r="N507" i="1"/>
  <c r="Q506" i="1"/>
  <c r="P506" i="1"/>
  <c r="O506" i="1"/>
  <c r="N506" i="1"/>
  <c r="Q505" i="1"/>
  <c r="P505" i="1"/>
  <c r="O505" i="1"/>
  <c r="N505" i="1"/>
  <c r="Q504" i="1"/>
  <c r="P504" i="1"/>
  <c r="O504" i="1"/>
  <c r="N504" i="1"/>
  <c r="Q503" i="1"/>
  <c r="P503" i="1"/>
  <c r="O503" i="1"/>
  <c r="N503" i="1"/>
  <c r="Q502" i="1"/>
  <c r="P502" i="1"/>
  <c r="O502" i="1"/>
  <c r="N502" i="1"/>
  <c r="Q500" i="1"/>
  <c r="P500" i="1"/>
  <c r="O500" i="1"/>
  <c r="N500" i="1"/>
  <c r="Q496" i="1"/>
  <c r="P496" i="1"/>
  <c r="O496" i="1"/>
  <c r="N496" i="1"/>
  <c r="Q495" i="1"/>
  <c r="P495" i="1"/>
  <c r="O495" i="1"/>
  <c r="N495" i="1"/>
  <c r="Q494" i="1"/>
  <c r="P494" i="1"/>
  <c r="O494" i="1"/>
  <c r="N494" i="1"/>
  <c r="Q492" i="1"/>
  <c r="P492" i="1"/>
  <c r="O492" i="1"/>
  <c r="N492" i="1"/>
  <c r="Q491" i="1"/>
  <c r="P491" i="1"/>
  <c r="O491" i="1"/>
  <c r="N491" i="1"/>
  <c r="Q490" i="1"/>
  <c r="P490" i="1"/>
  <c r="O490" i="1"/>
  <c r="N490" i="1"/>
  <c r="Q488" i="1"/>
  <c r="P488" i="1"/>
  <c r="O488" i="1"/>
  <c r="N488" i="1"/>
  <c r="Q486" i="1"/>
  <c r="P486" i="1"/>
  <c r="O486" i="1"/>
  <c r="N486" i="1"/>
  <c r="Q484" i="1"/>
  <c r="P484" i="1"/>
  <c r="O484" i="1"/>
  <c r="N484" i="1"/>
  <c r="Q482" i="1"/>
  <c r="P482" i="1"/>
  <c r="O482" i="1"/>
  <c r="N482" i="1"/>
  <c r="Q480" i="1"/>
  <c r="P480" i="1"/>
  <c r="O480" i="1"/>
  <c r="N480" i="1"/>
  <c r="Q478" i="1"/>
  <c r="P478" i="1"/>
  <c r="O478" i="1"/>
  <c r="N478" i="1"/>
  <c r="Q476" i="1"/>
  <c r="P476" i="1"/>
  <c r="O476" i="1"/>
  <c r="N476" i="1"/>
  <c r="Q474" i="1"/>
  <c r="P474" i="1"/>
  <c r="O474" i="1"/>
  <c r="N474" i="1"/>
  <c r="Q472" i="1"/>
  <c r="P472" i="1"/>
  <c r="O472" i="1"/>
  <c r="N472" i="1"/>
  <c r="Q471" i="1"/>
  <c r="P471" i="1"/>
  <c r="O471" i="1"/>
  <c r="N471" i="1"/>
  <c r="Q469" i="1"/>
  <c r="P469" i="1"/>
  <c r="O469" i="1"/>
  <c r="N469" i="1"/>
  <c r="Q467" i="1"/>
  <c r="P467" i="1"/>
  <c r="O467" i="1"/>
  <c r="N467" i="1"/>
  <c r="Q465" i="1"/>
  <c r="P465" i="1"/>
  <c r="O465" i="1"/>
  <c r="N465" i="1"/>
  <c r="Q464" i="1"/>
  <c r="P464" i="1"/>
  <c r="O464" i="1"/>
  <c r="N464" i="1"/>
  <c r="Q463" i="1"/>
  <c r="P463" i="1"/>
  <c r="O463" i="1"/>
  <c r="N463" i="1"/>
  <c r="Q462" i="1"/>
  <c r="P462" i="1"/>
  <c r="O462" i="1"/>
  <c r="N462" i="1"/>
  <c r="Q460" i="1"/>
  <c r="P460" i="1"/>
  <c r="O460" i="1"/>
  <c r="N460" i="1"/>
  <c r="Q459" i="1"/>
  <c r="P459" i="1"/>
  <c r="O459" i="1"/>
  <c r="N459" i="1"/>
  <c r="Q458" i="1"/>
  <c r="P458" i="1"/>
  <c r="O458" i="1"/>
  <c r="N458" i="1"/>
  <c r="Q457" i="1"/>
  <c r="P457" i="1"/>
  <c r="O457" i="1"/>
  <c r="N457" i="1"/>
  <c r="Q456" i="1"/>
  <c r="P456" i="1"/>
  <c r="O456" i="1"/>
  <c r="N456" i="1"/>
  <c r="Q455" i="1"/>
  <c r="P455" i="1"/>
  <c r="O455" i="1"/>
  <c r="N455" i="1"/>
  <c r="Q454" i="1"/>
  <c r="P454" i="1"/>
  <c r="O454" i="1"/>
  <c r="N454" i="1"/>
  <c r="Q453" i="1"/>
  <c r="P453" i="1"/>
  <c r="O453" i="1"/>
  <c r="N453" i="1"/>
  <c r="Q452" i="1"/>
  <c r="P452" i="1"/>
  <c r="O452" i="1"/>
  <c r="N452" i="1"/>
  <c r="Q451" i="1"/>
  <c r="P451" i="1"/>
  <c r="O451" i="1"/>
  <c r="N451" i="1"/>
  <c r="Q450" i="1"/>
  <c r="P450" i="1"/>
  <c r="O450" i="1"/>
  <c r="N450" i="1"/>
  <c r="Q449" i="1"/>
  <c r="P449" i="1"/>
  <c r="O449" i="1"/>
  <c r="N449" i="1"/>
  <c r="Q448" i="1"/>
  <c r="P448" i="1"/>
  <c r="O448" i="1"/>
  <c r="N448" i="1"/>
  <c r="Q447" i="1"/>
  <c r="P447" i="1"/>
  <c r="O447" i="1"/>
  <c r="N447" i="1"/>
  <c r="Q445" i="1"/>
  <c r="P445" i="1"/>
  <c r="O445" i="1"/>
  <c r="N445" i="1"/>
  <c r="Q443" i="1"/>
  <c r="P443" i="1"/>
  <c r="O443" i="1"/>
  <c r="N443" i="1"/>
  <c r="Q442" i="1"/>
  <c r="P442" i="1"/>
  <c r="O442" i="1"/>
  <c r="N442" i="1"/>
  <c r="Q441" i="1"/>
  <c r="P441" i="1"/>
  <c r="O441" i="1"/>
  <c r="N441" i="1"/>
  <c r="Q439" i="1"/>
  <c r="P439" i="1"/>
  <c r="O439" i="1"/>
  <c r="N439" i="1"/>
  <c r="Q438" i="1"/>
  <c r="P438" i="1"/>
  <c r="O438" i="1"/>
  <c r="N438" i="1"/>
  <c r="Q436" i="1"/>
  <c r="P436" i="1"/>
  <c r="O436" i="1"/>
  <c r="N436" i="1"/>
  <c r="Q433" i="1"/>
  <c r="O433" i="1"/>
  <c r="Q432" i="1"/>
  <c r="P432" i="1"/>
  <c r="O432" i="1"/>
  <c r="N432" i="1"/>
  <c r="Q430" i="1"/>
  <c r="P430" i="1"/>
  <c r="O430" i="1"/>
  <c r="N430" i="1"/>
  <c r="Q428" i="1"/>
  <c r="P428" i="1"/>
  <c r="O428" i="1"/>
  <c r="N428" i="1"/>
  <c r="Q425" i="1"/>
  <c r="O425" i="1"/>
  <c r="Q424" i="1"/>
  <c r="O424" i="1"/>
  <c r="Q423" i="1"/>
  <c r="P423" i="1"/>
  <c r="O423" i="1"/>
  <c r="N423" i="1"/>
  <c r="Q422" i="1"/>
  <c r="P422" i="1"/>
  <c r="O422" i="1"/>
  <c r="N422" i="1"/>
  <c r="Q421" i="1"/>
  <c r="P421" i="1"/>
  <c r="O421" i="1"/>
  <c r="N421" i="1"/>
  <c r="Q418" i="1"/>
  <c r="O418" i="1"/>
  <c r="Q417" i="1"/>
  <c r="P417" i="1"/>
  <c r="O417" i="1"/>
  <c r="N417" i="1"/>
  <c r="Q416" i="1"/>
  <c r="P416" i="1"/>
  <c r="O416" i="1"/>
  <c r="N416" i="1"/>
  <c r="Q415" i="1"/>
  <c r="P415" i="1"/>
  <c r="O415" i="1"/>
  <c r="N415" i="1"/>
  <c r="Q414" i="1"/>
  <c r="P414" i="1"/>
  <c r="O414" i="1"/>
  <c r="N414" i="1"/>
  <c r="Q413" i="1"/>
  <c r="P413" i="1"/>
  <c r="O413" i="1"/>
  <c r="N413" i="1"/>
  <c r="Q412" i="1"/>
  <c r="P412" i="1"/>
  <c r="O412" i="1"/>
  <c r="N412" i="1"/>
  <c r="Q410" i="1"/>
  <c r="P410" i="1"/>
  <c r="O410" i="1"/>
  <c r="N410" i="1"/>
  <c r="Q407" i="1"/>
  <c r="P407" i="1"/>
  <c r="O407" i="1"/>
  <c r="N407" i="1"/>
  <c r="Q405" i="1"/>
  <c r="P405" i="1"/>
  <c r="O405" i="1"/>
  <c r="N405" i="1"/>
  <c r="Q401" i="1"/>
  <c r="P401" i="1"/>
  <c r="O401" i="1"/>
  <c r="N401" i="1"/>
  <c r="Q400" i="1"/>
  <c r="P400" i="1"/>
  <c r="O400" i="1"/>
  <c r="N400" i="1"/>
  <c r="Q399" i="1"/>
  <c r="P399" i="1"/>
  <c r="O399" i="1"/>
  <c r="N399" i="1"/>
  <c r="Q398" i="1"/>
  <c r="P398" i="1"/>
  <c r="O398" i="1"/>
  <c r="N398" i="1"/>
  <c r="Q397" i="1"/>
  <c r="P397" i="1"/>
  <c r="O397" i="1"/>
  <c r="N397" i="1"/>
  <c r="Q394" i="1"/>
  <c r="P394" i="1"/>
  <c r="O394" i="1"/>
  <c r="N394" i="1"/>
  <c r="Q391" i="1"/>
  <c r="P391" i="1"/>
  <c r="O391" i="1"/>
  <c r="N391" i="1"/>
  <c r="Q387" i="1"/>
  <c r="P387" i="1"/>
  <c r="O387" i="1"/>
  <c r="N387" i="1"/>
  <c r="Q386" i="1"/>
  <c r="P386" i="1"/>
  <c r="O386" i="1"/>
  <c r="N386" i="1"/>
  <c r="Q383" i="1"/>
  <c r="P383" i="1"/>
  <c r="O383" i="1"/>
  <c r="N383" i="1"/>
  <c r="Q381" i="1"/>
  <c r="P381" i="1"/>
  <c r="O381" i="1"/>
  <c r="N381" i="1"/>
  <c r="Q379" i="1"/>
  <c r="P379" i="1"/>
  <c r="O379" i="1"/>
  <c r="N379" i="1"/>
  <c r="Q376" i="1"/>
  <c r="O376" i="1"/>
  <c r="Q375" i="1"/>
  <c r="P375" i="1"/>
  <c r="O375" i="1"/>
  <c r="N375" i="1"/>
  <c r="Q374" i="1"/>
  <c r="P374" i="1"/>
  <c r="O374" i="1"/>
  <c r="N374" i="1"/>
  <c r="Q371" i="1"/>
  <c r="P371" i="1"/>
  <c r="O371" i="1"/>
  <c r="N371" i="1"/>
  <c r="Q370" i="1"/>
  <c r="P370" i="1"/>
  <c r="O370" i="1"/>
  <c r="N370" i="1"/>
  <c r="Q368" i="1"/>
  <c r="P368" i="1"/>
  <c r="O368" i="1"/>
  <c r="N368" i="1"/>
  <c r="Q366" i="1"/>
  <c r="P366" i="1"/>
  <c r="O366" i="1"/>
  <c r="N366" i="1"/>
  <c r="Q364" i="1"/>
  <c r="P364" i="1"/>
  <c r="O364" i="1"/>
  <c r="N364" i="1"/>
  <c r="Q362" i="1"/>
  <c r="P362" i="1"/>
  <c r="O362" i="1"/>
  <c r="N362" i="1"/>
  <c r="Q360" i="1"/>
  <c r="P360" i="1"/>
  <c r="O360" i="1"/>
  <c r="N360" i="1"/>
  <c r="Q357" i="1"/>
  <c r="O357" i="1"/>
  <c r="Q356" i="1"/>
  <c r="O356" i="1"/>
  <c r="Q355" i="1"/>
  <c r="P355" i="1"/>
  <c r="O355" i="1"/>
  <c r="N355" i="1"/>
  <c r="Q354" i="1"/>
  <c r="P354" i="1"/>
  <c r="O354" i="1"/>
  <c r="N354" i="1"/>
  <c r="Q353" i="1"/>
  <c r="P353" i="1"/>
  <c r="O353" i="1"/>
  <c r="N353" i="1"/>
  <c r="Q352" i="1"/>
  <c r="P352" i="1"/>
  <c r="O352" i="1"/>
  <c r="N352" i="1"/>
  <c r="Q350" i="1"/>
  <c r="P350" i="1"/>
  <c r="O350" i="1"/>
  <c r="N350" i="1"/>
  <c r="Q348" i="1"/>
  <c r="P348" i="1"/>
  <c r="O348" i="1"/>
  <c r="N348" i="1"/>
  <c r="Q346" i="1"/>
  <c r="P346" i="1"/>
  <c r="O346" i="1"/>
  <c r="N346" i="1"/>
  <c r="Q344" i="1"/>
  <c r="P344" i="1"/>
  <c r="O344" i="1"/>
  <c r="N344" i="1"/>
  <c r="Q342" i="1"/>
  <c r="P342" i="1"/>
  <c r="O342" i="1"/>
  <c r="N342" i="1"/>
  <c r="Q340" i="1"/>
  <c r="P340" i="1"/>
  <c r="O340" i="1"/>
  <c r="N340" i="1"/>
  <c r="Q338" i="1"/>
  <c r="P338" i="1"/>
  <c r="O338" i="1"/>
  <c r="N338" i="1"/>
  <c r="Q336" i="1"/>
  <c r="P336" i="1"/>
  <c r="O336" i="1"/>
  <c r="N336" i="1"/>
  <c r="Q334" i="1"/>
  <c r="P334" i="1"/>
  <c r="O334" i="1"/>
  <c r="N334" i="1"/>
  <c r="Q332" i="1"/>
  <c r="P332" i="1"/>
  <c r="O332" i="1"/>
  <c r="N332" i="1"/>
  <c r="Q328" i="1"/>
  <c r="P328" i="1"/>
  <c r="O328" i="1"/>
  <c r="N328" i="1"/>
  <c r="Q327" i="1"/>
  <c r="P327" i="1"/>
  <c r="O327" i="1"/>
  <c r="N327" i="1"/>
  <c r="Q326" i="1"/>
  <c r="P326" i="1"/>
  <c r="O326" i="1"/>
  <c r="N326" i="1"/>
  <c r="Q325" i="1"/>
  <c r="P325" i="1"/>
  <c r="O325" i="1"/>
  <c r="N325" i="1"/>
  <c r="Q324" i="1"/>
  <c r="P324" i="1"/>
  <c r="O324" i="1"/>
  <c r="N324" i="1"/>
  <c r="Q322" i="1"/>
  <c r="P322" i="1"/>
  <c r="O322" i="1"/>
  <c r="N322" i="1"/>
  <c r="Q321" i="1"/>
  <c r="P321" i="1"/>
  <c r="O321" i="1"/>
  <c r="N321" i="1"/>
  <c r="Q319" i="1"/>
  <c r="P319" i="1"/>
  <c r="O319" i="1"/>
  <c r="N319" i="1"/>
  <c r="Q318" i="1"/>
  <c r="P318" i="1"/>
  <c r="O318" i="1"/>
  <c r="N318" i="1"/>
  <c r="Q317" i="1"/>
  <c r="P317" i="1"/>
  <c r="O317" i="1"/>
  <c r="N317" i="1"/>
  <c r="Q316" i="1"/>
  <c r="P316" i="1"/>
  <c r="O316" i="1"/>
  <c r="N316" i="1"/>
  <c r="Q315" i="1"/>
  <c r="P315" i="1"/>
  <c r="O315" i="1"/>
  <c r="N315" i="1"/>
  <c r="Q314" i="1"/>
  <c r="P314" i="1"/>
  <c r="O314" i="1"/>
  <c r="N314" i="1"/>
  <c r="Q313" i="1"/>
  <c r="P313" i="1"/>
  <c r="O313" i="1"/>
  <c r="N313" i="1"/>
  <c r="Q312" i="1"/>
  <c r="P312" i="1"/>
  <c r="O312" i="1"/>
  <c r="N312" i="1"/>
  <c r="Q311" i="1"/>
  <c r="P311" i="1"/>
  <c r="O311" i="1"/>
  <c r="N311" i="1"/>
  <c r="Q310" i="1"/>
  <c r="P310" i="1"/>
  <c r="O310" i="1"/>
  <c r="N310" i="1"/>
  <c r="Q309" i="1"/>
  <c r="P309" i="1"/>
  <c r="O309" i="1"/>
  <c r="N309" i="1"/>
  <c r="Q308" i="1"/>
  <c r="P308" i="1"/>
  <c r="O308" i="1"/>
  <c r="N308" i="1"/>
  <c r="Q306" i="1"/>
  <c r="P306" i="1"/>
  <c r="O306" i="1"/>
  <c r="N306" i="1"/>
  <c r="Q305" i="1"/>
  <c r="P305" i="1"/>
  <c r="O305" i="1"/>
  <c r="N305" i="1"/>
  <c r="Q302" i="1"/>
  <c r="P302" i="1"/>
  <c r="O302" i="1"/>
  <c r="N302" i="1"/>
  <c r="Q300" i="1"/>
  <c r="P300" i="1"/>
  <c r="O300" i="1"/>
  <c r="N300" i="1"/>
  <c r="Q298" i="1"/>
  <c r="P298" i="1"/>
  <c r="O298" i="1"/>
  <c r="N298" i="1"/>
  <c r="Q297" i="1"/>
  <c r="P297" i="1"/>
  <c r="O297" i="1"/>
  <c r="N297" i="1"/>
  <c r="Q296" i="1"/>
  <c r="P296" i="1"/>
  <c r="O296" i="1"/>
  <c r="N296" i="1"/>
  <c r="Q295" i="1"/>
  <c r="P295" i="1"/>
  <c r="O295" i="1"/>
  <c r="N295" i="1"/>
  <c r="Q294" i="1"/>
  <c r="P294" i="1"/>
  <c r="O294" i="1"/>
  <c r="N294" i="1"/>
  <c r="Q293" i="1"/>
  <c r="P293" i="1"/>
  <c r="O293" i="1"/>
  <c r="N293" i="1"/>
  <c r="Q292" i="1"/>
  <c r="P292" i="1"/>
  <c r="O292" i="1"/>
  <c r="N292" i="1"/>
  <c r="Q291" i="1"/>
  <c r="P291" i="1"/>
  <c r="O291" i="1"/>
  <c r="N291" i="1"/>
  <c r="Q290" i="1"/>
  <c r="P290" i="1"/>
  <c r="O290" i="1"/>
  <c r="N290" i="1"/>
  <c r="Q289" i="1"/>
  <c r="P289" i="1"/>
  <c r="O289" i="1"/>
  <c r="N289" i="1"/>
  <c r="Q288" i="1"/>
  <c r="P288" i="1"/>
  <c r="O288" i="1"/>
  <c r="N288" i="1"/>
  <c r="Q287" i="1"/>
  <c r="P287" i="1"/>
  <c r="O287" i="1"/>
  <c r="N287" i="1"/>
  <c r="Q285" i="1"/>
  <c r="P285" i="1"/>
  <c r="O285" i="1"/>
  <c r="N285" i="1"/>
  <c r="Q284" i="1"/>
  <c r="P284" i="1"/>
  <c r="O284" i="1"/>
  <c r="N284" i="1"/>
  <c r="Q283" i="1"/>
  <c r="P283" i="1"/>
  <c r="O283" i="1"/>
  <c r="N283" i="1"/>
  <c r="Q281" i="1"/>
  <c r="P281" i="1"/>
  <c r="O281" i="1"/>
  <c r="N281" i="1"/>
  <c r="Q280" i="1"/>
  <c r="P280" i="1"/>
  <c r="O280" i="1"/>
  <c r="N280" i="1"/>
  <c r="Q279" i="1"/>
  <c r="P279" i="1"/>
  <c r="O279" i="1"/>
  <c r="N279" i="1"/>
  <c r="Q278" i="1"/>
  <c r="P278" i="1"/>
  <c r="O278" i="1"/>
  <c r="N278" i="1"/>
  <c r="Q277" i="1"/>
  <c r="P277" i="1"/>
  <c r="O277" i="1"/>
  <c r="N277" i="1"/>
  <c r="Q276" i="1"/>
  <c r="P276" i="1"/>
  <c r="O276" i="1"/>
  <c r="N276" i="1"/>
  <c r="Q275" i="1"/>
  <c r="P275" i="1"/>
  <c r="O275" i="1"/>
  <c r="N275" i="1"/>
  <c r="Q274" i="1"/>
  <c r="P274" i="1"/>
  <c r="O274" i="1"/>
  <c r="N274" i="1"/>
  <c r="Q272" i="1"/>
  <c r="P272" i="1"/>
  <c r="O272" i="1"/>
  <c r="N272" i="1"/>
  <c r="Q270" i="1"/>
  <c r="P270" i="1"/>
  <c r="O270" i="1"/>
  <c r="N270" i="1"/>
  <c r="Q269" i="1"/>
  <c r="P269" i="1"/>
  <c r="O269" i="1"/>
  <c r="N269" i="1"/>
  <c r="Q268" i="1"/>
  <c r="P268" i="1"/>
  <c r="O268" i="1"/>
  <c r="N268" i="1"/>
  <c r="Q267" i="1"/>
  <c r="P267" i="1"/>
  <c r="O267" i="1"/>
  <c r="N267" i="1"/>
  <c r="Q266" i="1"/>
  <c r="P266" i="1"/>
  <c r="O266" i="1"/>
  <c r="N266" i="1"/>
  <c r="Q264" i="1"/>
  <c r="P264" i="1"/>
  <c r="O264" i="1"/>
  <c r="N264" i="1"/>
  <c r="Q263" i="1"/>
  <c r="P263" i="1"/>
  <c r="O263" i="1"/>
  <c r="N263" i="1"/>
  <c r="Q262" i="1"/>
  <c r="P262" i="1"/>
  <c r="O262" i="1"/>
  <c r="N262" i="1"/>
  <c r="Q260" i="1"/>
  <c r="P260" i="1"/>
  <c r="O260" i="1"/>
  <c r="N260" i="1"/>
  <c r="Q258" i="1"/>
  <c r="P258" i="1"/>
  <c r="O258" i="1"/>
  <c r="N258" i="1"/>
  <c r="Q255" i="1"/>
  <c r="P255" i="1"/>
  <c r="O255" i="1"/>
  <c r="N255" i="1"/>
  <c r="Q254" i="1"/>
  <c r="P254" i="1"/>
  <c r="O254" i="1"/>
  <c r="N254" i="1"/>
  <c r="Q251" i="1"/>
  <c r="P251" i="1"/>
  <c r="O251" i="1"/>
  <c r="N251" i="1"/>
  <c r="Q249" i="1"/>
  <c r="P249" i="1"/>
  <c r="O249" i="1"/>
  <c r="N249" i="1"/>
  <c r="Q248" i="1"/>
  <c r="P248" i="1"/>
  <c r="O248" i="1"/>
  <c r="N248" i="1"/>
  <c r="Q246" i="1"/>
  <c r="P246" i="1"/>
  <c r="O246" i="1"/>
  <c r="N246" i="1"/>
  <c r="Q244" i="1"/>
  <c r="P244" i="1"/>
  <c r="O244" i="1"/>
  <c r="N244" i="1"/>
  <c r="Q243" i="1"/>
  <c r="P243" i="1"/>
  <c r="O243" i="1"/>
  <c r="N243" i="1"/>
  <c r="Q240" i="1"/>
  <c r="P240" i="1"/>
  <c r="O240" i="1"/>
  <c r="N240" i="1"/>
  <c r="Q239" i="1"/>
  <c r="P239" i="1"/>
  <c r="O239" i="1"/>
  <c r="N239" i="1"/>
  <c r="Q237" i="1"/>
  <c r="P237" i="1"/>
  <c r="O237" i="1"/>
  <c r="N237" i="1"/>
  <c r="Q236" i="1"/>
  <c r="P236" i="1"/>
  <c r="O236" i="1"/>
  <c r="N236" i="1"/>
  <c r="Q235" i="1"/>
  <c r="P235" i="1"/>
  <c r="O235" i="1"/>
  <c r="N235" i="1"/>
  <c r="Q234" i="1"/>
  <c r="P234" i="1"/>
  <c r="O234" i="1"/>
  <c r="N234" i="1"/>
  <c r="Q233" i="1"/>
  <c r="P233" i="1"/>
  <c r="O233" i="1"/>
  <c r="N233" i="1"/>
  <c r="Q232" i="1"/>
  <c r="P232" i="1"/>
  <c r="O232" i="1"/>
  <c r="N232" i="1"/>
  <c r="Q231" i="1"/>
  <c r="P231" i="1"/>
  <c r="O231" i="1"/>
  <c r="N231" i="1"/>
  <c r="Q230" i="1"/>
  <c r="P230" i="1"/>
  <c r="O230" i="1"/>
  <c r="N230" i="1"/>
  <c r="Q229" i="1"/>
  <c r="P229" i="1"/>
  <c r="O229" i="1"/>
  <c r="N229" i="1"/>
  <c r="Q227" i="1"/>
  <c r="P227" i="1"/>
  <c r="O227" i="1"/>
  <c r="N227" i="1"/>
  <c r="Q226" i="1"/>
  <c r="P226" i="1"/>
  <c r="O226" i="1"/>
  <c r="N226" i="1"/>
  <c r="Q225" i="1"/>
  <c r="P225" i="1"/>
  <c r="O225" i="1"/>
  <c r="N225" i="1"/>
  <c r="Q223" i="1"/>
  <c r="P223" i="1"/>
  <c r="O223" i="1"/>
  <c r="N223" i="1"/>
  <c r="Q219" i="1"/>
  <c r="P219" i="1"/>
  <c r="O219" i="1"/>
  <c r="N219" i="1"/>
  <c r="Q217" i="1"/>
  <c r="P217" i="1"/>
  <c r="O217" i="1"/>
  <c r="N217" i="1"/>
  <c r="Q216" i="1"/>
  <c r="P216" i="1"/>
  <c r="O216" i="1"/>
  <c r="N216" i="1"/>
  <c r="Q215" i="1"/>
  <c r="P215" i="1"/>
  <c r="O215" i="1"/>
  <c r="N215" i="1"/>
  <c r="Q213" i="1"/>
  <c r="P213" i="1"/>
  <c r="O213" i="1"/>
  <c r="N213" i="1"/>
  <c r="Q212" i="1"/>
  <c r="P212" i="1"/>
  <c r="O212" i="1"/>
  <c r="N212" i="1"/>
  <c r="Q211" i="1"/>
  <c r="P211" i="1"/>
  <c r="O211" i="1"/>
  <c r="N211" i="1"/>
  <c r="Q210" i="1"/>
  <c r="P210" i="1"/>
  <c r="O210" i="1"/>
  <c r="N210" i="1"/>
  <c r="Q207" i="1"/>
  <c r="P207" i="1"/>
  <c r="O207" i="1"/>
  <c r="N207" i="1"/>
  <c r="Q206" i="1"/>
  <c r="P206" i="1"/>
  <c r="O206" i="1"/>
  <c r="N206" i="1"/>
  <c r="Q205" i="1"/>
  <c r="P205" i="1"/>
  <c r="O205" i="1"/>
  <c r="N205" i="1"/>
  <c r="Q204" i="1"/>
  <c r="P204" i="1"/>
  <c r="O204" i="1"/>
  <c r="N204" i="1"/>
  <c r="Q203" i="1"/>
  <c r="P203" i="1"/>
  <c r="O203" i="1"/>
  <c r="N203" i="1"/>
  <c r="Q202" i="1"/>
  <c r="P202" i="1"/>
  <c r="O202" i="1"/>
  <c r="N202" i="1"/>
  <c r="Q201" i="1"/>
  <c r="P201" i="1"/>
  <c r="O201" i="1"/>
  <c r="N201" i="1"/>
  <c r="Q200" i="1"/>
  <c r="P200" i="1"/>
  <c r="O200" i="1"/>
  <c r="N200" i="1"/>
  <c r="Q199" i="1"/>
  <c r="P199" i="1"/>
  <c r="O199" i="1"/>
  <c r="N199" i="1"/>
  <c r="Q198" i="1"/>
  <c r="P198" i="1"/>
  <c r="O198" i="1"/>
  <c r="N198" i="1"/>
  <c r="Q197" i="1"/>
  <c r="P197" i="1"/>
  <c r="O197" i="1"/>
  <c r="N197" i="1"/>
  <c r="Q196" i="1"/>
  <c r="P196" i="1"/>
  <c r="O196" i="1"/>
  <c r="N196" i="1"/>
  <c r="Q195" i="1"/>
  <c r="P195" i="1"/>
  <c r="O195" i="1"/>
  <c r="N195" i="1"/>
  <c r="Q194" i="1"/>
  <c r="P194" i="1"/>
  <c r="O194" i="1"/>
  <c r="N194" i="1"/>
  <c r="Q193" i="1"/>
  <c r="P193" i="1"/>
  <c r="O193" i="1"/>
  <c r="N193" i="1"/>
  <c r="Q192" i="1"/>
  <c r="P192" i="1"/>
  <c r="O192" i="1"/>
  <c r="N192" i="1"/>
  <c r="Q191" i="1"/>
  <c r="P191" i="1"/>
  <c r="O191" i="1"/>
  <c r="N191" i="1"/>
  <c r="Q190" i="1"/>
  <c r="P190" i="1"/>
  <c r="O190" i="1"/>
  <c r="N190" i="1"/>
  <c r="Q188" i="1"/>
  <c r="P188" i="1"/>
  <c r="O188" i="1"/>
  <c r="N188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1" i="1"/>
  <c r="O181" i="1"/>
  <c r="Q180" i="1"/>
  <c r="P180" i="1"/>
  <c r="O180" i="1"/>
  <c r="N180" i="1"/>
  <c r="Q179" i="1"/>
  <c r="P179" i="1"/>
  <c r="O179" i="1"/>
  <c r="N179" i="1"/>
  <c r="Q178" i="1"/>
  <c r="P178" i="1"/>
  <c r="O178" i="1"/>
  <c r="N178" i="1"/>
  <c r="Q176" i="1"/>
  <c r="P176" i="1"/>
  <c r="O176" i="1"/>
  <c r="N176" i="1"/>
  <c r="Q175" i="1"/>
  <c r="P175" i="1"/>
  <c r="O175" i="1"/>
  <c r="N175" i="1"/>
  <c r="Q174" i="1"/>
  <c r="P174" i="1"/>
  <c r="O174" i="1"/>
  <c r="N174" i="1"/>
  <c r="Q173" i="1"/>
  <c r="P173" i="1"/>
  <c r="O173" i="1"/>
  <c r="N173" i="1"/>
  <c r="Q171" i="1"/>
  <c r="P171" i="1"/>
  <c r="O171" i="1"/>
  <c r="N171" i="1"/>
  <c r="Q168" i="1"/>
  <c r="P168" i="1"/>
  <c r="O168" i="1"/>
  <c r="N168" i="1"/>
  <c r="Q167" i="1"/>
  <c r="P167" i="1"/>
  <c r="O167" i="1"/>
  <c r="N167" i="1"/>
  <c r="Q165" i="1"/>
  <c r="P165" i="1"/>
  <c r="O165" i="1"/>
  <c r="N165" i="1"/>
  <c r="Q163" i="1"/>
  <c r="P163" i="1"/>
  <c r="O163" i="1"/>
  <c r="N163" i="1"/>
  <c r="Q162" i="1"/>
  <c r="P162" i="1"/>
  <c r="O162" i="1"/>
  <c r="N162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6" i="1"/>
  <c r="P156" i="1"/>
  <c r="O156" i="1"/>
  <c r="N156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0" i="1"/>
  <c r="P150" i="1"/>
  <c r="O150" i="1"/>
  <c r="N150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6" i="1"/>
  <c r="P46" i="1"/>
  <c r="O46" i="1"/>
  <c r="N46" i="1"/>
  <c r="Q45" i="1"/>
  <c r="P45" i="1"/>
  <c r="O45" i="1"/>
  <c r="N45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19" i="1"/>
  <c r="P19" i="1"/>
  <c r="O19" i="1"/>
  <c r="N19" i="1"/>
  <c r="Q17" i="1"/>
  <c r="P17" i="1"/>
  <c r="O17" i="1"/>
  <c r="N17" i="1"/>
  <c r="Q15" i="1"/>
  <c r="P15" i="1"/>
  <c r="O15" i="1"/>
  <c r="N15" i="1"/>
  <c r="K113" i="1" l="1"/>
  <c r="Q120" i="1" l="1"/>
  <c r="P120" i="1"/>
  <c r="O120" i="1"/>
  <c r="N120" i="1"/>
  <c r="Q113" i="1"/>
  <c r="P113" i="1"/>
  <c r="O113" i="1"/>
  <c r="N113" i="1"/>
  <c r="K133" i="1"/>
  <c r="Q133" i="1" l="1"/>
  <c r="O133" i="1"/>
  <c r="N133" i="1"/>
  <c r="P133" i="1"/>
  <c r="K675" i="1" l="1"/>
  <c r="Q675" i="1" l="1"/>
  <c r="P675" i="1"/>
  <c r="O675" i="1"/>
  <c r="N675" i="1"/>
  <c r="K307" i="1"/>
  <c r="Q307" i="1" l="1"/>
  <c r="P307" i="1"/>
  <c r="O307" i="1"/>
  <c r="N307" i="1"/>
  <c r="O228" i="1" l="1"/>
  <c r="Q228" i="1"/>
  <c r="P228" i="1"/>
  <c r="N228" i="1"/>
  <c r="K242" i="1"/>
  <c r="K817" i="1" l="1"/>
  <c r="Q817" i="1" l="1"/>
  <c r="O817" i="1"/>
  <c r="N817" i="1"/>
  <c r="P817" i="1"/>
  <c r="O304" i="1" l="1"/>
  <c r="Q304" i="1"/>
  <c r="P304" i="1"/>
  <c r="N304" i="1"/>
  <c r="L297" i="3"/>
  <c r="J297" i="3"/>
  <c r="I297" i="3"/>
  <c r="H297" i="3"/>
  <c r="G297" i="3"/>
  <c r="K297" i="3" l="1"/>
  <c r="J834" i="1"/>
  <c r="S834" i="1" s="1"/>
  <c r="K834" i="1"/>
  <c r="J829" i="1"/>
  <c r="S829" i="1" s="1"/>
  <c r="K829" i="1"/>
  <c r="K827" i="1"/>
  <c r="K824" i="1"/>
  <c r="K816" i="1"/>
  <c r="K815" i="1" s="1"/>
  <c r="K806" i="1"/>
  <c r="K803" i="1"/>
  <c r="K800" i="1"/>
  <c r="J794" i="1"/>
  <c r="S794" i="1" s="1"/>
  <c r="K794" i="1"/>
  <c r="K792" i="1"/>
  <c r="K785" i="1"/>
  <c r="K760" i="1"/>
  <c r="K755" i="1"/>
  <c r="K746" i="1"/>
  <c r="K744" i="1"/>
  <c r="K739" i="1"/>
  <c r="K737" i="1"/>
  <c r="K732" i="1"/>
  <c r="K725" i="1"/>
  <c r="K722" i="1"/>
  <c r="K716" i="1"/>
  <c r="J709" i="1"/>
  <c r="S709" i="1" s="1"/>
  <c r="K709" i="1"/>
  <c r="J707" i="1"/>
  <c r="S707" i="1" s="1"/>
  <c r="K707" i="1"/>
  <c r="K705" i="1"/>
  <c r="K697" i="1"/>
  <c r="K677" i="1"/>
  <c r="K674" i="1"/>
  <c r="K670" i="1"/>
  <c r="K664" i="1"/>
  <c r="K662" i="1"/>
  <c r="K659" i="1"/>
  <c r="K654" i="1"/>
  <c r="K651" i="1"/>
  <c r="K640" i="1"/>
  <c r="K633" i="1"/>
  <c r="K629" i="1"/>
  <c r="K622" i="1"/>
  <c r="K606" i="1"/>
  <c r="J594" i="1"/>
  <c r="S594" i="1" s="1"/>
  <c r="K594" i="1"/>
  <c r="J591" i="1"/>
  <c r="S591" i="1" s="1"/>
  <c r="K591" i="1"/>
  <c r="K585" i="1"/>
  <c r="K582" i="1"/>
  <c r="K580" i="1"/>
  <c r="K578" i="1"/>
  <c r="K570" i="1"/>
  <c r="K568" i="1"/>
  <c r="K565" i="1"/>
  <c r="K561" i="1"/>
  <c r="K557" i="1"/>
  <c r="K553" i="1"/>
  <c r="K548" i="1"/>
  <c r="K543" i="1"/>
  <c r="K535" i="1"/>
  <c r="K530" i="1"/>
  <c r="K528" i="1"/>
  <c r="K525" i="1"/>
  <c r="K523" i="1"/>
  <c r="K516" i="1"/>
  <c r="K509" i="1"/>
  <c r="K501" i="1"/>
  <c r="K499" i="1"/>
  <c r="K493" i="1"/>
  <c r="K489" i="1"/>
  <c r="K487" i="1"/>
  <c r="K485" i="1"/>
  <c r="K483" i="1"/>
  <c r="K481" i="1"/>
  <c r="K479" i="1"/>
  <c r="K477" i="1"/>
  <c r="K475" i="1"/>
  <c r="K473" i="1"/>
  <c r="K470" i="1"/>
  <c r="K468" i="1"/>
  <c r="K466" i="1"/>
  <c r="K461" i="1"/>
  <c r="K446" i="1"/>
  <c r="K444" i="1"/>
  <c r="K440" i="1"/>
  <c r="K437" i="1"/>
  <c r="K435" i="1"/>
  <c r="K431" i="1"/>
  <c r="K429" i="1"/>
  <c r="K427" i="1"/>
  <c r="K420" i="1"/>
  <c r="K411" i="1"/>
  <c r="K409" i="1"/>
  <c r="K406" i="1"/>
  <c r="K404" i="1"/>
  <c r="K396" i="1"/>
  <c r="K393" i="1"/>
  <c r="K390" i="1"/>
  <c r="K385" i="1"/>
  <c r="K382" i="1"/>
  <c r="K380" i="1"/>
  <c r="K378" i="1"/>
  <c r="K373" i="1"/>
  <c r="K369" i="1"/>
  <c r="K367" i="1"/>
  <c r="K365" i="1"/>
  <c r="K363" i="1"/>
  <c r="K361" i="1"/>
  <c r="K359" i="1"/>
  <c r="K351" i="1"/>
  <c r="K349" i="1"/>
  <c r="K347" i="1"/>
  <c r="K345" i="1"/>
  <c r="K343" i="1"/>
  <c r="K341" i="1"/>
  <c r="K339" i="1"/>
  <c r="K337" i="1"/>
  <c r="K335" i="1"/>
  <c r="K333" i="1"/>
  <c r="K331" i="1"/>
  <c r="K323" i="1"/>
  <c r="K320" i="1"/>
  <c r="K303" i="1"/>
  <c r="K301" i="1"/>
  <c r="K299" i="1"/>
  <c r="K286" i="1"/>
  <c r="K282" i="1"/>
  <c r="K273" i="1"/>
  <c r="K271" i="1"/>
  <c r="K265" i="1"/>
  <c r="K261" i="1"/>
  <c r="K259" i="1"/>
  <c r="K257" i="1"/>
  <c r="K253" i="1"/>
  <c r="K250" i="1"/>
  <c r="K247" i="1"/>
  <c r="K245" i="1"/>
  <c r="K238" i="1"/>
  <c r="K224" i="1"/>
  <c r="K222" i="1"/>
  <c r="K218" i="1"/>
  <c r="K214" i="1"/>
  <c r="K209" i="1"/>
  <c r="K189" i="1"/>
  <c r="L189" i="1" s="1"/>
  <c r="K187" i="1"/>
  <c r="K177" i="1"/>
  <c r="K172" i="1"/>
  <c r="K170" i="1"/>
  <c r="K166" i="1"/>
  <c r="K164" i="1"/>
  <c r="K157" i="1"/>
  <c r="K155" i="1"/>
  <c r="K151" i="1"/>
  <c r="K149" i="1"/>
  <c r="K139" i="1"/>
  <c r="K129" i="1"/>
  <c r="K108" i="1"/>
  <c r="K97" i="1"/>
  <c r="S47" i="1"/>
  <c r="K44" i="1"/>
  <c r="K20" i="1"/>
  <c r="K18" i="1"/>
  <c r="K14" i="1"/>
  <c r="K16" i="1"/>
  <c r="K169" i="1" l="1"/>
  <c r="K182" i="1"/>
  <c r="K256" i="1"/>
  <c r="K704" i="1"/>
  <c r="K731" i="1"/>
  <c r="K252" i="1"/>
  <c r="K724" i="1"/>
  <c r="K384" i="1"/>
  <c r="K419" i="1"/>
  <c r="K605" i="1"/>
  <c r="K389" i="1"/>
  <c r="K799" i="1"/>
  <c r="K392" i="1"/>
  <c r="K802" i="1"/>
  <c r="K696" i="1"/>
  <c r="K395" i="1"/>
  <c r="K584" i="1"/>
  <c r="K715" i="1"/>
  <c r="K805" i="1"/>
  <c r="K372" i="1"/>
  <c r="K721" i="1"/>
  <c r="K577" i="1"/>
  <c r="K241" i="1"/>
  <c r="K522" i="1"/>
  <c r="S522" i="1" s="1"/>
  <c r="K734" i="1"/>
  <c r="K567" i="1"/>
  <c r="K673" i="1"/>
  <c r="K408" i="1"/>
  <c r="K743" i="1"/>
  <c r="K621" i="1"/>
  <c r="K527" i="1"/>
  <c r="K498" i="1"/>
  <c r="K403" i="1"/>
  <c r="K377" i="1"/>
  <c r="K426" i="1"/>
  <c r="K221" i="1"/>
  <c r="K434" i="1"/>
  <c r="K358" i="1"/>
  <c r="K330" i="1"/>
  <c r="K208" i="1"/>
  <c r="K13" i="1"/>
  <c r="G783" i="3"/>
  <c r="G784" i="3"/>
  <c r="G785" i="3"/>
  <c r="G786" i="3"/>
  <c r="G787" i="3"/>
  <c r="G789" i="3"/>
  <c r="G790" i="3"/>
  <c r="G791" i="3"/>
  <c r="G792" i="3"/>
  <c r="K388" i="1" l="1"/>
  <c r="L391" i="3" s="1"/>
  <c r="K797" i="1"/>
  <c r="L800" i="3" s="1"/>
  <c r="K604" i="1"/>
  <c r="L607" i="3" s="1"/>
  <c r="K813" i="1"/>
  <c r="L816" i="3" s="1"/>
  <c r="K714" i="1"/>
  <c r="K220" i="1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80" i="3"/>
  <c r="L381" i="3"/>
  <c r="L382" i="3"/>
  <c r="L383" i="3"/>
  <c r="L384" i="3"/>
  <c r="L385" i="3"/>
  <c r="L386" i="3"/>
  <c r="L387" i="3"/>
  <c r="L388" i="3"/>
  <c r="L389" i="3"/>
  <c r="L390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2" i="3"/>
  <c r="L423" i="3"/>
  <c r="L424" i="3"/>
  <c r="L425" i="3"/>
  <c r="L426" i="3"/>
  <c r="L429" i="3"/>
  <c r="L430" i="3"/>
  <c r="L431" i="3"/>
  <c r="L432" i="3"/>
  <c r="L433" i="3"/>
  <c r="L434" i="3"/>
  <c r="L435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8" i="3"/>
  <c r="L569" i="3"/>
  <c r="L570" i="3"/>
  <c r="L571" i="3"/>
  <c r="L572" i="3"/>
  <c r="L573" i="3"/>
  <c r="L574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K442" i="3"/>
  <c r="K695" i="3"/>
  <c r="J20" i="3"/>
  <c r="J22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1" i="3"/>
  <c r="J102" i="3"/>
  <c r="J103" i="3"/>
  <c r="J104" i="3"/>
  <c r="J105" i="3"/>
  <c r="J106" i="3"/>
  <c r="J107" i="3"/>
  <c r="J108" i="3"/>
  <c r="J109" i="3"/>
  <c r="J110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3" i="3"/>
  <c r="J134" i="3"/>
  <c r="J135" i="3"/>
  <c r="J136" i="3"/>
  <c r="J137" i="3"/>
  <c r="J138" i="3"/>
  <c r="J139" i="3"/>
  <c r="J140" i="3"/>
  <c r="J141" i="3"/>
  <c r="J143" i="3"/>
  <c r="J144" i="3"/>
  <c r="J145" i="3"/>
  <c r="J146" i="3"/>
  <c r="J147" i="3"/>
  <c r="J148" i="3"/>
  <c r="J149" i="3"/>
  <c r="J150" i="3"/>
  <c r="J151" i="3"/>
  <c r="J153" i="3"/>
  <c r="J155" i="3"/>
  <c r="J156" i="3"/>
  <c r="J157" i="3"/>
  <c r="J159" i="3"/>
  <c r="J161" i="3"/>
  <c r="J162" i="3"/>
  <c r="J163" i="3"/>
  <c r="J164" i="3"/>
  <c r="J165" i="3"/>
  <c r="J166" i="3"/>
  <c r="J168" i="3"/>
  <c r="J170" i="3"/>
  <c r="J171" i="3"/>
  <c r="J174" i="3"/>
  <c r="J176" i="3"/>
  <c r="J177" i="3"/>
  <c r="J178" i="3"/>
  <c r="J179" i="3"/>
  <c r="J181" i="3"/>
  <c r="J182" i="3"/>
  <c r="J183" i="3"/>
  <c r="J184" i="3"/>
  <c r="J187" i="3"/>
  <c r="J188" i="3"/>
  <c r="J189" i="3"/>
  <c r="J191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3" i="3"/>
  <c r="J214" i="3"/>
  <c r="J215" i="3"/>
  <c r="J216" i="3"/>
  <c r="J218" i="3"/>
  <c r="J219" i="3"/>
  <c r="J220" i="3"/>
  <c r="J222" i="3"/>
  <c r="J226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2" i="3"/>
  <c r="J243" i="3"/>
  <c r="J246" i="3"/>
  <c r="J247" i="3"/>
  <c r="J249" i="3"/>
  <c r="J251" i="3"/>
  <c r="J252" i="3"/>
  <c r="J254" i="3"/>
  <c r="J257" i="3"/>
  <c r="J258" i="3"/>
  <c r="J261" i="3"/>
  <c r="J263" i="3"/>
  <c r="J265" i="3"/>
  <c r="J266" i="3"/>
  <c r="J267" i="3"/>
  <c r="J269" i="3"/>
  <c r="J270" i="3"/>
  <c r="J271" i="3"/>
  <c r="J272" i="3"/>
  <c r="J273" i="3"/>
  <c r="J275" i="3"/>
  <c r="J277" i="3"/>
  <c r="J278" i="3"/>
  <c r="J279" i="3"/>
  <c r="J280" i="3"/>
  <c r="J281" i="3"/>
  <c r="J282" i="3"/>
  <c r="J283" i="3"/>
  <c r="J284" i="3"/>
  <c r="J286" i="3"/>
  <c r="J287" i="3"/>
  <c r="J288" i="3"/>
  <c r="J290" i="3"/>
  <c r="J291" i="3"/>
  <c r="J292" i="3"/>
  <c r="J293" i="3"/>
  <c r="J294" i="3"/>
  <c r="J295" i="3"/>
  <c r="J296" i="3"/>
  <c r="J298" i="3"/>
  <c r="J299" i="3"/>
  <c r="J300" i="3"/>
  <c r="J301" i="3"/>
  <c r="J303" i="3"/>
  <c r="J305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7" i="3"/>
  <c r="J328" i="3"/>
  <c r="J329" i="3"/>
  <c r="J330" i="3"/>
  <c r="J331" i="3"/>
  <c r="J335" i="3"/>
  <c r="J337" i="3"/>
  <c r="J339" i="3"/>
  <c r="J341" i="3"/>
  <c r="J343" i="3"/>
  <c r="J345" i="3"/>
  <c r="J347" i="3"/>
  <c r="J349" i="3"/>
  <c r="J351" i="3"/>
  <c r="J353" i="3"/>
  <c r="J355" i="3"/>
  <c r="J356" i="3"/>
  <c r="J357" i="3"/>
  <c r="J358" i="3"/>
  <c r="J359" i="3"/>
  <c r="J360" i="3"/>
  <c r="J363" i="3"/>
  <c r="J365" i="3"/>
  <c r="J367" i="3"/>
  <c r="J369" i="3"/>
  <c r="J371" i="3"/>
  <c r="J373" i="3"/>
  <c r="J374" i="3"/>
  <c r="J377" i="3"/>
  <c r="J378" i="3"/>
  <c r="J379" i="3"/>
  <c r="J382" i="3"/>
  <c r="J384" i="3"/>
  <c r="J386" i="3"/>
  <c r="J389" i="3"/>
  <c r="J390" i="3"/>
  <c r="J394" i="3"/>
  <c r="J397" i="3"/>
  <c r="J400" i="3"/>
  <c r="J401" i="3"/>
  <c r="J402" i="3"/>
  <c r="J403" i="3"/>
  <c r="J404" i="3"/>
  <c r="J408" i="3"/>
  <c r="J410" i="3"/>
  <c r="J413" i="3"/>
  <c r="J415" i="3"/>
  <c r="J416" i="3"/>
  <c r="J417" i="3"/>
  <c r="J418" i="3"/>
  <c r="J419" i="3"/>
  <c r="J420" i="3"/>
  <c r="J421" i="3"/>
  <c r="J424" i="3"/>
  <c r="J425" i="3"/>
  <c r="J426" i="3"/>
  <c r="J427" i="3"/>
  <c r="J428" i="3"/>
  <c r="J431" i="3"/>
  <c r="J433" i="3"/>
  <c r="J435" i="3"/>
  <c r="J436" i="3"/>
  <c r="J439" i="3"/>
  <c r="J441" i="3"/>
  <c r="J442" i="3"/>
  <c r="J444" i="3"/>
  <c r="J445" i="3"/>
  <c r="J446" i="3"/>
  <c r="J448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5" i="3"/>
  <c r="J466" i="3"/>
  <c r="J467" i="3"/>
  <c r="J468" i="3"/>
  <c r="J470" i="3"/>
  <c r="J472" i="3"/>
  <c r="J474" i="3"/>
  <c r="J475" i="3"/>
  <c r="J477" i="3"/>
  <c r="J479" i="3"/>
  <c r="J481" i="3"/>
  <c r="J483" i="3"/>
  <c r="J485" i="3"/>
  <c r="J487" i="3"/>
  <c r="J489" i="3"/>
  <c r="J491" i="3"/>
  <c r="J493" i="3"/>
  <c r="J494" i="3"/>
  <c r="J495" i="3"/>
  <c r="J497" i="3"/>
  <c r="J498" i="3"/>
  <c r="J499" i="3"/>
  <c r="J503" i="3"/>
  <c r="J505" i="3"/>
  <c r="J506" i="3"/>
  <c r="J507" i="3"/>
  <c r="J508" i="3"/>
  <c r="J509" i="3"/>
  <c r="J510" i="3"/>
  <c r="J511" i="3"/>
  <c r="J513" i="3"/>
  <c r="J514" i="3"/>
  <c r="J515" i="3"/>
  <c r="J516" i="3"/>
  <c r="J517" i="3"/>
  <c r="J518" i="3"/>
  <c r="J520" i="3"/>
  <c r="J521" i="3"/>
  <c r="J522" i="3"/>
  <c r="J523" i="3"/>
  <c r="J524" i="3"/>
  <c r="J527" i="3"/>
  <c r="J529" i="3"/>
  <c r="J532" i="3"/>
  <c r="J534" i="3"/>
  <c r="J535" i="3"/>
  <c r="J536" i="3"/>
  <c r="J537" i="3"/>
  <c r="J539" i="3"/>
  <c r="J540" i="3"/>
  <c r="J541" i="3"/>
  <c r="J542" i="3"/>
  <c r="J543" i="3"/>
  <c r="J544" i="3"/>
  <c r="J545" i="3"/>
  <c r="J547" i="3"/>
  <c r="J548" i="3"/>
  <c r="J549" i="3"/>
  <c r="J550" i="3"/>
  <c r="J552" i="3"/>
  <c r="J553" i="3"/>
  <c r="J554" i="3"/>
  <c r="J555" i="3"/>
  <c r="J557" i="3"/>
  <c r="J558" i="3"/>
  <c r="J559" i="3"/>
  <c r="J561" i="3"/>
  <c r="J562" i="3"/>
  <c r="J563" i="3"/>
  <c r="J565" i="3"/>
  <c r="J566" i="3"/>
  <c r="J569" i="3"/>
  <c r="J572" i="3"/>
  <c r="J574" i="3"/>
  <c r="J576" i="3"/>
  <c r="J579" i="3"/>
  <c r="J582" i="3"/>
  <c r="J584" i="3"/>
  <c r="J586" i="3"/>
  <c r="J589" i="3"/>
  <c r="J590" i="3"/>
  <c r="J591" i="3"/>
  <c r="J592" i="3"/>
  <c r="J593" i="3"/>
  <c r="J595" i="3"/>
  <c r="J596" i="3"/>
  <c r="J598" i="3"/>
  <c r="J599" i="3"/>
  <c r="J600" i="3"/>
  <c r="J601" i="3"/>
  <c r="J602" i="3"/>
  <c r="J603" i="3"/>
  <c r="J604" i="3"/>
  <c r="J605" i="3"/>
  <c r="J606" i="3"/>
  <c r="J610" i="3"/>
  <c r="J611" i="3"/>
  <c r="J612" i="3"/>
  <c r="J613" i="3"/>
  <c r="J614" i="3"/>
  <c r="J615" i="3"/>
  <c r="J616" i="3"/>
  <c r="J617" i="3"/>
  <c r="J618" i="3"/>
  <c r="J619" i="3"/>
  <c r="J620" i="3"/>
  <c r="J623" i="3"/>
  <c r="J626" i="3"/>
  <c r="J627" i="3"/>
  <c r="J628" i="3"/>
  <c r="J629" i="3"/>
  <c r="J630" i="3"/>
  <c r="J631" i="3"/>
  <c r="J633" i="3"/>
  <c r="J634" i="3"/>
  <c r="J635" i="3"/>
  <c r="J637" i="3"/>
  <c r="J638" i="3"/>
  <c r="J639" i="3"/>
  <c r="J640" i="3"/>
  <c r="J641" i="3"/>
  <c r="J642" i="3"/>
  <c r="J644" i="3"/>
  <c r="J645" i="3"/>
  <c r="J646" i="3"/>
  <c r="J647" i="3"/>
  <c r="J648" i="3"/>
  <c r="J649" i="3"/>
  <c r="J650" i="3"/>
  <c r="J651" i="3"/>
  <c r="J652" i="3"/>
  <c r="J653" i="3"/>
  <c r="J655" i="3"/>
  <c r="J656" i="3"/>
  <c r="J658" i="3"/>
  <c r="J659" i="3"/>
  <c r="J660" i="3"/>
  <c r="J661" i="3"/>
  <c r="J663" i="3"/>
  <c r="J664" i="3"/>
  <c r="J666" i="3"/>
  <c r="J668" i="3"/>
  <c r="J669" i="3"/>
  <c r="J670" i="3"/>
  <c r="J671" i="3"/>
  <c r="J672" i="3"/>
  <c r="J674" i="3"/>
  <c r="J675" i="3"/>
  <c r="J678" i="3"/>
  <c r="J679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701" i="3"/>
  <c r="J702" i="3"/>
  <c r="J703" i="3"/>
  <c r="J704" i="3"/>
  <c r="J705" i="3"/>
  <c r="J706" i="3"/>
  <c r="J709" i="3"/>
  <c r="J711" i="3"/>
  <c r="J713" i="3"/>
  <c r="J714" i="3"/>
  <c r="J715" i="3"/>
  <c r="J716" i="3"/>
  <c r="J720" i="3"/>
  <c r="J721" i="3"/>
  <c r="J722" i="3"/>
  <c r="J723" i="3"/>
  <c r="J726" i="3"/>
  <c r="J729" i="3"/>
  <c r="J730" i="3"/>
  <c r="J731" i="3"/>
  <c r="J732" i="3"/>
  <c r="J733" i="3"/>
  <c r="J736" i="3"/>
  <c r="J739" i="3"/>
  <c r="J741" i="3"/>
  <c r="J743" i="3"/>
  <c r="J744" i="3"/>
  <c r="J745" i="3"/>
  <c r="J748" i="3"/>
  <c r="J750" i="3"/>
  <c r="J751" i="3"/>
  <c r="J752" i="3"/>
  <c r="J753" i="3"/>
  <c r="J754" i="3"/>
  <c r="J755" i="3"/>
  <c r="J756" i="3"/>
  <c r="J757" i="3"/>
  <c r="J759" i="3"/>
  <c r="J760" i="3"/>
  <c r="J761" i="3"/>
  <c r="J762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9" i="3"/>
  <c r="J790" i="3"/>
  <c r="J791" i="3"/>
  <c r="J792" i="3"/>
  <c r="J793" i="3"/>
  <c r="J794" i="3"/>
  <c r="J796" i="3"/>
  <c r="J798" i="3"/>
  <c r="J799" i="3"/>
  <c r="J801" i="3"/>
  <c r="J804" i="3"/>
  <c r="J807" i="3"/>
  <c r="J810" i="3"/>
  <c r="J811" i="3"/>
  <c r="J812" i="3"/>
  <c r="J813" i="3"/>
  <c r="J814" i="3"/>
  <c r="J815" i="3"/>
  <c r="J817" i="3"/>
  <c r="J820" i="3"/>
  <c r="J821" i="3"/>
  <c r="J822" i="3"/>
  <c r="J823" i="3"/>
  <c r="J824" i="3"/>
  <c r="J825" i="3"/>
  <c r="J826" i="3"/>
  <c r="J828" i="3"/>
  <c r="J829" i="3"/>
  <c r="J831" i="3"/>
  <c r="J833" i="3"/>
  <c r="J834" i="3"/>
  <c r="J835" i="3"/>
  <c r="J836" i="3"/>
  <c r="J838" i="3"/>
  <c r="J839" i="3"/>
  <c r="J840" i="3"/>
  <c r="I20" i="3"/>
  <c r="I22" i="3"/>
  <c r="I24" i="3"/>
  <c r="I25" i="3"/>
  <c r="I26" i="3"/>
  <c r="I27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I49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1" i="3"/>
  <c r="I102" i="3"/>
  <c r="I103" i="3"/>
  <c r="I104" i="3"/>
  <c r="I105" i="3"/>
  <c r="I106" i="3"/>
  <c r="I107" i="3"/>
  <c r="I108" i="3"/>
  <c r="I109" i="3"/>
  <c r="I110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3" i="3"/>
  <c r="I134" i="3"/>
  <c r="I135" i="3"/>
  <c r="I136" i="3"/>
  <c r="I137" i="3"/>
  <c r="I138" i="3"/>
  <c r="I139" i="3"/>
  <c r="I140" i="3"/>
  <c r="I141" i="3"/>
  <c r="I143" i="3"/>
  <c r="I144" i="3"/>
  <c r="I145" i="3"/>
  <c r="I146" i="3"/>
  <c r="I147" i="3"/>
  <c r="I148" i="3"/>
  <c r="I149" i="3"/>
  <c r="I150" i="3"/>
  <c r="I151" i="3"/>
  <c r="I153" i="3"/>
  <c r="I155" i="3"/>
  <c r="I156" i="3"/>
  <c r="I157" i="3"/>
  <c r="I159" i="3"/>
  <c r="I161" i="3"/>
  <c r="I162" i="3"/>
  <c r="I163" i="3"/>
  <c r="I164" i="3"/>
  <c r="I165" i="3"/>
  <c r="I166" i="3"/>
  <c r="I168" i="3"/>
  <c r="I170" i="3"/>
  <c r="I171" i="3"/>
  <c r="I174" i="3"/>
  <c r="I176" i="3"/>
  <c r="I177" i="3"/>
  <c r="I178" i="3"/>
  <c r="I179" i="3"/>
  <c r="I181" i="3"/>
  <c r="I182" i="3"/>
  <c r="I183" i="3"/>
  <c r="I184" i="3"/>
  <c r="I187" i="3"/>
  <c r="I188" i="3"/>
  <c r="I189" i="3"/>
  <c r="I191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3" i="3"/>
  <c r="I214" i="3"/>
  <c r="I215" i="3"/>
  <c r="I216" i="3"/>
  <c r="I218" i="3"/>
  <c r="I219" i="3"/>
  <c r="I220" i="3"/>
  <c r="I222" i="3"/>
  <c r="I226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2" i="3"/>
  <c r="I243" i="3"/>
  <c r="I246" i="3"/>
  <c r="I247" i="3"/>
  <c r="I249" i="3"/>
  <c r="I251" i="3"/>
  <c r="I252" i="3"/>
  <c r="I254" i="3"/>
  <c r="I257" i="3"/>
  <c r="I258" i="3"/>
  <c r="I261" i="3"/>
  <c r="I263" i="3"/>
  <c r="I265" i="3"/>
  <c r="I266" i="3"/>
  <c r="I267" i="3"/>
  <c r="I269" i="3"/>
  <c r="I270" i="3"/>
  <c r="I271" i="3"/>
  <c r="I272" i="3"/>
  <c r="I273" i="3"/>
  <c r="I275" i="3"/>
  <c r="I277" i="3"/>
  <c r="I278" i="3"/>
  <c r="I279" i="3"/>
  <c r="I280" i="3"/>
  <c r="I281" i="3"/>
  <c r="I282" i="3"/>
  <c r="I283" i="3"/>
  <c r="I284" i="3"/>
  <c r="I286" i="3"/>
  <c r="I287" i="3"/>
  <c r="I288" i="3"/>
  <c r="I290" i="3"/>
  <c r="I291" i="3"/>
  <c r="I292" i="3"/>
  <c r="I293" i="3"/>
  <c r="I294" i="3"/>
  <c r="I295" i="3"/>
  <c r="I296" i="3"/>
  <c r="I298" i="3"/>
  <c r="I299" i="3"/>
  <c r="I300" i="3"/>
  <c r="I301" i="3"/>
  <c r="I303" i="3"/>
  <c r="I305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4" i="3"/>
  <c r="I325" i="3"/>
  <c r="I327" i="3"/>
  <c r="I328" i="3"/>
  <c r="I329" i="3"/>
  <c r="I330" i="3"/>
  <c r="I331" i="3"/>
  <c r="I335" i="3"/>
  <c r="I337" i="3"/>
  <c r="I339" i="3"/>
  <c r="I341" i="3"/>
  <c r="I343" i="3"/>
  <c r="I345" i="3"/>
  <c r="I347" i="3"/>
  <c r="I349" i="3"/>
  <c r="I351" i="3"/>
  <c r="I353" i="3"/>
  <c r="I355" i="3"/>
  <c r="I356" i="3"/>
  <c r="I357" i="3"/>
  <c r="I358" i="3"/>
  <c r="I359" i="3"/>
  <c r="I360" i="3"/>
  <c r="I363" i="3"/>
  <c r="I365" i="3"/>
  <c r="I367" i="3"/>
  <c r="I369" i="3"/>
  <c r="I371" i="3"/>
  <c r="I373" i="3"/>
  <c r="I374" i="3"/>
  <c r="I377" i="3"/>
  <c r="I378" i="3"/>
  <c r="I379" i="3"/>
  <c r="I382" i="3"/>
  <c r="I384" i="3"/>
  <c r="I386" i="3"/>
  <c r="I389" i="3"/>
  <c r="I390" i="3"/>
  <c r="I394" i="3"/>
  <c r="I397" i="3"/>
  <c r="I400" i="3"/>
  <c r="I401" i="3"/>
  <c r="I402" i="3"/>
  <c r="I403" i="3"/>
  <c r="I404" i="3"/>
  <c r="I408" i="3"/>
  <c r="I410" i="3"/>
  <c r="I413" i="3"/>
  <c r="I415" i="3"/>
  <c r="I416" i="3"/>
  <c r="I417" i="3"/>
  <c r="I418" i="3"/>
  <c r="I419" i="3"/>
  <c r="I420" i="3"/>
  <c r="I421" i="3"/>
  <c r="I424" i="3"/>
  <c r="I425" i="3"/>
  <c r="I426" i="3"/>
  <c r="I427" i="3"/>
  <c r="I428" i="3"/>
  <c r="I431" i="3"/>
  <c r="I433" i="3"/>
  <c r="I435" i="3"/>
  <c r="I436" i="3"/>
  <c r="I439" i="3"/>
  <c r="I441" i="3"/>
  <c r="I442" i="3"/>
  <c r="I444" i="3"/>
  <c r="I445" i="3"/>
  <c r="I446" i="3"/>
  <c r="I448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5" i="3"/>
  <c r="I466" i="3"/>
  <c r="I467" i="3"/>
  <c r="I468" i="3"/>
  <c r="I470" i="3"/>
  <c r="I472" i="3"/>
  <c r="I474" i="3"/>
  <c r="I475" i="3"/>
  <c r="I477" i="3"/>
  <c r="I479" i="3"/>
  <c r="I481" i="3"/>
  <c r="I483" i="3"/>
  <c r="I485" i="3"/>
  <c r="I487" i="3"/>
  <c r="I489" i="3"/>
  <c r="I491" i="3"/>
  <c r="I493" i="3"/>
  <c r="I494" i="3"/>
  <c r="I495" i="3"/>
  <c r="I497" i="3"/>
  <c r="I498" i="3"/>
  <c r="I499" i="3"/>
  <c r="I503" i="3"/>
  <c r="I505" i="3"/>
  <c r="I506" i="3"/>
  <c r="I507" i="3"/>
  <c r="I508" i="3"/>
  <c r="I509" i="3"/>
  <c r="I510" i="3"/>
  <c r="I511" i="3"/>
  <c r="I513" i="3"/>
  <c r="I514" i="3"/>
  <c r="I515" i="3"/>
  <c r="I516" i="3"/>
  <c r="I517" i="3"/>
  <c r="I518" i="3"/>
  <c r="I520" i="3"/>
  <c r="I521" i="3"/>
  <c r="I522" i="3"/>
  <c r="I523" i="3"/>
  <c r="I524" i="3"/>
  <c r="I527" i="3"/>
  <c r="I529" i="3"/>
  <c r="I532" i="3"/>
  <c r="I534" i="3"/>
  <c r="I535" i="3"/>
  <c r="I536" i="3"/>
  <c r="I537" i="3"/>
  <c r="I539" i="3"/>
  <c r="I540" i="3"/>
  <c r="I541" i="3"/>
  <c r="I542" i="3"/>
  <c r="I543" i="3"/>
  <c r="I544" i="3"/>
  <c r="I545" i="3"/>
  <c r="I547" i="3"/>
  <c r="I548" i="3"/>
  <c r="I549" i="3"/>
  <c r="I550" i="3"/>
  <c r="I552" i="3"/>
  <c r="I553" i="3"/>
  <c r="I554" i="3"/>
  <c r="I555" i="3"/>
  <c r="I557" i="3"/>
  <c r="I558" i="3"/>
  <c r="I559" i="3"/>
  <c r="I561" i="3"/>
  <c r="I562" i="3"/>
  <c r="I563" i="3"/>
  <c r="I565" i="3"/>
  <c r="I566" i="3"/>
  <c r="I569" i="3"/>
  <c r="I572" i="3"/>
  <c r="I574" i="3"/>
  <c r="I576" i="3"/>
  <c r="I579" i="3"/>
  <c r="I582" i="3"/>
  <c r="I584" i="3"/>
  <c r="I586" i="3"/>
  <c r="I589" i="3"/>
  <c r="I590" i="3"/>
  <c r="I591" i="3"/>
  <c r="I592" i="3"/>
  <c r="I593" i="3"/>
  <c r="I595" i="3"/>
  <c r="I596" i="3"/>
  <c r="I598" i="3"/>
  <c r="I599" i="3"/>
  <c r="I600" i="3"/>
  <c r="I601" i="3"/>
  <c r="I602" i="3"/>
  <c r="I603" i="3"/>
  <c r="I604" i="3"/>
  <c r="I605" i="3"/>
  <c r="I606" i="3"/>
  <c r="I610" i="3"/>
  <c r="I611" i="3"/>
  <c r="I612" i="3"/>
  <c r="I613" i="3"/>
  <c r="I614" i="3"/>
  <c r="I615" i="3"/>
  <c r="I616" i="3"/>
  <c r="I617" i="3"/>
  <c r="I618" i="3"/>
  <c r="I619" i="3"/>
  <c r="I620" i="3"/>
  <c r="I623" i="3"/>
  <c r="I626" i="3"/>
  <c r="I627" i="3"/>
  <c r="I628" i="3"/>
  <c r="I629" i="3"/>
  <c r="I630" i="3"/>
  <c r="I631" i="3"/>
  <c r="I633" i="3"/>
  <c r="I634" i="3"/>
  <c r="I635" i="3"/>
  <c r="I637" i="3"/>
  <c r="I638" i="3"/>
  <c r="I639" i="3"/>
  <c r="I640" i="3"/>
  <c r="I641" i="3"/>
  <c r="I642" i="3"/>
  <c r="I644" i="3"/>
  <c r="I645" i="3"/>
  <c r="I646" i="3"/>
  <c r="I647" i="3"/>
  <c r="I648" i="3"/>
  <c r="I649" i="3"/>
  <c r="I650" i="3"/>
  <c r="I651" i="3"/>
  <c r="I652" i="3"/>
  <c r="I653" i="3"/>
  <c r="I655" i="3"/>
  <c r="I656" i="3"/>
  <c r="I658" i="3"/>
  <c r="I659" i="3"/>
  <c r="I660" i="3"/>
  <c r="I661" i="3"/>
  <c r="I663" i="3"/>
  <c r="I664" i="3"/>
  <c r="I666" i="3"/>
  <c r="I668" i="3"/>
  <c r="I669" i="3"/>
  <c r="I670" i="3"/>
  <c r="I671" i="3"/>
  <c r="I672" i="3"/>
  <c r="I674" i="3"/>
  <c r="I675" i="3"/>
  <c r="I678" i="3"/>
  <c r="I679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701" i="3"/>
  <c r="I702" i="3"/>
  <c r="I703" i="3"/>
  <c r="I704" i="3"/>
  <c r="I705" i="3"/>
  <c r="I706" i="3"/>
  <c r="I709" i="3"/>
  <c r="I711" i="3"/>
  <c r="I713" i="3"/>
  <c r="I714" i="3"/>
  <c r="I715" i="3"/>
  <c r="I716" i="3"/>
  <c r="I720" i="3"/>
  <c r="I721" i="3"/>
  <c r="I722" i="3"/>
  <c r="I723" i="3"/>
  <c r="I726" i="3"/>
  <c r="I729" i="3"/>
  <c r="I730" i="3"/>
  <c r="I731" i="3"/>
  <c r="I732" i="3"/>
  <c r="I733" i="3"/>
  <c r="I736" i="3"/>
  <c r="I739" i="3"/>
  <c r="I741" i="3"/>
  <c r="I743" i="3"/>
  <c r="I744" i="3"/>
  <c r="I745" i="3"/>
  <c r="I748" i="3"/>
  <c r="I750" i="3"/>
  <c r="I751" i="3"/>
  <c r="I752" i="3"/>
  <c r="I753" i="3"/>
  <c r="I754" i="3"/>
  <c r="I755" i="3"/>
  <c r="I756" i="3"/>
  <c r="I757" i="3"/>
  <c r="I759" i="3"/>
  <c r="I760" i="3"/>
  <c r="I761" i="3"/>
  <c r="I762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9" i="3"/>
  <c r="I790" i="3"/>
  <c r="I791" i="3"/>
  <c r="I792" i="3"/>
  <c r="I793" i="3"/>
  <c r="I794" i="3"/>
  <c r="I796" i="3"/>
  <c r="I798" i="3"/>
  <c r="I799" i="3"/>
  <c r="I801" i="3"/>
  <c r="I804" i="3"/>
  <c r="I807" i="3"/>
  <c r="I810" i="3"/>
  <c r="I811" i="3"/>
  <c r="I812" i="3"/>
  <c r="I813" i="3"/>
  <c r="I814" i="3"/>
  <c r="I815" i="3"/>
  <c r="I817" i="3"/>
  <c r="I820" i="3"/>
  <c r="I821" i="3"/>
  <c r="I822" i="3"/>
  <c r="I823" i="3"/>
  <c r="I824" i="3"/>
  <c r="I825" i="3"/>
  <c r="I826" i="3"/>
  <c r="I828" i="3"/>
  <c r="I829" i="3"/>
  <c r="I831" i="3"/>
  <c r="I833" i="3"/>
  <c r="I834" i="3"/>
  <c r="I835" i="3"/>
  <c r="I836" i="3"/>
  <c r="I838" i="3"/>
  <c r="I839" i="3"/>
  <c r="I840" i="3"/>
  <c r="H20" i="3"/>
  <c r="H22" i="3"/>
  <c r="H24" i="3"/>
  <c r="H25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1" i="3"/>
  <c r="H102" i="3"/>
  <c r="H103" i="3"/>
  <c r="H104" i="3"/>
  <c r="H105" i="3"/>
  <c r="H106" i="3"/>
  <c r="H107" i="3"/>
  <c r="H108" i="3"/>
  <c r="H109" i="3"/>
  <c r="H110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3" i="3"/>
  <c r="H134" i="3"/>
  <c r="H135" i="3"/>
  <c r="H136" i="3"/>
  <c r="H137" i="3"/>
  <c r="H138" i="3"/>
  <c r="H139" i="3"/>
  <c r="H140" i="3"/>
  <c r="H141" i="3"/>
  <c r="H143" i="3"/>
  <c r="H144" i="3"/>
  <c r="H145" i="3"/>
  <c r="H146" i="3"/>
  <c r="H147" i="3"/>
  <c r="H148" i="3"/>
  <c r="H149" i="3"/>
  <c r="H150" i="3"/>
  <c r="H151" i="3"/>
  <c r="H153" i="3"/>
  <c r="H155" i="3"/>
  <c r="H156" i="3"/>
  <c r="H157" i="3"/>
  <c r="H159" i="3"/>
  <c r="H161" i="3"/>
  <c r="H162" i="3"/>
  <c r="H163" i="3"/>
  <c r="H164" i="3"/>
  <c r="H165" i="3"/>
  <c r="H166" i="3"/>
  <c r="H168" i="3"/>
  <c r="H170" i="3"/>
  <c r="H171" i="3"/>
  <c r="H174" i="3"/>
  <c r="H176" i="3"/>
  <c r="H177" i="3"/>
  <c r="H178" i="3"/>
  <c r="H179" i="3"/>
  <c r="H181" i="3"/>
  <c r="H182" i="3"/>
  <c r="H183" i="3"/>
  <c r="H184" i="3"/>
  <c r="H187" i="3"/>
  <c r="H188" i="3"/>
  <c r="H189" i="3"/>
  <c r="H191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3" i="3"/>
  <c r="H214" i="3"/>
  <c r="H215" i="3"/>
  <c r="H216" i="3"/>
  <c r="H218" i="3"/>
  <c r="H219" i="3"/>
  <c r="H220" i="3"/>
  <c r="H222" i="3"/>
  <c r="H226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2" i="3"/>
  <c r="H243" i="3"/>
  <c r="H246" i="3"/>
  <c r="H247" i="3"/>
  <c r="H249" i="3"/>
  <c r="H251" i="3"/>
  <c r="H252" i="3"/>
  <c r="H254" i="3"/>
  <c r="H257" i="3"/>
  <c r="H258" i="3"/>
  <c r="H261" i="3"/>
  <c r="H263" i="3"/>
  <c r="H265" i="3"/>
  <c r="H266" i="3"/>
  <c r="H267" i="3"/>
  <c r="H269" i="3"/>
  <c r="H270" i="3"/>
  <c r="H271" i="3"/>
  <c r="H272" i="3"/>
  <c r="H273" i="3"/>
  <c r="H275" i="3"/>
  <c r="H277" i="3"/>
  <c r="H278" i="3"/>
  <c r="H279" i="3"/>
  <c r="H280" i="3"/>
  <c r="H281" i="3"/>
  <c r="H282" i="3"/>
  <c r="H283" i="3"/>
  <c r="H284" i="3"/>
  <c r="H286" i="3"/>
  <c r="H287" i="3"/>
  <c r="H288" i="3"/>
  <c r="H290" i="3"/>
  <c r="H291" i="3"/>
  <c r="H292" i="3"/>
  <c r="H293" i="3"/>
  <c r="H294" i="3"/>
  <c r="H295" i="3"/>
  <c r="H296" i="3"/>
  <c r="H298" i="3"/>
  <c r="H299" i="3"/>
  <c r="H300" i="3"/>
  <c r="H301" i="3"/>
  <c r="H303" i="3"/>
  <c r="H305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4" i="3"/>
  <c r="H325" i="3"/>
  <c r="H327" i="3"/>
  <c r="H328" i="3"/>
  <c r="H329" i="3"/>
  <c r="H330" i="3"/>
  <c r="H331" i="3"/>
  <c r="H335" i="3"/>
  <c r="H337" i="3"/>
  <c r="H339" i="3"/>
  <c r="H341" i="3"/>
  <c r="H343" i="3"/>
  <c r="H345" i="3"/>
  <c r="H347" i="3"/>
  <c r="H349" i="3"/>
  <c r="H351" i="3"/>
  <c r="H353" i="3"/>
  <c r="H355" i="3"/>
  <c r="H356" i="3"/>
  <c r="H357" i="3"/>
  <c r="H358" i="3"/>
  <c r="H359" i="3"/>
  <c r="H360" i="3"/>
  <c r="H363" i="3"/>
  <c r="H365" i="3"/>
  <c r="H367" i="3"/>
  <c r="H369" i="3"/>
  <c r="H371" i="3"/>
  <c r="H373" i="3"/>
  <c r="H374" i="3"/>
  <c r="H377" i="3"/>
  <c r="H378" i="3"/>
  <c r="H379" i="3"/>
  <c r="H382" i="3"/>
  <c r="H384" i="3"/>
  <c r="H386" i="3"/>
  <c r="H389" i="3"/>
  <c r="H390" i="3"/>
  <c r="H394" i="3"/>
  <c r="H397" i="3"/>
  <c r="H400" i="3"/>
  <c r="H401" i="3"/>
  <c r="H402" i="3"/>
  <c r="H403" i="3"/>
  <c r="H404" i="3"/>
  <c r="H408" i="3"/>
  <c r="H410" i="3"/>
  <c r="H413" i="3"/>
  <c r="H415" i="3"/>
  <c r="H416" i="3"/>
  <c r="H417" i="3"/>
  <c r="H418" i="3"/>
  <c r="H419" i="3"/>
  <c r="H420" i="3"/>
  <c r="H421" i="3"/>
  <c r="H424" i="3"/>
  <c r="H425" i="3"/>
  <c r="H426" i="3"/>
  <c r="H427" i="3"/>
  <c r="H428" i="3"/>
  <c r="H431" i="3"/>
  <c r="H433" i="3"/>
  <c r="H435" i="3"/>
  <c r="H436" i="3"/>
  <c r="H439" i="3"/>
  <c r="H441" i="3"/>
  <c r="H442" i="3"/>
  <c r="H444" i="3"/>
  <c r="H445" i="3"/>
  <c r="H446" i="3"/>
  <c r="H448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5" i="3"/>
  <c r="H466" i="3"/>
  <c r="H467" i="3"/>
  <c r="H468" i="3"/>
  <c r="H470" i="3"/>
  <c r="H472" i="3"/>
  <c r="H474" i="3"/>
  <c r="H475" i="3"/>
  <c r="H477" i="3"/>
  <c r="H479" i="3"/>
  <c r="H481" i="3"/>
  <c r="H483" i="3"/>
  <c r="H485" i="3"/>
  <c r="H487" i="3"/>
  <c r="H489" i="3"/>
  <c r="H491" i="3"/>
  <c r="H493" i="3"/>
  <c r="H494" i="3"/>
  <c r="H495" i="3"/>
  <c r="H497" i="3"/>
  <c r="H498" i="3"/>
  <c r="H499" i="3"/>
  <c r="H503" i="3"/>
  <c r="H505" i="3"/>
  <c r="H506" i="3"/>
  <c r="H507" i="3"/>
  <c r="H508" i="3"/>
  <c r="H509" i="3"/>
  <c r="H510" i="3"/>
  <c r="H511" i="3"/>
  <c r="H513" i="3"/>
  <c r="H514" i="3"/>
  <c r="H515" i="3"/>
  <c r="H516" i="3"/>
  <c r="H517" i="3"/>
  <c r="H518" i="3"/>
  <c r="H520" i="3"/>
  <c r="H521" i="3"/>
  <c r="H522" i="3"/>
  <c r="H523" i="3"/>
  <c r="H524" i="3"/>
  <c r="H527" i="3"/>
  <c r="H529" i="3"/>
  <c r="H532" i="3"/>
  <c r="H534" i="3"/>
  <c r="H535" i="3"/>
  <c r="H536" i="3"/>
  <c r="H537" i="3"/>
  <c r="H539" i="3"/>
  <c r="H540" i="3"/>
  <c r="H541" i="3"/>
  <c r="H542" i="3"/>
  <c r="H543" i="3"/>
  <c r="H544" i="3"/>
  <c r="H545" i="3"/>
  <c r="H547" i="3"/>
  <c r="H548" i="3"/>
  <c r="H549" i="3"/>
  <c r="H550" i="3"/>
  <c r="H552" i="3"/>
  <c r="H553" i="3"/>
  <c r="H554" i="3"/>
  <c r="H555" i="3"/>
  <c r="H557" i="3"/>
  <c r="H558" i="3"/>
  <c r="H559" i="3"/>
  <c r="H561" i="3"/>
  <c r="H562" i="3"/>
  <c r="H563" i="3"/>
  <c r="H565" i="3"/>
  <c r="H566" i="3"/>
  <c r="H569" i="3"/>
  <c r="H572" i="3"/>
  <c r="H574" i="3"/>
  <c r="H576" i="3"/>
  <c r="H579" i="3"/>
  <c r="H582" i="3"/>
  <c r="H584" i="3"/>
  <c r="H586" i="3"/>
  <c r="H589" i="3"/>
  <c r="H590" i="3"/>
  <c r="H591" i="3"/>
  <c r="H592" i="3"/>
  <c r="H593" i="3"/>
  <c r="H595" i="3"/>
  <c r="H596" i="3"/>
  <c r="H598" i="3"/>
  <c r="H599" i="3"/>
  <c r="H600" i="3"/>
  <c r="H601" i="3"/>
  <c r="H602" i="3"/>
  <c r="H603" i="3"/>
  <c r="H604" i="3"/>
  <c r="H605" i="3"/>
  <c r="H606" i="3"/>
  <c r="H610" i="3"/>
  <c r="H611" i="3"/>
  <c r="H612" i="3"/>
  <c r="H613" i="3"/>
  <c r="H614" i="3"/>
  <c r="H615" i="3"/>
  <c r="H616" i="3"/>
  <c r="H617" i="3"/>
  <c r="H618" i="3"/>
  <c r="H619" i="3"/>
  <c r="H620" i="3"/>
  <c r="H623" i="3"/>
  <c r="H626" i="3"/>
  <c r="H627" i="3"/>
  <c r="H628" i="3"/>
  <c r="H629" i="3"/>
  <c r="H630" i="3"/>
  <c r="H631" i="3"/>
  <c r="H633" i="3"/>
  <c r="H634" i="3"/>
  <c r="H635" i="3"/>
  <c r="H637" i="3"/>
  <c r="H638" i="3"/>
  <c r="H639" i="3"/>
  <c r="H640" i="3"/>
  <c r="H641" i="3"/>
  <c r="H642" i="3"/>
  <c r="H644" i="3"/>
  <c r="H645" i="3"/>
  <c r="H646" i="3"/>
  <c r="H647" i="3"/>
  <c r="H648" i="3"/>
  <c r="H649" i="3"/>
  <c r="H650" i="3"/>
  <c r="H651" i="3"/>
  <c r="H652" i="3"/>
  <c r="H653" i="3"/>
  <c r="H655" i="3"/>
  <c r="H656" i="3"/>
  <c r="H658" i="3"/>
  <c r="H659" i="3"/>
  <c r="H660" i="3"/>
  <c r="H661" i="3"/>
  <c r="H663" i="3"/>
  <c r="H664" i="3"/>
  <c r="H666" i="3"/>
  <c r="H668" i="3"/>
  <c r="H669" i="3"/>
  <c r="H670" i="3"/>
  <c r="H671" i="3"/>
  <c r="H672" i="3"/>
  <c r="H674" i="3"/>
  <c r="H675" i="3"/>
  <c r="H678" i="3"/>
  <c r="H679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701" i="3"/>
  <c r="H702" i="3"/>
  <c r="H703" i="3"/>
  <c r="H704" i="3"/>
  <c r="H705" i="3"/>
  <c r="H706" i="3"/>
  <c r="H709" i="3"/>
  <c r="H711" i="3"/>
  <c r="H713" i="3"/>
  <c r="H714" i="3"/>
  <c r="H715" i="3"/>
  <c r="H716" i="3"/>
  <c r="H720" i="3"/>
  <c r="H721" i="3"/>
  <c r="H722" i="3"/>
  <c r="H723" i="3"/>
  <c r="H726" i="3"/>
  <c r="H729" i="3"/>
  <c r="H730" i="3"/>
  <c r="H731" i="3"/>
  <c r="H732" i="3"/>
  <c r="H733" i="3"/>
  <c r="H736" i="3"/>
  <c r="H739" i="3"/>
  <c r="H741" i="3"/>
  <c r="H743" i="3"/>
  <c r="H744" i="3"/>
  <c r="H745" i="3"/>
  <c r="H748" i="3"/>
  <c r="H750" i="3"/>
  <c r="H751" i="3"/>
  <c r="H752" i="3"/>
  <c r="H753" i="3"/>
  <c r="H754" i="3"/>
  <c r="H755" i="3"/>
  <c r="H756" i="3"/>
  <c r="H757" i="3"/>
  <c r="H759" i="3"/>
  <c r="H760" i="3"/>
  <c r="H761" i="3"/>
  <c r="H762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9" i="3"/>
  <c r="H790" i="3"/>
  <c r="H791" i="3"/>
  <c r="H792" i="3"/>
  <c r="H793" i="3"/>
  <c r="H794" i="3"/>
  <c r="H796" i="3"/>
  <c r="H798" i="3"/>
  <c r="H799" i="3"/>
  <c r="H801" i="3"/>
  <c r="H804" i="3"/>
  <c r="H807" i="3"/>
  <c r="H810" i="3"/>
  <c r="H811" i="3"/>
  <c r="H812" i="3"/>
  <c r="H813" i="3"/>
  <c r="H814" i="3"/>
  <c r="H815" i="3"/>
  <c r="H817" i="3"/>
  <c r="H820" i="3"/>
  <c r="H821" i="3"/>
  <c r="H822" i="3"/>
  <c r="H823" i="3"/>
  <c r="H824" i="3"/>
  <c r="H825" i="3"/>
  <c r="H826" i="3"/>
  <c r="H828" i="3"/>
  <c r="H829" i="3"/>
  <c r="H831" i="3"/>
  <c r="H833" i="3"/>
  <c r="H834" i="3"/>
  <c r="H835" i="3"/>
  <c r="H836" i="3"/>
  <c r="H838" i="3"/>
  <c r="H839" i="3"/>
  <c r="H840" i="3"/>
  <c r="H18" i="3"/>
  <c r="I18" i="3"/>
  <c r="J18" i="3"/>
  <c r="L17" i="3"/>
  <c r="L16" i="3"/>
  <c r="G18" i="3"/>
  <c r="G20" i="3"/>
  <c r="G22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1" i="3"/>
  <c r="G102" i="3"/>
  <c r="G103" i="3"/>
  <c r="G104" i="3"/>
  <c r="G105" i="3"/>
  <c r="G106" i="3"/>
  <c r="G107" i="3"/>
  <c r="G108" i="3"/>
  <c r="G109" i="3"/>
  <c r="G110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3" i="3"/>
  <c r="G134" i="3"/>
  <c r="G135" i="3"/>
  <c r="G136" i="3"/>
  <c r="G137" i="3"/>
  <c r="G138" i="3"/>
  <c r="G139" i="3"/>
  <c r="G140" i="3"/>
  <c r="G141" i="3"/>
  <c r="G143" i="3"/>
  <c r="G144" i="3"/>
  <c r="G145" i="3"/>
  <c r="G146" i="3"/>
  <c r="G147" i="3"/>
  <c r="G148" i="3"/>
  <c r="G149" i="3"/>
  <c r="G150" i="3"/>
  <c r="G151" i="3"/>
  <c r="G153" i="3"/>
  <c r="G155" i="3"/>
  <c r="G156" i="3"/>
  <c r="G157" i="3"/>
  <c r="G159" i="3"/>
  <c r="G161" i="3"/>
  <c r="G162" i="3"/>
  <c r="G163" i="3"/>
  <c r="G164" i="3"/>
  <c r="G165" i="3"/>
  <c r="G166" i="3"/>
  <c r="G168" i="3"/>
  <c r="G170" i="3"/>
  <c r="G171" i="3"/>
  <c r="G174" i="3"/>
  <c r="G176" i="3"/>
  <c r="G177" i="3"/>
  <c r="G178" i="3"/>
  <c r="G179" i="3"/>
  <c r="G181" i="3"/>
  <c r="G182" i="3"/>
  <c r="G183" i="3"/>
  <c r="G184" i="3"/>
  <c r="G187" i="3"/>
  <c r="G188" i="3"/>
  <c r="G189" i="3"/>
  <c r="G191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3" i="3"/>
  <c r="G214" i="3"/>
  <c r="G215" i="3"/>
  <c r="G216" i="3"/>
  <c r="G218" i="3"/>
  <c r="G219" i="3"/>
  <c r="G220" i="3"/>
  <c r="G222" i="3"/>
  <c r="G226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6" i="3"/>
  <c r="G247" i="3"/>
  <c r="G249" i="3"/>
  <c r="G251" i="3"/>
  <c r="G252" i="3"/>
  <c r="G254" i="3"/>
  <c r="G257" i="3"/>
  <c r="G258" i="3"/>
  <c r="G261" i="3"/>
  <c r="G263" i="3"/>
  <c r="G265" i="3"/>
  <c r="G266" i="3"/>
  <c r="G267" i="3"/>
  <c r="G269" i="3"/>
  <c r="G270" i="3"/>
  <c r="G271" i="3"/>
  <c r="G272" i="3"/>
  <c r="G273" i="3"/>
  <c r="G275" i="3"/>
  <c r="G277" i="3"/>
  <c r="G278" i="3"/>
  <c r="G279" i="3"/>
  <c r="G280" i="3"/>
  <c r="G281" i="3"/>
  <c r="G282" i="3"/>
  <c r="G283" i="3"/>
  <c r="G284" i="3"/>
  <c r="G286" i="3"/>
  <c r="G287" i="3"/>
  <c r="G288" i="3"/>
  <c r="G290" i="3"/>
  <c r="G291" i="3"/>
  <c r="G292" i="3"/>
  <c r="G293" i="3"/>
  <c r="G294" i="3"/>
  <c r="G295" i="3"/>
  <c r="G296" i="3"/>
  <c r="G298" i="3"/>
  <c r="G299" i="3"/>
  <c r="G300" i="3"/>
  <c r="G301" i="3"/>
  <c r="G303" i="3"/>
  <c r="G305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4" i="3"/>
  <c r="G325" i="3"/>
  <c r="G327" i="3"/>
  <c r="G328" i="3"/>
  <c r="G329" i="3"/>
  <c r="G330" i="3"/>
  <c r="G331" i="3"/>
  <c r="G335" i="3"/>
  <c r="G337" i="3"/>
  <c r="G339" i="3"/>
  <c r="G341" i="3"/>
  <c r="G343" i="3"/>
  <c r="G345" i="3"/>
  <c r="G347" i="3"/>
  <c r="G349" i="3"/>
  <c r="G351" i="3"/>
  <c r="G353" i="3"/>
  <c r="G355" i="3"/>
  <c r="G356" i="3"/>
  <c r="G357" i="3"/>
  <c r="G358" i="3"/>
  <c r="G359" i="3"/>
  <c r="G360" i="3"/>
  <c r="G363" i="3"/>
  <c r="G365" i="3"/>
  <c r="G367" i="3"/>
  <c r="G369" i="3"/>
  <c r="G371" i="3"/>
  <c r="G373" i="3"/>
  <c r="G374" i="3"/>
  <c r="G377" i="3"/>
  <c r="G378" i="3"/>
  <c r="G379" i="3"/>
  <c r="G382" i="3"/>
  <c r="G384" i="3"/>
  <c r="G386" i="3"/>
  <c r="G389" i="3"/>
  <c r="G390" i="3"/>
  <c r="G394" i="3"/>
  <c r="G397" i="3"/>
  <c r="G400" i="3"/>
  <c r="G401" i="3"/>
  <c r="G402" i="3"/>
  <c r="G403" i="3"/>
  <c r="G404" i="3"/>
  <c r="G408" i="3"/>
  <c r="G410" i="3"/>
  <c r="G413" i="3"/>
  <c r="G415" i="3"/>
  <c r="G416" i="3"/>
  <c r="G417" i="3"/>
  <c r="G418" i="3"/>
  <c r="G419" i="3"/>
  <c r="G420" i="3"/>
  <c r="G421" i="3"/>
  <c r="G424" i="3"/>
  <c r="G425" i="3"/>
  <c r="G426" i="3"/>
  <c r="G427" i="3"/>
  <c r="G428" i="3"/>
  <c r="G431" i="3"/>
  <c r="G433" i="3"/>
  <c r="G435" i="3"/>
  <c r="G436" i="3"/>
  <c r="G439" i="3"/>
  <c r="G441" i="3"/>
  <c r="G442" i="3"/>
  <c r="G444" i="3"/>
  <c r="G445" i="3"/>
  <c r="G446" i="3"/>
  <c r="G448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5" i="3"/>
  <c r="G466" i="3"/>
  <c r="G467" i="3"/>
  <c r="G468" i="3"/>
  <c r="G470" i="3"/>
  <c r="G472" i="3"/>
  <c r="G474" i="3"/>
  <c r="G475" i="3"/>
  <c r="G477" i="3"/>
  <c r="G479" i="3"/>
  <c r="G481" i="3"/>
  <c r="G483" i="3"/>
  <c r="G485" i="3"/>
  <c r="G487" i="3"/>
  <c r="G489" i="3"/>
  <c r="G491" i="3"/>
  <c r="G493" i="3"/>
  <c r="G494" i="3"/>
  <c r="G495" i="3"/>
  <c r="G497" i="3"/>
  <c r="G498" i="3"/>
  <c r="G499" i="3"/>
  <c r="G503" i="3"/>
  <c r="G505" i="3"/>
  <c r="G506" i="3"/>
  <c r="G507" i="3"/>
  <c r="G508" i="3"/>
  <c r="G509" i="3"/>
  <c r="G510" i="3"/>
  <c r="G511" i="3"/>
  <c r="G513" i="3"/>
  <c r="G514" i="3"/>
  <c r="G515" i="3"/>
  <c r="G516" i="3"/>
  <c r="G517" i="3"/>
  <c r="G518" i="3"/>
  <c r="G520" i="3"/>
  <c r="G521" i="3"/>
  <c r="G522" i="3"/>
  <c r="G523" i="3"/>
  <c r="G524" i="3"/>
  <c r="G527" i="3"/>
  <c r="G529" i="3"/>
  <c r="G532" i="3"/>
  <c r="G534" i="3"/>
  <c r="G535" i="3"/>
  <c r="G536" i="3"/>
  <c r="G537" i="3"/>
  <c r="G539" i="3"/>
  <c r="G540" i="3"/>
  <c r="G541" i="3"/>
  <c r="G542" i="3"/>
  <c r="G543" i="3"/>
  <c r="G544" i="3"/>
  <c r="G545" i="3"/>
  <c r="G547" i="3"/>
  <c r="G548" i="3"/>
  <c r="G549" i="3"/>
  <c r="G550" i="3"/>
  <c r="G552" i="3"/>
  <c r="G553" i="3"/>
  <c r="G554" i="3"/>
  <c r="G555" i="3"/>
  <c r="G557" i="3"/>
  <c r="G558" i="3"/>
  <c r="G559" i="3"/>
  <c r="G561" i="3"/>
  <c r="G562" i="3"/>
  <c r="G563" i="3"/>
  <c r="G565" i="3"/>
  <c r="G566" i="3"/>
  <c r="G569" i="3"/>
  <c r="G572" i="3"/>
  <c r="G574" i="3"/>
  <c r="G576" i="3"/>
  <c r="G579" i="3"/>
  <c r="G582" i="3"/>
  <c r="G584" i="3"/>
  <c r="G586" i="3"/>
  <c r="G589" i="3"/>
  <c r="G590" i="3"/>
  <c r="G591" i="3"/>
  <c r="G592" i="3"/>
  <c r="G593" i="3"/>
  <c r="G595" i="3"/>
  <c r="G596" i="3"/>
  <c r="G598" i="3"/>
  <c r="G599" i="3"/>
  <c r="G600" i="3"/>
  <c r="G601" i="3"/>
  <c r="G602" i="3"/>
  <c r="G603" i="3"/>
  <c r="G604" i="3"/>
  <c r="G605" i="3"/>
  <c r="G606" i="3"/>
  <c r="G610" i="3"/>
  <c r="G611" i="3"/>
  <c r="G612" i="3"/>
  <c r="G613" i="3"/>
  <c r="G614" i="3"/>
  <c r="G615" i="3"/>
  <c r="G616" i="3"/>
  <c r="G617" i="3"/>
  <c r="G618" i="3"/>
  <c r="G619" i="3"/>
  <c r="G620" i="3"/>
  <c r="G623" i="3"/>
  <c r="G626" i="3"/>
  <c r="G627" i="3"/>
  <c r="G628" i="3"/>
  <c r="G629" i="3"/>
  <c r="G630" i="3"/>
  <c r="G631" i="3"/>
  <c r="G633" i="3"/>
  <c r="G634" i="3"/>
  <c r="G635" i="3"/>
  <c r="G637" i="3"/>
  <c r="G638" i="3"/>
  <c r="G639" i="3"/>
  <c r="G640" i="3"/>
  <c r="G641" i="3"/>
  <c r="G642" i="3"/>
  <c r="G644" i="3"/>
  <c r="G645" i="3"/>
  <c r="G646" i="3"/>
  <c r="G647" i="3"/>
  <c r="G648" i="3"/>
  <c r="G649" i="3"/>
  <c r="G650" i="3"/>
  <c r="G651" i="3"/>
  <c r="G652" i="3"/>
  <c r="G653" i="3"/>
  <c r="G655" i="3"/>
  <c r="G656" i="3"/>
  <c r="G658" i="3"/>
  <c r="G659" i="3"/>
  <c r="G660" i="3"/>
  <c r="G661" i="3"/>
  <c r="G663" i="3"/>
  <c r="G664" i="3"/>
  <c r="G666" i="3"/>
  <c r="G668" i="3"/>
  <c r="G669" i="3"/>
  <c r="G670" i="3"/>
  <c r="G671" i="3"/>
  <c r="G672" i="3"/>
  <c r="G674" i="3"/>
  <c r="G675" i="3"/>
  <c r="G678" i="3"/>
  <c r="G679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701" i="3"/>
  <c r="G702" i="3"/>
  <c r="G703" i="3"/>
  <c r="G704" i="3"/>
  <c r="G705" i="3"/>
  <c r="G706" i="3"/>
  <c r="G709" i="3"/>
  <c r="G711" i="3"/>
  <c r="G713" i="3"/>
  <c r="G714" i="3"/>
  <c r="G715" i="3"/>
  <c r="G716" i="3"/>
  <c r="G720" i="3"/>
  <c r="G721" i="3"/>
  <c r="G722" i="3"/>
  <c r="G723" i="3"/>
  <c r="G726" i="3"/>
  <c r="G729" i="3"/>
  <c r="G730" i="3"/>
  <c r="G731" i="3"/>
  <c r="G732" i="3"/>
  <c r="G733" i="3"/>
  <c r="G736" i="3"/>
  <c r="G739" i="3"/>
  <c r="G741" i="3"/>
  <c r="G743" i="3"/>
  <c r="G744" i="3"/>
  <c r="G745" i="3"/>
  <c r="G748" i="3"/>
  <c r="G750" i="3"/>
  <c r="G751" i="3"/>
  <c r="G752" i="3"/>
  <c r="G753" i="3"/>
  <c r="G754" i="3"/>
  <c r="G755" i="3"/>
  <c r="G756" i="3"/>
  <c r="G757" i="3"/>
  <c r="G759" i="3"/>
  <c r="G760" i="3"/>
  <c r="G761" i="3"/>
  <c r="G762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93" i="3"/>
  <c r="G794" i="3"/>
  <c r="G796" i="3"/>
  <c r="G798" i="3"/>
  <c r="G799" i="3"/>
  <c r="G801" i="3"/>
  <c r="G804" i="3"/>
  <c r="G807" i="3"/>
  <c r="G810" i="3"/>
  <c r="G811" i="3"/>
  <c r="G812" i="3"/>
  <c r="G813" i="3"/>
  <c r="G814" i="3"/>
  <c r="G815" i="3"/>
  <c r="G817" i="3"/>
  <c r="G820" i="3"/>
  <c r="G821" i="3"/>
  <c r="G822" i="3"/>
  <c r="G823" i="3"/>
  <c r="G824" i="3"/>
  <c r="G825" i="3"/>
  <c r="G826" i="3"/>
  <c r="G828" i="3"/>
  <c r="G829" i="3"/>
  <c r="G831" i="3"/>
  <c r="G833" i="3"/>
  <c r="G834" i="3"/>
  <c r="G835" i="3"/>
  <c r="G836" i="3"/>
  <c r="G838" i="3"/>
  <c r="G839" i="3"/>
  <c r="G840" i="3"/>
  <c r="L223" i="3" l="1"/>
  <c r="L717" i="3"/>
  <c r="G677" i="1"/>
  <c r="G680" i="3" s="1"/>
  <c r="H347" i="1" l="1"/>
  <c r="I347" i="1"/>
  <c r="K590" i="3"/>
  <c r="K591" i="3"/>
  <c r="K592" i="3"/>
  <c r="K593" i="3"/>
  <c r="K595" i="3"/>
  <c r="K596" i="3"/>
  <c r="K598" i="3"/>
  <c r="K599" i="3"/>
  <c r="K600" i="3"/>
  <c r="K601" i="3"/>
  <c r="K602" i="3"/>
  <c r="K603" i="3"/>
  <c r="K604" i="3"/>
  <c r="K605" i="3"/>
  <c r="K606" i="3"/>
  <c r="K613" i="3"/>
  <c r="K614" i="3"/>
  <c r="K615" i="3"/>
  <c r="K616" i="3"/>
  <c r="K617" i="3"/>
  <c r="K618" i="3"/>
  <c r="K619" i="3"/>
  <c r="K620" i="3"/>
  <c r="K711" i="3"/>
  <c r="K713" i="3"/>
  <c r="K714" i="3"/>
  <c r="K715" i="3"/>
  <c r="K716" i="3"/>
  <c r="K723" i="3"/>
  <c r="K761" i="3"/>
  <c r="K798" i="3"/>
  <c r="K799" i="3"/>
  <c r="K801" i="3"/>
  <c r="K811" i="3"/>
  <c r="K812" i="3"/>
  <c r="K813" i="3"/>
  <c r="K814" i="3"/>
  <c r="K815" i="3"/>
  <c r="K833" i="3"/>
  <c r="K834" i="3"/>
  <c r="K835" i="3"/>
  <c r="K836" i="3"/>
  <c r="K838" i="3"/>
  <c r="K839" i="3"/>
  <c r="K840" i="3"/>
  <c r="I622" i="1"/>
  <c r="H622" i="1"/>
  <c r="G622" i="1"/>
  <c r="G625" i="3" s="1"/>
  <c r="I629" i="1"/>
  <c r="H629" i="1"/>
  <c r="G629" i="1"/>
  <c r="G632" i="3" s="1"/>
  <c r="I633" i="1"/>
  <c r="H633" i="1"/>
  <c r="G633" i="1"/>
  <c r="G636" i="3" s="1"/>
  <c r="I640" i="1"/>
  <c r="H640" i="1"/>
  <c r="G640" i="1"/>
  <c r="G643" i="3" s="1"/>
  <c r="I651" i="1"/>
  <c r="H651" i="1"/>
  <c r="G651" i="1"/>
  <c r="G654" i="3" s="1"/>
  <c r="I654" i="1"/>
  <c r="H654" i="1"/>
  <c r="G654" i="1"/>
  <c r="G657" i="3" s="1"/>
  <c r="I659" i="1"/>
  <c r="H659" i="1"/>
  <c r="G659" i="1"/>
  <c r="G662" i="3" s="1"/>
  <c r="H662" i="1"/>
  <c r="I662" i="1"/>
  <c r="G662" i="1"/>
  <c r="G665" i="3" s="1"/>
  <c r="I664" i="1"/>
  <c r="H664" i="1"/>
  <c r="G664" i="1"/>
  <c r="G667" i="3" s="1"/>
  <c r="H670" i="1"/>
  <c r="I670" i="1"/>
  <c r="G670" i="1"/>
  <c r="G673" i="3" s="1"/>
  <c r="H674" i="1"/>
  <c r="I674" i="1"/>
  <c r="G674" i="1"/>
  <c r="G677" i="3" s="1"/>
  <c r="H677" i="1"/>
  <c r="I677" i="1"/>
  <c r="H697" i="1"/>
  <c r="I697" i="1"/>
  <c r="G697" i="1"/>
  <c r="H705" i="1"/>
  <c r="I705" i="1"/>
  <c r="G705" i="1"/>
  <c r="H707" i="1"/>
  <c r="I707" i="1"/>
  <c r="G707" i="1"/>
  <c r="G710" i="3" s="1"/>
  <c r="H709" i="1"/>
  <c r="I709" i="1"/>
  <c r="G709" i="1"/>
  <c r="G712" i="3" s="1"/>
  <c r="H716" i="1"/>
  <c r="I716" i="1"/>
  <c r="G716" i="1"/>
  <c r="I722" i="1"/>
  <c r="H722" i="1"/>
  <c r="G722" i="1"/>
  <c r="H725" i="1"/>
  <c r="I725" i="1"/>
  <c r="G725" i="1"/>
  <c r="H732" i="1"/>
  <c r="I732" i="1"/>
  <c r="G732" i="1"/>
  <c r="I735" i="1"/>
  <c r="H735" i="1"/>
  <c r="G735" i="1"/>
  <c r="G738" i="3" s="1"/>
  <c r="I737" i="1"/>
  <c r="H737" i="1"/>
  <c r="G737" i="1"/>
  <c r="G740" i="3" s="1"/>
  <c r="I739" i="1"/>
  <c r="H739" i="1"/>
  <c r="G739" i="1"/>
  <c r="G742" i="3" s="1"/>
  <c r="I744" i="1"/>
  <c r="H744" i="1"/>
  <c r="G744" i="1"/>
  <c r="G747" i="3" s="1"/>
  <c r="I746" i="1"/>
  <c r="H746" i="1"/>
  <c r="G746" i="1"/>
  <c r="G749" i="3" s="1"/>
  <c r="I755" i="1"/>
  <c r="H755" i="1"/>
  <c r="G755" i="1"/>
  <c r="G758" i="3" s="1"/>
  <c r="I760" i="1"/>
  <c r="H760" i="1"/>
  <c r="G760" i="1"/>
  <c r="G763" i="3" s="1"/>
  <c r="I785" i="1"/>
  <c r="H785" i="1"/>
  <c r="G785" i="1"/>
  <c r="G788" i="3" s="1"/>
  <c r="I792" i="1"/>
  <c r="H792" i="1"/>
  <c r="G792" i="1"/>
  <c r="G795" i="3" s="1"/>
  <c r="H794" i="1"/>
  <c r="I794" i="1"/>
  <c r="G794" i="1"/>
  <c r="G797" i="3" s="1"/>
  <c r="H800" i="1"/>
  <c r="I800" i="1"/>
  <c r="G800" i="1"/>
  <c r="H803" i="1"/>
  <c r="I803" i="1"/>
  <c r="G803" i="1"/>
  <c r="H806" i="1"/>
  <c r="I806" i="1"/>
  <c r="G806" i="1"/>
  <c r="I816" i="1"/>
  <c r="H816" i="1"/>
  <c r="G816" i="1"/>
  <c r="I824" i="1"/>
  <c r="H824" i="1"/>
  <c r="G824" i="1"/>
  <c r="G827" i="3" s="1"/>
  <c r="H827" i="1"/>
  <c r="I827" i="1"/>
  <c r="G827" i="1"/>
  <c r="G830" i="3" s="1"/>
  <c r="H829" i="1"/>
  <c r="I829" i="1"/>
  <c r="G829" i="1"/>
  <c r="G832" i="3" s="1"/>
  <c r="H834" i="1"/>
  <c r="I834" i="1"/>
  <c r="G834" i="1"/>
  <c r="G837" i="3" s="1"/>
  <c r="I14" i="1"/>
  <c r="H14" i="1"/>
  <c r="G14" i="1"/>
  <c r="I16" i="1"/>
  <c r="H16" i="1"/>
  <c r="G16" i="1"/>
  <c r="G19" i="3" s="1"/>
  <c r="I18" i="1"/>
  <c r="H18" i="1"/>
  <c r="G18" i="1"/>
  <c r="G21" i="3" s="1"/>
  <c r="I20" i="1"/>
  <c r="H20" i="1"/>
  <c r="G20" i="1"/>
  <c r="G23" i="3" s="1"/>
  <c r="G28" i="3"/>
  <c r="I44" i="1"/>
  <c r="H44" i="1"/>
  <c r="G44" i="1"/>
  <c r="G47" i="3" s="1"/>
  <c r="I47" i="1"/>
  <c r="H47" i="1"/>
  <c r="G47" i="1"/>
  <c r="G50" i="3" s="1"/>
  <c r="H97" i="1"/>
  <c r="I97" i="1"/>
  <c r="G97" i="1"/>
  <c r="G100" i="3" s="1"/>
  <c r="H108" i="1"/>
  <c r="I108" i="1"/>
  <c r="G108" i="1"/>
  <c r="G111" i="3" s="1"/>
  <c r="H129" i="1"/>
  <c r="I129" i="1"/>
  <c r="G129" i="1"/>
  <c r="G132" i="3" s="1"/>
  <c r="H139" i="1"/>
  <c r="I139" i="1"/>
  <c r="G139" i="1"/>
  <c r="G142" i="3" s="1"/>
  <c r="H149" i="1"/>
  <c r="I149" i="1"/>
  <c r="G149" i="1"/>
  <c r="G152" i="3" s="1"/>
  <c r="I151" i="1"/>
  <c r="H151" i="1"/>
  <c r="G151" i="1"/>
  <c r="G154" i="3" s="1"/>
  <c r="I155" i="1"/>
  <c r="H155" i="1"/>
  <c r="G155" i="1"/>
  <c r="G158" i="3" s="1"/>
  <c r="I157" i="1"/>
  <c r="H157" i="1"/>
  <c r="G157" i="1"/>
  <c r="G160" i="3" s="1"/>
  <c r="H164" i="1"/>
  <c r="I164" i="1"/>
  <c r="G164" i="1"/>
  <c r="G167" i="3" s="1"/>
  <c r="I166" i="1"/>
  <c r="H166" i="1"/>
  <c r="G166" i="1"/>
  <c r="G169" i="3" s="1"/>
  <c r="I170" i="1"/>
  <c r="H170" i="1"/>
  <c r="G170" i="1"/>
  <c r="G173" i="3" s="1"/>
  <c r="I172" i="1"/>
  <c r="H172" i="1"/>
  <c r="G172" i="1"/>
  <c r="G175" i="3" s="1"/>
  <c r="I177" i="1"/>
  <c r="H177" i="1"/>
  <c r="G177" i="1"/>
  <c r="G180" i="3" s="1"/>
  <c r="I183" i="1"/>
  <c r="H183" i="1"/>
  <c r="G183" i="1"/>
  <c r="G186" i="3" s="1"/>
  <c r="H187" i="1"/>
  <c r="I187" i="1"/>
  <c r="G187" i="1"/>
  <c r="G190" i="3" s="1"/>
  <c r="I189" i="1"/>
  <c r="H189" i="1"/>
  <c r="G189" i="1"/>
  <c r="G192" i="3" s="1"/>
  <c r="I209" i="1"/>
  <c r="H209" i="1"/>
  <c r="G209" i="1"/>
  <c r="G212" i="3" s="1"/>
  <c r="I214" i="1"/>
  <c r="H214" i="1"/>
  <c r="G214" i="1"/>
  <c r="G217" i="3" s="1"/>
  <c r="H218" i="1"/>
  <c r="I218" i="1"/>
  <c r="G218" i="1"/>
  <c r="G221" i="3" s="1"/>
  <c r="I222" i="1"/>
  <c r="H222" i="1"/>
  <c r="G222" i="1"/>
  <c r="G225" i="3" s="1"/>
  <c r="I224" i="1"/>
  <c r="H224" i="1"/>
  <c r="G224" i="1"/>
  <c r="G227" i="3" s="1"/>
  <c r="I238" i="1"/>
  <c r="H238" i="1"/>
  <c r="G238" i="1"/>
  <c r="G241" i="3" s="1"/>
  <c r="H242" i="1"/>
  <c r="I242" i="1"/>
  <c r="G242" i="1"/>
  <c r="G245" i="3" s="1"/>
  <c r="H245" i="1"/>
  <c r="I245" i="1"/>
  <c r="G245" i="1"/>
  <c r="G248" i="3" s="1"/>
  <c r="H247" i="1"/>
  <c r="I247" i="1"/>
  <c r="G247" i="1"/>
  <c r="G250" i="3" s="1"/>
  <c r="H250" i="1"/>
  <c r="I250" i="1"/>
  <c r="G250" i="1"/>
  <c r="G253" i="3" s="1"/>
  <c r="H253" i="1"/>
  <c r="I253" i="1"/>
  <c r="G253" i="1"/>
  <c r="I257" i="1"/>
  <c r="H257" i="1"/>
  <c r="G257" i="1"/>
  <c r="G260" i="3" s="1"/>
  <c r="H259" i="1"/>
  <c r="I259" i="1"/>
  <c r="G259" i="1"/>
  <c r="G262" i="3" s="1"/>
  <c r="I261" i="1"/>
  <c r="H261" i="1"/>
  <c r="G261" i="1"/>
  <c r="G264" i="3" s="1"/>
  <c r="I265" i="1"/>
  <c r="H265" i="1"/>
  <c r="G265" i="1"/>
  <c r="G268" i="3" s="1"/>
  <c r="H271" i="1"/>
  <c r="I271" i="1"/>
  <c r="G271" i="1"/>
  <c r="G274" i="3" s="1"/>
  <c r="I273" i="1"/>
  <c r="H273" i="1"/>
  <c r="G273" i="1"/>
  <c r="G276" i="3" s="1"/>
  <c r="H282" i="1"/>
  <c r="I282" i="1"/>
  <c r="G282" i="1"/>
  <c r="G285" i="3" s="1"/>
  <c r="H286" i="1"/>
  <c r="I286" i="1"/>
  <c r="G286" i="1"/>
  <c r="G289" i="3" s="1"/>
  <c r="H299" i="1"/>
  <c r="I299" i="1"/>
  <c r="G299" i="1"/>
  <c r="G302" i="3" s="1"/>
  <c r="H301" i="1"/>
  <c r="I301" i="1"/>
  <c r="G301" i="1"/>
  <c r="G304" i="3" s="1"/>
  <c r="I303" i="1"/>
  <c r="H303" i="1"/>
  <c r="G303" i="1"/>
  <c r="G306" i="3" s="1"/>
  <c r="H320" i="1"/>
  <c r="I320" i="1"/>
  <c r="G320" i="1"/>
  <c r="G323" i="3" s="1"/>
  <c r="H323" i="1"/>
  <c r="I323" i="1"/>
  <c r="G323" i="1"/>
  <c r="G326" i="3" s="1"/>
  <c r="H331" i="1"/>
  <c r="I331" i="1"/>
  <c r="G331" i="1"/>
  <c r="G334" i="3" s="1"/>
  <c r="H333" i="1"/>
  <c r="I333" i="1"/>
  <c r="G333" i="1"/>
  <c r="G336" i="3" s="1"/>
  <c r="H335" i="1"/>
  <c r="I335" i="1"/>
  <c r="G335" i="1"/>
  <c r="G338" i="3" s="1"/>
  <c r="H337" i="1"/>
  <c r="I337" i="1"/>
  <c r="G337" i="1"/>
  <c r="G340" i="3" s="1"/>
  <c r="H339" i="1"/>
  <c r="I339" i="1"/>
  <c r="G339" i="1"/>
  <c r="G342" i="3" s="1"/>
  <c r="H341" i="1"/>
  <c r="I341" i="1"/>
  <c r="G341" i="1"/>
  <c r="G344" i="3" s="1"/>
  <c r="H343" i="1"/>
  <c r="I343" i="1"/>
  <c r="G343" i="1"/>
  <c r="G346" i="3" s="1"/>
  <c r="H345" i="1"/>
  <c r="I345" i="1"/>
  <c r="G345" i="1"/>
  <c r="G348" i="3" s="1"/>
  <c r="G347" i="1"/>
  <c r="G350" i="3" s="1"/>
  <c r="H349" i="1"/>
  <c r="I349" i="1"/>
  <c r="G349" i="1"/>
  <c r="G352" i="3" s="1"/>
  <c r="H351" i="1"/>
  <c r="I351" i="1"/>
  <c r="G351" i="1"/>
  <c r="G354" i="3" s="1"/>
  <c r="H359" i="1"/>
  <c r="I359" i="1"/>
  <c r="G359" i="1"/>
  <c r="G362" i="3" s="1"/>
  <c r="H361" i="1"/>
  <c r="I361" i="1"/>
  <c r="G361" i="1"/>
  <c r="G364" i="3" s="1"/>
  <c r="H363" i="1"/>
  <c r="I363" i="1"/>
  <c r="G363" i="1"/>
  <c r="G366" i="3" s="1"/>
  <c r="H365" i="1"/>
  <c r="I365" i="1"/>
  <c r="G365" i="1"/>
  <c r="G368" i="3" s="1"/>
  <c r="H367" i="1"/>
  <c r="I367" i="1"/>
  <c r="G367" i="1"/>
  <c r="G370" i="3" s="1"/>
  <c r="H369" i="1"/>
  <c r="I369" i="1"/>
  <c r="G369" i="1"/>
  <c r="G372" i="3" s="1"/>
  <c r="H373" i="1"/>
  <c r="I373" i="1"/>
  <c r="G373" i="1"/>
  <c r="H378" i="1"/>
  <c r="I378" i="1"/>
  <c r="G378" i="1"/>
  <c r="G381" i="3" s="1"/>
  <c r="H380" i="1"/>
  <c r="I380" i="1"/>
  <c r="G380" i="1"/>
  <c r="G383" i="3" s="1"/>
  <c r="H382" i="1"/>
  <c r="I382" i="1"/>
  <c r="G382" i="1"/>
  <c r="G385" i="3" s="1"/>
  <c r="H385" i="1"/>
  <c r="I385" i="1"/>
  <c r="G385" i="1"/>
  <c r="H390" i="1"/>
  <c r="I390" i="1"/>
  <c r="G390" i="1"/>
  <c r="H393" i="1"/>
  <c r="I393" i="1"/>
  <c r="G393" i="1"/>
  <c r="H396" i="1"/>
  <c r="I396" i="1"/>
  <c r="G396" i="1"/>
  <c r="H404" i="1"/>
  <c r="I404" i="1"/>
  <c r="G404" i="1"/>
  <c r="G407" i="3" s="1"/>
  <c r="H406" i="1"/>
  <c r="I406" i="1"/>
  <c r="G406" i="1"/>
  <c r="G409" i="3" s="1"/>
  <c r="H409" i="1"/>
  <c r="I409" i="1"/>
  <c r="G409" i="1"/>
  <c r="G412" i="3" s="1"/>
  <c r="I411" i="1"/>
  <c r="H411" i="1"/>
  <c r="G411" i="1"/>
  <c r="G414" i="3" s="1"/>
  <c r="I420" i="1"/>
  <c r="H420" i="1"/>
  <c r="G420" i="1"/>
  <c r="H427" i="1"/>
  <c r="I427" i="1"/>
  <c r="G427" i="1"/>
  <c r="G430" i="3" s="1"/>
  <c r="H429" i="1"/>
  <c r="I429" i="1"/>
  <c r="G429" i="1"/>
  <c r="G432" i="3" s="1"/>
  <c r="H431" i="1"/>
  <c r="I431" i="1"/>
  <c r="G431" i="1"/>
  <c r="G434" i="3" s="1"/>
  <c r="I435" i="1"/>
  <c r="H435" i="1"/>
  <c r="G435" i="1"/>
  <c r="G438" i="3" s="1"/>
  <c r="H437" i="1"/>
  <c r="I437" i="1"/>
  <c r="G437" i="1"/>
  <c r="G440" i="3" s="1"/>
  <c r="I440" i="1"/>
  <c r="H440" i="1"/>
  <c r="G440" i="1"/>
  <c r="G443" i="3" s="1"/>
  <c r="I444" i="1"/>
  <c r="H444" i="1"/>
  <c r="G444" i="1"/>
  <c r="G447" i="3" s="1"/>
  <c r="I446" i="1"/>
  <c r="H446" i="1"/>
  <c r="G446" i="1"/>
  <c r="G449" i="3" s="1"/>
  <c r="H461" i="1"/>
  <c r="I461" i="1"/>
  <c r="G461" i="1"/>
  <c r="G464" i="3" s="1"/>
  <c r="H466" i="1"/>
  <c r="I466" i="1"/>
  <c r="G466" i="1"/>
  <c r="G469" i="3" s="1"/>
  <c r="H468" i="1"/>
  <c r="I468" i="1"/>
  <c r="G468" i="1"/>
  <c r="G471" i="3" s="1"/>
  <c r="H470" i="1"/>
  <c r="I470" i="1"/>
  <c r="G470" i="1"/>
  <c r="G473" i="3" s="1"/>
  <c r="H473" i="1"/>
  <c r="I473" i="1"/>
  <c r="G473" i="1"/>
  <c r="G476" i="3" s="1"/>
  <c r="H475" i="1"/>
  <c r="I475" i="1"/>
  <c r="G475" i="1"/>
  <c r="G478" i="3" s="1"/>
  <c r="H477" i="1"/>
  <c r="I477" i="1"/>
  <c r="G477" i="1"/>
  <c r="G480" i="3" s="1"/>
  <c r="H479" i="1"/>
  <c r="I479" i="1"/>
  <c r="G479" i="1"/>
  <c r="G482" i="3" s="1"/>
  <c r="H481" i="1"/>
  <c r="I481" i="1"/>
  <c r="G481" i="1"/>
  <c r="G484" i="3" s="1"/>
  <c r="H483" i="1"/>
  <c r="I483" i="1"/>
  <c r="G483" i="1"/>
  <c r="G486" i="3" s="1"/>
  <c r="H485" i="1"/>
  <c r="I485" i="1"/>
  <c r="G485" i="1"/>
  <c r="G488" i="3" s="1"/>
  <c r="I487" i="1"/>
  <c r="H487" i="1"/>
  <c r="G487" i="1"/>
  <c r="G490" i="3" s="1"/>
  <c r="I489" i="1"/>
  <c r="H489" i="1"/>
  <c r="G489" i="1"/>
  <c r="G492" i="3" s="1"/>
  <c r="H493" i="1"/>
  <c r="I493" i="1"/>
  <c r="G493" i="1"/>
  <c r="G496" i="3" s="1"/>
  <c r="H499" i="1"/>
  <c r="I499" i="1"/>
  <c r="G499" i="1"/>
  <c r="G502" i="3" s="1"/>
  <c r="I501" i="1"/>
  <c r="H501" i="1"/>
  <c r="G501" i="1"/>
  <c r="G504" i="3" s="1"/>
  <c r="I509" i="1"/>
  <c r="H509" i="1"/>
  <c r="G509" i="1"/>
  <c r="G512" i="3" s="1"/>
  <c r="H516" i="1"/>
  <c r="I516" i="1"/>
  <c r="G516" i="1"/>
  <c r="G519" i="3" s="1"/>
  <c r="H523" i="1"/>
  <c r="I523" i="1"/>
  <c r="G523" i="1"/>
  <c r="G526" i="3" s="1"/>
  <c r="H525" i="1"/>
  <c r="I525" i="1"/>
  <c r="G525" i="1"/>
  <c r="G528" i="3" s="1"/>
  <c r="H528" i="1"/>
  <c r="I528" i="1"/>
  <c r="G528" i="1"/>
  <c r="G531" i="3" s="1"/>
  <c r="I530" i="1"/>
  <c r="H530" i="1"/>
  <c r="G530" i="1"/>
  <c r="G533" i="3" s="1"/>
  <c r="I535" i="1"/>
  <c r="H535" i="1"/>
  <c r="G535" i="1"/>
  <c r="G538" i="3" s="1"/>
  <c r="I543" i="1"/>
  <c r="H543" i="1"/>
  <c r="G543" i="1"/>
  <c r="G546" i="3" s="1"/>
  <c r="I548" i="1"/>
  <c r="H548" i="1"/>
  <c r="G548" i="1"/>
  <c r="G551" i="3" s="1"/>
  <c r="I553" i="1"/>
  <c r="H553" i="1"/>
  <c r="G553" i="1"/>
  <c r="G556" i="3" s="1"/>
  <c r="H557" i="1"/>
  <c r="I557" i="1"/>
  <c r="G557" i="1"/>
  <c r="G560" i="3" s="1"/>
  <c r="H561" i="1"/>
  <c r="I561" i="1"/>
  <c r="G561" i="1"/>
  <c r="G564" i="3" s="1"/>
  <c r="H565" i="1"/>
  <c r="I565" i="1"/>
  <c r="G565" i="1"/>
  <c r="H568" i="1"/>
  <c r="I568" i="1"/>
  <c r="G568" i="1"/>
  <c r="G571" i="3" s="1"/>
  <c r="H570" i="1"/>
  <c r="I570" i="1"/>
  <c r="G570" i="1"/>
  <c r="G573" i="3" s="1"/>
  <c r="G575" i="1"/>
  <c r="G578" i="1"/>
  <c r="G581" i="3" s="1"/>
  <c r="G580" i="1"/>
  <c r="G583" i="3" s="1"/>
  <c r="G582" i="1"/>
  <c r="G585" i="3" s="1"/>
  <c r="G585" i="1"/>
  <c r="G591" i="1"/>
  <c r="G594" i="3" s="1"/>
  <c r="G594" i="1"/>
  <c r="G597" i="3" s="1"/>
  <c r="G606" i="1"/>
  <c r="I575" i="1"/>
  <c r="O575" i="1" s="1"/>
  <c r="H575" i="1"/>
  <c r="Q575" i="1" s="1"/>
  <c r="I580" i="1"/>
  <c r="I578" i="1"/>
  <c r="H578" i="1"/>
  <c r="H580" i="1"/>
  <c r="I582" i="1"/>
  <c r="H582" i="1"/>
  <c r="I585" i="1"/>
  <c r="H585" i="1"/>
  <c r="I591" i="1"/>
  <c r="H591" i="1"/>
  <c r="H594" i="1"/>
  <c r="I594" i="1"/>
  <c r="I606" i="1"/>
  <c r="H606" i="1"/>
  <c r="I522" i="1" l="1"/>
  <c r="H573" i="3"/>
  <c r="Q570" i="1"/>
  <c r="P570" i="1"/>
  <c r="J512" i="3"/>
  <c r="H471" i="3"/>
  <c r="Q468" i="1"/>
  <c r="P468" i="1"/>
  <c r="I414" i="3"/>
  <c r="O411" i="1"/>
  <c r="N411" i="1"/>
  <c r="I336" i="3"/>
  <c r="O333" i="1"/>
  <c r="N333" i="1"/>
  <c r="H274" i="3"/>
  <c r="Q271" i="1"/>
  <c r="P271" i="1"/>
  <c r="J241" i="3"/>
  <c r="J169" i="3"/>
  <c r="H142" i="3"/>
  <c r="Q139" i="1"/>
  <c r="P139" i="1"/>
  <c r="J21" i="3"/>
  <c r="Q806" i="1"/>
  <c r="P806" i="1"/>
  <c r="J763" i="3"/>
  <c r="H710" i="3"/>
  <c r="Q707" i="1"/>
  <c r="P707" i="1"/>
  <c r="K821" i="3"/>
  <c r="K775" i="3"/>
  <c r="K694" i="3"/>
  <c r="K675" i="3"/>
  <c r="K645" i="3"/>
  <c r="K626" i="3"/>
  <c r="K562" i="3"/>
  <c r="K542" i="3"/>
  <c r="K509" i="3"/>
  <c r="K468" i="3"/>
  <c r="K331" i="3"/>
  <c r="K283" i="3"/>
  <c r="K247" i="3"/>
  <c r="K204" i="3"/>
  <c r="K133" i="3"/>
  <c r="K98" i="3"/>
  <c r="K49" i="3"/>
  <c r="H370" i="3"/>
  <c r="Q367" i="1"/>
  <c r="P367" i="1"/>
  <c r="I364" i="3"/>
  <c r="O361" i="1"/>
  <c r="N361" i="1"/>
  <c r="I346" i="3"/>
  <c r="O343" i="1"/>
  <c r="N343" i="1"/>
  <c r="H336" i="3"/>
  <c r="Q333" i="1"/>
  <c r="P333" i="1"/>
  <c r="J680" i="3"/>
  <c r="J673" i="3"/>
  <c r="J665" i="3"/>
  <c r="H657" i="3"/>
  <c r="Q654" i="1"/>
  <c r="P654" i="1"/>
  <c r="H643" i="3"/>
  <c r="Q640" i="1"/>
  <c r="P640" i="1"/>
  <c r="H632" i="3"/>
  <c r="Q629" i="1"/>
  <c r="P629" i="1"/>
  <c r="K46" i="3"/>
  <c r="K38" i="3"/>
  <c r="K30" i="3"/>
  <c r="K829" i="3"/>
  <c r="K820" i="3"/>
  <c r="K791" i="3"/>
  <c r="K782" i="3"/>
  <c r="K774" i="3"/>
  <c r="K766" i="3"/>
  <c r="K756" i="3"/>
  <c r="K745" i="3"/>
  <c r="K731" i="3"/>
  <c r="K704" i="3"/>
  <c r="K693" i="3"/>
  <c r="K685" i="3"/>
  <c r="K674" i="3"/>
  <c r="K663" i="3"/>
  <c r="K652" i="3"/>
  <c r="K644" i="3"/>
  <c r="K634" i="3"/>
  <c r="K561" i="3"/>
  <c r="K550" i="3"/>
  <c r="K541" i="3"/>
  <c r="K517" i="3"/>
  <c r="K508" i="3"/>
  <c r="K495" i="3"/>
  <c r="K467" i="3"/>
  <c r="K458" i="3"/>
  <c r="K450" i="3"/>
  <c r="K420" i="3"/>
  <c r="K390" i="3"/>
  <c r="K330" i="3"/>
  <c r="K320" i="3"/>
  <c r="K312" i="3"/>
  <c r="K301" i="3"/>
  <c r="K292" i="3"/>
  <c r="K282" i="3"/>
  <c r="K272" i="3"/>
  <c r="K246" i="3"/>
  <c r="K235" i="3"/>
  <c r="K213" i="3"/>
  <c r="K203" i="3"/>
  <c r="K195" i="3"/>
  <c r="K183" i="3"/>
  <c r="K171" i="3"/>
  <c r="K161" i="3"/>
  <c r="K149" i="3"/>
  <c r="K140" i="3"/>
  <c r="K131" i="3"/>
  <c r="K123" i="3"/>
  <c r="K115" i="3"/>
  <c r="K106" i="3"/>
  <c r="K97" i="3"/>
  <c r="K89" i="3"/>
  <c r="K81" i="3"/>
  <c r="K73" i="3"/>
  <c r="K65" i="3"/>
  <c r="K57" i="3"/>
  <c r="K48" i="3"/>
  <c r="J364" i="3"/>
  <c r="J340" i="3"/>
  <c r="J583" i="3"/>
  <c r="H560" i="3"/>
  <c r="Q557" i="1"/>
  <c r="P557" i="1"/>
  <c r="H502" i="3"/>
  <c r="Q499" i="1"/>
  <c r="P499" i="1"/>
  <c r="H464" i="3"/>
  <c r="Q461" i="1"/>
  <c r="P461" i="1"/>
  <c r="H409" i="3"/>
  <c r="Q406" i="1"/>
  <c r="P406" i="1"/>
  <c r="H302" i="3"/>
  <c r="Q299" i="1"/>
  <c r="P299" i="1"/>
  <c r="H248" i="3"/>
  <c r="Q245" i="1"/>
  <c r="P245" i="1"/>
  <c r="J175" i="3"/>
  <c r="K757" i="3"/>
  <c r="K664" i="3"/>
  <c r="K552" i="3"/>
  <c r="K497" i="3"/>
  <c r="K313" i="3"/>
  <c r="K236" i="3"/>
  <c r="K150" i="3"/>
  <c r="K107" i="3"/>
  <c r="J366" i="3"/>
  <c r="H597" i="3"/>
  <c r="Q594" i="1"/>
  <c r="P594" i="1"/>
  <c r="J585" i="3"/>
  <c r="J571" i="3"/>
  <c r="J564" i="3"/>
  <c r="H556" i="3"/>
  <c r="Q553" i="1"/>
  <c r="P553" i="1"/>
  <c r="H546" i="3"/>
  <c r="Q543" i="1"/>
  <c r="P543" i="1"/>
  <c r="H533" i="3"/>
  <c r="Q530" i="1"/>
  <c r="P530" i="1"/>
  <c r="J528" i="3"/>
  <c r="J519" i="3"/>
  <c r="H504" i="3"/>
  <c r="Q501" i="1"/>
  <c r="P501" i="1"/>
  <c r="J496" i="3"/>
  <c r="H490" i="3"/>
  <c r="Q487" i="1"/>
  <c r="P487" i="1"/>
  <c r="J486" i="3"/>
  <c r="J482" i="3"/>
  <c r="J478" i="3"/>
  <c r="J473" i="3"/>
  <c r="J469" i="3"/>
  <c r="H449" i="3"/>
  <c r="Q446" i="1"/>
  <c r="P446" i="1"/>
  <c r="H443" i="3"/>
  <c r="Q440" i="1"/>
  <c r="P440" i="1"/>
  <c r="H438" i="3"/>
  <c r="Q435" i="1"/>
  <c r="P435" i="1"/>
  <c r="J432" i="3"/>
  <c r="Q420" i="1"/>
  <c r="P420" i="1"/>
  <c r="J412" i="3"/>
  <c r="J407" i="3"/>
  <c r="J383" i="3"/>
  <c r="O373" i="1"/>
  <c r="N373" i="1"/>
  <c r="H364" i="3"/>
  <c r="Q361" i="1"/>
  <c r="P361" i="1"/>
  <c r="I352" i="3"/>
  <c r="O349" i="1"/>
  <c r="N349" i="1"/>
  <c r="H346" i="3"/>
  <c r="Q343" i="1"/>
  <c r="P343" i="1"/>
  <c r="I340" i="3"/>
  <c r="O337" i="1"/>
  <c r="N337" i="1"/>
  <c r="J323" i="3"/>
  <c r="J304" i="3"/>
  <c r="J289" i="3"/>
  <c r="H276" i="3"/>
  <c r="Q273" i="1"/>
  <c r="P273" i="1"/>
  <c r="H268" i="3"/>
  <c r="Q265" i="1"/>
  <c r="P265" i="1"/>
  <c r="J262" i="3"/>
  <c r="J250" i="3"/>
  <c r="J245" i="3"/>
  <c r="H227" i="3"/>
  <c r="Q224" i="1"/>
  <c r="P224" i="1"/>
  <c r="J221" i="3"/>
  <c r="H212" i="3"/>
  <c r="Q209" i="1"/>
  <c r="P209" i="1"/>
  <c r="J190" i="3"/>
  <c r="H180" i="3"/>
  <c r="Q177" i="1"/>
  <c r="P177" i="1"/>
  <c r="H173" i="3"/>
  <c r="Q170" i="1"/>
  <c r="P170" i="1"/>
  <c r="J167" i="3"/>
  <c r="H158" i="3"/>
  <c r="Q155" i="1"/>
  <c r="P155" i="1"/>
  <c r="J152" i="3"/>
  <c r="J132" i="3"/>
  <c r="J100" i="3"/>
  <c r="H47" i="3"/>
  <c r="Q44" i="1"/>
  <c r="P44" i="1"/>
  <c r="H23" i="3"/>
  <c r="Q20" i="1"/>
  <c r="P20" i="1"/>
  <c r="H19" i="3"/>
  <c r="Q16" i="1"/>
  <c r="P16" i="1"/>
  <c r="J830" i="3"/>
  <c r="Q816" i="1"/>
  <c r="P816" i="1"/>
  <c r="H788" i="3"/>
  <c r="Q785" i="1"/>
  <c r="P785" i="1"/>
  <c r="H758" i="3"/>
  <c r="Q755" i="1"/>
  <c r="P755" i="1"/>
  <c r="H747" i="3"/>
  <c r="Q744" i="1"/>
  <c r="P744" i="1"/>
  <c r="H740" i="3"/>
  <c r="Q737" i="1"/>
  <c r="P737" i="1"/>
  <c r="Q722" i="1"/>
  <c r="P722" i="1"/>
  <c r="I680" i="3"/>
  <c r="O677" i="1"/>
  <c r="N677" i="1"/>
  <c r="I673" i="3"/>
  <c r="O670" i="1"/>
  <c r="N670" i="1"/>
  <c r="I665" i="3"/>
  <c r="O662" i="1"/>
  <c r="N662" i="1"/>
  <c r="I657" i="3"/>
  <c r="O654" i="1"/>
  <c r="N654" i="1"/>
  <c r="I643" i="3"/>
  <c r="O640" i="1"/>
  <c r="N640" i="1"/>
  <c r="I632" i="3"/>
  <c r="O629" i="1"/>
  <c r="N629" i="1"/>
  <c r="K45" i="3"/>
  <c r="K37" i="3"/>
  <c r="K29" i="3"/>
  <c r="K828" i="3"/>
  <c r="K790" i="3"/>
  <c r="K781" i="3"/>
  <c r="K773" i="3"/>
  <c r="K765" i="3"/>
  <c r="K755" i="3"/>
  <c r="K744" i="3"/>
  <c r="K730" i="3"/>
  <c r="K703" i="3"/>
  <c r="K692" i="3"/>
  <c r="K684" i="3"/>
  <c r="K672" i="3"/>
  <c r="K661" i="3"/>
  <c r="K651" i="3"/>
  <c r="K642" i="3"/>
  <c r="K633" i="3"/>
  <c r="K612" i="3"/>
  <c r="K559" i="3"/>
  <c r="K549" i="3"/>
  <c r="K540" i="3"/>
  <c r="K516" i="3"/>
  <c r="K507" i="3"/>
  <c r="K494" i="3"/>
  <c r="K466" i="3"/>
  <c r="K457" i="3"/>
  <c r="K419" i="3"/>
  <c r="K404" i="3"/>
  <c r="K389" i="3"/>
  <c r="K329" i="3"/>
  <c r="K319" i="3"/>
  <c r="K311" i="3"/>
  <c r="K300" i="3"/>
  <c r="K291" i="3"/>
  <c r="K281" i="3"/>
  <c r="K271" i="3"/>
  <c r="K258" i="3"/>
  <c r="K243" i="3"/>
  <c r="K234" i="3"/>
  <c r="K210" i="3"/>
  <c r="K202" i="3"/>
  <c r="K194" i="3"/>
  <c r="K182" i="3"/>
  <c r="K170" i="3"/>
  <c r="K148" i="3"/>
  <c r="K139" i="3"/>
  <c r="K130" i="3"/>
  <c r="K122" i="3"/>
  <c r="K114" i="3"/>
  <c r="K105" i="3"/>
  <c r="K96" i="3"/>
  <c r="K88" i="3"/>
  <c r="K80" i="3"/>
  <c r="K72" i="3"/>
  <c r="K64" i="3"/>
  <c r="K56" i="3"/>
  <c r="K426" i="3"/>
  <c r="J362" i="3"/>
  <c r="J338" i="3"/>
  <c r="J551" i="3"/>
  <c r="H480" i="3"/>
  <c r="Q477" i="1"/>
  <c r="P477" i="1"/>
  <c r="H354" i="3"/>
  <c r="Q351" i="1"/>
  <c r="P351" i="1"/>
  <c r="H285" i="3"/>
  <c r="Q282" i="1"/>
  <c r="P282" i="1"/>
  <c r="J217" i="3"/>
  <c r="J50" i="3"/>
  <c r="J749" i="3"/>
  <c r="K792" i="3"/>
  <c r="K705" i="3"/>
  <c r="K518" i="3"/>
  <c r="K321" i="3"/>
  <c r="K293" i="3"/>
  <c r="K196" i="3"/>
  <c r="K141" i="3"/>
  <c r="K124" i="3"/>
  <c r="K116" i="3"/>
  <c r="K82" i="3"/>
  <c r="K58" i="3"/>
  <c r="I583" i="3"/>
  <c r="O580" i="1"/>
  <c r="N580" i="1"/>
  <c r="H594" i="3"/>
  <c r="Q591" i="1"/>
  <c r="P591" i="1"/>
  <c r="I585" i="3"/>
  <c r="O582" i="1"/>
  <c r="N582" i="1"/>
  <c r="I571" i="3"/>
  <c r="O568" i="1"/>
  <c r="N568" i="1"/>
  <c r="I564" i="3"/>
  <c r="O561" i="1"/>
  <c r="N561" i="1"/>
  <c r="I556" i="3"/>
  <c r="O553" i="1"/>
  <c r="N553" i="1"/>
  <c r="I546" i="3"/>
  <c r="O543" i="1"/>
  <c r="N543" i="1"/>
  <c r="I533" i="3"/>
  <c r="O530" i="1"/>
  <c r="N530" i="1"/>
  <c r="I528" i="3"/>
  <c r="O525" i="1"/>
  <c r="N525" i="1"/>
  <c r="I519" i="3"/>
  <c r="O516" i="1"/>
  <c r="N516" i="1"/>
  <c r="I504" i="3"/>
  <c r="O501" i="1"/>
  <c r="N501" i="1"/>
  <c r="I496" i="3"/>
  <c r="O493" i="1"/>
  <c r="N493" i="1"/>
  <c r="J490" i="3"/>
  <c r="I486" i="3"/>
  <c r="O483" i="1"/>
  <c r="N483" i="1"/>
  <c r="I482" i="3"/>
  <c r="O479" i="1"/>
  <c r="N479" i="1"/>
  <c r="I478" i="3"/>
  <c r="O475" i="1"/>
  <c r="N475" i="1"/>
  <c r="I473" i="3"/>
  <c r="O470" i="1"/>
  <c r="N470" i="1"/>
  <c r="I469" i="3"/>
  <c r="O466" i="1"/>
  <c r="N466" i="1"/>
  <c r="I449" i="3"/>
  <c r="O446" i="1"/>
  <c r="N446" i="1"/>
  <c r="I443" i="3"/>
  <c r="O440" i="1"/>
  <c r="N440" i="1"/>
  <c r="I438" i="3"/>
  <c r="O435" i="1"/>
  <c r="N435" i="1"/>
  <c r="I432" i="3"/>
  <c r="O429" i="1"/>
  <c r="N429" i="1"/>
  <c r="O420" i="1"/>
  <c r="N420" i="1"/>
  <c r="I412" i="3"/>
  <c r="O409" i="1"/>
  <c r="N409" i="1"/>
  <c r="I407" i="3"/>
  <c r="O404" i="1"/>
  <c r="N404" i="1"/>
  <c r="O393" i="1"/>
  <c r="N393" i="1"/>
  <c r="O385" i="1"/>
  <c r="N385" i="1"/>
  <c r="I383" i="3"/>
  <c r="O380" i="1"/>
  <c r="N380" i="1"/>
  <c r="Q373" i="1"/>
  <c r="P373" i="1"/>
  <c r="I368" i="3"/>
  <c r="O365" i="1"/>
  <c r="N365" i="1"/>
  <c r="H352" i="3"/>
  <c r="Q349" i="1"/>
  <c r="P349" i="1"/>
  <c r="H340" i="3"/>
  <c r="Q337" i="1"/>
  <c r="P337" i="1"/>
  <c r="I334" i="3"/>
  <c r="O331" i="1"/>
  <c r="N331" i="1"/>
  <c r="I323" i="3"/>
  <c r="O320" i="1"/>
  <c r="N320" i="1"/>
  <c r="I304" i="3"/>
  <c r="O301" i="1"/>
  <c r="N301" i="1"/>
  <c r="I289" i="3"/>
  <c r="O286" i="1"/>
  <c r="N286" i="1"/>
  <c r="I276" i="3"/>
  <c r="O273" i="1"/>
  <c r="N273" i="1"/>
  <c r="I268" i="3"/>
  <c r="O265" i="1"/>
  <c r="N265" i="1"/>
  <c r="I262" i="3"/>
  <c r="O259" i="1"/>
  <c r="N259" i="1"/>
  <c r="O253" i="1"/>
  <c r="N253" i="1"/>
  <c r="I250" i="3"/>
  <c r="O247" i="1"/>
  <c r="N247" i="1"/>
  <c r="I245" i="3"/>
  <c r="O242" i="1"/>
  <c r="N242" i="1"/>
  <c r="I227" i="3"/>
  <c r="O224" i="1"/>
  <c r="N224" i="1"/>
  <c r="I221" i="3"/>
  <c r="O218" i="1"/>
  <c r="N218" i="1"/>
  <c r="I212" i="3"/>
  <c r="O209" i="1"/>
  <c r="N209" i="1"/>
  <c r="I190" i="3"/>
  <c r="O187" i="1"/>
  <c r="N187" i="1"/>
  <c r="I180" i="3"/>
  <c r="O177" i="1"/>
  <c r="N177" i="1"/>
  <c r="I173" i="3"/>
  <c r="O170" i="1"/>
  <c r="N170" i="1"/>
  <c r="I167" i="3"/>
  <c r="O164" i="1"/>
  <c r="N164" i="1"/>
  <c r="J158" i="3"/>
  <c r="I152" i="3"/>
  <c r="O149" i="1"/>
  <c r="N149" i="1"/>
  <c r="I132" i="3"/>
  <c r="O129" i="1"/>
  <c r="N129" i="1"/>
  <c r="I100" i="3"/>
  <c r="O97" i="1"/>
  <c r="N97" i="1"/>
  <c r="I47" i="3"/>
  <c r="O44" i="1"/>
  <c r="N44" i="1"/>
  <c r="I23" i="3"/>
  <c r="O20" i="1"/>
  <c r="N20" i="1"/>
  <c r="I19" i="3"/>
  <c r="O16" i="1"/>
  <c r="N16" i="1"/>
  <c r="I837" i="3"/>
  <c r="O834" i="1"/>
  <c r="N834" i="1"/>
  <c r="I830" i="3"/>
  <c r="O827" i="1"/>
  <c r="N827" i="1"/>
  <c r="O816" i="1"/>
  <c r="N816" i="1"/>
  <c r="O803" i="1"/>
  <c r="N803" i="1"/>
  <c r="I797" i="3"/>
  <c r="O794" i="1"/>
  <c r="N794" i="1"/>
  <c r="I788" i="3"/>
  <c r="O785" i="1"/>
  <c r="N785" i="1"/>
  <c r="I758" i="3"/>
  <c r="O755" i="1"/>
  <c r="N755" i="1"/>
  <c r="I747" i="3"/>
  <c r="O744" i="1"/>
  <c r="N744" i="1"/>
  <c r="I740" i="3"/>
  <c r="O737" i="1"/>
  <c r="N737" i="1"/>
  <c r="O732" i="1"/>
  <c r="N732" i="1"/>
  <c r="O722" i="1"/>
  <c r="N722" i="1"/>
  <c r="I712" i="3"/>
  <c r="O709" i="1"/>
  <c r="N709" i="1"/>
  <c r="O705" i="1"/>
  <c r="N705" i="1"/>
  <c r="H680" i="3"/>
  <c r="Q677" i="1"/>
  <c r="P677" i="1"/>
  <c r="H673" i="3"/>
  <c r="Q670" i="1"/>
  <c r="P670" i="1"/>
  <c r="H665" i="3"/>
  <c r="Q662" i="1"/>
  <c r="P662" i="1"/>
  <c r="J657" i="3"/>
  <c r="J643" i="3"/>
  <c r="J632" i="3"/>
  <c r="K44" i="3"/>
  <c r="R41" i="1"/>
  <c r="K36" i="3"/>
  <c r="K27" i="3"/>
  <c r="K826" i="3"/>
  <c r="K789" i="3"/>
  <c r="K780" i="3"/>
  <c r="K772" i="3"/>
  <c r="K764" i="3"/>
  <c r="K754" i="3"/>
  <c r="K743" i="3"/>
  <c r="K729" i="3"/>
  <c r="K702" i="3"/>
  <c r="K691" i="3"/>
  <c r="K683" i="3"/>
  <c r="K671" i="3"/>
  <c r="K660" i="3"/>
  <c r="K650" i="3"/>
  <c r="K641" i="3"/>
  <c r="K631" i="3"/>
  <c r="K611" i="3"/>
  <c r="K558" i="3"/>
  <c r="K548" i="3"/>
  <c r="K539" i="3"/>
  <c r="K515" i="3"/>
  <c r="K506" i="3"/>
  <c r="K493" i="3"/>
  <c r="K465" i="3"/>
  <c r="K456" i="3"/>
  <c r="K446" i="3"/>
  <c r="K418" i="3"/>
  <c r="K403" i="3"/>
  <c r="K328" i="3"/>
  <c r="K318" i="3"/>
  <c r="K310" i="3"/>
  <c r="K299" i="3"/>
  <c r="K290" i="3"/>
  <c r="K280" i="3"/>
  <c r="K270" i="3"/>
  <c r="K257" i="3"/>
  <c r="K242" i="3"/>
  <c r="K233" i="3"/>
  <c r="K220" i="3"/>
  <c r="K209" i="3"/>
  <c r="K201" i="3"/>
  <c r="K193" i="3"/>
  <c r="K181" i="3"/>
  <c r="K157" i="3"/>
  <c r="K147" i="3"/>
  <c r="K138" i="3"/>
  <c r="K129" i="3"/>
  <c r="K121" i="3"/>
  <c r="K113" i="3"/>
  <c r="K104" i="3"/>
  <c r="K95" i="3"/>
  <c r="K87" i="3"/>
  <c r="K79" i="3"/>
  <c r="K71" i="3"/>
  <c r="K63" i="3"/>
  <c r="K55" i="3"/>
  <c r="K377" i="3"/>
  <c r="J354" i="3"/>
  <c r="J336" i="3"/>
  <c r="I597" i="3"/>
  <c r="O594" i="1"/>
  <c r="N594" i="1"/>
  <c r="J538" i="3"/>
  <c r="H488" i="3"/>
  <c r="Q485" i="1"/>
  <c r="P485" i="1"/>
  <c r="H440" i="3"/>
  <c r="Q437" i="1"/>
  <c r="P437" i="1"/>
  <c r="H385" i="3"/>
  <c r="Q382" i="1"/>
  <c r="P382" i="1"/>
  <c r="H342" i="3"/>
  <c r="Q339" i="1"/>
  <c r="P339" i="1"/>
  <c r="J264" i="3"/>
  <c r="J192" i="3"/>
  <c r="H111" i="3"/>
  <c r="Q108" i="1"/>
  <c r="P108" i="1"/>
  <c r="Q800" i="1"/>
  <c r="P800" i="1"/>
  <c r="Q725" i="1"/>
  <c r="P725" i="1"/>
  <c r="K31" i="3"/>
  <c r="K767" i="3"/>
  <c r="K686" i="3"/>
  <c r="K459" i="3"/>
  <c r="K273" i="3"/>
  <c r="K162" i="3"/>
  <c r="K90" i="3"/>
  <c r="J342" i="3"/>
  <c r="H585" i="3"/>
  <c r="Q582" i="1"/>
  <c r="P582" i="1"/>
  <c r="H583" i="3"/>
  <c r="Q580" i="1"/>
  <c r="P580" i="1"/>
  <c r="H571" i="3"/>
  <c r="Q568" i="1"/>
  <c r="P568" i="1"/>
  <c r="H564" i="3"/>
  <c r="Q561" i="1"/>
  <c r="P561" i="1"/>
  <c r="J556" i="3"/>
  <c r="J546" i="3"/>
  <c r="J533" i="3"/>
  <c r="H528" i="3"/>
  <c r="Q525" i="1"/>
  <c r="P525" i="1"/>
  <c r="H519" i="3"/>
  <c r="Q516" i="1"/>
  <c r="P516" i="1"/>
  <c r="J504" i="3"/>
  <c r="H496" i="3"/>
  <c r="Q493" i="1"/>
  <c r="P493" i="1"/>
  <c r="I490" i="3"/>
  <c r="O487" i="1"/>
  <c r="N487" i="1"/>
  <c r="H486" i="3"/>
  <c r="Q483" i="1"/>
  <c r="P483" i="1"/>
  <c r="H482" i="3"/>
  <c r="Q479" i="1"/>
  <c r="P479" i="1"/>
  <c r="H478" i="3"/>
  <c r="Q475" i="1"/>
  <c r="P475" i="1"/>
  <c r="H473" i="3"/>
  <c r="Q470" i="1"/>
  <c r="P470" i="1"/>
  <c r="H469" i="3"/>
  <c r="Q466" i="1"/>
  <c r="P466" i="1"/>
  <c r="J449" i="3"/>
  <c r="J443" i="3"/>
  <c r="J438" i="3"/>
  <c r="H432" i="3"/>
  <c r="Q429" i="1"/>
  <c r="P429" i="1"/>
  <c r="H412" i="3"/>
  <c r="Q409" i="1"/>
  <c r="P409" i="1"/>
  <c r="H407" i="3"/>
  <c r="Q404" i="1"/>
  <c r="P404" i="1"/>
  <c r="Q393" i="1"/>
  <c r="P393" i="1"/>
  <c r="Q385" i="1"/>
  <c r="P385" i="1"/>
  <c r="H383" i="3"/>
  <c r="Q380" i="1"/>
  <c r="P380" i="1"/>
  <c r="H368" i="3"/>
  <c r="Q365" i="1"/>
  <c r="P365" i="1"/>
  <c r="I362" i="3"/>
  <c r="O359" i="1"/>
  <c r="N359" i="1"/>
  <c r="I344" i="3"/>
  <c r="O341" i="1"/>
  <c r="N341" i="1"/>
  <c r="H334" i="3"/>
  <c r="Q331" i="1"/>
  <c r="P331" i="1"/>
  <c r="H323" i="3"/>
  <c r="Q320" i="1"/>
  <c r="P320" i="1"/>
  <c r="H304" i="3"/>
  <c r="Q301" i="1"/>
  <c r="P301" i="1"/>
  <c r="H289" i="3"/>
  <c r="Q286" i="1"/>
  <c r="P286" i="1"/>
  <c r="J276" i="3"/>
  <c r="J268" i="3"/>
  <c r="H262" i="3"/>
  <c r="Q259" i="1"/>
  <c r="P259" i="1"/>
  <c r="Q253" i="1"/>
  <c r="P253" i="1"/>
  <c r="H250" i="3"/>
  <c r="Q247" i="1"/>
  <c r="P247" i="1"/>
  <c r="H245" i="3"/>
  <c r="Q242" i="1"/>
  <c r="P242" i="1"/>
  <c r="J227" i="3"/>
  <c r="H221" i="3"/>
  <c r="Q218" i="1"/>
  <c r="P218" i="1"/>
  <c r="J212" i="3"/>
  <c r="H190" i="3"/>
  <c r="Q187" i="1"/>
  <c r="P187" i="1"/>
  <c r="J180" i="3"/>
  <c r="J173" i="3"/>
  <c r="H167" i="3"/>
  <c r="Q164" i="1"/>
  <c r="P164" i="1"/>
  <c r="I158" i="3"/>
  <c r="O155" i="1"/>
  <c r="N155" i="1"/>
  <c r="H152" i="3"/>
  <c r="Q149" i="1"/>
  <c r="P149" i="1"/>
  <c r="H132" i="3"/>
  <c r="Q129" i="1"/>
  <c r="P129" i="1"/>
  <c r="H100" i="3"/>
  <c r="Q97" i="1"/>
  <c r="P97" i="1"/>
  <c r="J47" i="3"/>
  <c r="J23" i="3"/>
  <c r="J19" i="3"/>
  <c r="H837" i="3"/>
  <c r="Q834" i="1"/>
  <c r="P834" i="1"/>
  <c r="H830" i="3"/>
  <c r="Q827" i="1"/>
  <c r="P827" i="1"/>
  <c r="Q803" i="1"/>
  <c r="P803" i="1"/>
  <c r="H797" i="3"/>
  <c r="Q794" i="1"/>
  <c r="P794" i="1"/>
  <c r="J788" i="3"/>
  <c r="J758" i="3"/>
  <c r="J747" i="3"/>
  <c r="J740" i="3"/>
  <c r="Q732" i="1"/>
  <c r="P732" i="1"/>
  <c r="H712" i="3"/>
  <c r="Q709" i="1"/>
  <c r="P709" i="1"/>
  <c r="Q705" i="1"/>
  <c r="P705" i="1"/>
  <c r="K43" i="3"/>
  <c r="R40" i="1"/>
  <c r="K35" i="3"/>
  <c r="K26" i="3"/>
  <c r="K825" i="3"/>
  <c r="K787" i="3"/>
  <c r="K779" i="3"/>
  <c r="K771" i="3"/>
  <c r="K762" i="3"/>
  <c r="K753" i="3"/>
  <c r="K701" i="3"/>
  <c r="K690" i="3"/>
  <c r="K682" i="3"/>
  <c r="K670" i="3"/>
  <c r="K659" i="3"/>
  <c r="K649" i="3"/>
  <c r="K640" i="3"/>
  <c r="K630" i="3"/>
  <c r="R627" i="1"/>
  <c r="K610" i="3"/>
  <c r="K557" i="3"/>
  <c r="K547" i="3"/>
  <c r="K537" i="3"/>
  <c r="K514" i="3"/>
  <c r="K505" i="3"/>
  <c r="K475" i="3"/>
  <c r="K463" i="3"/>
  <c r="K455" i="3"/>
  <c r="K445" i="3"/>
  <c r="K417" i="3"/>
  <c r="K402" i="3"/>
  <c r="K327" i="3"/>
  <c r="K317" i="3"/>
  <c r="K309" i="3"/>
  <c r="K298" i="3"/>
  <c r="K288" i="3"/>
  <c r="K279" i="3"/>
  <c r="K269" i="3"/>
  <c r="K240" i="3"/>
  <c r="K232" i="3"/>
  <c r="K219" i="3"/>
  <c r="K208" i="3"/>
  <c r="K200" i="3"/>
  <c r="K179" i="3"/>
  <c r="K166" i="3"/>
  <c r="K156" i="3"/>
  <c r="K146" i="3"/>
  <c r="K137" i="3"/>
  <c r="K128" i="3"/>
  <c r="K120" i="3"/>
  <c r="K112" i="3"/>
  <c r="K103" i="3"/>
  <c r="K94" i="3"/>
  <c r="K86" i="3"/>
  <c r="K78" i="3"/>
  <c r="K70" i="3"/>
  <c r="K62" i="3"/>
  <c r="K54" i="3"/>
  <c r="J352" i="3"/>
  <c r="J334" i="3"/>
  <c r="Q565" i="1"/>
  <c r="P565" i="1"/>
  <c r="H526" i="3"/>
  <c r="Q523" i="1"/>
  <c r="P523" i="1"/>
  <c r="J492" i="3"/>
  <c r="H476" i="3"/>
  <c r="Q473" i="1"/>
  <c r="P473" i="1"/>
  <c r="I447" i="3"/>
  <c r="O444" i="1"/>
  <c r="N444" i="1"/>
  <c r="H430" i="3"/>
  <c r="Q427" i="1"/>
  <c r="P427" i="1"/>
  <c r="Q390" i="1"/>
  <c r="P390" i="1"/>
  <c r="I370" i="3"/>
  <c r="O367" i="1"/>
  <c r="N367" i="1"/>
  <c r="J306" i="3"/>
  <c r="J260" i="3"/>
  <c r="J225" i="3"/>
  <c r="J160" i="3"/>
  <c r="H832" i="3"/>
  <c r="Q829" i="1"/>
  <c r="P829" i="1"/>
  <c r="J742" i="3"/>
  <c r="K39" i="3"/>
  <c r="K732" i="3"/>
  <c r="K653" i="3"/>
  <c r="K579" i="3"/>
  <c r="K451" i="3"/>
  <c r="K214" i="3"/>
  <c r="K74" i="3"/>
  <c r="Q606" i="1"/>
  <c r="P606" i="1"/>
  <c r="H581" i="3"/>
  <c r="Q578" i="1"/>
  <c r="P578" i="1"/>
  <c r="I372" i="3"/>
  <c r="O369" i="1"/>
  <c r="N369" i="1"/>
  <c r="H362" i="3"/>
  <c r="Q359" i="1"/>
  <c r="P359" i="1"/>
  <c r="H344" i="3"/>
  <c r="Q341" i="1"/>
  <c r="P341" i="1"/>
  <c r="I338" i="3"/>
  <c r="O335" i="1"/>
  <c r="N335" i="1"/>
  <c r="J677" i="3"/>
  <c r="H667" i="3"/>
  <c r="Q664" i="1"/>
  <c r="P664" i="1"/>
  <c r="H662" i="3"/>
  <c r="Q659" i="1"/>
  <c r="P659" i="1"/>
  <c r="H654" i="3"/>
  <c r="Q651" i="1"/>
  <c r="P651" i="1"/>
  <c r="H636" i="3"/>
  <c r="Q633" i="1"/>
  <c r="P633" i="1"/>
  <c r="H625" i="3"/>
  <c r="Q622" i="1"/>
  <c r="P622" i="1"/>
  <c r="K42" i="3"/>
  <c r="K34" i="3"/>
  <c r="K25" i="3"/>
  <c r="K824" i="3"/>
  <c r="K786" i="3"/>
  <c r="R783" i="1"/>
  <c r="K778" i="3"/>
  <c r="K770" i="3"/>
  <c r="K752" i="3"/>
  <c r="K739" i="3"/>
  <c r="K698" i="3"/>
  <c r="K689" i="3"/>
  <c r="K681" i="3"/>
  <c r="K669" i="3"/>
  <c r="R666" i="1"/>
  <c r="K658" i="3"/>
  <c r="K648" i="3"/>
  <c r="K639" i="3"/>
  <c r="K629" i="3"/>
  <c r="K555" i="3"/>
  <c r="K545" i="3"/>
  <c r="K536" i="3"/>
  <c r="K513" i="3"/>
  <c r="K474" i="3"/>
  <c r="K462" i="3"/>
  <c r="K454" i="3"/>
  <c r="K444" i="3"/>
  <c r="K416" i="3"/>
  <c r="K401" i="3"/>
  <c r="K325" i="3"/>
  <c r="K316" i="3"/>
  <c r="K308" i="3"/>
  <c r="K296" i="3"/>
  <c r="K287" i="3"/>
  <c r="K278" i="3"/>
  <c r="K267" i="3"/>
  <c r="K252" i="3"/>
  <c r="K239" i="3"/>
  <c r="K231" i="3"/>
  <c r="K218" i="3"/>
  <c r="K207" i="3"/>
  <c r="K199" i="3"/>
  <c r="K189" i="3"/>
  <c r="K178" i="3"/>
  <c r="K165" i="3"/>
  <c r="K155" i="3"/>
  <c r="K145" i="3"/>
  <c r="K136" i="3"/>
  <c r="K127" i="3"/>
  <c r="K119" i="3"/>
  <c r="K110" i="3"/>
  <c r="K102" i="3"/>
  <c r="K93" i="3"/>
  <c r="K85" i="3"/>
  <c r="K77" i="3"/>
  <c r="K69" i="3"/>
  <c r="K61" i="3"/>
  <c r="K53" i="3"/>
  <c r="J372" i="3"/>
  <c r="J348" i="3"/>
  <c r="J350" i="3"/>
  <c r="O585" i="1"/>
  <c r="N585" i="1"/>
  <c r="H531" i="3"/>
  <c r="Q528" i="1"/>
  <c r="P528" i="1"/>
  <c r="H484" i="3"/>
  <c r="Q481" i="1"/>
  <c r="P481" i="1"/>
  <c r="H434" i="3"/>
  <c r="Q431" i="1"/>
  <c r="P431" i="1"/>
  <c r="H381" i="3"/>
  <c r="Q378" i="1"/>
  <c r="P378" i="1"/>
  <c r="H326" i="3"/>
  <c r="Q323" i="1"/>
  <c r="P323" i="1"/>
  <c r="H253" i="3"/>
  <c r="Q250" i="1"/>
  <c r="P250" i="1"/>
  <c r="J186" i="3"/>
  <c r="J154" i="3"/>
  <c r="J28" i="3"/>
  <c r="J827" i="3"/>
  <c r="J795" i="3"/>
  <c r="Q716" i="1"/>
  <c r="P716" i="1"/>
  <c r="Q697" i="1"/>
  <c r="P697" i="1"/>
  <c r="K18" i="3"/>
  <c r="K783" i="3"/>
  <c r="K720" i="3"/>
  <c r="K635" i="3"/>
  <c r="K228" i="3"/>
  <c r="K66" i="3"/>
  <c r="I594" i="3"/>
  <c r="O591" i="1"/>
  <c r="N591" i="1"/>
  <c r="Q585" i="1"/>
  <c r="P585" i="1"/>
  <c r="J581" i="3"/>
  <c r="J573" i="3"/>
  <c r="J560" i="3"/>
  <c r="H551" i="3"/>
  <c r="Q548" i="1"/>
  <c r="P548" i="1"/>
  <c r="H538" i="3"/>
  <c r="Q535" i="1"/>
  <c r="P535" i="1"/>
  <c r="J531" i="3"/>
  <c r="J526" i="3"/>
  <c r="H512" i="3"/>
  <c r="Q509" i="1"/>
  <c r="P509" i="1"/>
  <c r="J502" i="3"/>
  <c r="H492" i="3"/>
  <c r="Q489" i="1"/>
  <c r="P489" i="1"/>
  <c r="J488" i="3"/>
  <c r="J484" i="3"/>
  <c r="J480" i="3"/>
  <c r="J476" i="3"/>
  <c r="J471" i="3"/>
  <c r="J464" i="3"/>
  <c r="H447" i="3"/>
  <c r="Q444" i="1"/>
  <c r="P444" i="1"/>
  <c r="J440" i="3"/>
  <c r="J434" i="3"/>
  <c r="J430" i="3"/>
  <c r="H414" i="3"/>
  <c r="Q411" i="1"/>
  <c r="P411" i="1"/>
  <c r="J409" i="3"/>
  <c r="O396" i="1"/>
  <c r="N396" i="1"/>
  <c r="J385" i="3"/>
  <c r="J381" i="3"/>
  <c r="H372" i="3"/>
  <c r="Q369" i="1"/>
  <c r="P369" i="1"/>
  <c r="I366" i="3"/>
  <c r="O363" i="1"/>
  <c r="N363" i="1"/>
  <c r="I348" i="3"/>
  <c r="O345" i="1"/>
  <c r="N345" i="1"/>
  <c r="H338" i="3"/>
  <c r="Q335" i="1"/>
  <c r="P335" i="1"/>
  <c r="J326" i="3"/>
  <c r="H306" i="3"/>
  <c r="Q303" i="1"/>
  <c r="P303" i="1"/>
  <c r="J302" i="3"/>
  <c r="J285" i="3"/>
  <c r="J274" i="3"/>
  <c r="H264" i="3"/>
  <c r="Q261" i="1"/>
  <c r="P261" i="1"/>
  <c r="H260" i="3"/>
  <c r="Q257" i="1"/>
  <c r="P257" i="1"/>
  <c r="J253" i="3"/>
  <c r="J248" i="3"/>
  <c r="H241" i="3"/>
  <c r="Q238" i="1"/>
  <c r="P238" i="1"/>
  <c r="H225" i="3"/>
  <c r="Q222" i="1"/>
  <c r="P222" i="1"/>
  <c r="H217" i="3"/>
  <c r="Q214" i="1"/>
  <c r="P214" i="1"/>
  <c r="H192" i="3"/>
  <c r="Q189" i="1"/>
  <c r="P189" i="1"/>
  <c r="H186" i="3"/>
  <c r="P183" i="1"/>
  <c r="Q183" i="1"/>
  <c r="H175" i="3"/>
  <c r="Q172" i="1"/>
  <c r="P172" i="1"/>
  <c r="H169" i="3"/>
  <c r="Q166" i="1"/>
  <c r="P166" i="1"/>
  <c r="H160" i="3"/>
  <c r="Q157" i="1"/>
  <c r="P157" i="1"/>
  <c r="H154" i="3"/>
  <c r="Q151" i="1"/>
  <c r="P151" i="1"/>
  <c r="J142" i="3"/>
  <c r="J111" i="3"/>
  <c r="H50" i="3"/>
  <c r="Q47" i="1"/>
  <c r="P47" i="1"/>
  <c r="H28" i="3"/>
  <c r="Q25" i="1"/>
  <c r="P25" i="1"/>
  <c r="H21" i="3"/>
  <c r="Q18" i="1"/>
  <c r="P18" i="1"/>
  <c r="Q14" i="1"/>
  <c r="P14" i="1"/>
  <c r="H827" i="3"/>
  <c r="Q824" i="1"/>
  <c r="P824" i="1"/>
  <c r="H795" i="3"/>
  <c r="Q792" i="1"/>
  <c r="P792" i="1"/>
  <c r="H763" i="3"/>
  <c r="Q760" i="1"/>
  <c r="P760" i="1"/>
  <c r="H749" i="3"/>
  <c r="Q746" i="1"/>
  <c r="P746" i="1"/>
  <c r="H742" i="3"/>
  <c r="Q739" i="1"/>
  <c r="P739" i="1"/>
  <c r="H738" i="3"/>
  <c r="Q735" i="1"/>
  <c r="P735" i="1"/>
  <c r="I677" i="3"/>
  <c r="O674" i="1"/>
  <c r="N674" i="1"/>
  <c r="I667" i="3"/>
  <c r="O664" i="1"/>
  <c r="N664" i="1"/>
  <c r="I662" i="3"/>
  <c r="O659" i="1"/>
  <c r="N659" i="1"/>
  <c r="I654" i="3"/>
  <c r="O651" i="1"/>
  <c r="N651" i="1"/>
  <c r="I636" i="3"/>
  <c r="O633" i="1"/>
  <c r="N633" i="1"/>
  <c r="I625" i="3"/>
  <c r="O622" i="1"/>
  <c r="N622" i="1"/>
  <c r="K41" i="3"/>
  <c r="K33" i="3"/>
  <c r="K24" i="3"/>
  <c r="K823" i="3"/>
  <c r="K794" i="3"/>
  <c r="K785" i="3"/>
  <c r="K777" i="3"/>
  <c r="K769" i="3"/>
  <c r="K760" i="3"/>
  <c r="K751" i="3"/>
  <c r="K722" i="3"/>
  <c r="K697" i="3"/>
  <c r="K688" i="3"/>
  <c r="K679" i="3"/>
  <c r="K668" i="3"/>
  <c r="R665" i="1"/>
  <c r="K656" i="3"/>
  <c r="K647" i="3"/>
  <c r="K638" i="3"/>
  <c r="K628" i="3"/>
  <c r="K554" i="3"/>
  <c r="K544" i="3"/>
  <c r="K535" i="3"/>
  <c r="K521" i="3"/>
  <c r="K511" i="3"/>
  <c r="K499" i="3"/>
  <c r="K461" i="3"/>
  <c r="K453" i="3"/>
  <c r="K425" i="3"/>
  <c r="K415" i="3"/>
  <c r="K400" i="3"/>
  <c r="K324" i="3"/>
  <c r="K315" i="3"/>
  <c r="K307" i="3"/>
  <c r="K295" i="3"/>
  <c r="K286" i="3"/>
  <c r="K277" i="3"/>
  <c r="K266" i="3"/>
  <c r="K251" i="3"/>
  <c r="K238" i="3"/>
  <c r="K230" i="3"/>
  <c r="K216" i="3"/>
  <c r="K206" i="3"/>
  <c r="K198" i="3"/>
  <c r="K188" i="3"/>
  <c r="K177" i="3"/>
  <c r="K164" i="3"/>
  <c r="K144" i="3"/>
  <c r="K135" i="3"/>
  <c r="K126" i="3"/>
  <c r="K118" i="3"/>
  <c r="K109" i="3"/>
  <c r="K101" i="3"/>
  <c r="K92" i="3"/>
  <c r="K84" i="3"/>
  <c r="K76" i="3"/>
  <c r="K68" i="3"/>
  <c r="K60" i="3"/>
  <c r="K52" i="3"/>
  <c r="J370" i="3"/>
  <c r="J346" i="3"/>
  <c r="I350" i="3"/>
  <c r="O347" i="1"/>
  <c r="N347" i="1"/>
  <c r="O606" i="1"/>
  <c r="N606" i="1"/>
  <c r="I581" i="3"/>
  <c r="O578" i="1"/>
  <c r="N578" i="1"/>
  <c r="I573" i="3"/>
  <c r="O570" i="1"/>
  <c r="N570" i="1"/>
  <c r="O565" i="1"/>
  <c r="N565" i="1"/>
  <c r="I560" i="3"/>
  <c r="O557" i="1"/>
  <c r="N557" i="1"/>
  <c r="I551" i="3"/>
  <c r="O548" i="1"/>
  <c r="N548" i="1"/>
  <c r="I538" i="3"/>
  <c r="O535" i="1"/>
  <c r="N535" i="1"/>
  <c r="I531" i="3"/>
  <c r="O528" i="1"/>
  <c r="N528" i="1"/>
  <c r="I526" i="3"/>
  <c r="O523" i="1"/>
  <c r="N523" i="1"/>
  <c r="I512" i="3"/>
  <c r="O509" i="1"/>
  <c r="N509" i="1"/>
  <c r="I502" i="3"/>
  <c r="O499" i="1"/>
  <c r="N499" i="1"/>
  <c r="I492" i="3"/>
  <c r="O489" i="1"/>
  <c r="N489" i="1"/>
  <c r="I488" i="3"/>
  <c r="O485" i="1"/>
  <c r="N485" i="1"/>
  <c r="I484" i="3"/>
  <c r="O481" i="1"/>
  <c r="N481" i="1"/>
  <c r="I480" i="3"/>
  <c r="O477" i="1"/>
  <c r="N477" i="1"/>
  <c r="I476" i="3"/>
  <c r="O473" i="1"/>
  <c r="N473" i="1"/>
  <c r="I471" i="3"/>
  <c r="O468" i="1"/>
  <c r="N468" i="1"/>
  <c r="I464" i="3"/>
  <c r="O461" i="1"/>
  <c r="N461" i="1"/>
  <c r="J447" i="3"/>
  <c r="I440" i="3"/>
  <c r="O437" i="1"/>
  <c r="N437" i="1"/>
  <c r="I434" i="3"/>
  <c r="O431" i="1"/>
  <c r="N431" i="1"/>
  <c r="I430" i="3"/>
  <c r="O427" i="1"/>
  <c r="N427" i="1"/>
  <c r="J414" i="3"/>
  <c r="I409" i="3"/>
  <c r="O406" i="1"/>
  <c r="N406" i="1"/>
  <c r="Q396" i="1"/>
  <c r="P396" i="1"/>
  <c r="O390" i="1"/>
  <c r="N390" i="1"/>
  <c r="I385" i="3"/>
  <c r="O382" i="1"/>
  <c r="N382" i="1"/>
  <c r="I381" i="3"/>
  <c r="O378" i="1"/>
  <c r="N378" i="1"/>
  <c r="H366" i="3"/>
  <c r="Q363" i="1"/>
  <c r="P363" i="1"/>
  <c r="I354" i="3"/>
  <c r="O351" i="1"/>
  <c r="N351" i="1"/>
  <c r="H348" i="3"/>
  <c r="Q345" i="1"/>
  <c r="P345" i="1"/>
  <c r="I342" i="3"/>
  <c r="O339" i="1"/>
  <c r="N339" i="1"/>
  <c r="I326" i="3"/>
  <c r="O323" i="1"/>
  <c r="N323" i="1"/>
  <c r="I306" i="3"/>
  <c r="O303" i="1"/>
  <c r="N303" i="1"/>
  <c r="I302" i="3"/>
  <c r="O299" i="1"/>
  <c r="N299" i="1"/>
  <c r="I285" i="3"/>
  <c r="O282" i="1"/>
  <c r="N282" i="1"/>
  <c r="I274" i="3"/>
  <c r="O271" i="1"/>
  <c r="N271" i="1"/>
  <c r="I264" i="3"/>
  <c r="O261" i="1"/>
  <c r="N261" i="1"/>
  <c r="I260" i="3"/>
  <c r="O257" i="1"/>
  <c r="N257" i="1"/>
  <c r="I253" i="3"/>
  <c r="O250" i="1"/>
  <c r="N250" i="1"/>
  <c r="I248" i="3"/>
  <c r="O245" i="1"/>
  <c r="N245" i="1"/>
  <c r="I241" i="3"/>
  <c r="O238" i="1"/>
  <c r="N238" i="1"/>
  <c r="I225" i="3"/>
  <c r="O222" i="1"/>
  <c r="N222" i="1"/>
  <c r="I217" i="3"/>
  <c r="O214" i="1"/>
  <c r="N214" i="1"/>
  <c r="I192" i="3"/>
  <c r="O189" i="1"/>
  <c r="N189" i="1"/>
  <c r="I186" i="3"/>
  <c r="O183" i="1"/>
  <c r="N183" i="1"/>
  <c r="I175" i="3"/>
  <c r="O172" i="1"/>
  <c r="N172" i="1"/>
  <c r="I169" i="3"/>
  <c r="O166" i="1"/>
  <c r="N166" i="1"/>
  <c r="I160" i="3"/>
  <c r="O157" i="1"/>
  <c r="N157" i="1"/>
  <c r="I154" i="3"/>
  <c r="O151" i="1"/>
  <c r="N151" i="1"/>
  <c r="I142" i="3"/>
  <c r="O139" i="1"/>
  <c r="N139" i="1"/>
  <c r="I111" i="3"/>
  <c r="O108" i="1"/>
  <c r="N108" i="1"/>
  <c r="I50" i="3"/>
  <c r="O47" i="1"/>
  <c r="N47" i="1"/>
  <c r="I28" i="3"/>
  <c r="O25" i="1"/>
  <c r="N25" i="1"/>
  <c r="I21" i="3"/>
  <c r="O18" i="1"/>
  <c r="N18" i="1"/>
  <c r="O14" i="1"/>
  <c r="N14" i="1"/>
  <c r="I832" i="3"/>
  <c r="O829" i="1"/>
  <c r="N829" i="1"/>
  <c r="I827" i="3"/>
  <c r="O824" i="1"/>
  <c r="N824" i="1"/>
  <c r="O806" i="1"/>
  <c r="N806" i="1"/>
  <c r="O800" i="1"/>
  <c r="N800" i="1"/>
  <c r="I795" i="3"/>
  <c r="O792" i="1"/>
  <c r="N792" i="1"/>
  <c r="I763" i="3"/>
  <c r="O760" i="1"/>
  <c r="N760" i="1"/>
  <c r="I749" i="3"/>
  <c r="O746" i="1"/>
  <c r="N746" i="1"/>
  <c r="I742" i="3"/>
  <c r="O739" i="1"/>
  <c r="N739" i="1"/>
  <c r="I738" i="3"/>
  <c r="O735" i="1"/>
  <c r="N735" i="1"/>
  <c r="O725" i="1"/>
  <c r="N725" i="1"/>
  <c r="O716" i="1"/>
  <c r="N716" i="1"/>
  <c r="I710" i="3"/>
  <c r="O707" i="1"/>
  <c r="N707" i="1"/>
  <c r="O697" i="1"/>
  <c r="N697" i="1"/>
  <c r="H677" i="3"/>
  <c r="Q674" i="1"/>
  <c r="P674" i="1"/>
  <c r="J667" i="3"/>
  <c r="J662" i="3"/>
  <c r="J654" i="3"/>
  <c r="J636" i="3"/>
  <c r="J625" i="3"/>
  <c r="K40" i="3"/>
  <c r="K32" i="3"/>
  <c r="K822" i="3"/>
  <c r="J806" i="1"/>
  <c r="R807" i="1"/>
  <c r="K793" i="3"/>
  <c r="K784" i="3"/>
  <c r="K776" i="3"/>
  <c r="K768" i="3"/>
  <c r="K759" i="3"/>
  <c r="K750" i="3"/>
  <c r="K733" i="3"/>
  <c r="K721" i="3"/>
  <c r="K706" i="3"/>
  <c r="K696" i="3"/>
  <c r="K687" i="3"/>
  <c r="K678" i="3"/>
  <c r="K655" i="3"/>
  <c r="K646" i="3"/>
  <c r="K637" i="3"/>
  <c r="K627" i="3"/>
  <c r="K563" i="3"/>
  <c r="K553" i="3"/>
  <c r="K543" i="3"/>
  <c r="K534" i="3"/>
  <c r="K520" i="3"/>
  <c r="K510" i="3"/>
  <c r="K498" i="3"/>
  <c r="K460" i="3"/>
  <c r="K452" i="3"/>
  <c r="K424" i="3"/>
  <c r="K378" i="3"/>
  <c r="K322" i="3"/>
  <c r="K314" i="3"/>
  <c r="K294" i="3"/>
  <c r="K284" i="3"/>
  <c r="K265" i="3"/>
  <c r="K237" i="3"/>
  <c r="K229" i="3"/>
  <c r="K215" i="3"/>
  <c r="K205" i="3"/>
  <c r="K197" i="3"/>
  <c r="K187" i="3"/>
  <c r="K176" i="3"/>
  <c r="K163" i="3"/>
  <c r="K151" i="3"/>
  <c r="K143" i="3"/>
  <c r="K134" i="3"/>
  <c r="K125" i="3"/>
  <c r="K117" i="3"/>
  <c r="K108" i="3"/>
  <c r="K99" i="3"/>
  <c r="K91" i="3"/>
  <c r="K83" i="3"/>
  <c r="K75" i="3"/>
  <c r="K67" i="3"/>
  <c r="K59" i="3"/>
  <c r="K51" i="3"/>
  <c r="J368" i="3"/>
  <c r="J344" i="3"/>
  <c r="H350" i="3"/>
  <c r="Q347" i="1"/>
  <c r="P347" i="1"/>
  <c r="K566" i="3"/>
  <c r="K563" i="1"/>
  <c r="K522" i="3"/>
  <c r="K519" i="1"/>
  <c r="I819" i="3"/>
  <c r="I815" i="1"/>
  <c r="I803" i="3"/>
  <c r="I799" i="1"/>
  <c r="J819" i="3"/>
  <c r="H803" i="3"/>
  <c r="H799" i="1"/>
  <c r="K524" i="3"/>
  <c r="K521" i="1"/>
  <c r="S521" i="1" s="1"/>
  <c r="H819" i="3"/>
  <c r="H815" i="1"/>
  <c r="J803" i="3"/>
  <c r="K623" i="3"/>
  <c r="K620" i="1"/>
  <c r="K576" i="3"/>
  <c r="K573" i="1"/>
  <c r="G819" i="3"/>
  <c r="G815" i="1"/>
  <c r="G803" i="3"/>
  <c r="G799" i="1"/>
  <c r="G802" i="3" s="1"/>
  <c r="K523" i="3"/>
  <c r="K520" i="1"/>
  <c r="K427" i="3"/>
  <c r="K424" i="1"/>
  <c r="K379" i="3"/>
  <c r="K376" i="1"/>
  <c r="K436" i="3"/>
  <c r="K433" i="1"/>
  <c r="K428" i="3"/>
  <c r="K425" i="1"/>
  <c r="K421" i="3"/>
  <c r="K418" i="1"/>
  <c r="K184" i="3"/>
  <c r="K181" i="1"/>
  <c r="J609" i="3"/>
  <c r="K594" i="3"/>
  <c r="J594" i="3"/>
  <c r="I584" i="1"/>
  <c r="I588" i="3"/>
  <c r="I574" i="1"/>
  <c r="I578" i="3"/>
  <c r="G584" i="1"/>
  <c r="G587" i="3" s="1"/>
  <c r="G588" i="3"/>
  <c r="G574" i="1"/>
  <c r="G577" i="3" s="1"/>
  <c r="G578" i="3"/>
  <c r="H564" i="1"/>
  <c r="H568" i="3"/>
  <c r="H605" i="1"/>
  <c r="H609" i="3"/>
  <c r="K597" i="3"/>
  <c r="J597" i="3"/>
  <c r="G605" i="1"/>
  <c r="G609" i="3"/>
  <c r="G564" i="1"/>
  <c r="G567" i="3" s="1"/>
  <c r="G568" i="3"/>
  <c r="G419" i="1"/>
  <c r="G422" i="3" s="1"/>
  <c r="G423" i="3"/>
  <c r="G395" i="1"/>
  <c r="G398" i="3" s="1"/>
  <c r="G399" i="3"/>
  <c r="G392" i="1"/>
  <c r="G395" i="3" s="1"/>
  <c r="G396" i="3"/>
  <c r="G389" i="1"/>
  <c r="G392" i="3" s="1"/>
  <c r="G393" i="3"/>
  <c r="G384" i="1"/>
  <c r="G387" i="3" s="1"/>
  <c r="G388" i="3"/>
  <c r="G372" i="1"/>
  <c r="G375" i="3" s="1"/>
  <c r="G376" i="3"/>
  <c r="G252" i="1"/>
  <c r="G255" i="3" s="1"/>
  <c r="G256" i="3"/>
  <c r="G17" i="3"/>
  <c r="I17" i="3"/>
  <c r="I805" i="1"/>
  <c r="I809" i="3"/>
  <c r="I802" i="1"/>
  <c r="I806" i="3"/>
  <c r="I731" i="1"/>
  <c r="I735" i="3"/>
  <c r="I724" i="1"/>
  <c r="I728" i="3"/>
  <c r="I721" i="1"/>
  <c r="I725" i="3"/>
  <c r="I715" i="1"/>
  <c r="I719" i="3"/>
  <c r="I704" i="1"/>
  <c r="I708" i="3"/>
  <c r="I696" i="1"/>
  <c r="I700" i="3"/>
  <c r="J18" i="1"/>
  <c r="S18" i="1" s="1"/>
  <c r="K22" i="3"/>
  <c r="J792" i="1"/>
  <c r="S792" i="1" s="1"/>
  <c r="K796" i="3"/>
  <c r="J582" i="1"/>
  <c r="S582" i="1" s="1"/>
  <c r="K586" i="3"/>
  <c r="J525" i="1"/>
  <c r="S525" i="1" s="1"/>
  <c r="K529" i="3"/>
  <c r="J499" i="1"/>
  <c r="S499" i="1" s="1"/>
  <c r="K503" i="3"/>
  <c r="J485" i="1"/>
  <c r="S485" i="1" s="1"/>
  <c r="K489" i="3"/>
  <c r="J477" i="1"/>
  <c r="S477" i="1" s="1"/>
  <c r="K481" i="3"/>
  <c r="J431" i="1"/>
  <c r="S431" i="1" s="1"/>
  <c r="K435" i="3"/>
  <c r="J404" i="1"/>
  <c r="S404" i="1" s="1"/>
  <c r="K408" i="3"/>
  <c r="J378" i="1"/>
  <c r="K382" i="3"/>
  <c r="J257" i="1"/>
  <c r="K261" i="3"/>
  <c r="J222" i="1"/>
  <c r="K226" i="3"/>
  <c r="J376" i="3"/>
  <c r="J568" i="3"/>
  <c r="H419" i="1"/>
  <c r="H423" i="3"/>
  <c r="I395" i="1"/>
  <c r="I399" i="3"/>
  <c r="J396" i="3"/>
  <c r="J393" i="3"/>
  <c r="J388" i="3"/>
  <c r="I372" i="1"/>
  <c r="I376" i="3"/>
  <c r="J256" i="3"/>
  <c r="H17" i="3"/>
  <c r="J17" i="3"/>
  <c r="H805" i="1"/>
  <c r="H809" i="3"/>
  <c r="H802" i="1"/>
  <c r="H806" i="3"/>
  <c r="J738" i="3"/>
  <c r="H731" i="1"/>
  <c r="H735" i="3"/>
  <c r="H724" i="1"/>
  <c r="H728" i="3"/>
  <c r="J725" i="3"/>
  <c r="H715" i="1"/>
  <c r="H719" i="3"/>
  <c r="H704" i="1"/>
  <c r="H708" i="3"/>
  <c r="H696" i="1"/>
  <c r="H700" i="3"/>
  <c r="J16" i="1"/>
  <c r="S16" i="1" s="1"/>
  <c r="K20" i="3"/>
  <c r="J827" i="1"/>
  <c r="S827" i="1" s="1"/>
  <c r="K831" i="3"/>
  <c r="K810" i="3"/>
  <c r="J732" i="1"/>
  <c r="K736" i="3"/>
  <c r="J705" i="1"/>
  <c r="K709" i="3"/>
  <c r="J580" i="1"/>
  <c r="S580" i="1" s="1"/>
  <c r="K584" i="3"/>
  <c r="J570" i="1"/>
  <c r="S570" i="1" s="1"/>
  <c r="K574" i="3"/>
  <c r="J561" i="1"/>
  <c r="S561" i="1" s="1"/>
  <c r="K565" i="3"/>
  <c r="J523" i="1"/>
  <c r="S523" i="1" s="1"/>
  <c r="K527" i="3"/>
  <c r="J483" i="1"/>
  <c r="S483" i="1" s="1"/>
  <c r="K487" i="3"/>
  <c r="J475" i="1"/>
  <c r="S475" i="1" s="1"/>
  <c r="K479" i="3"/>
  <c r="J468" i="1"/>
  <c r="S468" i="1" s="1"/>
  <c r="K472" i="3"/>
  <c r="J444" i="1"/>
  <c r="S444" i="1" s="1"/>
  <c r="K448" i="3"/>
  <c r="J437" i="1"/>
  <c r="S437" i="1" s="1"/>
  <c r="K441" i="3"/>
  <c r="J429" i="1"/>
  <c r="S429" i="1" s="1"/>
  <c r="K433" i="3"/>
  <c r="J218" i="1"/>
  <c r="K222" i="3"/>
  <c r="J155" i="1"/>
  <c r="S155" i="1" s="1"/>
  <c r="K159" i="3"/>
  <c r="S149" i="1"/>
  <c r="K153" i="3"/>
  <c r="H584" i="1"/>
  <c r="H588" i="3"/>
  <c r="H574" i="1"/>
  <c r="H578" i="3"/>
  <c r="I605" i="1"/>
  <c r="I609" i="3"/>
  <c r="J588" i="3"/>
  <c r="J578" i="3"/>
  <c r="I564" i="1"/>
  <c r="I568" i="3"/>
  <c r="I419" i="1"/>
  <c r="I423" i="3"/>
  <c r="H395" i="1"/>
  <c r="H399" i="3"/>
  <c r="I392" i="1"/>
  <c r="I396" i="3"/>
  <c r="I389" i="1"/>
  <c r="I393" i="3"/>
  <c r="I384" i="1"/>
  <c r="I388" i="3"/>
  <c r="H372" i="1"/>
  <c r="H376" i="3"/>
  <c r="I252" i="1"/>
  <c r="I256" i="3"/>
  <c r="G805" i="1"/>
  <c r="G808" i="3" s="1"/>
  <c r="G809" i="3"/>
  <c r="G802" i="1"/>
  <c r="G805" i="3" s="1"/>
  <c r="G806" i="3"/>
  <c r="G731" i="1"/>
  <c r="G734" i="3" s="1"/>
  <c r="G735" i="3"/>
  <c r="G724" i="1"/>
  <c r="G727" i="3" s="1"/>
  <c r="G728" i="3"/>
  <c r="G721" i="1"/>
  <c r="G724" i="3" s="1"/>
  <c r="G725" i="3"/>
  <c r="G715" i="1"/>
  <c r="G718" i="3" s="1"/>
  <c r="G719" i="3"/>
  <c r="G704" i="1"/>
  <c r="G707" i="3" s="1"/>
  <c r="G708" i="3"/>
  <c r="G696" i="1"/>
  <c r="G699" i="3" s="1"/>
  <c r="G700" i="3"/>
  <c r="J803" i="1"/>
  <c r="K807" i="3"/>
  <c r="J662" i="1"/>
  <c r="S662" i="1" s="1"/>
  <c r="K666" i="3"/>
  <c r="J578" i="1"/>
  <c r="S578" i="1" s="1"/>
  <c r="K582" i="3"/>
  <c r="J568" i="1"/>
  <c r="S568" i="1" s="1"/>
  <c r="K572" i="3"/>
  <c r="J481" i="1"/>
  <c r="S481" i="1" s="1"/>
  <c r="K485" i="3"/>
  <c r="J473" i="1"/>
  <c r="S473" i="1" s="1"/>
  <c r="K477" i="3"/>
  <c r="J466" i="1"/>
  <c r="S466" i="1" s="1"/>
  <c r="K470" i="3"/>
  <c r="J435" i="1"/>
  <c r="S435" i="1" s="1"/>
  <c r="K439" i="3"/>
  <c r="J427" i="1"/>
  <c r="S427" i="1" s="1"/>
  <c r="K431" i="3"/>
  <c r="J409" i="1"/>
  <c r="S409" i="1" s="1"/>
  <c r="K413" i="3"/>
  <c r="J393" i="1"/>
  <c r="J392" i="1" s="1"/>
  <c r="K397" i="3"/>
  <c r="J382" i="1"/>
  <c r="S382" i="1" s="1"/>
  <c r="K386" i="3"/>
  <c r="S301" i="1"/>
  <c r="K305" i="3"/>
  <c r="S271" i="1"/>
  <c r="K275" i="3"/>
  <c r="J245" i="1"/>
  <c r="S245" i="1" s="1"/>
  <c r="K249" i="3"/>
  <c r="J164" i="1"/>
  <c r="S164" i="1" s="1"/>
  <c r="K168" i="3"/>
  <c r="J423" i="3"/>
  <c r="J399" i="3"/>
  <c r="H392" i="1"/>
  <c r="H396" i="3"/>
  <c r="H389" i="1"/>
  <c r="H393" i="3"/>
  <c r="H384" i="1"/>
  <c r="H388" i="3"/>
  <c r="H252" i="1"/>
  <c r="H256" i="3"/>
  <c r="K837" i="3"/>
  <c r="J837" i="3"/>
  <c r="K832" i="3"/>
  <c r="J832" i="3"/>
  <c r="J809" i="3"/>
  <c r="J806" i="3"/>
  <c r="K797" i="3"/>
  <c r="J797" i="3"/>
  <c r="J735" i="3"/>
  <c r="J728" i="3"/>
  <c r="H721" i="1"/>
  <c r="H725" i="3"/>
  <c r="J719" i="3"/>
  <c r="K712" i="3"/>
  <c r="J712" i="3"/>
  <c r="K710" i="3"/>
  <c r="J710" i="3"/>
  <c r="J708" i="3"/>
  <c r="J700" i="3"/>
  <c r="K817" i="3"/>
  <c r="J800" i="1"/>
  <c r="K804" i="3"/>
  <c r="J744" i="1"/>
  <c r="S744" i="1" s="1"/>
  <c r="K748" i="3"/>
  <c r="S737" i="1"/>
  <c r="K741" i="3"/>
  <c r="J722" i="1"/>
  <c r="K726" i="3"/>
  <c r="J585" i="1"/>
  <c r="K589" i="3"/>
  <c r="J565" i="1"/>
  <c r="S565" i="1" s="1"/>
  <c r="K569" i="3"/>
  <c r="J528" i="1"/>
  <c r="S528" i="1" s="1"/>
  <c r="K532" i="3"/>
  <c r="J487" i="1"/>
  <c r="S487" i="1" s="1"/>
  <c r="K491" i="3"/>
  <c r="J479" i="1"/>
  <c r="S479" i="1" s="1"/>
  <c r="K483" i="3"/>
  <c r="J406" i="1"/>
  <c r="S406" i="1" s="1"/>
  <c r="K410" i="3"/>
  <c r="J390" i="1"/>
  <c r="J389" i="1" s="1"/>
  <c r="K394" i="3"/>
  <c r="S380" i="1"/>
  <c r="K384" i="3"/>
  <c r="S299" i="1"/>
  <c r="K303" i="3"/>
  <c r="J259" i="1"/>
  <c r="S259" i="1" s="1"/>
  <c r="K263" i="3"/>
  <c r="J250" i="1"/>
  <c r="S250" i="1" s="1"/>
  <c r="K254" i="3"/>
  <c r="J187" i="1"/>
  <c r="S187" i="1" s="1"/>
  <c r="K191" i="3"/>
  <c r="J170" i="1"/>
  <c r="K174" i="3"/>
  <c r="J14" i="1"/>
  <c r="H734" i="1"/>
  <c r="S44" i="1"/>
  <c r="J385" i="1"/>
  <c r="J384" i="1" s="1"/>
  <c r="S320" i="1"/>
  <c r="J247" i="1"/>
  <c r="S247" i="1" s="1"/>
  <c r="J166" i="1"/>
  <c r="S166" i="1" s="1"/>
  <c r="G408" i="1"/>
  <c r="G411" i="3" s="1"/>
  <c r="G403" i="1"/>
  <c r="G406" i="3" s="1"/>
  <c r="J470" i="1"/>
  <c r="S470" i="1" s="1"/>
  <c r="G567" i="1"/>
  <c r="G570" i="3" s="1"/>
  <c r="H426" i="1"/>
  <c r="G208" i="1"/>
  <c r="G211" i="3" s="1"/>
  <c r="J739" i="1"/>
  <c r="J674" i="1"/>
  <c r="S674" i="1" s="1"/>
  <c r="J651" i="1"/>
  <c r="S651" i="1" s="1"/>
  <c r="G673" i="1"/>
  <c r="G676" i="3" s="1"/>
  <c r="J20" i="1"/>
  <c r="S20" i="1" s="1"/>
  <c r="J824" i="1"/>
  <c r="S824" i="1" s="1"/>
  <c r="J606" i="1"/>
  <c r="I182" i="1"/>
  <c r="S760" i="1"/>
  <c r="G577" i="1"/>
  <c r="H498" i="1"/>
  <c r="H403" i="1"/>
  <c r="J373" i="1"/>
  <c r="J372" i="1" s="1"/>
  <c r="G377" i="1"/>
  <c r="G380" i="3" s="1"/>
  <c r="H330" i="1"/>
  <c r="H208" i="1"/>
  <c r="I621" i="1"/>
  <c r="I527" i="1"/>
  <c r="I498" i="1"/>
  <c r="I358" i="1"/>
  <c r="H182" i="1"/>
  <c r="G169" i="1"/>
  <c r="G172" i="3" s="1"/>
  <c r="I169" i="1"/>
  <c r="G734" i="1"/>
  <c r="G737" i="3" s="1"/>
  <c r="I734" i="1"/>
  <c r="I673" i="1"/>
  <c r="J557" i="1"/>
  <c r="S557" i="1" s="1"/>
  <c r="J440" i="1"/>
  <c r="S440" i="1" s="1"/>
  <c r="J242" i="1"/>
  <c r="S214" i="1"/>
  <c r="S151" i="1"/>
  <c r="G621" i="1"/>
  <c r="G624" i="3" s="1"/>
  <c r="J640" i="1"/>
  <c r="S640" i="1" s="1"/>
  <c r="I567" i="1"/>
  <c r="H527" i="1"/>
  <c r="H522" i="1"/>
  <c r="G426" i="1"/>
  <c r="G429" i="3" s="1"/>
  <c r="I426" i="1"/>
  <c r="H377" i="1"/>
  <c r="H358" i="1"/>
  <c r="H256" i="1"/>
  <c r="H221" i="1"/>
  <c r="G182" i="1"/>
  <c r="G185" i="3" s="1"/>
  <c r="H13" i="1"/>
  <c r="H743" i="1"/>
  <c r="H673" i="1"/>
  <c r="J716" i="1"/>
  <c r="J629" i="1"/>
  <c r="S629" i="1" s="1"/>
  <c r="J543" i="1"/>
  <c r="S543" i="1" s="1"/>
  <c r="J516" i="1"/>
  <c r="S516" i="1" s="1"/>
  <c r="J446" i="1"/>
  <c r="S446" i="1" s="1"/>
  <c r="J411" i="1"/>
  <c r="J396" i="1"/>
  <c r="S286" i="1"/>
  <c r="S282" i="1"/>
  <c r="S273" i="1"/>
  <c r="S265" i="1"/>
  <c r="J253" i="1"/>
  <c r="J252" i="1" s="1"/>
  <c r="J238" i="1"/>
  <c r="S238" i="1" s="1"/>
  <c r="S129" i="1"/>
  <c r="G434" i="1"/>
  <c r="G437" i="3" s="1"/>
  <c r="I330" i="1"/>
  <c r="H169" i="1"/>
  <c r="G527" i="1"/>
  <c r="G530" i="3" s="1"/>
  <c r="G522" i="1"/>
  <c r="G525" i="3" s="1"/>
  <c r="G498" i="1"/>
  <c r="G501" i="3" s="1"/>
  <c r="I408" i="1"/>
  <c r="I403" i="1"/>
  <c r="I377" i="1"/>
  <c r="I256" i="1"/>
  <c r="G256" i="1"/>
  <c r="G259" i="3" s="1"/>
  <c r="I13" i="1"/>
  <c r="G13" i="1"/>
  <c r="G743" i="1"/>
  <c r="G746" i="3" s="1"/>
  <c r="I743" i="1"/>
  <c r="J785" i="1"/>
  <c r="S785" i="1" s="1"/>
  <c r="J755" i="1"/>
  <c r="S755" i="1" s="1"/>
  <c r="J746" i="1"/>
  <c r="S746" i="1" s="1"/>
  <c r="J725" i="1"/>
  <c r="J633" i="1"/>
  <c r="S633" i="1" s="1"/>
  <c r="H408" i="1"/>
  <c r="I208" i="1"/>
  <c r="H567" i="1"/>
  <c r="I434" i="1"/>
  <c r="H434" i="1"/>
  <c r="G358" i="1"/>
  <c r="G361" i="3" s="1"/>
  <c r="G330" i="1"/>
  <c r="G333" i="3" s="1"/>
  <c r="G241" i="1"/>
  <c r="G244" i="3" s="1"/>
  <c r="S303" i="1"/>
  <c r="H621" i="1"/>
  <c r="J697" i="1"/>
  <c r="S622" i="1"/>
  <c r="J535" i="1"/>
  <c r="S535" i="1" s="1"/>
  <c r="J530" i="1"/>
  <c r="S530" i="1" s="1"/>
  <c r="J489" i="1"/>
  <c r="S489" i="1" s="1"/>
  <c r="J461" i="1"/>
  <c r="S461" i="1" s="1"/>
  <c r="J420" i="1"/>
  <c r="J261" i="1"/>
  <c r="S261" i="1" s="1"/>
  <c r="S189" i="1"/>
  <c r="J183" i="1"/>
  <c r="J177" i="1"/>
  <c r="S177" i="1" s="1"/>
  <c r="J172" i="1"/>
  <c r="S172" i="1" s="1"/>
  <c r="S139" i="1"/>
  <c r="I241" i="1"/>
  <c r="J677" i="1"/>
  <c r="S677" i="1" s="1"/>
  <c r="J670" i="1"/>
  <c r="S670" i="1" s="1"/>
  <c r="J659" i="1"/>
  <c r="S659" i="1" s="1"/>
  <c r="J654" i="1"/>
  <c r="S654" i="1" s="1"/>
  <c r="J553" i="1"/>
  <c r="S553" i="1" s="1"/>
  <c r="S548" i="1"/>
  <c r="J501" i="1"/>
  <c r="S501" i="1" s="1"/>
  <c r="J493" i="1"/>
  <c r="S493" i="1" s="1"/>
  <c r="J323" i="1"/>
  <c r="S323" i="1" s="1"/>
  <c r="S224" i="1"/>
  <c r="S108" i="1"/>
  <c r="S97" i="1"/>
  <c r="H241" i="1"/>
  <c r="G221" i="1"/>
  <c r="G224" i="3" s="1"/>
  <c r="I221" i="1"/>
  <c r="J816" i="1"/>
  <c r="S664" i="1"/>
  <c r="J509" i="1"/>
  <c r="S509" i="1" s="1"/>
  <c r="S209" i="1"/>
  <c r="J157" i="1"/>
  <c r="S157" i="1" s="1"/>
  <c r="H577" i="1"/>
  <c r="I577" i="1"/>
  <c r="S183" i="1" l="1"/>
  <c r="J182" i="1"/>
  <c r="S182" i="1" s="1"/>
  <c r="S170" i="1"/>
  <c r="J169" i="1"/>
  <c r="S169" i="1" s="1"/>
  <c r="J388" i="1"/>
  <c r="S218" i="1"/>
  <c r="J208" i="1"/>
  <c r="S208" i="1" s="1"/>
  <c r="S242" i="1"/>
  <c r="J241" i="1"/>
  <c r="S739" i="1"/>
  <c r="J734" i="1"/>
  <c r="S734" i="1" s="1"/>
  <c r="S222" i="1"/>
  <c r="J221" i="1"/>
  <c r="S378" i="1"/>
  <c r="J377" i="1"/>
  <c r="S377" i="1" s="1"/>
  <c r="J13" i="1"/>
  <c r="S13" i="1" s="1"/>
  <c r="S257" i="1"/>
  <c r="J256" i="1"/>
  <c r="S585" i="1"/>
  <c r="S732" i="1"/>
  <c r="K809" i="3"/>
  <c r="S806" i="1"/>
  <c r="S816" i="1"/>
  <c r="S705" i="1"/>
  <c r="S800" i="1"/>
  <c r="S14" i="1"/>
  <c r="S722" i="1"/>
  <c r="S803" i="1"/>
  <c r="S697" i="1"/>
  <c r="S725" i="1"/>
  <c r="S716" i="1"/>
  <c r="S606" i="1"/>
  <c r="S420" i="1"/>
  <c r="S411" i="1"/>
  <c r="S396" i="1"/>
  <c r="S393" i="1"/>
  <c r="S390" i="1"/>
  <c r="S385" i="1"/>
  <c r="S373" i="1"/>
  <c r="S253" i="1"/>
  <c r="H259" i="3"/>
  <c r="Q256" i="1"/>
  <c r="P256" i="1"/>
  <c r="J172" i="3"/>
  <c r="K304" i="3"/>
  <c r="H727" i="3"/>
  <c r="Q724" i="1"/>
  <c r="P724" i="1"/>
  <c r="K212" i="3"/>
  <c r="K492" i="3"/>
  <c r="K443" i="3"/>
  <c r="K262" i="3"/>
  <c r="K533" i="3"/>
  <c r="H530" i="3"/>
  <c r="Q527" i="1"/>
  <c r="P527" i="1"/>
  <c r="K484" i="3"/>
  <c r="K221" i="3"/>
  <c r="J387" i="3"/>
  <c r="I734" i="3"/>
  <c r="O731" i="1"/>
  <c r="N731" i="1"/>
  <c r="K667" i="3"/>
  <c r="R664" i="1"/>
  <c r="K227" i="3"/>
  <c r="K662" i="3"/>
  <c r="K180" i="3"/>
  <c r="K538" i="3"/>
  <c r="I211" i="3"/>
  <c r="O208" i="1"/>
  <c r="N208" i="1"/>
  <c r="I411" i="3"/>
  <c r="O408" i="1"/>
  <c r="N408" i="1"/>
  <c r="K241" i="3"/>
  <c r="K449" i="3"/>
  <c r="H380" i="3"/>
  <c r="Q377" i="1"/>
  <c r="P377" i="1"/>
  <c r="I570" i="3"/>
  <c r="O567" i="1"/>
  <c r="N567" i="1"/>
  <c r="I676" i="3"/>
  <c r="O673" i="1"/>
  <c r="N673" i="1"/>
  <c r="I501" i="3"/>
  <c r="O498" i="1"/>
  <c r="N498" i="1"/>
  <c r="J676" i="3"/>
  <c r="K23" i="3"/>
  <c r="J411" i="3"/>
  <c r="K250" i="3"/>
  <c r="K173" i="3"/>
  <c r="K302" i="3"/>
  <c r="K482" i="3"/>
  <c r="L436" i="3"/>
  <c r="N433" i="1"/>
  <c r="R433" i="1"/>
  <c r="P433" i="1"/>
  <c r="J802" i="3"/>
  <c r="L566" i="3"/>
  <c r="N563" i="1"/>
  <c r="R563" i="1"/>
  <c r="P563" i="1"/>
  <c r="J746" i="3"/>
  <c r="H185" i="3"/>
  <c r="Q182" i="1"/>
  <c r="P182" i="1"/>
  <c r="K568" i="3"/>
  <c r="L428" i="3"/>
  <c r="R425" i="1"/>
  <c r="P425" i="1"/>
  <c r="N425" i="1"/>
  <c r="H802" i="3"/>
  <c r="Q799" i="1"/>
  <c r="P799" i="1"/>
  <c r="K657" i="3"/>
  <c r="I406" i="3"/>
  <c r="O403" i="1"/>
  <c r="N403" i="1"/>
  <c r="H361" i="3"/>
  <c r="Q358" i="1"/>
  <c r="P358" i="1"/>
  <c r="K827" i="3"/>
  <c r="J727" i="3"/>
  <c r="K430" i="3"/>
  <c r="I567" i="3"/>
  <c r="O564" i="1"/>
  <c r="H699" i="3"/>
  <c r="Q696" i="1"/>
  <c r="P696" i="1"/>
  <c r="K326" i="3"/>
  <c r="K673" i="3"/>
  <c r="K186" i="3"/>
  <c r="K625" i="3"/>
  <c r="H411" i="3"/>
  <c r="Q408" i="1"/>
  <c r="P408" i="1"/>
  <c r="K519" i="3"/>
  <c r="Q13" i="1"/>
  <c r="P13" i="1"/>
  <c r="J406" i="3"/>
  <c r="K643" i="3"/>
  <c r="I737" i="3"/>
  <c r="O734" i="1"/>
  <c r="N734" i="1"/>
  <c r="I530" i="3"/>
  <c r="O527" i="1"/>
  <c r="N527" i="1"/>
  <c r="H406" i="3"/>
  <c r="Q403" i="1"/>
  <c r="P403" i="1"/>
  <c r="H429" i="3"/>
  <c r="Q426" i="1"/>
  <c r="P426" i="1"/>
  <c r="K323" i="3"/>
  <c r="H392" i="3"/>
  <c r="Q389" i="1"/>
  <c r="P389" i="1"/>
  <c r="K167" i="3"/>
  <c r="K385" i="3"/>
  <c r="K438" i="3"/>
  <c r="K571" i="3"/>
  <c r="I255" i="3"/>
  <c r="O252" i="1"/>
  <c r="N252" i="1"/>
  <c r="I395" i="3"/>
  <c r="O392" i="1"/>
  <c r="N392" i="1"/>
  <c r="H587" i="3"/>
  <c r="Q584" i="1"/>
  <c r="P584" i="1"/>
  <c r="K432" i="3"/>
  <c r="K478" i="3"/>
  <c r="K573" i="3"/>
  <c r="H707" i="3"/>
  <c r="Q704" i="1"/>
  <c r="P704" i="1"/>
  <c r="H734" i="3"/>
  <c r="Q731" i="1"/>
  <c r="P731" i="1"/>
  <c r="J392" i="3"/>
  <c r="K381" i="3"/>
  <c r="K488" i="3"/>
  <c r="K795" i="3"/>
  <c r="I718" i="3"/>
  <c r="O715" i="1"/>
  <c r="N715" i="1"/>
  <c r="I805" i="3"/>
  <c r="O802" i="1"/>
  <c r="N802" i="1"/>
  <c r="K142" i="3"/>
  <c r="K788" i="3"/>
  <c r="J530" i="3"/>
  <c r="K742" i="3"/>
  <c r="K409" i="3"/>
  <c r="N519" i="1"/>
  <c r="R519" i="1"/>
  <c r="P519" i="1"/>
  <c r="K175" i="3"/>
  <c r="I361" i="3"/>
  <c r="O358" i="1"/>
  <c r="N358" i="1"/>
  <c r="J422" i="3"/>
  <c r="I392" i="3"/>
  <c r="O389" i="1"/>
  <c r="N389" i="1"/>
  <c r="H577" i="3"/>
  <c r="Q574" i="1"/>
  <c r="K564" i="3"/>
  <c r="H808" i="3"/>
  <c r="Q805" i="1"/>
  <c r="P805" i="1"/>
  <c r="K260" i="3"/>
  <c r="K585" i="3"/>
  <c r="I707" i="3"/>
  <c r="O704" i="1"/>
  <c r="N704" i="1"/>
  <c r="O577" i="1"/>
  <c r="N577" i="1"/>
  <c r="K680" i="3"/>
  <c r="J437" i="3"/>
  <c r="K636" i="3"/>
  <c r="O13" i="1"/>
  <c r="N13" i="1"/>
  <c r="K268" i="3"/>
  <c r="K546" i="3"/>
  <c r="I429" i="3"/>
  <c r="O426" i="1"/>
  <c r="N426" i="1"/>
  <c r="K28" i="3"/>
  <c r="R25" i="1"/>
  <c r="H501" i="3"/>
  <c r="Q498" i="1"/>
  <c r="P498" i="1"/>
  <c r="I525" i="3"/>
  <c r="O522" i="1"/>
  <c r="N522" i="1"/>
  <c r="J525" i="3"/>
  <c r="K190" i="3"/>
  <c r="K383" i="3"/>
  <c r="K490" i="3"/>
  <c r="R181" i="1"/>
  <c r="P181" i="1"/>
  <c r="N181" i="1"/>
  <c r="L379" i="3"/>
  <c r="N376" i="1"/>
  <c r="R376" i="1"/>
  <c r="P376" i="1"/>
  <c r="Q815" i="1"/>
  <c r="P815" i="1"/>
  <c r="I802" i="3"/>
  <c r="O799" i="1"/>
  <c r="N799" i="1"/>
  <c r="H570" i="3"/>
  <c r="Q567" i="1"/>
  <c r="P567" i="1"/>
  <c r="R620" i="1"/>
  <c r="P620" i="1"/>
  <c r="N620" i="1"/>
  <c r="I224" i="3"/>
  <c r="O221" i="1"/>
  <c r="N221" i="1"/>
  <c r="K496" i="3"/>
  <c r="K192" i="3"/>
  <c r="K504" i="3"/>
  <c r="I244" i="3"/>
  <c r="O241" i="1"/>
  <c r="N241" i="1"/>
  <c r="K264" i="3"/>
  <c r="J624" i="3"/>
  <c r="H437" i="3"/>
  <c r="Q434" i="1"/>
  <c r="P434" i="1"/>
  <c r="J211" i="3"/>
  <c r="K276" i="3"/>
  <c r="K632" i="3"/>
  <c r="J224" i="3"/>
  <c r="K154" i="3"/>
  <c r="I172" i="3"/>
  <c r="O169" i="1"/>
  <c r="N169" i="1"/>
  <c r="I624" i="3"/>
  <c r="O621" i="1"/>
  <c r="N621" i="1"/>
  <c r="J570" i="3"/>
  <c r="K47" i="3"/>
  <c r="J699" i="3"/>
  <c r="J718" i="3"/>
  <c r="H395" i="3"/>
  <c r="Q392" i="1"/>
  <c r="P392" i="1"/>
  <c r="K248" i="3"/>
  <c r="K469" i="3"/>
  <c r="K581" i="3"/>
  <c r="H375" i="3"/>
  <c r="Q372" i="1"/>
  <c r="P372" i="1"/>
  <c r="H398" i="3"/>
  <c r="Q395" i="1"/>
  <c r="P395" i="1"/>
  <c r="K152" i="3"/>
  <c r="K440" i="3"/>
  <c r="K486" i="3"/>
  <c r="K583" i="3"/>
  <c r="K830" i="3"/>
  <c r="H718" i="3"/>
  <c r="Q715" i="1"/>
  <c r="P715" i="1"/>
  <c r="K738" i="3"/>
  <c r="J255" i="3"/>
  <c r="J395" i="3"/>
  <c r="J375" i="3"/>
  <c r="K407" i="3"/>
  <c r="K502" i="3"/>
  <c r="K21" i="3"/>
  <c r="I724" i="3"/>
  <c r="O721" i="1"/>
  <c r="N721" i="1"/>
  <c r="I808" i="3"/>
  <c r="O805" i="1"/>
  <c r="N805" i="1"/>
  <c r="Q605" i="1"/>
  <c r="P605" i="1"/>
  <c r="I577" i="3"/>
  <c r="O574" i="1"/>
  <c r="L523" i="3"/>
  <c r="P520" i="1"/>
  <c r="N520" i="1"/>
  <c r="R520" i="1"/>
  <c r="K512" i="3"/>
  <c r="O743" i="1"/>
  <c r="N743" i="1"/>
  <c r="K480" i="3"/>
  <c r="Q577" i="1"/>
  <c r="P577" i="1"/>
  <c r="H244" i="3"/>
  <c r="Q241" i="1"/>
  <c r="P241" i="1"/>
  <c r="K551" i="3"/>
  <c r="J361" i="3"/>
  <c r="H624" i="3"/>
  <c r="Q621" i="1"/>
  <c r="P621" i="1"/>
  <c r="J429" i="3"/>
  <c r="K749" i="3"/>
  <c r="H172" i="3"/>
  <c r="Q169" i="1"/>
  <c r="P169" i="1"/>
  <c r="K285" i="3"/>
  <c r="H224" i="3"/>
  <c r="Q221" i="1"/>
  <c r="P221" i="1"/>
  <c r="J501" i="3"/>
  <c r="K217" i="3"/>
  <c r="H211" i="3"/>
  <c r="Q208" i="1"/>
  <c r="P208" i="1"/>
  <c r="K763" i="3"/>
  <c r="K654" i="3"/>
  <c r="K473" i="3"/>
  <c r="J737" i="3"/>
  <c r="K253" i="3"/>
  <c r="K531" i="3"/>
  <c r="K740" i="3"/>
  <c r="R418" i="1"/>
  <c r="P418" i="1"/>
  <c r="N418" i="1"/>
  <c r="L427" i="3"/>
  <c r="P424" i="1"/>
  <c r="N424" i="1"/>
  <c r="R424" i="1"/>
  <c r="R573" i="1"/>
  <c r="P573" i="1"/>
  <c r="N573" i="1"/>
  <c r="L524" i="3"/>
  <c r="R521" i="1"/>
  <c r="P521" i="1"/>
  <c r="N521" i="1"/>
  <c r="O815" i="1"/>
  <c r="N815" i="1"/>
  <c r="J805" i="1"/>
  <c r="R806" i="1"/>
  <c r="K100" i="3"/>
  <c r="I380" i="3"/>
  <c r="O377" i="1"/>
  <c r="N377" i="1"/>
  <c r="K747" i="3"/>
  <c r="K111" i="3"/>
  <c r="J380" i="3"/>
  <c r="K132" i="3"/>
  <c r="H746" i="3"/>
  <c r="Q743" i="1"/>
  <c r="P743" i="1"/>
  <c r="K560" i="3"/>
  <c r="K169" i="3"/>
  <c r="H387" i="3"/>
  <c r="Q384" i="1"/>
  <c r="P384" i="1"/>
  <c r="K471" i="3"/>
  <c r="H422" i="3"/>
  <c r="Q419" i="1"/>
  <c r="P419" i="1"/>
  <c r="K160" i="3"/>
  <c r="J244" i="3"/>
  <c r="K556" i="3"/>
  <c r="K50" i="3"/>
  <c r="R47" i="1"/>
  <c r="K464" i="3"/>
  <c r="K306" i="3"/>
  <c r="I437" i="3"/>
  <c r="O434" i="1"/>
  <c r="N434" i="1"/>
  <c r="K758" i="3"/>
  <c r="I259" i="3"/>
  <c r="O256" i="1"/>
  <c r="N256" i="1"/>
  <c r="I333" i="3"/>
  <c r="O330" i="1"/>
  <c r="N330" i="1"/>
  <c r="K289" i="3"/>
  <c r="H676" i="3"/>
  <c r="Q673" i="1"/>
  <c r="P673" i="1"/>
  <c r="J259" i="3"/>
  <c r="H525" i="3"/>
  <c r="Q522" i="1"/>
  <c r="P522" i="1"/>
  <c r="K245" i="3"/>
  <c r="J185" i="3"/>
  <c r="H333" i="3"/>
  <c r="Q330" i="1"/>
  <c r="P330" i="1"/>
  <c r="I185" i="3"/>
  <c r="O182" i="1"/>
  <c r="N182" i="1"/>
  <c r="K677" i="3"/>
  <c r="H737" i="3"/>
  <c r="Q734" i="1"/>
  <c r="P734" i="1"/>
  <c r="J707" i="3"/>
  <c r="H724" i="3"/>
  <c r="Q721" i="1"/>
  <c r="P721" i="1"/>
  <c r="J805" i="3"/>
  <c r="H255" i="3"/>
  <c r="Q252" i="1"/>
  <c r="P252" i="1"/>
  <c r="J398" i="3"/>
  <c r="K274" i="3"/>
  <c r="K412" i="3"/>
  <c r="K476" i="3"/>
  <c r="K665" i="3"/>
  <c r="I387" i="3"/>
  <c r="O384" i="1"/>
  <c r="N384" i="1"/>
  <c r="I422" i="3"/>
  <c r="O419" i="1"/>
  <c r="N419" i="1"/>
  <c r="O605" i="1"/>
  <c r="N605" i="1"/>
  <c r="K158" i="3"/>
  <c r="K447" i="3"/>
  <c r="K526" i="3"/>
  <c r="K19" i="3"/>
  <c r="H805" i="3"/>
  <c r="Q802" i="1"/>
  <c r="P802" i="1"/>
  <c r="I375" i="3"/>
  <c r="O372" i="1"/>
  <c r="N372" i="1"/>
  <c r="I398" i="3"/>
  <c r="O395" i="1"/>
  <c r="N395" i="1"/>
  <c r="K225" i="3"/>
  <c r="K434" i="3"/>
  <c r="K528" i="3"/>
  <c r="I699" i="3"/>
  <c r="O696" i="1"/>
  <c r="N696" i="1"/>
  <c r="I727" i="3"/>
  <c r="O724" i="1"/>
  <c r="N724" i="1"/>
  <c r="H567" i="3"/>
  <c r="I587" i="3"/>
  <c r="O584" i="1"/>
  <c r="N584" i="1"/>
  <c r="K619" i="1"/>
  <c r="L623" i="3"/>
  <c r="H818" i="3"/>
  <c r="H813" i="1"/>
  <c r="L522" i="3"/>
  <c r="K588" i="3"/>
  <c r="J584" i="1"/>
  <c r="S584" i="1" s="1"/>
  <c r="K578" i="3"/>
  <c r="K575" i="1"/>
  <c r="L576" i="3"/>
  <c r="J818" i="3"/>
  <c r="I818" i="3"/>
  <c r="I813" i="1"/>
  <c r="G818" i="3"/>
  <c r="G813" i="1"/>
  <c r="G816" i="3" s="1"/>
  <c r="K819" i="3"/>
  <c r="K803" i="3"/>
  <c r="S799" i="1"/>
  <c r="K735" i="3"/>
  <c r="J731" i="1"/>
  <c r="S731" i="1" s="1"/>
  <c r="K725" i="3"/>
  <c r="S721" i="1"/>
  <c r="L421" i="3"/>
  <c r="K402" i="1"/>
  <c r="K12" i="1"/>
  <c r="L184" i="3"/>
  <c r="S567" i="1"/>
  <c r="I388" i="1"/>
  <c r="I797" i="1"/>
  <c r="G388" i="1"/>
  <c r="G391" i="3" s="1"/>
  <c r="G797" i="1"/>
  <c r="G800" i="3" s="1"/>
  <c r="S577" i="1"/>
  <c r="S403" i="1"/>
  <c r="S426" i="1"/>
  <c r="I572" i="1"/>
  <c r="I580" i="3"/>
  <c r="G16" i="3"/>
  <c r="S715" i="1"/>
  <c r="K719" i="3"/>
  <c r="K609" i="3"/>
  <c r="J580" i="3"/>
  <c r="S696" i="1"/>
  <c r="K700" i="3"/>
  <c r="H388" i="1"/>
  <c r="I16" i="3"/>
  <c r="S252" i="1"/>
  <c r="K256" i="3"/>
  <c r="J16" i="3"/>
  <c r="H797" i="1"/>
  <c r="S372" i="1"/>
  <c r="K376" i="3"/>
  <c r="G572" i="1"/>
  <c r="G575" i="3" s="1"/>
  <c r="G580" i="3"/>
  <c r="S384" i="1"/>
  <c r="K388" i="3"/>
  <c r="S389" i="1"/>
  <c r="K393" i="3"/>
  <c r="J808" i="3"/>
  <c r="S392" i="1"/>
  <c r="K396" i="3"/>
  <c r="K806" i="3"/>
  <c r="J587" i="3"/>
  <c r="J567" i="3"/>
  <c r="G604" i="1"/>
  <c r="G607" i="3" s="1"/>
  <c r="G608" i="3"/>
  <c r="H604" i="1"/>
  <c r="H608" i="3"/>
  <c r="H16" i="3"/>
  <c r="H572" i="1"/>
  <c r="H580" i="3"/>
  <c r="S724" i="1"/>
  <c r="K728" i="3"/>
  <c r="I714" i="1"/>
  <c r="I746" i="3"/>
  <c r="K399" i="3"/>
  <c r="S419" i="1"/>
  <c r="K423" i="3"/>
  <c r="S408" i="1"/>
  <c r="K414" i="3"/>
  <c r="K17" i="3"/>
  <c r="J734" i="3"/>
  <c r="J577" i="3"/>
  <c r="I604" i="1"/>
  <c r="I608" i="3"/>
  <c r="S704" i="1"/>
  <c r="K708" i="3"/>
  <c r="J724" i="3"/>
  <c r="J608" i="3"/>
  <c r="H714" i="1"/>
  <c r="G619" i="1"/>
  <c r="G622" i="3" s="1"/>
  <c r="G714" i="1"/>
  <c r="G717" i="3" s="1"/>
  <c r="S241" i="1"/>
  <c r="G402" i="1"/>
  <c r="G405" i="3" s="1"/>
  <c r="S673" i="1"/>
  <c r="G497" i="1"/>
  <c r="G500" i="3" s="1"/>
  <c r="I329" i="1"/>
  <c r="S3" i="1" s="1"/>
  <c r="G12" i="1"/>
  <c r="S527" i="1"/>
  <c r="H619" i="1"/>
  <c r="H402" i="1"/>
  <c r="I497" i="1"/>
  <c r="I220" i="1"/>
  <c r="S256" i="1"/>
  <c r="I12" i="1"/>
  <c r="H12" i="1"/>
  <c r="H220" i="1"/>
  <c r="H329" i="1"/>
  <c r="H497" i="1"/>
  <c r="I619" i="1"/>
  <c r="I402" i="1"/>
  <c r="S498" i="1"/>
  <c r="S221" i="1"/>
  <c r="G220" i="1"/>
  <c r="G223" i="3" s="1"/>
  <c r="G329" i="1"/>
  <c r="G332" i="3" s="1"/>
  <c r="S621" i="1"/>
  <c r="J220" i="1" l="1"/>
  <c r="R13" i="1"/>
  <c r="R743" i="1"/>
  <c r="S743" i="1"/>
  <c r="R605" i="1"/>
  <c r="S605" i="1"/>
  <c r="R802" i="1"/>
  <c r="S802" i="1"/>
  <c r="R815" i="1"/>
  <c r="S815" i="1"/>
  <c r="R805" i="1"/>
  <c r="S805" i="1"/>
  <c r="R434" i="1"/>
  <c r="S434" i="1"/>
  <c r="R395" i="1"/>
  <c r="S395" i="1"/>
  <c r="O619" i="1"/>
  <c r="K808" i="3"/>
  <c r="O12" i="1"/>
  <c r="I391" i="3"/>
  <c r="O388" i="1"/>
  <c r="N388" i="1"/>
  <c r="K374" i="3"/>
  <c r="K259" i="3"/>
  <c r="R256" i="1"/>
  <c r="H622" i="3"/>
  <c r="Q619" i="1"/>
  <c r="K676" i="3"/>
  <c r="R673" i="1"/>
  <c r="K387" i="3"/>
  <c r="R384" i="1"/>
  <c r="K255" i="3"/>
  <c r="R252" i="1"/>
  <c r="K406" i="3"/>
  <c r="R403" i="1"/>
  <c r="J391" i="3"/>
  <c r="K734" i="3"/>
  <c r="R731" i="1"/>
  <c r="I816" i="3"/>
  <c r="O813" i="1"/>
  <c r="N813" i="1"/>
  <c r="H717" i="3"/>
  <c r="Q714" i="1"/>
  <c r="P714" i="1"/>
  <c r="J575" i="3"/>
  <c r="J405" i="3"/>
  <c r="J607" i="3"/>
  <c r="H607" i="3"/>
  <c r="Q604" i="1"/>
  <c r="P604" i="1"/>
  <c r="K580" i="3"/>
  <c r="R577" i="1"/>
  <c r="K570" i="3"/>
  <c r="R567" i="1"/>
  <c r="H405" i="3"/>
  <c r="Q402" i="1"/>
  <c r="K172" i="3"/>
  <c r="R169" i="1"/>
  <c r="I223" i="3"/>
  <c r="O220" i="1"/>
  <c r="N220" i="1"/>
  <c r="K530" i="3"/>
  <c r="R527" i="1"/>
  <c r="K244" i="3"/>
  <c r="R241" i="1"/>
  <c r="I717" i="3"/>
  <c r="O714" i="1"/>
  <c r="N714" i="1"/>
  <c r="K395" i="3"/>
  <c r="R392" i="1"/>
  <c r="H391" i="3"/>
  <c r="Q388" i="1"/>
  <c r="P388" i="1"/>
  <c r="J800" i="3"/>
  <c r="K802" i="3"/>
  <c r="R799" i="1"/>
  <c r="J816" i="3"/>
  <c r="H816" i="3"/>
  <c r="Q813" i="1"/>
  <c r="P813" i="1"/>
  <c r="K587" i="3"/>
  <c r="K718" i="3"/>
  <c r="R715" i="1"/>
  <c r="N12" i="1"/>
  <c r="P12" i="1"/>
  <c r="I405" i="3"/>
  <c r="O402" i="1"/>
  <c r="K224" i="3"/>
  <c r="R221" i="1"/>
  <c r="H332" i="3"/>
  <c r="J223" i="3"/>
  <c r="I332" i="3"/>
  <c r="K707" i="3"/>
  <c r="R704" i="1"/>
  <c r="K411" i="3"/>
  <c r="R408" i="1"/>
  <c r="K727" i="3"/>
  <c r="R724" i="1"/>
  <c r="K375" i="3"/>
  <c r="R372" i="1"/>
  <c r="K699" i="3"/>
  <c r="R696" i="1"/>
  <c r="K737" i="3"/>
  <c r="R734" i="1"/>
  <c r="L405" i="3"/>
  <c r="P402" i="1"/>
  <c r="N402" i="1"/>
  <c r="K429" i="3"/>
  <c r="R426" i="1"/>
  <c r="I500" i="3"/>
  <c r="K501" i="3"/>
  <c r="R498" i="1"/>
  <c r="K380" i="3"/>
  <c r="R377" i="1"/>
  <c r="L578" i="3"/>
  <c r="N575" i="1"/>
  <c r="P575" i="1"/>
  <c r="P619" i="1"/>
  <c r="N619" i="1"/>
  <c r="K185" i="3"/>
  <c r="R182" i="1"/>
  <c r="K624" i="3"/>
  <c r="R621" i="1"/>
  <c r="H500" i="3"/>
  <c r="H223" i="3"/>
  <c r="Q220" i="1"/>
  <c r="P220" i="1"/>
  <c r="J500" i="3"/>
  <c r="H800" i="3"/>
  <c r="Q797" i="1"/>
  <c r="P797" i="1"/>
  <c r="K211" i="3"/>
  <c r="R208" i="1"/>
  <c r="Q12" i="1"/>
  <c r="J622" i="3"/>
  <c r="J717" i="3"/>
  <c r="I607" i="3"/>
  <c r="O604" i="1"/>
  <c r="N604" i="1"/>
  <c r="K422" i="3"/>
  <c r="R419" i="1"/>
  <c r="H575" i="3"/>
  <c r="K392" i="3"/>
  <c r="R389" i="1"/>
  <c r="I575" i="3"/>
  <c r="I800" i="3"/>
  <c r="O797" i="1"/>
  <c r="N797" i="1"/>
  <c r="K724" i="3"/>
  <c r="R721" i="1"/>
  <c r="K525" i="3"/>
  <c r="R522" i="1"/>
  <c r="K567" i="3"/>
  <c r="K564" i="1"/>
  <c r="K497" i="1" s="1"/>
  <c r="K818" i="3"/>
  <c r="J813" i="1"/>
  <c r="S813" i="1" s="1"/>
  <c r="K577" i="3"/>
  <c r="K574" i="1"/>
  <c r="K618" i="1"/>
  <c r="L622" i="3"/>
  <c r="L15" i="3"/>
  <c r="J572" i="1"/>
  <c r="K16" i="3"/>
  <c r="J15" i="3"/>
  <c r="J604" i="1"/>
  <c r="S604" i="1" s="1"/>
  <c r="K608" i="3"/>
  <c r="I618" i="1"/>
  <c r="I622" i="3"/>
  <c r="H15" i="3"/>
  <c r="J714" i="1"/>
  <c r="S714" i="1" s="1"/>
  <c r="K746" i="3"/>
  <c r="K805" i="3"/>
  <c r="J797" i="1"/>
  <c r="S797" i="1" s="1"/>
  <c r="I15" i="3"/>
  <c r="S388" i="1"/>
  <c r="K398" i="3"/>
  <c r="J402" i="1"/>
  <c r="K437" i="3"/>
  <c r="G15" i="3"/>
  <c r="H618" i="1"/>
  <c r="G618" i="1"/>
  <c r="G621" i="3" s="1"/>
  <c r="J619" i="1"/>
  <c r="S619" i="1" s="1"/>
  <c r="S220" i="1"/>
  <c r="J497" i="1"/>
  <c r="I11" i="1"/>
  <c r="H11" i="1"/>
  <c r="J12" i="1"/>
  <c r="G11" i="1"/>
  <c r="K575" i="3" l="1"/>
  <c r="R12" i="1"/>
  <c r="S12" i="1"/>
  <c r="K500" i="3"/>
  <c r="K405" i="3"/>
  <c r="S402" i="1"/>
  <c r="R402" i="1"/>
  <c r="P564" i="1"/>
  <c r="N564" i="1"/>
  <c r="R564" i="1"/>
  <c r="Q564" i="1"/>
  <c r="K800" i="3"/>
  <c r="H14" i="3"/>
  <c r="K607" i="3"/>
  <c r="R604" i="1"/>
  <c r="H621" i="3"/>
  <c r="Q618" i="1"/>
  <c r="R619" i="1"/>
  <c r="K816" i="3"/>
  <c r="R813" i="1"/>
  <c r="I14" i="3"/>
  <c r="K717" i="3"/>
  <c r="R714" i="1"/>
  <c r="K223" i="3"/>
  <c r="K391" i="3"/>
  <c r="I621" i="3"/>
  <c r="O618" i="1"/>
  <c r="L621" i="3"/>
  <c r="N618" i="1"/>
  <c r="P618" i="1"/>
  <c r="J621" i="3"/>
  <c r="P574" i="1"/>
  <c r="N574" i="1"/>
  <c r="R574" i="1"/>
  <c r="L577" i="3"/>
  <c r="K572" i="1"/>
  <c r="S572" i="1" s="1"/>
  <c r="L567" i="3"/>
  <c r="S497" i="1"/>
  <c r="J369" i="1"/>
  <c r="S369" i="1" s="1"/>
  <c r="K373" i="3"/>
  <c r="K15" i="3"/>
  <c r="J618" i="1"/>
  <c r="K622" i="3"/>
  <c r="G14" i="3"/>
  <c r="H10" i="1"/>
  <c r="H13" i="3" s="1"/>
  <c r="I10" i="1"/>
  <c r="I13" i="3" s="1"/>
  <c r="G10" i="1"/>
  <c r="G13" i="3" s="1"/>
  <c r="K621" i="3" l="1"/>
  <c r="S618" i="1"/>
  <c r="R618" i="1"/>
  <c r="L500" i="3"/>
  <c r="R497" i="1"/>
  <c r="P497" i="1"/>
  <c r="N497" i="1"/>
  <c r="O497" i="1"/>
  <c r="Q497" i="1"/>
  <c r="K372" i="3"/>
  <c r="L575" i="3"/>
  <c r="P572" i="1"/>
  <c r="N572" i="1"/>
  <c r="R572" i="1"/>
  <c r="Q572" i="1"/>
  <c r="O572" i="1"/>
  <c r="J367" i="1"/>
  <c r="S367" i="1" s="1"/>
  <c r="K371" i="3"/>
  <c r="K370" i="3" l="1"/>
  <c r="J365" i="1"/>
  <c r="S365" i="1" s="1"/>
  <c r="K369" i="3"/>
  <c r="K368" i="3" l="1"/>
  <c r="S363" i="1"/>
  <c r="K367" i="3"/>
  <c r="K366" i="3" l="1"/>
  <c r="S361" i="1"/>
  <c r="K365" i="3"/>
  <c r="K364" i="3" l="1"/>
  <c r="J359" i="1"/>
  <c r="K363" i="3"/>
  <c r="S359" i="1" l="1"/>
  <c r="J358" i="1"/>
  <c r="K360" i="3"/>
  <c r="K357" i="1"/>
  <c r="K362" i="3"/>
  <c r="S358" i="1" l="1"/>
  <c r="K361" i="3"/>
  <c r="R358" i="1"/>
  <c r="L360" i="3"/>
  <c r="R357" i="1"/>
  <c r="P357" i="1"/>
  <c r="N357" i="1"/>
  <c r="K359" i="3"/>
  <c r="K356" i="1"/>
  <c r="K358" i="3" l="1"/>
  <c r="P356" i="1"/>
  <c r="N356" i="1"/>
  <c r="R356" i="1"/>
  <c r="K329" i="1"/>
  <c r="K11" i="1" s="1"/>
  <c r="L359" i="3"/>
  <c r="L330" i="1" l="1"/>
  <c r="S5" i="1"/>
  <c r="N329" i="1"/>
  <c r="P329" i="1"/>
  <c r="O329" i="1"/>
  <c r="Q329" i="1"/>
  <c r="K357" i="3"/>
  <c r="L332" i="3"/>
  <c r="K356" i="3" l="1"/>
  <c r="N11" i="1"/>
  <c r="P11" i="1"/>
  <c r="Q11" i="1"/>
  <c r="O11" i="1"/>
  <c r="L14" i="3"/>
  <c r="K10" i="1"/>
  <c r="M9" i="1" s="1"/>
  <c r="M10" i="1" l="1"/>
  <c r="M1" i="1" s="1"/>
  <c r="M2" i="1"/>
  <c r="L13" i="3"/>
  <c r="J351" i="1"/>
  <c r="S351" i="1" s="1"/>
  <c r="K355" i="3"/>
  <c r="R1" i="1" l="1"/>
  <c r="S6" i="1"/>
  <c r="S8" i="1" s="1"/>
  <c r="K354" i="3"/>
  <c r="J349" i="1"/>
  <c r="S349" i="1" s="1"/>
  <c r="K353" i="3"/>
  <c r="K352" i="3" l="1"/>
  <c r="J347" i="1"/>
  <c r="S347" i="1" s="1"/>
  <c r="K351" i="3"/>
  <c r="K350" i="3" l="1"/>
  <c r="J345" i="1"/>
  <c r="S345" i="1" s="1"/>
  <c r="K349" i="3"/>
  <c r="K348" i="3" l="1"/>
  <c r="J343" i="1"/>
  <c r="S343" i="1" s="1"/>
  <c r="K347" i="3"/>
  <c r="K346" i="3" l="1"/>
  <c r="J341" i="1"/>
  <c r="S341" i="1" s="1"/>
  <c r="K345" i="3"/>
  <c r="K344" i="3" l="1"/>
  <c r="J339" i="1"/>
  <c r="S339" i="1" s="1"/>
  <c r="K343" i="3"/>
  <c r="K342" i="3" l="1"/>
  <c r="J337" i="1"/>
  <c r="S337" i="1" s="1"/>
  <c r="K341" i="3"/>
  <c r="K340" i="3" l="1"/>
  <c r="J335" i="1"/>
  <c r="S335" i="1" s="1"/>
  <c r="K339" i="3"/>
  <c r="K338" i="3" l="1"/>
  <c r="J333" i="1"/>
  <c r="S333" i="1" s="1"/>
  <c r="K337" i="3"/>
  <c r="J333" i="3" l="1"/>
  <c r="K336" i="3"/>
  <c r="J331" i="1"/>
  <c r="K335" i="3"/>
  <c r="S331" i="1" l="1"/>
  <c r="J330" i="1"/>
  <c r="J329" i="1" s="1"/>
  <c r="S4" i="1" s="1"/>
  <c r="S7" i="1" s="1"/>
  <c r="J332" i="3"/>
  <c r="K334" i="3"/>
  <c r="S330" i="1" l="1"/>
  <c r="J14" i="3"/>
  <c r="R330" i="1"/>
  <c r="K333" i="3"/>
  <c r="J13" i="3"/>
  <c r="S329" i="1" l="1"/>
  <c r="L329" i="1"/>
  <c r="R329" i="1"/>
  <c r="J11" i="1"/>
  <c r="K332" i="3"/>
  <c r="R11" i="1" l="1"/>
  <c r="S11" i="1"/>
  <c r="J10" i="1"/>
  <c r="K13" i="3" s="1"/>
  <c r="K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  <author>Martin</author>
    <author>Uživatel systému Windows</author>
    <author>63222</author>
    <author>Ondřej Havlíček</author>
    <author>Havlíčkovi</author>
  </authors>
  <commentList>
    <comment ref="L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schována rezerva 6 mil. Kč
</t>
        </r>
      </text>
    </comment>
    <comment ref="L20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Na úkor HV - DOPLNIT</t>
        </r>
      </text>
    </comment>
    <comment ref="K25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1.855
</t>
        </r>
      </text>
    </comment>
    <comment ref="K26" authorId="2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29" authorId="3" shapeId="0" xr:uid="{00000000-0006-0000-0000-000005000000}">
      <text>
        <r>
          <rPr>
            <sz val="10"/>
            <color indexed="81"/>
            <rFont val="Calibri"/>
            <family val="2"/>
            <charset val="238"/>
            <scheme val="minor"/>
          </rPr>
          <t>Návrh R20 - doc. Koranda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0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Předpokládané celkové úhrady CL činí 1,350 mld Kč, v tom však současně zahrnut §16 u ČPZP a VZP ve výši 20 mil. Kč, tudíž o toto poníženy náklady na CL (těchto 20 mil. již je zahrnuto v §16), k tomu však přičteno 10 mil. jako zásoba tj. nafasované léky avšak nevykázané.
</t>
        </r>
      </text>
    </comment>
    <comment ref="K41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rezerva 15 mil. Kč
</t>
        </r>
      </text>
    </comment>
    <comment ref="K4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1.051 mil. Kč
</t>
        </r>
      </text>
    </comment>
    <comment ref="K61" authorId="2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Granty + 5.727.000 Kč
</t>
        </r>
      </text>
    </comment>
    <comment ref="K84" authorId="2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ZH: doplněna Urologie + 170 na jednorázové operační nástroje.
</t>
        </r>
      </text>
    </comment>
    <comment ref="K98" authorId="2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stravní jednotka navýšena o 2 Kč
</t>
        </r>
      </text>
    </comment>
    <comment ref="K120" authorId="2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-900.000,- schůzka Ing. Miklík 11.12.2019
</t>
        </r>
      </text>
    </comment>
    <comment ref="K173" authorId="4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 mil.
</t>
        </r>
      </text>
    </comment>
    <comment ref="K175" authorId="4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12.12.2019 -2 mil.
Od 1.1.2020 přechod do 10% sazby: rozdíl 2.374 tis. *0,91 koeficient půjde do rezervy
tj. 2.160</t>
        </r>
      </text>
    </comment>
    <comment ref="K227" authorId="2" shapeId="0" xr:uid="{00000000-0006-0000-0000-00000F000000}">
      <text>
        <r>
          <rPr>
            <i/>
            <sz val="9"/>
            <color indexed="81"/>
            <rFont val="Tahoma"/>
            <family val="2"/>
            <charset val="238"/>
          </rPr>
          <t>2019: prádelna 63.475,-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28" authorId="4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12.12.2019 -6 mil.
Rezerva UHTS 1,9 mil Kč
Od 1.1.2020 přechod do 10% sazby u páry: rozdíl 2.374 tis. *0,91 koeficient jde do rezervy OSB tj. 2.160 mil Kč</t>
        </r>
      </text>
    </comment>
    <comment ref="K229" authorId="4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31" authorId="4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12.12.2019 -400 tis.
</t>
        </r>
      </text>
    </comment>
    <comment ref="K237" authorId="4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43" authorId="3" shapeId="0" xr:uid="{00000000-0006-0000-0000-000014000000}">
      <text>
        <r>
          <rPr>
            <sz val="8"/>
            <color indexed="81"/>
            <rFont val="Calibri"/>
            <family val="2"/>
            <charset val="238"/>
            <scheme val="minor"/>
          </rPr>
          <t>3.800.000,-   OPMČ
     60.000,-   Paliativní píče
     30.000,-   ENOCH</t>
        </r>
      </text>
    </comment>
    <comment ref="K248" authorId="3" shapeId="0" xr:uid="{00000000-0006-0000-0000-000015000000}">
      <text>
        <r>
          <rPr>
            <sz val="8"/>
            <color indexed="81"/>
            <rFont val="Calibri"/>
            <family val="2"/>
            <charset val="238"/>
            <scheme val="minor"/>
          </rPr>
          <t>2.300.000,-   OVLZ
   328.000,-   MEDEVAC
   180.000,-   ENOCH
  1.200.000,- - granty</t>
        </r>
      </text>
    </comment>
    <comment ref="K263" authorId="2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A264" authorId="2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HS:</t>
        </r>
        <r>
          <rPr>
            <sz val="8"/>
            <color indexed="81"/>
            <rFont val="Tahoma"/>
            <family val="2"/>
            <charset val="238"/>
          </rPr>
          <t>od 30.9.2018 není žádný pohyb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K266" authorId="2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 xml:space="preserve">15 000*12 - 707 000 - schůzka Ing. Miklík 11.12.2019 
</t>
        </r>
      </text>
    </comment>
    <comment ref="K267" authorId="3" shapeId="0" xr:uid="{00000000-0006-0000-0000-000019000000}">
      <text>
        <r>
          <rPr>
            <sz val="8"/>
            <color indexed="81"/>
            <rFont val="Calibri"/>
            <family val="2"/>
            <charset val="238"/>
            <scheme val="minor"/>
          </rPr>
          <t>Nájem Ritter&amp;Štastný</t>
        </r>
      </text>
    </comment>
    <comment ref="K270" authorId="3" shapeId="0" xr:uid="{00000000-0006-0000-0000-00001A000000}">
      <text>
        <r>
          <rPr>
            <sz val="8"/>
            <color indexed="81"/>
            <rFont val="Calibri"/>
            <family val="2"/>
            <charset val="238"/>
            <scheme val="minor"/>
          </rPr>
          <t>RTG rameno - Vojenská nem.</t>
        </r>
      </text>
    </comment>
    <comment ref="K274" authorId="2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ZH: Pokud bychom počítali skutečnost 2 největších měsíců tj červen a květen na celorok, pak se dostaneme k částce 50.866 tis. Kč, ve výpočtu je 51.396 tis. Kč, je zde ukryta 530 tis. možná rezerva
</t>
        </r>
      </text>
    </comment>
    <comment ref="K277" authorId="4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tis..
</t>
        </r>
      </text>
    </comment>
    <comment ref="K279" authorId="4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
</t>
        </r>
      </text>
    </comment>
    <comment ref="K280" authorId="5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K284" authorId="2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17.12.2019 -150 tis.
</t>
        </r>
      </text>
    </comment>
    <comment ref="K288" authorId="2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rezerva ÚHTS 2.000 tis. kč
</t>
        </r>
      </text>
    </comment>
    <comment ref="K294" authorId="2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K295" authorId="4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12.12.2019 -3 mil.
</t>
        </r>
      </text>
    </comment>
    <comment ref="K304" authorId="2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ZH: 700 tis. demolice vojenské vrátnice, 1.000 tis. demolice skladu pod TU, 1.500 tis. demolice objektu v areálu Balus, 700 tis. demolice skladu vedle OIN, 2000 tis. demolice krechtu u WD, 100 tis. demolice chlorovny odpadních vod.
+1.400.000,- Granty
+2.560.000,- Institucionální podpora</t>
        </r>
      </text>
    </comment>
    <comment ref="K306" authorId="5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ZH: optimalizace operačních procesů 2.370 tis. Kč
Mgr. Svozil 72 tis.</t>
        </r>
      </text>
    </comment>
    <comment ref="K307" authorId="3" shapeId="0" xr:uid="{00000000-0006-0000-0000-000025000000}">
      <text>
        <r>
          <rPr>
            <sz val="8"/>
            <color indexed="81"/>
            <rFont val="Tahoma"/>
            <family val="2"/>
            <charset val="238"/>
          </rPr>
          <t>OVLZ (PEU): 200.000,-Kč
OMAR: (OBU): 300.000,- Kč
OVZ:</t>
        </r>
      </text>
    </comment>
    <comment ref="K311" authorId="2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Pouze odhad IT
- 1.500 mil.- schůzka Ing. Miklík 11.12.2019</t>
        </r>
      </text>
    </comment>
    <comment ref="K312" authorId="2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ZH: prodloužení licencí žasové rozlišení 1,2 mil Kč
rezerva 2 mil IT</t>
        </r>
      </text>
    </comment>
    <comment ref="K315" authorId="2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17.12.2019 -100 tis.
</t>
        </r>
      </text>
    </comment>
    <comment ref="K317" authorId="2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Jednání Ing. Jeřábková 17.12.2019 -150 tis.
Rezerva marketing 200 tis. Kč</t>
        </r>
      </text>
    </comment>
    <comment ref="K452" authorId="3" shapeId="0" xr:uid="{00000000-0006-0000-0000-00002A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1.500.000,-   OVLZ                              
     10.000,-   Paliativní píče
 </t>
        </r>
      </text>
    </comment>
    <comment ref="K453" authorId="3" shapeId="0" xr:uid="{00000000-0006-0000-0000-00002B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2.100.000,-   OVLZ
     10.000,-   Paliativní péče  
       2.000,-   ENOCH </t>
        </r>
      </text>
    </comment>
    <comment ref="K486" authorId="3" shapeId="0" xr:uid="{00000000-0006-0000-0000-00002C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500.000,-   OVLZ
  80.000,-   ENOCH </t>
        </r>
      </text>
    </comment>
    <comment ref="K507" authorId="2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 xml:space="preserve">Přeřazení odpisu do ZC ve výši 638.013,- Kč
</t>
        </r>
      </text>
    </comment>
    <comment ref="K514" authorId="2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Vyřazení třetího urychlovače: ZC 9.261.405 Kč
Přeřazení odpisu do ZC ve výši 638.013,- Kč</t>
        </r>
      </text>
    </comment>
    <comment ref="K531" authorId="3" shapeId="0" xr:uid="{00000000-0006-0000-0000-00002F000000}">
      <text>
        <r>
          <rPr>
            <sz val="8"/>
            <color indexed="81"/>
            <rFont val="Calibri"/>
            <family val="2"/>
            <charset val="238"/>
            <scheme val="minor"/>
          </rPr>
          <t>25 mil.Kč - obměna infuzní techniky
 9 mil. Kč - obměna drobného majetku
10 mil. Kč - obměna optiky a nástrojů
1,5 mil. Kč - vybavení nových pracovišť HOK
2,5, mil. Kč - standardní obměna drobných přístrojů
po jednání s Ing. Knápkem 16.12.2019 -18 mil.
rezerva OBÚ 3 mil Kč</t>
        </r>
      </text>
    </comment>
    <comment ref="K544" authorId="2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 xml:space="preserve">-4.525.000,- - schůzka Ing. Miklík 11.12.2019
</t>
        </r>
      </text>
    </comment>
    <comment ref="K550" authorId="4" shapeId="0" xr:uid="{00000000-0006-0000-0000-00003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12.12.2019 -1,5 mil.
</t>
        </r>
      </text>
    </comment>
    <comment ref="K558" authorId="2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 xml:space="preserve">-575 tis. - schůzka Ing. Miklík 11.12.2019
</t>
        </r>
      </text>
    </comment>
    <comment ref="K664" authorId="0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 xml:space="preserve">10.12.19 Aktuálně dopočet dle MAK 6,742 mld při výkonnosti 2018 +33 mil ambice CL = 6,775 mld.; nyní zahrnutá rezerva 20 mil., tj. tržby celkem 6,750 mld.; k tomu dále do úhrad přičteno 2x16,2 mil. Kč (Kanuma DK, ZP207 a ZP211) = 6,7874 mld.
</t>
        </r>
      </text>
    </comment>
    <comment ref="K665" authorId="2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666" authorId="0" shapeId="0" xr:uid="{00000000-0006-0000-0000-000035000000}">
      <text>
        <r>
          <rPr>
            <sz val="9"/>
            <color indexed="81"/>
            <rFont val="Tahoma"/>
            <family val="2"/>
            <charset val="238"/>
          </rPr>
          <t xml:space="preserve">Dle vyhlášky 1,317 mld, plán 1,35 mld.,33 mil. nepokryto, ambice vyjednat se ZP nad vyhlášku
</t>
        </r>
      </text>
    </comment>
    <comment ref="K748" authorId="2" shapeId="0" xr:uid="{00000000-0006-0000-0000-000036000000}">
      <text>
        <r>
          <rPr>
            <sz val="9"/>
            <color indexed="81"/>
            <rFont val="Tahoma"/>
            <family val="2"/>
            <charset val="238"/>
          </rPr>
          <t xml:space="preserve">vratka DPH od FÚ
</t>
        </r>
      </text>
    </comment>
    <comment ref="K749" authorId="2" shapeId="0" xr:uid="{00000000-0006-0000-0000-000037000000}">
      <text>
        <r>
          <rPr>
            <sz val="9"/>
            <color indexed="81"/>
            <rFont val="Tahoma"/>
            <family val="2"/>
            <charset val="238"/>
          </rPr>
          <t xml:space="preserve">+720 tis, outsourcované služby ENOCH
</t>
        </r>
      </text>
    </comment>
    <comment ref="K763" authorId="2" shapeId="0" xr:uid="{00000000-0006-0000-0000-00003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+300 tis.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</authors>
  <commentList>
    <comment ref="G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obsahuje Hemlibru ve výši 3,5 mil Kč</t>
        </r>
      </text>
    </comment>
  </commentList>
</comments>
</file>

<file path=xl/sharedStrings.xml><?xml version="1.0" encoding="utf-8"?>
<sst xmlns="http://schemas.openxmlformats.org/spreadsheetml/2006/main" count="5863" uniqueCount="1842">
  <si>
    <t>2017</t>
  </si>
  <si>
    <t>2019</t>
  </si>
  <si>
    <t>Code</t>
  </si>
  <si>
    <t>Měsíc:</t>
  </si>
  <si>
    <t>Prosinec</t>
  </si>
  <si>
    <t>Rok:</t>
  </si>
  <si>
    <t>Verze:</t>
  </si>
  <si>
    <t>Finanční plán FNOL</t>
  </si>
  <si>
    <t>Skutečnost</t>
  </si>
  <si>
    <t>HV</t>
  </si>
  <si>
    <t>A5</t>
  </si>
  <si>
    <t>A50</t>
  </si>
  <si>
    <t xml:space="preserve">        Spotřebované nákupy</t>
  </si>
  <si>
    <t>A501</t>
  </si>
  <si>
    <t xml:space="preserve">            Spotřeba materiálu</t>
  </si>
  <si>
    <t xml:space="preserve">                Převod HČ - materiál</t>
  </si>
  <si>
    <t>A50100000</t>
  </si>
  <si>
    <t xml:space="preserve">                    Převod HČ - spotřeba materiálu</t>
  </si>
  <si>
    <t xml:space="preserve">                Cenové odchylky k materiálu</t>
  </si>
  <si>
    <t xml:space="preserve">                    Cenové odchylky k materiálu</t>
  </si>
  <si>
    <t xml:space="preserve">                Biologické implantáty</t>
  </si>
  <si>
    <t xml:space="preserve">                    Biologické implantáty (sk.507)</t>
  </si>
  <si>
    <t xml:space="preserve">                PHM</t>
  </si>
  <si>
    <t xml:space="preserve">                    Automobilový benzín</t>
  </si>
  <si>
    <t xml:space="preserve">                    Motorová nafta</t>
  </si>
  <si>
    <t xml:space="preserve">                    Plyn (CNG)</t>
  </si>
  <si>
    <t xml:space="preserve">                    Oleje a mazadla</t>
  </si>
  <si>
    <t xml:space="preserve">                Léky a léčiva</t>
  </si>
  <si>
    <t xml:space="preserve">                    Léky - paušál (LEK)</t>
  </si>
  <si>
    <t xml:space="preserve">                    Léky - parenterální výživa (LEK)</t>
  </si>
  <si>
    <t xml:space="preserve">                    Léky - enter. a parent. výživa (výroba LEK-OPSL)</t>
  </si>
  <si>
    <t xml:space="preserve">                    Léky - radiofarmaka (KNM)</t>
  </si>
  <si>
    <t xml:space="preserve">                    Léky - enterální výživa (LEK)</t>
  </si>
  <si>
    <t xml:space="preserve">                    Léky - krev.deriváty ZUL (LEK)</t>
  </si>
  <si>
    <t xml:space="preserve">                    Léky - krev.deriváty ZUL (TO)</t>
  </si>
  <si>
    <t xml:space="preserve">                    Léky - RTG diagnostika ZUL (LEK)</t>
  </si>
  <si>
    <t xml:space="preserve">                    Léky - botox (LEK)</t>
  </si>
  <si>
    <t xml:space="preserve">                    Léky - hemofilici ZUL (TO)</t>
  </si>
  <si>
    <t xml:space="preserve">                    Léky - trombolýza (LEK)</t>
  </si>
  <si>
    <t xml:space="preserve">                    Léky - antibiotika (LEK)</t>
  </si>
  <si>
    <t xml:space="preserve">                    Léky - antimykotika (LEK)</t>
  </si>
  <si>
    <t xml:space="preserve">                    Léky - samoplátci (LEK)</t>
  </si>
  <si>
    <t xml:space="preserve">                    Léky - centra (LEK)</t>
  </si>
  <si>
    <t xml:space="preserve">                    Léky - dle §16 (LEK)</t>
  </si>
  <si>
    <t xml:space="preserve">                    Léky - medicinální plyny (sklad SVM)</t>
  </si>
  <si>
    <t xml:space="preserve">                    Léky - slevy (přeúčt. na 64910001)</t>
  </si>
  <si>
    <t xml:space="preserve">                Krevní přípravky</t>
  </si>
  <si>
    <t xml:space="preserve">                    Krevní přípravky</t>
  </si>
  <si>
    <t xml:space="preserve">                    Plazma</t>
  </si>
  <si>
    <t xml:space="preserve">                Zdravotnické prostředky</t>
  </si>
  <si>
    <t xml:space="preserve">                    Kardiostimulátory (sk.Z517)</t>
  </si>
  <si>
    <t xml:space="preserve">                    Kardiovertery (Z516)</t>
  </si>
  <si>
    <t xml:space="preserve">                    TEP (Z518)</t>
  </si>
  <si>
    <t xml:space="preserve">                    IUTN - kovové (Z506)</t>
  </si>
  <si>
    <t xml:space="preserve">                    IUTN - neurostimulace (Z511)</t>
  </si>
  <si>
    <t xml:space="preserve">                    IUTN - neuromodulace-DBS (Z508)</t>
  </si>
  <si>
    <t xml:space="preserve">                    Implant.dentální-samoplátci (Z526)</t>
  </si>
  <si>
    <t xml:space="preserve">                    Implant. - plastická,estetická chirurgie (Z521)</t>
  </si>
  <si>
    <t xml:space="preserve">                    IUTN - chlopně - TAVI (Z524)</t>
  </si>
  <si>
    <t xml:space="preserve">                    IUTN - ostat.nákl.PZT (Z515)</t>
  </si>
  <si>
    <t xml:space="preserve">                    Bezelektrodové kardiostimulátory (Z548)</t>
  </si>
  <si>
    <t xml:space="preserve">                    IUTN - MitraClip (Z553)</t>
  </si>
  <si>
    <t xml:space="preserve">                    Kardiostimulátory CCM (Z555)</t>
  </si>
  <si>
    <t xml:space="preserve">                    Laboratorní diagnostika-LEK (Z501)</t>
  </si>
  <si>
    <t xml:space="preserve">                    Laboratorní diagnostika-skl.ZPr (Z501)</t>
  </si>
  <si>
    <t xml:space="preserve">                    Laboratorní materiál (Z505)</t>
  </si>
  <si>
    <t xml:space="preserve">                    Obvazový materiál (Z502)</t>
  </si>
  <si>
    <t xml:space="preserve">                    ZPr - ostatní (Z503)</t>
  </si>
  <si>
    <t xml:space="preserve">                    ZPr - ZUM robot (Z512)</t>
  </si>
  <si>
    <t xml:space="preserve">                    ZPr - materiál hemodialýza (Z525)</t>
  </si>
  <si>
    <t xml:space="preserve">                    ZPr - vaky, sety (Z528)</t>
  </si>
  <si>
    <t xml:space="preserve">                    ZPr - šicí materiál (Z529)</t>
  </si>
  <si>
    <t xml:space="preserve">                    ZPr - vpichovací materiál (Z530)</t>
  </si>
  <si>
    <t xml:space="preserve">                    ZPr - šicí materiál robot (Z531)</t>
  </si>
  <si>
    <t xml:space="preserve">                    ZPr - rukavice (Z532)</t>
  </si>
  <si>
    <t xml:space="preserve">                    ZPr - čidla ICP (Z522)</t>
  </si>
  <si>
    <t xml:space="preserve">                    ZPr - porty (Z534)</t>
  </si>
  <si>
    <t xml:space="preserve">                    ZPr - katetry ostatní (Z513)</t>
  </si>
  <si>
    <t xml:space="preserve">                    ZPr - katetry ablační (Z514)</t>
  </si>
  <si>
    <t xml:space="preserve">                    ZPr - katetry diagnostické (Z535)</t>
  </si>
  <si>
    <t xml:space="preserve">                    ZPr - katetry PCI (Z536)</t>
  </si>
  <si>
    <t xml:space="preserve">                    ZPr - katetry zaváděcí (Z537)</t>
  </si>
  <si>
    <t xml:space="preserve">                    ZPr - stenty (Z538)</t>
  </si>
  <si>
    <t xml:space="preserve">                    ZPr - stenty kovové (Z539)</t>
  </si>
  <si>
    <t xml:space="preserve">                    ZPr - stenty lékové (Z540)</t>
  </si>
  <si>
    <t xml:space="preserve">                    ZPr - internzivní péče (Z542)</t>
  </si>
  <si>
    <t xml:space="preserve">                    ZPr - staplery, extraktory, endoskop.mat. (Z523)</t>
  </si>
  <si>
    <t xml:space="preserve">                    ZPr - katetry extrakční (Z543)</t>
  </si>
  <si>
    <t xml:space="preserve">                    ZPr - embolizace (Z545)</t>
  </si>
  <si>
    <t xml:space="preserve">                    ZPr - samoplátci (Z547)</t>
  </si>
  <si>
    <t xml:space="preserve">                    ZPr - katetry PICC/MIDLINE (Z554)</t>
  </si>
  <si>
    <t xml:space="preserve">                    ZPr - zubolékařský materiál (Z509)</t>
  </si>
  <si>
    <t xml:space="preserve">                    ZPr. - slevy (přeúčt. na 64910002)</t>
  </si>
  <si>
    <t xml:space="preserve">                    </t>
  </si>
  <si>
    <t xml:space="preserve">                    Podkožní monitory (Z544)</t>
  </si>
  <si>
    <t xml:space="preserve">                    Mechanické srdeční podpory (Z552)</t>
  </si>
  <si>
    <t xml:space="preserve">                Potraviny</t>
  </si>
  <si>
    <t xml:space="preserve">                    Lůžk. pacienti</t>
  </si>
  <si>
    <t xml:space="preserve">                    Lůžk. pacienti nad normu</t>
  </si>
  <si>
    <t xml:space="preserve">                    Dárci krve</t>
  </si>
  <si>
    <t xml:space="preserve">                    Výživa kojenců</t>
  </si>
  <si>
    <t xml:space="preserve">                    Dialýza - pac.strava</t>
  </si>
  <si>
    <t xml:space="preserve">                    Nápoje - horké provozy</t>
  </si>
  <si>
    <t xml:space="preserve">                    Závodní stravování</t>
  </si>
  <si>
    <t xml:space="preserve">                    Studenti SKMUP, stážisté</t>
  </si>
  <si>
    <t xml:space="preserve">                    Suroviny - studená kuchyně (stř.9505)</t>
  </si>
  <si>
    <t xml:space="preserve">                    Externí strávníci</t>
  </si>
  <si>
    <t xml:space="preserve">                Všeobecný materiál</t>
  </si>
  <si>
    <t xml:space="preserve">                    Všeobecný materiál (N524,525,P35,49,T13,V26,31,32,34,35,37,47,111,Z510)</t>
  </si>
  <si>
    <t xml:space="preserve">                    Prací a čistící prostř.,drog.zboží (sk.V41)</t>
  </si>
  <si>
    <t xml:space="preserve">                    Desinfekční prostředky (ID-ř.733-LEK)</t>
  </si>
  <si>
    <t xml:space="preserve">                    Tiskopisy a kanc.potřeby (sk.V42, 43)</t>
  </si>
  <si>
    <t xml:space="preserve">                    Údržbový materiál ZVIT (sk.B36,61,62,64)</t>
  </si>
  <si>
    <t xml:space="preserve">                    Prací prášky - prádelna (sk.V 40)</t>
  </si>
  <si>
    <t xml:space="preserve">                    Údržbový materiál ostatní - sklady (sk.T17)</t>
  </si>
  <si>
    <t xml:space="preserve">                    Spotřební materiál k PDS (potrubní pošta (sk.V22)</t>
  </si>
  <si>
    <t xml:space="preserve">                    Spotřební materiál k ZPr. (sk.V21)</t>
  </si>
  <si>
    <t xml:space="preserve">                    Lékárničky a ZM na provozech</t>
  </si>
  <si>
    <t xml:space="preserve">                    Obalový mat. pro sterilizaci (sk.V20)</t>
  </si>
  <si>
    <t xml:space="preserve">                    IT - spotřební materiál (sk. P37, 38, 48)</t>
  </si>
  <si>
    <t xml:space="preserve">                    Všeob.mat. - nábytek (V30) do 1tis.</t>
  </si>
  <si>
    <t xml:space="preserve">                    Všeob.mat. - hosp.přístr.a nářadí (V32) od 1tis do 2999,99 </t>
  </si>
  <si>
    <t xml:space="preserve">                    Všeob.mat. - kuchyň tech. (V33) od 1tis do 2999,99 </t>
  </si>
  <si>
    <t xml:space="preserve">                    Všeob.mat. - kancel.tech. (V34) od 1tis do 2999,99 </t>
  </si>
  <si>
    <t xml:space="preserve">                    Všeob.mat. - ostatní-vyjímky (V44) od 0,01 do 999,99 </t>
  </si>
  <si>
    <t xml:space="preserve">                    Technické plyny</t>
  </si>
  <si>
    <t xml:space="preserve">                    Obaly ostatní - LEK (sk.Z519)</t>
  </si>
  <si>
    <t xml:space="preserve">                Náhradní díly</t>
  </si>
  <si>
    <t xml:space="preserve">                    ND - ostatní (všeob.sklad) (sk.V38)</t>
  </si>
  <si>
    <t xml:space="preserve">                    ND - zdravot.techn.(sklad) (sk.Z39)</t>
  </si>
  <si>
    <t xml:space="preserve">                    ND - ostatní techn.(OSBTK, vč.metrologa)</t>
  </si>
  <si>
    <t xml:space="preserve">                    ND - zdravotní techn. (OSBTK, vč.metrologa)</t>
  </si>
  <si>
    <t xml:space="preserve">                    ND - výpoč. techn.(sklad) (sk.P47)</t>
  </si>
  <si>
    <t xml:space="preserve">                    ND - ZVIT (sk.B63)</t>
  </si>
  <si>
    <t xml:space="preserve">                    ND - doprava (sk.A50)</t>
  </si>
  <si>
    <t xml:space="preserve">                    ND - biomedicina (sk.M01)</t>
  </si>
  <si>
    <t xml:space="preserve">                DDHM a textil</t>
  </si>
  <si>
    <t xml:space="preserve">                    Prádlo pacientů (sk.T12)</t>
  </si>
  <si>
    <t xml:space="preserve">                    DDHM - výpočetní technika (sk.35, 49)</t>
  </si>
  <si>
    <t xml:space="preserve">                    OOPP a prádlo pro zaměstnance (sk.T14)</t>
  </si>
  <si>
    <t xml:space="preserve">                    OOPP pro pacienty a doprovod (sk.T11)</t>
  </si>
  <si>
    <t xml:space="preserve">                    Pokojový textil (sk. T15)</t>
  </si>
  <si>
    <t xml:space="preserve">                    Netkaný textil (sk.T18)</t>
  </si>
  <si>
    <t xml:space="preserve">                    Jednorázové ochranné pomůcky (sk.T18A)</t>
  </si>
  <si>
    <t xml:space="preserve">                    Jednorázový operační materiál (sk.T18B)</t>
  </si>
  <si>
    <t xml:space="preserve">                    Jednorázové hygienické potřeby (sk.T18C)</t>
  </si>
  <si>
    <t xml:space="preserve">                Knihy a časopisy</t>
  </si>
  <si>
    <t xml:space="preserve">                    Knihy a časopisy</t>
  </si>
  <si>
    <t xml:space="preserve">                Materiál z darů, FKSP</t>
  </si>
  <si>
    <t xml:space="preserve">                    Spotř.nák.- z fin. darů</t>
  </si>
  <si>
    <t xml:space="preserve">                    Věcné dary</t>
  </si>
  <si>
    <t xml:space="preserve">                Převod VČ - potraviny</t>
  </si>
  <si>
    <t xml:space="preserve">                    VČ - horké provozy</t>
  </si>
  <si>
    <t xml:space="preserve">                Převod VČ - všeob.mat.</t>
  </si>
  <si>
    <t xml:space="preserve">                    VČ - všeob. materiál</t>
  </si>
  <si>
    <t xml:space="preserve">                    VČ - drogistické zboží</t>
  </si>
  <si>
    <t xml:space="preserve">                    VĆ - desinf.prostř.LEK</t>
  </si>
  <si>
    <t xml:space="preserve">                    VČ - kancelářské potřeby</t>
  </si>
  <si>
    <t xml:space="preserve">                    VČ - údržbový materiál</t>
  </si>
  <si>
    <t xml:space="preserve">                    VČ - prášky pro prádelnu</t>
  </si>
  <si>
    <t xml:space="preserve">                Převod VČ - náhradní díly</t>
  </si>
  <si>
    <t xml:space="preserve">                    VČ - náhradní díly</t>
  </si>
  <si>
    <t xml:space="preserve">                Převod VČ - DDHM,textil</t>
  </si>
  <si>
    <t xml:space="preserve">                    VČ - DDHM</t>
  </si>
  <si>
    <t xml:space="preserve">                    VČ - OOPP</t>
  </si>
  <si>
    <t>A502</t>
  </si>
  <si>
    <t xml:space="preserve">            Spotřeba energie</t>
  </si>
  <si>
    <t xml:space="preserve">                Převod HČ - energie</t>
  </si>
  <si>
    <t xml:space="preserve">                    Převod HČ - energie</t>
  </si>
  <si>
    <t xml:space="preserve">                Spotřeba energie</t>
  </si>
  <si>
    <t xml:space="preserve">                    Elektřina</t>
  </si>
  <si>
    <t xml:space="preserve">                    Vodné, stočné</t>
  </si>
  <si>
    <t xml:space="preserve">                    Pára</t>
  </si>
  <si>
    <t xml:space="preserve">                    Plyn</t>
  </si>
  <si>
    <t xml:space="preserve">                Převod VČ - energie</t>
  </si>
  <si>
    <t xml:space="preserve">                    VČ - elektřina</t>
  </si>
  <si>
    <t xml:space="preserve">                    VČ - vodné, stočné</t>
  </si>
  <si>
    <t xml:space="preserve">                    VČ - pára</t>
  </si>
  <si>
    <t>A503</t>
  </si>
  <si>
    <t xml:space="preserve">            Spotřeba ostatních neskladovatelných dodávek</t>
  </si>
  <si>
    <t>A504</t>
  </si>
  <si>
    <t xml:space="preserve">            Prodané zboží</t>
  </si>
  <si>
    <t xml:space="preserve">                Prodané zb. FNOL</t>
  </si>
  <si>
    <t xml:space="preserve">                    Kantýna (zboží)</t>
  </si>
  <si>
    <t xml:space="preserve">                    Prodej pacientům (pomůcky pro rodičky, USB náram....)</t>
  </si>
  <si>
    <t xml:space="preserve">                    Kantýna (suroviny při výrobě)</t>
  </si>
  <si>
    <t xml:space="preserve">                Finanční bonusy</t>
  </si>
  <si>
    <t xml:space="preserve">                    Léky prodej - slevy (přeúčt. na 64910003) </t>
  </si>
  <si>
    <t xml:space="preserve">                Prodané zb. LEK</t>
  </si>
  <si>
    <t xml:space="preserve">                    Nákl. na prodej - ostatní, dopl.pacientů</t>
  </si>
  <si>
    <t xml:space="preserve">                    Nákl. na prodej - deriváty zdrav.zař.a ostatním org.</t>
  </si>
  <si>
    <t xml:space="preserve">                    Nákl. na prodej - ostatním organizacím</t>
  </si>
  <si>
    <t xml:space="preserve">                    Nákl. na prodej - recepty ZP</t>
  </si>
  <si>
    <t xml:space="preserve">                    Nákl. na prodej - PZT</t>
  </si>
  <si>
    <t xml:space="preserve">                    Nákl. na prodej - poukazy ZP </t>
  </si>
  <si>
    <t xml:space="preserve">                    Nákl. na prodej - zdravotnickým zařízením</t>
  </si>
  <si>
    <t xml:space="preserve">                    Nákl. na prodej center - ZP</t>
  </si>
  <si>
    <t xml:space="preserve">                    Nákl. na prodej PZT FONI - ZP </t>
  </si>
  <si>
    <t xml:space="preserve">                    Nákl. na prodej PZT FONI - doplatky pacientů</t>
  </si>
  <si>
    <t xml:space="preserve">                    Nákl. na prodej - neléčiva</t>
  </si>
  <si>
    <t xml:space="preserve">                    Nákl. na prodej - recepty VZP</t>
  </si>
  <si>
    <t xml:space="preserve">                    Nákl. na prodej - poukazy VZP</t>
  </si>
  <si>
    <t xml:space="preserve">                    Nákl. na prodej - enter.a parent.výživa - ostatním organizacím</t>
  </si>
  <si>
    <t xml:space="preserve">                    Nákl. na prodej center - VZP</t>
  </si>
  <si>
    <t xml:space="preserve">                    Nákl. na prodej PZT FONI - VZP</t>
  </si>
  <si>
    <t>A507</t>
  </si>
  <si>
    <t xml:space="preserve">            Aktivace</t>
  </si>
  <si>
    <t xml:space="preserve">                Aktivace oběžného majetku</t>
  </si>
  <si>
    <t xml:space="preserve">                    HČ - aktivace oběžného majetku</t>
  </si>
  <si>
    <t xml:space="preserve">                    Aktivace potravin (stř.9505)</t>
  </si>
  <si>
    <t xml:space="preserve">                    Aktivace krevní přípravky</t>
  </si>
  <si>
    <t xml:space="preserve">                    Aktivace plazma</t>
  </si>
  <si>
    <t xml:space="preserve">                Aktivace oběžného majetku - LEK</t>
  </si>
  <si>
    <t xml:space="preserve">                    Elaborace LEK (destil.voda)</t>
  </si>
  <si>
    <t xml:space="preserve">                    Taxalaborum LEK při výrobě</t>
  </si>
  <si>
    <t xml:space="preserve">                    Parenterální výživa </t>
  </si>
  <si>
    <t xml:space="preserve">                VČ - aktivace oběžného majetku</t>
  </si>
  <si>
    <t xml:space="preserve">                    VČ - aktivace oběžného majetku</t>
  </si>
  <si>
    <t>A51</t>
  </si>
  <si>
    <t xml:space="preserve">        Služby</t>
  </si>
  <si>
    <t>A511</t>
  </si>
  <si>
    <t xml:space="preserve">            Opravy a udržování</t>
  </si>
  <si>
    <t xml:space="preserve">                Převod HČ - opravy a udrž.</t>
  </si>
  <si>
    <t xml:space="preserve">                    Propočet hlavní činnosti</t>
  </si>
  <si>
    <t xml:space="preserve">                Technika a stavby</t>
  </si>
  <si>
    <t xml:space="preserve">                    Opravy zdravotnické techniky - OSBTK, vč.metrologa</t>
  </si>
  <si>
    <t xml:space="preserve">                    Opravy - Úsek inf.systémů</t>
  </si>
  <si>
    <t xml:space="preserve">                    Opravy ostatní techniky - OSBTK, vč.metrologa</t>
  </si>
  <si>
    <t xml:space="preserve">                    Opravy - správa budov</t>
  </si>
  <si>
    <t xml:space="preserve">                    Opravy - hl.energetik</t>
  </si>
  <si>
    <t xml:space="preserve">                    Opravy STA rozvodů (tel.antény) - ELSYS</t>
  </si>
  <si>
    <t xml:space="preserve">                    Opravy a údržba vozového parku</t>
  </si>
  <si>
    <t xml:space="preserve">                    Opravy - vodní hospodářství</t>
  </si>
  <si>
    <t xml:space="preserve">                    Opravy - požární techniky</t>
  </si>
  <si>
    <t xml:space="preserve">                Převod VČ - opravy a udrž.</t>
  </si>
  <si>
    <t xml:space="preserve">                    VČ - opravy techniky</t>
  </si>
  <si>
    <t xml:space="preserve">                    VČ - opravy budov</t>
  </si>
  <si>
    <t>A512</t>
  </si>
  <si>
    <t xml:space="preserve">            Cestovné</t>
  </si>
  <si>
    <t xml:space="preserve">                Cestovné zaměstnanců-tuzemské</t>
  </si>
  <si>
    <t xml:space="preserve">                    Cestovné z mezd</t>
  </si>
  <si>
    <t xml:space="preserve">                    Cestovné tuzemské - OUC</t>
  </si>
  <si>
    <t xml:space="preserve">                Cestovné pacientů</t>
  </si>
  <si>
    <t xml:space="preserve">                    Cestovné pacientů</t>
  </si>
  <si>
    <t xml:space="preserve">                Cestovné zaměstnanců-zahraniční</t>
  </si>
  <si>
    <t xml:space="preserve">                    Cestovné zahraniční - mzdy</t>
  </si>
  <si>
    <t xml:space="preserve">                    Cestovné zahraniční - OUC</t>
  </si>
  <si>
    <t xml:space="preserve">                Cestovné z darů</t>
  </si>
  <si>
    <t xml:space="preserve">                    Cestovné z darů</t>
  </si>
  <si>
    <t>A513</t>
  </si>
  <si>
    <t xml:space="preserve">            Náklady na reprezentaci (nedaň.)</t>
  </si>
  <si>
    <t xml:space="preserve">                Náklady na reprezentaci (daň.neúč.)</t>
  </si>
  <si>
    <t xml:space="preserve">                    Dodavatelsky</t>
  </si>
  <si>
    <t xml:space="preserve">                    Ve vlastní režii</t>
  </si>
  <si>
    <t>A518</t>
  </si>
  <si>
    <t xml:space="preserve">            Ostatní služby</t>
  </si>
  <si>
    <t xml:space="preserve">                Převod HČ - ostatní služby</t>
  </si>
  <si>
    <t xml:space="preserve">                    Převod HČ - ostatní služby</t>
  </si>
  <si>
    <t xml:space="preserve">                Přepravné</t>
  </si>
  <si>
    <t xml:space="preserve">                    Přepravné-lab. vzorky,...</t>
  </si>
  <si>
    <t xml:space="preserve">                Spoje</t>
  </si>
  <si>
    <t xml:space="preserve">                    Poštovné</t>
  </si>
  <si>
    <t xml:space="preserve">                    Telekom.styk</t>
  </si>
  <si>
    <t xml:space="preserve">                Nájemné</t>
  </si>
  <si>
    <t xml:space="preserve">                    Náj. software (licence atd. ...)</t>
  </si>
  <si>
    <t xml:space="preserve">                    Náj. nebytových prostor</t>
  </si>
  <si>
    <t xml:space="preserve">                    Popl. za R a TV, veř. produkce</t>
  </si>
  <si>
    <t xml:space="preserve">                    Náj. plynových lahví</t>
  </si>
  <si>
    <t xml:space="preserve">                    Náj. přístrojů a techniky</t>
  </si>
  <si>
    <t xml:space="preserve">                Projekt. práce a inž. čin.</t>
  </si>
  <si>
    <t xml:space="preserve">                    Průzkumné a projektové práce</t>
  </si>
  <si>
    <t xml:space="preserve">                Úklid, odpad, desinf., deratizace</t>
  </si>
  <si>
    <t xml:space="preserve">                    Úklid. služby - paušál</t>
  </si>
  <si>
    <t xml:space="preserve">                    Úklid. služby - více práce</t>
  </si>
  <si>
    <t xml:space="preserve">                    Popl. za DDD a ostatní služby</t>
  </si>
  <si>
    <t xml:space="preserve">                    Odpad (spalovna)</t>
  </si>
  <si>
    <t xml:space="preserve">                    Odpad (ostatní)</t>
  </si>
  <si>
    <t xml:space="preserve">                    Údržba dřevin a zeleně (EKOL)</t>
  </si>
  <si>
    <t xml:space="preserve">                    Praní prádla</t>
  </si>
  <si>
    <t xml:space="preserve">                Stravné, pohoštění - dodavatelsky</t>
  </si>
  <si>
    <t xml:space="preserve">                    Konference - pohoštění zajištěné ve vlastní režii</t>
  </si>
  <si>
    <t xml:space="preserve">                    Konference - pohoštění zajištěné dodavat.</t>
  </si>
  <si>
    <t xml:space="preserve">                    Stravné - dodavatelsky</t>
  </si>
  <si>
    <t xml:space="preserve">                Revize a smluvní servisy majetku</t>
  </si>
  <si>
    <t xml:space="preserve">                    Revize, sml.servis - energetik</t>
  </si>
  <si>
    <t xml:space="preserve">                    Revize, tech.kontroly, prev.prohl.- OSBTK</t>
  </si>
  <si>
    <t xml:space="preserve">                    Revize, sml.servis PO - OBKR</t>
  </si>
  <si>
    <t xml:space="preserve">                    Revize, sml.servis - vodní hospod.</t>
  </si>
  <si>
    <t xml:space="preserve">                    Revize, sml.servis - doprava</t>
  </si>
  <si>
    <t xml:space="preserve">                    Revize, sml.servis - VT</t>
  </si>
  <si>
    <t xml:space="preserve">                    Revize - kalibrace - metrolog</t>
  </si>
  <si>
    <t xml:space="preserve">                    Smluvní servis - OSBTK</t>
  </si>
  <si>
    <t xml:space="preserve">                    Zkoušky - zaškol.zdrav.techn.(instrukce uživatelům 268/2014 Sb)</t>
  </si>
  <si>
    <t xml:space="preserve">                Náklady za poplatky na bankovní služby</t>
  </si>
  <si>
    <t xml:space="preserve">                    Poplatky za vedení účtu</t>
  </si>
  <si>
    <t xml:space="preserve">                Náklady - projekty EU</t>
  </si>
  <si>
    <t xml:space="preserve">                    Náklady - projekty EU</t>
  </si>
  <si>
    <t xml:space="preserve">                Ostatní služby</t>
  </si>
  <si>
    <t xml:space="preserve">                    Ostatní služby - provozní</t>
  </si>
  <si>
    <t xml:space="preserve">                    Služby (ostraha)</t>
  </si>
  <si>
    <t xml:space="preserve">                    Služby poradenské (odborní poradci)</t>
  </si>
  <si>
    <t xml:space="preserve">                    Inzerce</t>
  </si>
  <si>
    <t xml:space="preserve">                    Právní zastupování</t>
  </si>
  <si>
    <t xml:space="preserve">                    Ostatní služby - zdravotní</t>
  </si>
  <si>
    <t xml:space="preserve">                    Zkoušky kvality</t>
  </si>
  <si>
    <t xml:space="preserve">                    TZ SW - OINF</t>
  </si>
  <si>
    <t xml:space="preserve">                    IT služby - ostatní systémy</t>
  </si>
  <si>
    <t xml:space="preserve">                    Organ.rozvoj (certif., akred.)</t>
  </si>
  <si>
    <t xml:space="preserve">                    Audit, ekon.porad., porad.- proj.MZČR a EU</t>
  </si>
  <si>
    <t xml:space="preserve">                    Propagace, reklama, tisk (TM)</t>
  </si>
  <si>
    <t xml:space="preserve">                    Personál.rozvoj (9071)</t>
  </si>
  <si>
    <t xml:space="preserve">                    Konference  - zajišť.dodavatelsky (ubyt., nájem, ostat.sl.)</t>
  </si>
  <si>
    <t xml:space="preserve">                    IT služby - NAVISION</t>
  </si>
  <si>
    <t xml:space="preserve">                Služby z darů, FKSP</t>
  </si>
  <si>
    <t xml:space="preserve">                    Služby z fin.darů</t>
  </si>
  <si>
    <t xml:space="preserve">                    Služby z bonusů, věc.darů</t>
  </si>
  <si>
    <t xml:space="preserve">                Převod VČ - ostatní služby</t>
  </si>
  <si>
    <t xml:space="preserve">                    VČ - spoje a telekomunikace</t>
  </si>
  <si>
    <t xml:space="preserve">                    VČ - nájemné</t>
  </si>
  <si>
    <t xml:space="preserve">                    VČ - úklid</t>
  </si>
  <si>
    <t xml:space="preserve">                    VĆ - revize</t>
  </si>
  <si>
    <t xml:space="preserve">                    VČ - ostatní služby</t>
  </si>
  <si>
    <t>A52</t>
  </si>
  <si>
    <t xml:space="preserve">        Osobní náklady</t>
  </si>
  <si>
    <t>A521</t>
  </si>
  <si>
    <t xml:space="preserve">            Mzdové náklady</t>
  </si>
  <si>
    <t xml:space="preserve">                Převod HČ - mzdové náklady</t>
  </si>
  <si>
    <t xml:space="preserve">                    Převod HČ - mzdy</t>
  </si>
  <si>
    <t xml:space="preserve">                Hrubé mzdy</t>
  </si>
  <si>
    <t xml:space="preserve">                    Hrubé mzdy</t>
  </si>
  <si>
    <t xml:space="preserve">                Placené služby</t>
  </si>
  <si>
    <t xml:space="preserve">                    Placené služby</t>
  </si>
  <si>
    <t xml:space="preserve">                Refundace</t>
  </si>
  <si>
    <t xml:space="preserve">                    Refundace</t>
  </si>
  <si>
    <t xml:space="preserve">                Půjčeno počítačem - SW VEMA</t>
  </si>
  <si>
    <t xml:space="preserve">                    Půjčeno počítačem</t>
  </si>
  <si>
    <t xml:space="preserve">                Daňové doplatky minulých let</t>
  </si>
  <si>
    <t xml:space="preserve">                    Daňové doplatky minulých let</t>
  </si>
  <si>
    <t xml:space="preserve">                OON - dohody</t>
  </si>
  <si>
    <t xml:space="preserve">                    OON - dohody</t>
  </si>
  <si>
    <t xml:space="preserve">                Odstupné</t>
  </si>
  <si>
    <t xml:space="preserve">                    Odstupné</t>
  </si>
  <si>
    <t xml:space="preserve">                Náhrada mzdy po dobu dočas.prac.neschopnosti</t>
  </si>
  <si>
    <t xml:space="preserve">                    Náhrada mzdy po dobu dočas.prac.neschop.-hraz.org.</t>
  </si>
  <si>
    <t xml:space="preserve">                Peněžité dary z FKSP</t>
  </si>
  <si>
    <t xml:space="preserve">                    Peněžité dary z FKSP</t>
  </si>
  <si>
    <t xml:space="preserve">                Převod VČ - mzdové náklady</t>
  </si>
  <si>
    <t xml:space="preserve">                    VČ - mzdové náklady</t>
  </si>
  <si>
    <t xml:space="preserve">                    VČ - OON</t>
  </si>
  <si>
    <t xml:space="preserve">                    VČ - odstupné</t>
  </si>
  <si>
    <t xml:space="preserve">                    VČ - náhr.mzdy po dobu dočas.prac.neschop.</t>
  </si>
  <si>
    <t>A522</t>
  </si>
  <si>
    <t xml:space="preserve">            Příjmy společníků a členů družstva ze závISMlé činnosti</t>
  </si>
  <si>
    <t>A523</t>
  </si>
  <si>
    <t xml:space="preserve">            Odměny členům orgánů společnosti a družstva</t>
  </si>
  <si>
    <t>A524</t>
  </si>
  <si>
    <t xml:space="preserve">            Zákonné sociální pojištění</t>
  </si>
  <si>
    <t xml:space="preserve">                Převod HČ - zákonné pojištění</t>
  </si>
  <si>
    <t xml:space="preserve">                    Převod HČ - zákon. poj.</t>
  </si>
  <si>
    <t xml:space="preserve">                Zdravotní pojištění organizace</t>
  </si>
  <si>
    <t xml:space="preserve">                    Zdravotní poj. organizace</t>
  </si>
  <si>
    <t xml:space="preserve">                Sociální pojištění organizace</t>
  </si>
  <si>
    <t xml:space="preserve">                    Sociální poj. organizace</t>
  </si>
  <si>
    <t xml:space="preserve">                Refundace - zdravotní pojištění</t>
  </si>
  <si>
    <t xml:space="preserve">                    Refundace - zdravotní pojištění</t>
  </si>
  <si>
    <t xml:space="preserve">                Refundace - sociální pojištění</t>
  </si>
  <si>
    <t xml:space="preserve">                    Refundace - sociální pojištění</t>
  </si>
  <si>
    <t xml:space="preserve">                Převod VČ - zákonné pojištění</t>
  </si>
  <si>
    <t xml:space="preserve">                    VČ - zdravotní pojištění</t>
  </si>
  <si>
    <t xml:space="preserve">                    VČ - sociální pojištění</t>
  </si>
  <si>
    <t>A525</t>
  </si>
  <si>
    <t xml:space="preserve">            Ostatní sociální pojištění</t>
  </si>
  <si>
    <t xml:space="preserve">                Jiné sociální pojištění</t>
  </si>
  <si>
    <t xml:space="preserve">                    Pojištění zaměstnanců (čtvrtletně)</t>
  </si>
  <si>
    <t>A526</t>
  </si>
  <si>
    <t xml:space="preserve">            Sociální náklady individuálního podnikatele</t>
  </si>
  <si>
    <t>A527</t>
  </si>
  <si>
    <t xml:space="preserve">            Zákonné sociální dávky</t>
  </si>
  <si>
    <t xml:space="preserve">                Převod HČ - zák.sociál.nákl.</t>
  </si>
  <si>
    <t xml:space="preserve">                    Převod HČ - zák.sociál.nákl.</t>
  </si>
  <si>
    <t xml:space="preserve">                Zákonné sociální náklady</t>
  </si>
  <si>
    <t xml:space="preserve">                    FKSP - jednotný příděl</t>
  </si>
  <si>
    <t xml:space="preserve">                Převod VČ - zák.sociál.nákl.</t>
  </si>
  <si>
    <t xml:space="preserve">                    VČ - zák.sociál.nákl.(FKSP)</t>
  </si>
  <si>
    <t>A528</t>
  </si>
  <si>
    <t xml:space="preserve">            Ostatní sociální náklady</t>
  </si>
  <si>
    <t xml:space="preserve">                Jiné sociální náklady</t>
  </si>
  <si>
    <t xml:space="preserve">                    Zvyšování kvalifikace - daň.neúčinné (vyplac.přes pokladnu)</t>
  </si>
  <si>
    <t>A53</t>
  </si>
  <si>
    <t xml:space="preserve">        Daně a poplatky</t>
  </si>
  <si>
    <t>A531</t>
  </si>
  <si>
    <t xml:space="preserve">            Daň silniční</t>
  </si>
  <si>
    <t xml:space="preserve">                Daň silniční</t>
  </si>
  <si>
    <t xml:space="preserve">                    Daň silniční</t>
  </si>
  <si>
    <t>A532</t>
  </si>
  <si>
    <t xml:space="preserve">            Daň z nemovitostí</t>
  </si>
  <si>
    <t xml:space="preserve">                Daň z nemovitostí</t>
  </si>
  <si>
    <t xml:space="preserve">                    Daň z nemovitostí</t>
  </si>
  <si>
    <t>A538</t>
  </si>
  <si>
    <t xml:space="preserve">            Ostatní daně a poplatky</t>
  </si>
  <si>
    <t xml:space="preserve">                Poplatky</t>
  </si>
  <si>
    <t xml:space="preserve">                    Ubytovací poplatek (odvod SM OI)</t>
  </si>
  <si>
    <t xml:space="preserve">                    Soudní poplatky</t>
  </si>
  <si>
    <t xml:space="preserve">                    Správní poplatky</t>
  </si>
  <si>
    <t xml:space="preserve">                    Poplatky za užívání dálnic a rychl.silnic, mýtné</t>
  </si>
  <si>
    <t xml:space="preserve">                    Ostatní poplatky</t>
  </si>
  <si>
    <t>A54</t>
  </si>
  <si>
    <t xml:space="preserve">        Jiné provozní náklady</t>
  </si>
  <si>
    <t>A541</t>
  </si>
  <si>
    <t xml:space="preserve">            Zůstatková cena prodaného nehm.a hm.dlouh.majetku</t>
  </si>
  <si>
    <t xml:space="preserve">                Úroky z prodlení</t>
  </si>
  <si>
    <t xml:space="preserve">                    Úroky z prodlení</t>
  </si>
  <si>
    <t xml:space="preserve">                Sankce za překročení regul.léčiv a PZT</t>
  </si>
  <si>
    <t xml:space="preserve">                    Preskripce L a PZT - min. rok</t>
  </si>
  <si>
    <t>A542</t>
  </si>
  <si>
    <t xml:space="preserve">            Prodaný materiál</t>
  </si>
  <si>
    <t xml:space="preserve">                Jiné sankce - daň.účinné</t>
  </si>
  <si>
    <t xml:space="preserve">                Jiné pokuty a penále(dle dokladů)</t>
  </si>
  <si>
    <t xml:space="preserve">                    Pok.za pozdní odvody daní</t>
  </si>
  <si>
    <t xml:space="preserve">                    Pok.za poruš.léčebných předpisů</t>
  </si>
  <si>
    <t xml:space="preserve">                    Ostatní pokuty a penále</t>
  </si>
  <si>
    <t xml:space="preserve">                    Pok.za pozdní hlášení stát.org.(celní zpr., policie...)</t>
  </si>
  <si>
    <t xml:space="preserve">                    Pok.za poruš.zák. o veřejných zakázkách</t>
  </si>
  <si>
    <t xml:space="preserve">                    Penále z neopráv.použ.prostř.SR</t>
  </si>
  <si>
    <t>A543</t>
  </si>
  <si>
    <t xml:space="preserve">            Dary</t>
  </si>
  <si>
    <t>A544</t>
  </si>
  <si>
    <t xml:space="preserve">            Smluvní pokuty a úroky z prodlení</t>
  </si>
  <si>
    <t xml:space="preserve">                Prodané krevní přípravky</t>
  </si>
  <si>
    <t xml:space="preserve">                    Prodané krevní přípravky</t>
  </si>
  <si>
    <t xml:space="preserve">                    Prodaná plazma</t>
  </si>
  <si>
    <t xml:space="preserve">                    Prodané krevní deriváty</t>
  </si>
  <si>
    <t>A545</t>
  </si>
  <si>
    <t xml:space="preserve">            Ostatní pokuty a penále</t>
  </si>
  <si>
    <t>A546</t>
  </si>
  <si>
    <t xml:space="preserve">            OdpISM pohledávky</t>
  </si>
  <si>
    <t>A547</t>
  </si>
  <si>
    <t xml:space="preserve">            Mimořádné provozní náklady</t>
  </si>
  <si>
    <t xml:space="preserve">                Manka a škody </t>
  </si>
  <si>
    <t xml:space="preserve">                    Zcizení a poškoz. maj.FNOL(jednání v NK)</t>
  </si>
  <si>
    <t xml:space="preserve">                Zmařený dlouhodobý majetek</t>
  </si>
  <si>
    <t xml:space="preserve">                    Zmařený dlohodobý majetek</t>
  </si>
  <si>
    <t xml:space="preserve">                Manka a škody nad normu(daň.neúčinné)</t>
  </si>
  <si>
    <t xml:space="preserve">                    Manka nad normu(daň.neúčinné)</t>
  </si>
  <si>
    <t>A548</t>
  </si>
  <si>
    <t xml:space="preserve">            Ostatní provozní náklady</t>
  </si>
  <si>
    <t>A549</t>
  </si>
  <si>
    <t xml:space="preserve">            Manka a škody</t>
  </si>
  <si>
    <t xml:space="preserve">                Převod HČ - ostatní náklady</t>
  </si>
  <si>
    <t xml:space="preserve">                    Převod HČ - ostatní náklady z činnosti</t>
  </si>
  <si>
    <t xml:space="preserve">                Technické zhodnocení budov</t>
  </si>
  <si>
    <t xml:space="preserve">                    TZ budov - OHE</t>
  </si>
  <si>
    <t xml:space="preserve">                    TZ budov - OSB</t>
  </si>
  <si>
    <t xml:space="preserve">                Odpočet DPH koeficientem</t>
  </si>
  <si>
    <t xml:space="preserve">                    Odpočet DPH koeficientem</t>
  </si>
  <si>
    <t xml:space="preserve">                    Dorovnání DPH k hlášení</t>
  </si>
  <si>
    <t xml:space="preserve">                    Vyrovovnání koeficientu DPH - roční</t>
  </si>
  <si>
    <t xml:space="preserve">                Odvody do SR z minulých let</t>
  </si>
  <si>
    <t xml:space="preserve">                    Odvody do SR z minulých let</t>
  </si>
  <si>
    <t xml:space="preserve">                Ostatní náklady z činnosti</t>
  </si>
  <si>
    <t xml:space="preserve">                    Ostatní náklady z činnosti</t>
  </si>
  <si>
    <t xml:space="preserve">                    Práce výrobní povahy(výroba klíčů,tabulek)</t>
  </si>
  <si>
    <t xml:space="preserve">                    Vyřazení expirovaných léků</t>
  </si>
  <si>
    <t xml:space="preserve">                    Refundace věcných nákladů</t>
  </si>
  <si>
    <t xml:space="preserve">                    Ostatní(byty ÚMO)</t>
  </si>
  <si>
    <t xml:space="preserve">                    Školení, kongresové poplatky tuzemské - lékaři</t>
  </si>
  <si>
    <t xml:space="preserve">                    Školení, kongresové poplatky tuzemské - ost.zdrav.pracov.</t>
  </si>
  <si>
    <t xml:space="preserve">                    Školení - nezdrav.pracov.</t>
  </si>
  <si>
    <t xml:space="preserve">                    Registrační poplatky - kongresy zahraniční</t>
  </si>
  <si>
    <t xml:space="preserve">                    Potraviny - ztratné do normy při zpracování</t>
  </si>
  <si>
    <t xml:space="preserve">                    Přecenění léků pod nákupní cenu (lékárna)</t>
  </si>
  <si>
    <t xml:space="preserve">                    Mimosoudní narovnání</t>
  </si>
  <si>
    <t xml:space="preserve">                    Organizace plesu</t>
  </si>
  <si>
    <t xml:space="preserve">                    Rozdíly z inventarizace</t>
  </si>
  <si>
    <t xml:space="preserve">                Pojištění (sml.418/2006)</t>
  </si>
  <si>
    <t xml:space="preserve">                    Pojištění - majetek (A 9001)</t>
  </si>
  <si>
    <t xml:space="preserve">                    Pojištění - odpověd.za škodu (B 9001)</t>
  </si>
  <si>
    <t xml:space="preserve">                    Pojištění - vozidla(zák., havar.) (C,D 9402)</t>
  </si>
  <si>
    <t xml:space="preserve">                    Pojištění - cestovní </t>
  </si>
  <si>
    <t xml:space="preserve">                Náklady účtované od UP</t>
  </si>
  <si>
    <t xml:space="preserve">                    Náklady účtované od UP</t>
  </si>
  <si>
    <t xml:space="preserve">                Odměny dárcům</t>
  </si>
  <si>
    <t xml:space="preserve">                    Odměny dárcům</t>
  </si>
  <si>
    <t xml:space="preserve">                Ostatní výplaty fyzickým osobám</t>
  </si>
  <si>
    <t xml:space="preserve">                    Odškod.pacientů - renty</t>
  </si>
  <si>
    <t xml:space="preserve">                Ostatní výplaty fyzickým osobám(OPMČ)</t>
  </si>
  <si>
    <t xml:space="preserve">                    Odškodn.-náhr.mzdy zam.(OPMČ)</t>
  </si>
  <si>
    <t xml:space="preserve">                Předpis - KDF za služby</t>
  </si>
  <si>
    <t xml:space="preserve">                    Předpis KDF - služby</t>
  </si>
  <si>
    <t xml:space="preserve">                Školení - ost.zaměst.THP (pouze OPMČ)</t>
  </si>
  <si>
    <t xml:space="preserve">                    Školení - ost.zaměst.THP(pouze OPMČ)</t>
  </si>
  <si>
    <t xml:space="preserve">                Školení, kongres.popl.tuzemské - lékaři (pouze OPMČ)</t>
  </si>
  <si>
    <t xml:space="preserve">                    Školení, kongres.popl.tuzemské - lékaři (pouze OPMČ)</t>
  </si>
  <si>
    <t xml:space="preserve">                Školení, kongres.popl.tuzemské - ostatní zdrav.prac.(pouze OPMČ)</t>
  </si>
  <si>
    <t xml:space="preserve">                    Školení, kongres.popl.tuzemské - ostatní zdrav.prac.(pouze OPMČ)</t>
  </si>
  <si>
    <t xml:space="preserve">                Předpis - KDF za stálé platby</t>
  </si>
  <si>
    <t xml:space="preserve">                    Předpis KDF - stálé platby</t>
  </si>
  <si>
    <t xml:space="preserve">                Registrační poplatky - kongresy zahraniční (pouze OPMČ)</t>
  </si>
  <si>
    <t xml:space="preserve">                    Registrační poplatky - kongresy zahraniční (pouze OPMČ)</t>
  </si>
  <si>
    <t xml:space="preserve">                Jiné náklady z darů</t>
  </si>
  <si>
    <t xml:space="preserve">                    Jiné náklady z fin.darů</t>
  </si>
  <si>
    <t xml:space="preserve">                Převod VČ - ostatní nákl.z činnosti</t>
  </si>
  <si>
    <t xml:space="preserve">                    VČ - ostatní náklady</t>
  </si>
  <si>
    <t xml:space="preserve">                    VČ - technické zhodnocení</t>
  </si>
  <si>
    <t xml:space="preserve">                    VČ - výpl.fyz.osobám-PaM</t>
  </si>
  <si>
    <t xml:space="preserve">                Přípěvky a poplatky(daň.neúčinné)</t>
  </si>
  <si>
    <t xml:space="preserve">                    Členské příspěvky a poplatky</t>
  </si>
  <si>
    <t xml:space="preserve">                    Zaměstnanecký benefit</t>
  </si>
  <si>
    <t>A55</t>
  </si>
  <si>
    <t xml:space="preserve">        Odpisy,rezervy a opravné položky provoz.nákladů</t>
  </si>
  <si>
    <t>A551</t>
  </si>
  <si>
    <t xml:space="preserve">            Odpisy dlouhodobého nehm. a hm. majetku</t>
  </si>
  <si>
    <t xml:space="preserve">                Převod HČ - odpisy DM</t>
  </si>
  <si>
    <t xml:space="preserve">                    Převod HČ - odpisy DM</t>
  </si>
  <si>
    <t xml:space="preserve">                Odpisy DM</t>
  </si>
  <si>
    <t xml:space="preserve">                    Odpisy DNM z odpisů</t>
  </si>
  <si>
    <t xml:space="preserve">                    Odpisy DHM - budovy z odpisů</t>
  </si>
  <si>
    <t xml:space="preserve">                    Odpisy DHM - zdravot.techn. z odpisů</t>
  </si>
  <si>
    <t xml:space="preserve">                    Odpisy DHM - ostatní z odpisů</t>
  </si>
  <si>
    <t xml:space="preserve">                    Odpisy DHM - budovy z dotací</t>
  </si>
  <si>
    <t xml:space="preserve">                    Odpisy DHM - zdravot.techn. z dotací</t>
  </si>
  <si>
    <t xml:space="preserve">                    Odpisy DHM - ostatní z dotací</t>
  </si>
  <si>
    <t xml:space="preserve">                ZC vyřazeného DM</t>
  </si>
  <si>
    <t xml:space="preserve">                    ZC DHM - zdravot.techn. z odpisů</t>
  </si>
  <si>
    <t xml:space="preserve">                    ZC DHM - ostatní z odpisů</t>
  </si>
  <si>
    <t xml:space="preserve">                    ZC DHM - budovy z odpisů</t>
  </si>
  <si>
    <t xml:space="preserve">                    ZC DHM - zdravot.techn. z dotací</t>
  </si>
  <si>
    <t xml:space="preserve">                    ZC DHM - ostatní z dotací</t>
  </si>
  <si>
    <t xml:space="preserve">                Převod VČ - odpisy DM</t>
  </si>
  <si>
    <t xml:space="preserve">                    Převod VČ - odpisy DM</t>
  </si>
  <si>
    <t xml:space="preserve">                    Převod VČ - ZC vyřaz. DM</t>
  </si>
  <si>
    <t>A552</t>
  </si>
  <si>
    <t xml:space="preserve">            Tvorba a zúčtování rezerv podle zvláštních právních předpISMů</t>
  </si>
  <si>
    <t>A554</t>
  </si>
  <si>
    <t xml:space="preserve">            Tvorba a zúčtování ostatních rezerv</t>
  </si>
  <si>
    <t>A555</t>
  </si>
  <si>
    <t xml:space="preserve">            Tvorba a zúčtování komplexních nákladů příštích období</t>
  </si>
  <si>
    <t>A557</t>
  </si>
  <si>
    <t xml:space="preserve">            Zúčtování oprávky k opravné pol. k nabytému majet.</t>
  </si>
  <si>
    <t xml:space="preserve">                Náklady z vyřazených pohledávek(daň.účinné)</t>
  </si>
  <si>
    <t xml:space="preserve">                    Náklady z vyřaz.pohled.pro nedobytnost(daň.účinné)</t>
  </si>
  <si>
    <t xml:space="preserve">                Náklady z vyřazených pohledávek(daň.neúčinné)</t>
  </si>
  <si>
    <t xml:space="preserve">                    Náklady z vyřaz.pohled.pro nedobytnost (daň.neúčinné)</t>
  </si>
  <si>
    <t>A558</t>
  </si>
  <si>
    <t xml:space="preserve">            Tvorba zákonných opravných položek</t>
  </si>
  <si>
    <t xml:space="preserve">                Náklady z drobného dlouhodobého majetku</t>
  </si>
  <si>
    <t xml:space="preserve">                    Převod HČ - náklady z drobného dlouhodobého majetku</t>
  </si>
  <si>
    <t xml:space="preserve">                DDHM zdravotnický a laboratorní</t>
  </si>
  <si>
    <t xml:space="preserve">                    DDHM - zdravotnické přístroje (sk.N_525)</t>
  </si>
  <si>
    <t xml:space="preserve">                    DDHM - zdravotnické nástroje (sk.Z_515)</t>
  </si>
  <si>
    <t xml:space="preserve">                    DDHM - zdravotnický a laboratorní (věcné dary)</t>
  </si>
  <si>
    <t xml:space="preserve">                    DDHM - zdravotnický a laboratorní (finanční dary)</t>
  </si>
  <si>
    <t xml:space="preserve">                DDHM - provozní</t>
  </si>
  <si>
    <t xml:space="preserve">                    DDHM - kuchyňské zařízení a nádobí (sk.V_26)</t>
  </si>
  <si>
    <t xml:space="preserve">                    DDHM - ostatní provozní technika (sk.V_35)</t>
  </si>
  <si>
    <t xml:space="preserve">                    DDHM - kacelářská technika (sk.V_37)</t>
  </si>
  <si>
    <t xml:space="preserve">                    DDHM - přepravní pouzdra pro PDS ( Potrubní poštu (sk.V_48)</t>
  </si>
  <si>
    <t xml:space="preserve">                    DDHM - OOPP pro pacienty a doprovod (sk.T_13)</t>
  </si>
  <si>
    <t xml:space="preserve">                    DDHM - provozní (věcné dary)</t>
  </si>
  <si>
    <t xml:space="preserve">                    DDHM - provozní (finanční dary)</t>
  </si>
  <si>
    <t xml:space="preserve">                DDHM - výpočetní technika</t>
  </si>
  <si>
    <t xml:space="preserve">                    DDHM - výpočetní technika (sk.P_35)</t>
  </si>
  <si>
    <t xml:space="preserve">                    DDHM - telefony (sk.P_49)</t>
  </si>
  <si>
    <t xml:space="preserve">                    DDHM - výpočetní technika (vecné dary)</t>
  </si>
  <si>
    <t xml:space="preserve">                    DDHM - výpočetní technika (finanční dary)</t>
  </si>
  <si>
    <t xml:space="preserve">                DDHM - inventář</t>
  </si>
  <si>
    <t xml:space="preserve">                    DDHM - ostatní (sk.T_19)</t>
  </si>
  <si>
    <t xml:space="preserve">                    DDHM - nábytek (sk.V_31)</t>
  </si>
  <si>
    <t xml:space="preserve">                    DDHM - inventář (věcné dary)</t>
  </si>
  <si>
    <t xml:space="preserve">                    DDHM - inventář (finanční dary)</t>
  </si>
  <si>
    <t xml:space="preserve">                DDHM ostatní </t>
  </si>
  <si>
    <t xml:space="preserve">                    DDHM - ostatní, razítka (sk.V_47, V_112)</t>
  </si>
  <si>
    <t xml:space="preserve">                    DDHM ostatní (finanční dary) </t>
  </si>
  <si>
    <t xml:space="preserve">                    DDHM ostatní (věcné dary) </t>
  </si>
  <si>
    <t xml:space="preserve">                DDNM software </t>
  </si>
  <si>
    <t xml:space="preserve">                    DDNM - software (sk.P_38) </t>
  </si>
  <si>
    <t xml:space="preserve">                    DDNM software (věcné dary)</t>
  </si>
  <si>
    <t xml:space="preserve">                    DDNM software (finanční dary)</t>
  </si>
  <si>
    <t xml:space="preserve">                Převod VČ - náklady z drobného dlouhodobého majetku</t>
  </si>
  <si>
    <t>A559</t>
  </si>
  <si>
    <t xml:space="preserve">            Opravné položky</t>
  </si>
  <si>
    <t>A553</t>
  </si>
  <si>
    <t xml:space="preserve">            </t>
  </si>
  <si>
    <t xml:space="preserve">                Prodaný dlohoudobý hmotný majetek</t>
  </si>
  <si>
    <t xml:space="preserve">                    Prodaný dlohoudobý hmotný majetek</t>
  </si>
  <si>
    <t>A556</t>
  </si>
  <si>
    <t xml:space="preserve">                Tvorba a zúčtování oprav.pol.(daň.účinné)</t>
  </si>
  <si>
    <t xml:space="preserve">                    Tvorba a zúčtování oprav.pol.(daň.účinné)</t>
  </si>
  <si>
    <t xml:space="preserve">                Tvorba a zúčtování oprav.pol.(daň.neučinné)</t>
  </si>
  <si>
    <t xml:space="preserve">                    Tvorba a zúčtování oprav.pol.(daň.neúčinné)</t>
  </si>
  <si>
    <t>A56</t>
  </si>
  <si>
    <t xml:space="preserve">        Finanční náklady</t>
  </si>
  <si>
    <t>A561</t>
  </si>
  <si>
    <t xml:space="preserve">            Prodané cenné papíry a podíly</t>
  </si>
  <si>
    <t>A562</t>
  </si>
  <si>
    <t xml:space="preserve">            Úroky</t>
  </si>
  <si>
    <t xml:space="preserve">                Úroky</t>
  </si>
  <si>
    <t xml:space="preserve">                    Úroky - ostatní</t>
  </si>
  <si>
    <t>A563</t>
  </si>
  <si>
    <t xml:space="preserve">            Kursové ztráty</t>
  </si>
  <si>
    <t xml:space="preserve">                Převod HČ - kurzové ztráty</t>
  </si>
  <si>
    <t xml:space="preserve">                    Převod HČ - kurzové ztráty</t>
  </si>
  <si>
    <t xml:space="preserve">                Kurzové ztráty</t>
  </si>
  <si>
    <t xml:space="preserve">                    Kurzové ztráty</t>
  </si>
  <si>
    <t xml:space="preserve">                Převod VŠ - kurzové ztáty</t>
  </si>
  <si>
    <t xml:space="preserve">                    Převod VČ - kurzové ztráty</t>
  </si>
  <si>
    <t>A564</t>
  </si>
  <si>
    <t xml:space="preserve">            Náklady z přecenění majetkových cenných papírů</t>
  </si>
  <si>
    <t xml:space="preserve">                Náklady z přecenění reálnou hodnotou</t>
  </si>
  <si>
    <t xml:space="preserve">                    Náklady z přecenění reál.hodnotou maj.určeného k podeji podle § 64</t>
  </si>
  <si>
    <t>A566</t>
  </si>
  <si>
    <t xml:space="preserve">            Náklady z finančního majetku</t>
  </si>
  <si>
    <t>A567</t>
  </si>
  <si>
    <t xml:space="preserve">            Náklady z derivátových operací</t>
  </si>
  <si>
    <t>A568</t>
  </si>
  <si>
    <t xml:space="preserve">            Ostatní finanční náklady</t>
  </si>
  <si>
    <t>A569</t>
  </si>
  <si>
    <t xml:space="preserve">            Manka a škody na finančním majetku</t>
  </si>
  <si>
    <t>A57</t>
  </si>
  <si>
    <t xml:space="preserve">        Rezervy a opravné položky ve finanční oblasti </t>
  </si>
  <si>
    <t>A574</t>
  </si>
  <si>
    <t xml:space="preserve">            Tvorba a zúčtování finančních rezerv</t>
  </si>
  <si>
    <t>A579</t>
  </si>
  <si>
    <t xml:space="preserve">            Tvorba a zúčtování opravných položek ve finanční činnosti</t>
  </si>
  <si>
    <t>A58</t>
  </si>
  <si>
    <t xml:space="preserve">        Mimořádné náklady</t>
  </si>
  <si>
    <t>A581</t>
  </si>
  <si>
    <t xml:space="preserve">            Změna stavu nedokončené výroby</t>
  </si>
  <si>
    <t>A582</t>
  </si>
  <si>
    <t xml:space="preserve">            Změna stavu polotovarů vlastní výroby</t>
  </si>
  <si>
    <t>A583</t>
  </si>
  <si>
    <t xml:space="preserve">            Změna stavu výrobků</t>
  </si>
  <si>
    <t>A584</t>
  </si>
  <si>
    <t xml:space="preserve">            Změna stavu zvířat</t>
  </si>
  <si>
    <t>A585</t>
  </si>
  <si>
    <t xml:space="preserve">            Aktivace materiálu a zboží</t>
  </si>
  <si>
    <t>A586</t>
  </si>
  <si>
    <t xml:space="preserve">            Aktivace vnitropodnikových služeb</t>
  </si>
  <si>
    <t>A587</t>
  </si>
  <si>
    <t xml:space="preserve">            Aktivace dlouhodobého nehmotného majetku</t>
  </si>
  <si>
    <t>A588</t>
  </si>
  <si>
    <t xml:space="preserve">            Ostatní mimořádné náklady</t>
  </si>
  <si>
    <t>A589</t>
  </si>
  <si>
    <t xml:space="preserve">            Tvorba a zúčtování opravných položek v mimořádné činnosti</t>
  </si>
  <si>
    <t>A59</t>
  </si>
  <si>
    <t xml:space="preserve">        Daně z příjmů a převodové účty</t>
  </si>
  <si>
    <t>A591</t>
  </si>
  <si>
    <t xml:space="preserve">            Daň z příjmů z běžné činnosti - splatná</t>
  </si>
  <si>
    <t xml:space="preserve">                Daň z příjmu</t>
  </si>
  <si>
    <t xml:space="preserve">                    Daň z příjmu - vyúčtování (min.období)</t>
  </si>
  <si>
    <t xml:space="preserve">                    Daň z příjmu - zrušení dohadné položky (min.období)</t>
  </si>
  <si>
    <t>A592</t>
  </si>
  <si>
    <t xml:space="preserve">            Daň z příjmů - odložená</t>
  </si>
  <si>
    <t>A593</t>
  </si>
  <si>
    <t xml:space="preserve">            Daň z příjmů z mimořádné činnosti - splatná</t>
  </si>
  <si>
    <t>A594</t>
  </si>
  <si>
    <t xml:space="preserve">            Daň z příjmů z mimořádné činnosti - odložená</t>
  </si>
  <si>
    <t>A595</t>
  </si>
  <si>
    <t xml:space="preserve">            Dodatečné odvody daně z příjmu</t>
  </si>
  <si>
    <t>A596</t>
  </si>
  <si>
    <t xml:space="preserve">            Převod podílu na výsledku hospodaření společníkům</t>
  </si>
  <si>
    <t>A597</t>
  </si>
  <si>
    <t xml:space="preserve">            Převod provozních nákladů</t>
  </si>
  <si>
    <t>A598</t>
  </si>
  <si>
    <t xml:space="preserve">            Prevod finančních nákladů</t>
  </si>
  <si>
    <t>A599</t>
  </si>
  <si>
    <t xml:space="preserve">            Tvorba a zúčtování rezervy na daň z příjmů</t>
  </si>
  <si>
    <t>A6</t>
  </si>
  <si>
    <t xml:space="preserve">    Výnosy</t>
  </si>
  <si>
    <t>A60</t>
  </si>
  <si>
    <t xml:space="preserve">        Tržby za vlastní výkony a zboží</t>
  </si>
  <si>
    <t>A601</t>
  </si>
  <si>
    <t xml:space="preserve">            Tržby za vlastní výrobky</t>
  </si>
  <si>
    <t>A602</t>
  </si>
  <si>
    <t xml:space="preserve">            Tržby z prodeje služeb</t>
  </si>
  <si>
    <t xml:space="preserve">                Zdravotní služby samoplátcům a právnickým osobám</t>
  </si>
  <si>
    <t xml:space="preserve">                    Zdr.služby - právn.osoby</t>
  </si>
  <si>
    <t xml:space="preserve">                    Zdr.služby - státní orgány</t>
  </si>
  <si>
    <t xml:space="preserve">                    Zdr.služby - nadstandart</t>
  </si>
  <si>
    <t xml:space="preserve">                    Zdr.služby - doprovod (otec u porodu)</t>
  </si>
  <si>
    <t xml:space="preserve">                    Zdr.služby - cizinci</t>
  </si>
  <si>
    <t xml:space="preserve">                    Zdr.služby - tuzemci (plastika atd. ...)</t>
  </si>
  <si>
    <t xml:space="preserve">                Zdr. služby - výkony ředění cytos.  LEK</t>
  </si>
  <si>
    <t xml:space="preserve">                    Výkony ředění cytostat. - ZP</t>
  </si>
  <si>
    <t xml:space="preserve">                    Dispenzační poplatek lékárny</t>
  </si>
  <si>
    <t xml:space="preserve">                    Výkony ředění cytostat. - VZP</t>
  </si>
  <si>
    <t xml:space="preserve">                Zdr. výkony - VZP sledov.položky    OZPI</t>
  </si>
  <si>
    <t xml:space="preserve">                    Výkony + materiál - VZP na výkon</t>
  </si>
  <si>
    <t xml:space="preserve">                    Výkony stomatologie</t>
  </si>
  <si>
    <t xml:space="preserve">                    Výkony a ZUM IVF</t>
  </si>
  <si>
    <t xml:space="preserve">                    Výkony mamografie</t>
  </si>
  <si>
    <t xml:space="preserve">                    Výkony pojištěncům EHS</t>
  </si>
  <si>
    <t xml:space="preserve">                    Výkony za cizince (mimo EHS)</t>
  </si>
  <si>
    <t xml:space="preserve">                Zdr. výkony - ost. ZP sled.položky  OZPI</t>
  </si>
  <si>
    <t xml:space="preserve">                    Výkony + mater. - ZP ma výkon</t>
  </si>
  <si>
    <t xml:space="preserve">                    Výkony pojišť.EHS, výkony za cizinci (mimo EHS)</t>
  </si>
  <si>
    <t xml:space="preserve">                    Výkony + mater. - ZP na výkon</t>
  </si>
  <si>
    <t xml:space="preserve">                    Výkony hemodialýzy</t>
  </si>
  <si>
    <t xml:space="preserve">                    Výkony robotického centra</t>
  </si>
  <si>
    <t xml:space="preserve">                    PET/CT (pouze rozp.)</t>
  </si>
  <si>
    <t xml:space="preserve">                Přepravné pacientů vykázané ZP     OZPI</t>
  </si>
  <si>
    <t xml:space="preserve">                    Přepravné pacientů - VZP</t>
  </si>
  <si>
    <t xml:space="preserve">                    Přepravné pacientů - ZP</t>
  </si>
  <si>
    <t xml:space="preserve">                Odhad zdr. výkonů                   OUC-OZPI</t>
  </si>
  <si>
    <t xml:space="preserve">                    Vyrov. odh.výk.za zdr.péči ZP (z minulých let)</t>
  </si>
  <si>
    <t xml:space="preserve">                    Odhad výk.za zdr.péči ZP (aktuální rok)</t>
  </si>
  <si>
    <t xml:space="preserve">                Odmítnutí vykázané péče     OZPI</t>
  </si>
  <si>
    <t xml:space="preserve">                    Odmítnutí vykázané péče, receptů, poukázek PZt, Tr - ZP</t>
  </si>
  <si>
    <t xml:space="preserve">                    Odmítnutí vykázané péče, receptů, poukázek PZt, Tr - VZP</t>
  </si>
  <si>
    <t xml:space="preserve">                Agregované výkony                   OZPI</t>
  </si>
  <si>
    <t xml:space="preserve">                    Agreg. výk. ostat. nemocnic</t>
  </si>
  <si>
    <t xml:space="preserve">                Fakturace ZP - běžný rok (paušál)   OZPI</t>
  </si>
  <si>
    <t xml:space="preserve">                    Tržby ZP za zdrav.péči - paušál</t>
  </si>
  <si>
    <t xml:space="preserve">                    Tržby ZP za léky v centrech - paušál</t>
  </si>
  <si>
    <t xml:space="preserve">                    Tržby VZP za zdrav.péči - paušál</t>
  </si>
  <si>
    <t xml:space="preserve">                    Tržby od VZP za dopravu - paušál</t>
  </si>
  <si>
    <t xml:space="preserve">                    Tržby VZP za léky v centrech - paušál</t>
  </si>
  <si>
    <t xml:space="preserve">                Dorovnání péče ZP - min.let         OZPI</t>
  </si>
  <si>
    <t xml:space="preserve">                    Tržby ZP za zdrav.péči - dorovnání min.let</t>
  </si>
  <si>
    <t xml:space="preserve">                    Tržby VZP za zdrav.péči - dorovnání min.let</t>
  </si>
  <si>
    <t>A604</t>
  </si>
  <si>
    <t xml:space="preserve">            Tržby za zboží</t>
  </si>
  <si>
    <t xml:space="preserve">                Prodej zboží - FNOL</t>
  </si>
  <si>
    <t xml:space="preserve">                    Kantýna - prodej        </t>
  </si>
  <si>
    <t xml:space="preserve">                Výnosy z prodaného zboží LEK        </t>
  </si>
  <si>
    <t xml:space="preserve">                    Prodej - doplatky pacientů</t>
  </si>
  <si>
    <t xml:space="preserve">                    Prodej derivátů zdrav.zařízením a ostatním organizacím</t>
  </si>
  <si>
    <t xml:space="preserve">                    Prodej ostatním org.</t>
  </si>
  <si>
    <t xml:space="preserve">                    Recepty pro ZP</t>
  </si>
  <si>
    <t xml:space="preserve">                    Prodej ZPr za hotové - výdejna PZT</t>
  </si>
  <si>
    <t xml:space="preserve">                    Poukazy pro ZP</t>
  </si>
  <si>
    <t xml:space="preserve">                    Prodej léků zdravotnickým zařízením</t>
  </si>
  <si>
    <t xml:space="preserve">                    Prodej center - ZP</t>
  </si>
  <si>
    <t xml:space="preserve">                    Prodej PZT FONI - ZP</t>
  </si>
  <si>
    <t xml:space="preserve">                    Prodej PZT FONI - doplatky pacientů</t>
  </si>
  <si>
    <t xml:space="preserve">                    Prodej neléčiv</t>
  </si>
  <si>
    <t xml:space="preserve">                    Recepty pro VZP</t>
  </si>
  <si>
    <t xml:space="preserve">                    Poukazy pro VZP</t>
  </si>
  <si>
    <t xml:space="preserve">                    Prodej - enter.a parent.výživa - ostatním organizacím</t>
  </si>
  <si>
    <t xml:space="preserve">                    Prodej center - recepty VZP</t>
  </si>
  <si>
    <t xml:space="preserve">                    Prodej PZT FONI - VZP</t>
  </si>
  <si>
    <t>A603</t>
  </si>
  <si>
    <t xml:space="preserve">            Tržby z nájmů</t>
  </si>
  <si>
    <t xml:space="preserve">                Výnosy z pronájmu </t>
  </si>
  <si>
    <t xml:space="preserve">                    Nájem ubytoven (9601)</t>
  </si>
  <si>
    <t xml:space="preserve">                    Nájem bytů (9655)</t>
  </si>
  <si>
    <t xml:space="preserve">                    Nájem nebytových prostor (99xx)</t>
  </si>
  <si>
    <t xml:space="preserve">                    Nájem DM - použití vybavení FNOL (pitevny)</t>
  </si>
  <si>
    <t xml:space="preserve">                    Nájem pozemků</t>
  </si>
  <si>
    <t xml:space="preserve">                    Nájem garáží a ploch k parkování  (KVF pokl.)</t>
  </si>
  <si>
    <t>A609</t>
  </si>
  <si>
    <t xml:space="preserve">            Regulační poplatky</t>
  </si>
  <si>
    <t xml:space="preserve">                Jiné výnosy z vlastních výkonů - regulační poplatky</t>
  </si>
  <si>
    <t xml:space="preserve">                    Regulační poplatky</t>
  </si>
  <si>
    <t>A61</t>
  </si>
  <si>
    <t xml:space="preserve">        změna stavu výrobků</t>
  </si>
  <si>
    <t>A613</t>
  </si>
  <si>
    <t xml:space="preserve">            změna stavu výrobků</t>
  </si>
  <si>
    <t>A62</t>
  </si>
  <si>
    <t xml:space="preserve">        Aktivace</t>
  </si>
  <si>
    <t>A621</t>
  </si>
  <si>
    <t>A622</t>
  </si>
  <si>
    <t>A623</t>
  </si>
  <si>
    <t>A624</t>
  </si>
  <si>
    <t xml:space="preserve">            Aktivace dlouhodobého hmotného majetku</t>
  </si>
  <si>
    <t>A64</t>
  </si>
  <si>
    <t xml:space="preserve">        Jiné provozní výnosy</t>
  </si>
  <si>
    <t>A641</t>
  </si>
  <si>
    <t xml:space="preserve">            Tržby z prodeje dlouhodobého nehm. a hm. majetku</t>
  </si>
  <si>
    <t xml:space="preserve">                Smluvní pokuty a úroky z prodlení</t>
  </si>
  <si>
    <t xml:space="preserve">                    Penále z prodl. - ostatní</t>
  </si>
  <si>
    <t xml:space="preserve">                    Penále z prodl. - LEK</t>
  </si>
  <si>
    <t xml:space="preserve">                    Úrok z prodlení - soudní rozh.</t>
  </si>
  <si>
    <t>A642</t>
  </si>
  <si>
    <t xml:space="preserve">            Tržby z prodeje materiálu</t>
  </si>
  <si>
    <t>A643</t>
  </si>
  <si>
    <t xml:space="preserve">                Výnosy z vyřazených pohledávek</t>
  </si>
  <si>
    <t xml:space="preserve">                    Výnosy z vyřazených pohledávek - ostatní</t>
  </si>
  <si>
    <t>A644</t>
  </si>
  <si>
    <t xml:space="preserve">                Výnosy z prodeje materiálu   </t>
  </si>
  <si>
    <t xml:space="preserve">                    Prodej krevních výrobků TO</t>
  </si>
  <si>
    <t xml:space="preserve">                    Prodej plazmy TO</t>
  </si>
  <si>
    <t xml:space="preserve">                    Prodej krevních derivátů TO</t>
  </si>
  <si>
    <t xml:space="preserve">                    Sběr</t>
  </si>
  <si>
    <t xml:space="preserve">                    Prodej materiálu</t>
  </si>
  <si>
    <t>A646</t>
  </si>
  <si>
    <t xml:space="preserve">            Výnosy z odepsaných pohledávek</t>
  </si>
  <si>
    <t xml:space="preserve">                Výnosy z prodeje DHM (kromě pozemků)</t>
  </si>
  <si>
    <t xml:space="preserve">                    Výnosy z prodeje dopravních prostředků</t>
  </si>
  <si>
    <t>A648</t>
  </si>
  <si>
    <t xml:space="preserve">            Ostatní provozní výnosy - ostatní</t>
  </si>
  <si>
    <t xml:space="preserve">                Čerpání RF</t>
  </si>
  <si>
    <t xml:space="preserve">                    Čerpání RF - k úhradě sankcí</t>
  </si>
  <si>
    <t xml:space="preserve">                Čerpání RF - čerpání fin. darů</t>
  </si>
  <si>
    <t xml:space="preserve">                    Čerpání RF - čerpání finančních darů</t>
  </si>
  <si>
    <t xml:space="preserve">                Čerpání FKSP</t>
  </si>
  <si>
    <t xml:space="preserve">                    Čerpání z FKSP - peněžité dary</t>
  </si>
  <si>
    <t xml:space="preserve">                    Čerpání FKSP - příspěvek na stravu</t>
  </si>
  <si>
    <t xml:space="preserve">                    Čerpání FKSP - kulturní a tělovýchovné akce</t>
  </si>
  <si>
    <t>A649</t>
  </si>
  <si>
    <t xml:space="preserve">            Mimořádné provozní výnosy</t>
  </si>
  <si>
    <t xml:space="preserve">                Nárok na náhradu za manka a škody </t>
  </si>
  <si>
    <t xml:space="preserve">                    Nárok na náhradu za manka a škody </t>
  </si>
  <si>
    <t xml:space="preserve">                Ostatní výnosy z činnosti</t>
  </si>
  <si>
    <t xml:space="preserve">                    Rozdíly v zaokrouhlení</t>
  </si>
  <si>
    <t xml:space="preserve">                    Ostatní výnosy</t>
  </si>
  <si>
    <t xml:space="preserve">                    Smlouva o účelově vázané úplatě</t>
  </si>
  <si>
    <t xml:space="preserve">                    Náhrady od pojišť. (majetek)</t>
  </si>
  <si>
    <t xml:space="preserve">                    Náhrady od pojišť. (zaměstn.)</t>
  </si>
  <si>
    <t xml:space="preserve">                    Příspěvek na stravu UP Ol.(vedl.čin.)</t>
  </si>
  <si>
    <t xml:space="preserve">                    Bonifikace</t>
  </si>
  <si>
    <t xml:space="preserve">                    Náhrady od pojišť. (mimosoudní narovnání)</t>
  </si>
  <si>
    <t xml:space="preserve">                Bonusy</t>
  </si>
  <si>
    <t xml:space="preserve">                    Bonusy finanční - za léky (pro kliniky)</t>
  </si>
  <si>
    <t xml:space="preserve">                    Bonusy finanční - za ZPr (pro kliniky)</t>
  </si>
  <si>
    <t xml:space="preserve">                    Bonusy finanční - za léky (prodej)</t>
  </si>
  <si>
    <t xml:space="preserve">                    Bonusy finanční - ostatní</t>
  </si>
  <si>
    <t xml:space="preserve">                Ostatní služby - mimo zdrav.výkony  FAKTURACE</t>
  </si>
  <si>
    <t xml:space="preserve">                    Vstupenky (ples FNOL stř.9010)</t>
  </si>
  <si>
    <t xml:space="preserve">                    Poskytnutí práva na umístění reklamy (stř.9950)</t>
  </si>
  <si>
    <t xml:space="preserve">                    Poskytnutí práva na umístění reklamy - konfer.,ples (market.akce)</t>
  </si>
  <si>
    <t xml:space="preserve">                    Strava - zaměstnanci</t>
  </si>
  <si>
    <t xml:space="preserve">                    Strava - studenti</t>
  </si>
  <si>
    <t xml:space="preserve">                    Zpracování AT</t>
  </si>
  <si>
    <t xml:space="preserve">                    Výkony etické komise</t>
  </si>
  <si>
    <t xml:space="preserve">                    Klinické hodnocení - tuzemci (81xx,9003,9028)</t>
  </si>
  <si>
    <t xml:space="preserve">                    Klinické hodnocení - EU (81xx,9003,9028)</t>
  </si>
  <si>
    <t xml:space="preserve">                    Klinické hodnocení - 3.země (81xx,9003,9028)</t>
  </si>
  <si>
    <t xml:space="preserve">                    Telekom.služby, soukr. hovory</t>
  </si>
  <si>
    <t xml:space="preserve">                    Znalecké posudky - Znaleký ústav</t>
  </si>
  <si>
    <t xml:space="preserve">                    Areál FNOL - poplatky za vjezd (lístky)</t>
  </si>
  <si>
    <t xml:space="preserve">                    Areál FNOL - poplatky za vjezd (karty zaměstnanců)</t>
  </si>
  <si>
    <t xml:space="preserve">                    Teoretické ústavy - poplatky za vjezd</t>
  </si>
  <si>
    <t xml:space="preserve">                    Ostatní provoz.sl.-hl.čin.</t>
  </si>
  <si>
    <t xml:space="preserve">                    Poštovné, balné za odeslání</t>
  </si>
  <si>
    <t xml:space="preserve">                    Areál FNOL - poplatky za vjezd (dodavatelé)</t>
  </si>
  <si>
    <t xml:space="preserve">                    Školení, stáže, odb. semináře, konference</t>
  </si>
  <si>
    <t xml:space="preserve">                    Foto při UZ a ost. služby</t>
  </si>
  <si>
    <t xml:space="preserve">                    Strava - cizí</t>
  </si>
  <si>
    <t xml:space="preserve">                    Ost. provozní služby (praní prádla, doprava)</t>
  </si>
  <si>
    <t xml:space="preserve">                    SOS - poplatky za vjezd do areálu FNOL</t>
  </si>
  <si>
    <t xml:space="preserve">                Služby k pronájmu          FAKTURACE</t>
  </si>
  <si>
    <t xml:space="preserve">                    Plyn k pronájmům</t>
  </si>
  <si>
    <t xml:space="preserve">                    Elektřina k pronájmům</t>
  </si>
  <si>
    <t xml:space="preserve">                    Teplo k pronájmům</t>
  </si>
  <si>
    <t xml:space="preserve">                    Vodné, stočné k pronájmům</t>
  </si>
  <si>
    <t xml:space="preserve">                    Energetické služby k pronájmům</t>
  </si>
  <si>
    <t xml:space="preserve">                    Ost. služby k pronájmům</t>
  </si>
  <si>
    <t xml:space="preserve">                Věcné dary</t>
  </si>
  <si>
    <t>A65</t>
  </si>
  <si>
    <t xml:space="preserve">        Zúčtování rezerv</t>
  </si>
  <si>
    <t>A652</t>
  </si>
  <si>
    <t xml:space="preserve">            Zúčtování zákonných rezerv</t>
  </si>
  <si>
    <t>A654</t>
  </si>
  <si>
    <t xml:space="preserve">            Zúčtování ostatních rezerv</t>
  </si>
  <si>
    <t>A66</t>
  </si>
  <si>
    <t xml:space="preserve">        Finanční výnosy</t>
  </si>
  <si>
    <t>A661</t>
  </si>
  <si>
    <t xml:space="preserve">            Tržby z prodeje cenných papírů a podílů</t>
  </si>
  <si>
    <t>A662</t>
  </si>
  <si>
    <t xml:space="preserve">                Úroky - ostatní</t>
  </si>
  <si>
    <t xml:space="preserve">                    Úroky z běžného účtu</t>
  </si>
  <si>
    <t>A663</t>
  </si>
  <si>
    <t xml:space="preserve">            Kursové zisky</t>
  </si>
  <si>
    <t xml:space="preserve">                Kurzové zisky</t>
  </si>
  <si>
    <t xml:space="preserve">                    Kurzové zisky</t>
  </si>
  <si>
    <t>A664</t>
  </si>
  <si>
    <t xml:space="preserve">            Výnosy z přecenění majetkových cenných papírů</t>
  </si>
  <si>
    <t xml:space="preserve">                Výnosy z přecenění reálnou hodnotou - ostatní</t>
  </si>
  <si>
    <t xml:space="preserve">                    Výnosy z přecenění reál.hodnotou maj.určeného k prodeji podle § 64</t>
  </si>
  <si>
    <t>A665</t>
  </si>
  <si>
    <t xml:space="preserve">            Výnosy z dlouhodobého finančního majetku</t>
  </si>
  <si>
    <t>A666</t>
  </si>
  <si>
    <t xml:space="preserve">            Výnosy z krátkodobého  finančního majetku</t>
  </si>
  <si>
    <t>A667</t>
  </si>
  <si>
    <t xml:space="preserve">            Výnosy z derivátových operací</t>
  </si>
  <si>
    <t>A668</t>
  </si>
  <si>
    <t xml:space="preserve">            Ostatní finanční výnosy</t>
  </si>
  <si>
    <t>A669</t>
  </si>
  <si>
    <t xml:space="preserve">            Přijaté finanční dary neúčelové</t>
  </si>
  <si>
    <t>A67</t>
  </si>
  <si>
    <t>A674</t>
  </si>
  <si>
    <t xml:space="preserve">            Zúčtování rezerv</t>
  </si>
  <si>
    <t>A671</t>
  </si>
  <si>
    <t xml:space="preserve">            Transfery</t>
  </si>
  <si>
    <t xml:space="preserve">                Nein.dotace, příspěvky, granty od zřizovatele</t>
  </si>
  <si>
    <t xml:space="preserve">                    Transfery MZ - ostatní</t>
  </si>
  <si>
    <t xml:space="preserve">                    Transfery MZ na VaV - věcné náklady</t>
  </si>
  <si>
    <t xml:space="preserve">                    Transfery MZ na VaV - mzdové náklady</t>
  </si>
  <si>
    <t xml:space="preserve">                    Transfery MZ na DDM</t>
  </si>
  <si>
    <t xml:space="preserve">                    Transfery MZ - RIV (institucionální podpora)</t>
  </si>
  <si>
    <t xml:space="preserve">                    Transfery MZ - MEDEVAC (humanitární program)</t>
  </si>
  <si>
    <t xml:space="preserve">                Neinv.dot., přísp., granty od jiného poskytovatele</t>
  </si>
  <si>
    <t xml:space="preserve">                    Transfery jiného poskytovatele - VaV věcné</t>
  </si>
  <si>
    <t xml:space="preserve">                    Transfery jiného poskytovatele - VaV mzdové</t>
  </si>
  <si>
    <t xml:space="preserve">                Výnosy k úč.403 06 (k úč.551 odpisy) - finanční dary</t>
  </si>
  <si>
    <t xml:space="preserve">                    Výnosy k úč.403 06 (k úč.551 odpisy) - finanční dary</t>
  </si>
  <si>
    <t>A68</t>
  </si>
  <si>
    <t xml:space="preserve">        Mimořádné výnosy</t>
  </si>
  <si>
    <t>A681</t>
  </si>
  <si>
    <t xml:space="preserve">            Výnosy ze změny metody</t>
  </si>
  <si>
    <t>A684</t>
  </si>
  <si>
    <t>A688</t>
  </si>
  <si>
    <t xml:space="preserve">            Ostatní mimořádné výnosy</t>
  </si>
  <si>
    <t>A689</t>
  </si>
  <si>
    <t xml:space="preserve">            Zúčtování opravných položek</t>
  </si>
  <si>
    <t>A69</t>
  </si>
  <si>
    <t xml:space="preserve">        Převodové účty</t>
  </si>
  <si>
    <t>A697</t>
  </si>
  <si>
    <t xml:space="preserve">            Převod provozních výnosů</t>
  </si>
  <si>
    <t>A698</t>
  </si>
  <si>
    <t xml:space="preserve">            Převod finančních výnosů</t>
  </si>
  <si>
    <t>A699</t>
  </si>
  <si>
    <t>SR</t>
  </si>
  <si>
    <t>GAR</t>
  </si>
  <si>
    <t>NÁM</t>
  </si>
  <si>
    <t>EN</t>
  </si>
  <si>
    <t>OEC</t>
  </si>
  <si>
    <t>DOPR</t>
  </si>
  <si>
    <t>K</t>
  </si>
  <si>
    <t>S</t>
  </si>
  <si>
    <t>KNM</t>
  </si>
  <si>
    <t>OBN</t>
  </si>
  <si>
    <t>H</t>
  </si>
  <si>
    <t>TO</t>
  </si>
  <si>
    <t>A501 09 000</t>
  </si>
  <si>
    <t>A501 10</t>
  </si>
  <si>
    <t>A501 10 001</t>
  </si>
  <si>
    <t>A501 12</t>
  </si>
  <si>
    <t>A501 12 001</t>
  </si>
  <si>
    <t>A501 12 002</t>
  </si>
  <si>
    <t>A501 12 004</t>
  </si>
  <si>
    <t>A501 12 003</t>
  </si>
  <si>
    <t>A501 13</t>
  </si>
  <si>
    <t>A501 13 001</t>
  </si>
  <si>
    <t>A501 13 002</t>
  </si>
  <si>
    <t>A501 13 004</t>
  </si>
  <si>
    <t>A501 13 005</t>
  </si>
  <si>
    <t>A501 13 006</t>
  </si>
  <si>
    <t>A501 13 007</t>
  </si>
  <si>
    <t>A501 13 008</t>
  </si>
  <si>
    <t>A501 13 009</t>
  </si>
  <si>
    <t>A501 13 010</t>
  </si>
  <si>
    <t>A501 13 011</t>
  </si>
  <si>
    <t>A501 13 012</t>
  </si>
  <si>
    <t>A501 13 013</t>
  </si>
  <si>
    <t>A501 13 014</t>
  </si>
  <si>
    <t>A501 13 015</t>
  </si>
  <si>
    <t>A501 13 016</t>
  </si>
  <si>
    <t>A501 13 017</t>
  </si>
  <si>
    <t>A501 13 190</t>
  </si>
  <si>
    <t>A501 13 300</t>
  </si>
  <si>
    <t>A501 14</t>
  </si>
  <si>
    <t>A501 14 002</t>
  </si>
  <si>
    <t>A501 14 003</t>
  </si>
  <si>
    <t>A501 15</t>
  </si>
  <si>
    <t>A501 15 001</t>
  </si>
  <si>
    <t>A501 15 002</t>
  </si>
  <si>
    <t>A501 15 003</t>
  </si>
  <si>
    <t>A501 15 004</t>
  </si>
  <si>
    <t>A501 15 005</t>
  </si>
  <si>
    <t>A501 15 006</t>
  </si>
  <si>
    <t>A501 15 007</t>
  </si>
  <si>
    <t>A501 15 008</t>
  </si>
  <si>
    <t>A501 15 009</t>
  </si>
  <si>
    <t>A501 15 011</t>
  </si>
  <si>
    <t>A501 15 013</t>
  </si>
  <si>
    <t>A501 15 015</t>
  </si>
  <si>
    <t>A501 15 016</t>
  </si>
  <si>
    <t>A501 15 020</t>
  </si>
  <si>
    <t>A501 15 021</t>
  </si>
  <si>
    <t>A501 15 040</t>
  </si>
  <si>
    <t>A501 15 050</t>
  </si>
  <si>
    <t>A501 15 060</t>
  </si>
  <si>
    <t>A501 15 062</t>
  </si>
  <si>
    <t>A501 15 063</t>
  </si>
  <si>
    <t>A501 15 064</t>
  </si>
  <si>
    <t>A501 15 065</t>
  </si>
  <si>
    <t>A501 15 066</t>
  </si>
  <si>
    <t>A501 15 067</t>
  </si>
  <si>
    <t>A501 15 068</t>
  </si>
  <si>
    <t>A501 15 069</t>
  </si>
  <si>
    <t>A501 15 070</t>
  </si>
  <si>
    <t>A501 15 071</t>
  </si>
  <si>
    <t>A501 15 072</t>
  </si>
  <si>
    <t>A501 15 073</t>
  </si>
  <si>
    <t>A501 15 074</t>
  </si>
  <si>
    <t>A501 15 075</t>
  </si>
  <si>
    <t>A501 15 076</t>
  </si>
  <si>
    <t>A501 15 077</t>
  </si>
  <si>
    <t>A501 15 079</t>
  </si>
  <si>
    <t>A501 15 080</t>
  </si>
  <si>
    <t>A501 15 082</t>
  </si>
  <si>
    <t>A501 15 083</t>
  </si>
  <si>
    <t>A501 15 085</t>
  </si>
  <si>
    <t>A501 15 089</t>
  </si>
  <si>
    <t>A501 15 090</t>
  </si>
  <si>
    <t>A501 15 300</t>
  </si>
  <si>
    <t>A501 15 010</t>
  </si>
  <si>
    <t>A501 15 078</t>
  </si>
  <si>
    <t>A501 15 084</t>
  </si>
  <si>
    <t>A501 15 012</t>
  </si>
  <si>
    <t>A501 15 014</t>
  </si>
  <si>
    <t>A501 16</t>
  </si>
  <si>
    <t>A501 16 001</t>
  </si>
  <si>
    <t>A501 16 002</t>
  </si>
  <si>
    <t>A501 16 003</t>
  </si>
  <si>
    <t>A501 16 004</t>
  </si>
  <si>
    <t>A501 16 006</t>
  </si>
  <si>
    <t>A501 16 010</t>
  </si>
  <si>
    <t>A501 16 402</t>
  </si>
  <si>
    <t>A501 16 403</t>
  </si>
  <si>
    <t>A501 16 404</t>
  </si>
  <si>
    <t>A501 16 502</t>
  </si>
  <si>
    <t>STRAV</t>
  </si>
  <si>
    <t>A501 17</t>
  </si>
  <si>
    <t>A501 17 001</t>
  </si>
  <si>
    <t>A501 17 002</t>
  </si>
  <si>
    <t>A501 17 003</t>
  </si>
  <si>
    <t>A501 17 004</t>
  </si>
  <si>
    <t>A501 17 005</t>
  </si>
  <si>
    <t>A501 17 006</t>
  </si>
  <si>
    <t>A501 17 007</t>
  </si>
  <si>
    <t>A501 17 008</t>
  </si>
  <si>
    <t>A501 17 009</t>
  </si>
  <si>
    <t>A501 17 010</t>
  </si>
  <si>
    <t>A501 17 011</t>
  </si>
  <si>
    <t>A501 17 015</t>
  </si>
  <si>
    <t>A501 17 020</t>
  </si>
  <si>
    <t>A501 17 021</t>
  </si>
  <si>
    <t>A501 17 022</t>
  </si>
  <si>
    <t>A501 17 023</t>
  </si>
  <si>
    <t>A501 17 024</t>
  </si>
  <si>
    <t>A501 17 190</t>
  </si>
  <si>
    <t>A501 17 025</t>
  </si>
  <si>
    <t>A501 17 201</t>
  </si>
  <si>
    <t>PRAD</t>
  </si>
  <si>
    <t>VSMT</t>
  </si>
  <si>
    <t>A501 18</t>
  </si>
  <si>
    <t>A501 18 001</t>
  </si>
  <si>
    <t>A501 18 002</t>
  </si>
  <si>
    <t>A501 18 003</t>
  </si>
  <si>
    <t>A501 18 004</t>
  </si>
  <si>
    <t>A501 18 005</t>
  </si>
  <si>
    <t>A501 18 006</t>
  </si>
  <si>
    <t>A501 18 007</t>
  </si>
  <si>
    <t>A501 18 009</t>
  </si>
  <si>
    <t>A501 18 008</t>
  </si>
  <si>
    <t>A501 19</t>
  </si>
  <si>
    <t>A501 19 002</t>
  </si>
  <si>
    <t>A501 19 004</t>
  </si>
  <si>
    <t>A501 19 077</t>
  </si>
  <si>
    <t>A501 19 090</t>
  </si>
  <si>
    <t>OOU</t>
  </si>
  <si>
    <t>A501 19 092</t>
  </si>
  <si>
    <t>A501 19 099</t>
  </si>
  <si>
    <t>A501 19 100</t>
  </si>
  <si>
    <t>A501 19 101</t>
  </si>
  <si>
    <t>A501 19 102</t>
  </si>
  <si>
    <t>A501 60</t>
  </si>
  <si>
    <t>A501 60 002</t>
  </si>
  <si>
    <t>A501 80</t>
  </si>
  <si>
    <t>A501 80 000</t>
  </si>
  <si>
    <t>A501 80 001</t>
  </si>
  <si>
    <t>A501 80 003</t>
  </si>
  <si>
    <t>A501 86 510</t>
  </si>
  <si>
    <t>A501 87</t>
  </si>
  <si>
    <t>A501 87 501</t>
  </si>
  <si>
    <t>A501 87 502</t>
  </si>
  <si>
    <t>A501 87 503</t>
  </si>
  <si>
    <t>A501 87 504</t>
  </si>
  <si>
    <t>A501 87 505</t>
  </si>
  <si>
    <t>A501 87 506</t>
  </si>
  <si>
    <t>A501 88</t>
  </si>
  <si>
    <t>A501 88 501</t>
  </si>
  <si>
    <t>A501 89</t>
  </si>
  <si>
    <t>A501 89 501</t>
  </si>
  <si>
    <t>A501 89 577</t>
  </si>
  <si>
    <t>A502 00</t>
  </si>
  <si>
    <t>A502 00 000</t>
  </si>
  <si>
    <t>A502 10</t>
  </si>
  <si>
    <t>A502 10 071</t>
  </si>
  <si>
    <t>A502 10 072</t>
  </si>
  <si>
    <t>A502 10 073</t>
  </si>
  <si>
    <t>A502 10 075</t>
  </si>
  <si>
    <t>A502 90</t>
  </si>
  <si>
    <t>A502 90 571</t>
  </si>
  <si>
    <t>A502 90 572</t>
  </si>
  <si>
    <t>A502 90 573</t>
  </si>
  <si>
    <t>OE</t>
  </si>
  <si>
    <t>A504 01</t>
  </si>
  <si>
    <t>A504 01 001</t>
  </si>
  <si>
    <t>A504 01 002</t>
  </si>
  <si>
    <t>A504 01 003</t>
  </si>
  <si>
    <t>A504 90</t>
  </si>
  <si>
    <t>A504 90 360</t>
  </si>
  <si>
    <t>A504 95</t>
  </si>
  <si>
    <t>A504 95 360</t>
  </si>
  <si>
    <t>A504 95 361</t>
  </si>
  <si>
    <t>A504 95 363</t>
  </si>
  <si>
    <t>A504 95 365</t>
  </si>
  <si>
    <t>A504 95 366</t>
  </si>
  <si>
    <t>A504 95 368</t>
  </si>
  <si>
    <t>A504 95 370</t>
  </si>
  <si>
    <t>A504 95 377</t>
  </si>
  <si>
    <t>A504 95 383</t>
  </si>
  <si>
    <t>A504 95 384</t>
  </si>
  <si>
    <t>A504 95 560</t>
  </si>
  <si>
    <t>A504 95 374</t>
  </si>
  <si>
    <t>A504 95 364</t>
  </si>
  <si>
    <t>A504 95 367</t>
  </si>
  <si>
    <t>A504 95 371</t>
  </si>
  <si>
    <t>A504 95 376</t>
  </si>
  <si>
    <t>A504 95 382</t>
  </si>
  <si>
    <t>LEK</t>
  </si>
  <si>
    <t>A507 00</t>
  </si>
  <si>
    <t>A507 00 000</t>
  </si>
  <si>
    <t>A507 00 002</t>
  </si>
  <si>
    <t>A507 00 031</t>
  </si>
  <si>
    <t>A507 00 032</t>
  </si>
  <si>
    <t>A507 11</t>
  </si>
  <si>
    <t>A507 11 001</t>
  </si>
  <si>
    <t>A507 11 002</t>
  </si>
  <si>
    <t>A507 11 003</t>
  </si>
  <si>
    <t>A507 90</t>
  </si>
  <si>
    <t>A507 90 511</t>
  </si>
  <si>
    <t>A511 00</t>
  </si>
  <si>
    <t>A511 00 000</t>
  </si>
  <si>
    <t>A511 02</t>
  </si>
  <si>
    <t>A511 02 021</t>
  </si>
  <si>
    <t>A511 02 022</t>
  </si>
  <si>
    <t>A511 02 023</t>
  </si>
  <si>
    <t>A511 02 024</t>
  </si>
  <si>
    <t>A511 02 025</t>
  </si>
  <si>
    <t>A511 02 026</t>
  </si>
  <si>
    <t>A511 02 027</t>
  </si>
  <si>
    <t>A511 02 029</t>
  </si>
  <si>
    <t>A511 02 030</t>
  </si>
  <si>
    <t>A511 02 028</t>
  </si>
  <si>
    <t>A511 02 032</t>
  </si>
  <si>
    <t>A511 02 033</t>
  </si>
  <si>
    <t>A511 02 034</t>
  </si>
  <si>
    <t>A511 90</t>
  </si>
  <si>
    <t>A511 90 502</t>
  </si>
  <si>
    <t>A511 90 501</t>
  </si>
  <si>
    <t>A512 01</t>
  </si>
  <si>
    <t>A512 01 000</t>
  </si>
  <si>
    <t>A512 01 001</t>
  </si>
  <si>
    <t>A512 02</t>
  </si>
  <si>
    <t>A512 02 001</t>
  </si>
  <si>
    <t>A512 03</t>
  </si>
  <si>
    <t>A512 03 000</t>
  </si>
  <si>
    <t>A512 03 001</t>
  </si>
  <si>
    <t>A512 80</t>
  </si>
  <si>
    <t>A512 80 000</t>
  </si>
  <si>
    <t>A513 99</t>
  </si>
  <si>
    <t>A513 99 001</t>
  </si>
  <si>
    <t>A513 99 002</t>
  </si>
  <si>
    <t>A518 00</t>
  </si>
  <si>
    <t>A518 00 000</t>
  </si>
  <si>
    <t>A518 01</t>
  </si>
  <si>
    <t>A518 01 000</t>
  </si>
  <si>
    <t>A518 02</t>
  </si>
  <si>
    <t>A518 02 001</t>
  </si>
  <si>
    <t>A518 02 003</t>
  </si>
  <si>
    <t>A518 02 002</t>
  </si>
  <si>
    <t>A518 04</t>
  </si>
  <si>
    <t>A518 04 001</t>
  </si>
  <si>
    <t>A518 04 002</t>
  </si>
  <si>
    <t>A518 04 004</t>
  </si>
  <si>
    <t>A518 04 005</t>
  </si>
  <si>
    <t>A518 04 003</t>
  </si>
  <si>
    <t>A518 05</t>
  </si>
  <si>
    <t>A518 05 001</t>
  </si>
  <si>
    <t>A518 06</t>
  </si>
  <si>
    <t>A518 06 001</t>
  </si>
  <si>
    <t>A518 06 002</t>
  </si>
  <si>
    <t>A518 06 004</t>
  </si>
  <si>
    <t>A518 06 005</t>
  </si>
  <si>
    <t>A518 06 006</t>
  </si>
  <si>
    <t>A518 06 011</t>
  </si>
  <si>
    <t>A518 06 007</t>
  </si>
  <si>
    <t>A518 06 003</t>
  </si>
  <si>
    <t>A518 07</t>
  </si>
  <si>
    <t>A518 07 002</t>
  </si>
  <si>
    <t>A518 07 012</t>
  </si>
  <si>
    <t>A518 07 411</t>
  </si>
  <si>
    <t>A518 08</t>
  </si>
  <si>
    <t>A518 08 007</t>
  </si>
  <si>
    <t>A518 08 008</t>
  </si>
  <si>
    <t>A518 08 009</t>
  </si>
  <si>
    <t>A518 08 010</t>
  </si>
  <si>
    <t>A518 08 011</t>
  </si>
  <si>
    <t>A518 08 012</t>
  </si>
  <si>
    <t>A518 08 013</t>
  </si>
  <si>
    <t>A518 08 018</t>
  </si>
  <si>
    <t>A518 08 019</t>
  </si>
  <si>
    <t>A518 09</t>
  </si>
  <si>
    <t>A518 09 001</t>
  </si>
  <si>
    <t>A518 10</t>
  </si>
  <si>
    <t>A518 10 000</t>
  </si>
  <si>
    <t>A518 74</t>
  </si>
  <si>
    <t>A518 74 001</t>
  </si>
  <si>
    <t>A518 74 002</t>
  </si>
  <si>
    <t>A518 74 004</t>
  </si>
  <si>
    <t>A518 74 005</t>
  </si>
  <si>
    <t>A518 74 008</t>
  </si>
  <si>
    <t>A518 74 010</t>
  </si>
  <si>
    <t>A518 74 011</t>
  </si>
  <si>
    <t>A518 74 012</t>
  </si>
  <si>
    <t>A518 74 013</t>
  </si>
  <si>
    <t>A518 74 015</t>
  </si>
  <si>
    <t>A518 74 017</t>
  </si>
  <si>
    <t>A518 74 018</t>
  </si>
  <si>
    <t>A518 74 019</t>
  </si>
  <si>
    <t>A518 74 020</t>
  </si>
  <si>
    <t>A518 74 003</t>
  </si>
  <si>
    <t>A518 74 022</t>
  </si>
  <si>
    <t>A518 80</t>
  </si>
  <si>
    <t>A518 80 000</t>
  </si>
  <si>
    <t>A518 80 001</t>
  </si>
  <si>
    <t>A518 90</t>
  </si>
  <si>
    <t>A518 90 502</t>
  </si>
  <si>
    <t>A518 90 504</t>
  </si>
  <si>
    <t>A518 90 506</t>
  </si>
  <si>
    <t>A518 90 508</t>
  </si>
  <si>
    <t>A518 90 574</t>
  </si>
  <si>
    <t>A521 00</t>
  </si>
  <si>
    <t>A521 00 000</t>
  </si>
  <si>
    <t>A521 11</t>
  </si>
  <si>
    <t>A521 11 000</t>
  </si>
  <si>
    <t>A521 12</t>
  </si>
  <si>
    <t>A521 12 000</t>
  </si>
  <si>
    <t>A521 13</t>
  </si>
  <si>
    <t>A521 13 000</t>
  </si>
  <si>
    <t>A521 14</t>
  </si>
  <si>
    <t>A521 14 000</t>
  </si>
  <si>
    <t>A521 15</t>
  </si>
  <si>
    <t>A521 15 000</t>
  </si>
  <si>
    <t>A521 21</t>
  </si>
  <si>
    <t>A521 21 000</t>
  </si>
  <si>
    <t>URE</t>
  </si>
  <si>
    <t>BOZP</t>
  </si>
  <si>
    <t>PEN</t>
  </si>
  <si>
    <t>OPMČ</t>
  </si>
  <si>
    <t>OVLZ</t>
  </si>
  <si>
    <t>OMU</t>
  </si>
  <si>
    <t>OIN</t>
  </si>
  <si>
    <t>OPS</t>
  </si>
  <si>
    <t>OMAR</t>
  </si>
  <si>
    <t>OSBTK</t>
  </si>
  <si>
    <t>OK</t>
  </si>
  <si>
    <t>A521 25</t>
  </si>
  <si>
    <t>A521 25 000</t>
  </si>
  <si>
    <t>A521 28</t>
  </si>
  <si>
    <t>A521 28 000</t>
  </si>
  <si>
    <t>A521 48</t>
  </si>
  <si>
    <t>A521 48 000</t>
  </si>
  <si>
    <t>A521 90</t>
  </si>
  <si>
    <t>A521 90 511</t>
  </si>
  <si>
    <t>A521 90 521</t>
  </si>
  <si>
    <t>A521 90 525</t>
  </si>
  <si>
    <t>A521 90 528</t>
  </si>
  <si>
    <t>A524 00</t>
  </si>
  <si>
    <t>A524 00 000</t>
  </si>
  <si>
    <t>A524 01</t>
  </si>
  <si>
    <t>A524 01 000</t>
  </si>
  <si>
    <t>A524 02</t>
  </si>
  <si>
    <t>A524 02 000</t>
  </si>
  <si>
    <t>A524 13</t>
  </si>
  <si>
    <t>A524 13 000</t>
  </si>
  <si>
    <t>A524 14</t>
  </si>
  <si>
    <t>A524 14 000</t>
  </si>
  <si>
    <t>A524 90</t>
  </si>
  <si>
    <t>A524 90 501</t>
  </si>
  <si>
    <t>A524 90 502</t>
  </si>
  <si>
    <t>A525 10</t>
  </si>
  <si>
    <t>A525 10 000</t>
  </si>
  <si>
    <t>A527 00</t>
  </si>
  <si>
    <t>A527 00 000</t>
  </si>
  <si>
    <t>A527 10</t>
  </si>
  <si>
    <t>A527 10 001</t>
  </si>
  <si>
    <t>A527 90</t>
  </si>
  <si>
    <t>A527 90 510</t>
  </si>
  <si>
    <t>A528 10</t>
  </si>
  <si>
    <t>A528 10 999</t>
  </si>
  <si>
    <t>A531 00</t>
  </si>
  <si>
    <t>A531 00 001</t>
  </si>
  <si>
    <t>A532 00</t>
  </si>
  <si>
    <t>A532 00 001</t>
  </si>
  <si>
    <t>A538 01</t>
  </si>
  <si>
    <t>A538 01 001</t>
  </si>
  <si>
    <t>A538 01 002</t>
  </si>
  <si>
    <t>A538 01 003</t>
  </si>
  <si>
    <t>A538 01 006</t>
  </si>
  <si>
    <t>A538 01 004</t>
  </si>
  <si>
    <t>A541 01</t>
  </si>
  <si>
    <t>A541 01 001</t>
  </si>
  <si>
    <t>A541 02</t>
  </si>
  <si>
    <t>A541 02 002</t>
  </si>
  <si>
    <t>A542 00</t>
  </si>
  <si>
    <t>A542 00 008</t>
  </si>
  <si>
    <t>A542 01</t>
  </si>
  <si>
    <t>A542 01 004</t>
  </si>
  <si>
    <t>A542 01 012</t>
  </si>
  <si>
    <t>A542 01 013</t>
  </si>
  <si>
    <t>A542 01 008</t>
  </si>
  <si>
    <t>A542 01 010</t>
  </si>
  <si>
    <t>A542 01 011</t>
  </si>
  <si>
    <t>A544 01</t>
  </si>
  <si>
    <t>A544 01 001</t>
  </si>
  <si>
    <t>A544 01 002</t>
  </si>
  <si>
    <t>A544 01 003</t>
  </si>
  <si>
    <t>A547 10</t>
  </si>
  <si>
    <t>A547 10 002</t>
  </si>
  <si>
    <t>A547 13</t>
  </si>
  <si>
    <t>A547 13 001</t>
  </si>
  <si>
    <t>A547 99</t>
  </si>
  <si>
    <t>A547 99 001</t>
  </si>
  <si>
    <t>A549 00</t>
  </si>
  <si>
    <t>A549 00 000</t>
  </si>
  <si>
    <t>A549 01</t>
  </si>
  <si>
    <t>A549 01 026</t>
  </si>
  <si>
    <t>A549 01 025</t>
  </si>
  <si>
    <t>A549 08</t>
  </si>
  <si>
    <t>A549 08 001</t>
  </si>
  <si>
    <t>A549 08 002</t>
  </si>
  <si>
    <t>A549 08 003</t>
  </si>
  <si>
    <t>A549 09</t>
  </si>
  <si>
    <t>A549 09 000</t>
  </si>
  <si>
    <t>A549 10</t>
  </si>
  <si>
    <t>A549 10 001</t>
  </si>
  <si>
    <t>A549 10 003</t>
  </si>
  <si>
    <t>A549 10 004</t>
  </si>
  <si>
    <t>A549 10 005</t>
  </si>
  <si>
    <t>A549 10 007</t>
  </si>
  <si>
    <t>A549 10 008</t>
  </si>
  <si>
    <t>A549 10 009</t>
  </si>
  <si>
    <t>A549 10 010</t>
  </si>
  <si>
    <t>A549 10 011</t>
  </si>
  <si>
    <t>A549 10 016</t>
  </si>
  <si>
    <t>A549 10 017</t>
  </si>
  <si>
    <t>A549 10 018</t>
  </si>
  <si>
    <t>A549 10 401</t>
  </si>
  <si>
    <t>A549 10 006</t>
  </si>
  <si>
    <t>A549 11</t>
  </si>
  <si>
    <t>A549 11 001</t>
  </si>
  <si>
    <t>A549 11 002</t>
  </si>
  <si>
    <t>A549 11 003</t>
  </si>
  <si>
    <t>A549 11 004</t>
  </si>
  <si>
    <t>A549 20</t>
  </si>
  <si>
    <t>A549 20 000</t>
  </si>
  <si>
    <t>A549 21</t>
  </si>
  <si>
    <t>A549 21 000</t>
  </si>
  <si>
    <t>A549 24</t>
  </si>
  <si>
    <t>A549 24 002</t>
  </si>
  <si>
    <t>A549 24 001</t>
  </si>
  <si>
    <t>A549 25</t>
  </si>
  <si>
    <t>A549 25 000</t>
  </si>
  <si>
    <t>A549 70</t>
  </si>
  <si>
    <t>A549 70 000</t>
  </si>
  <si>
    <t>A549 71</t>
  </si>
  <si>
    <t>A549 71 000</t>
  </si>
  <si>
    <t>A549 72</t>
  </si>
  <si>
    <t>A549 72 000</t>
  </si>
  <si>
    <t>A549 73</t>
  </si>
  <si>
    <t>A549 73 000</t>
  </si>
  <si>
    <t>A549 75</t>
  </si>
  <si>
    <t>A549 75 000</t>
  </si>
  <si>
    <t>A549 77</t>
  </si>
  <si>
    <t>A549 77 000</t>
  </si>
  <si>
    <t>A549 80</t>
  </si>
  <si>
    <t>A549 80 000</t>
  </si>
  <si>
    <t>A549 90</t>
  </si>
  <si>
    <t>A549 90 510</t>
  </si>
  <si>
    <t>A549 90 501</t>
  </si>
  <si>
    <t>A549 90 525</t>
  </si>
  <si>
    <t>A549 99</t>
  </si>
  <si>
    <t>A549 99 000</t>
  </si>
  <si>
    <t>A549 99 001</t>
  </si>
  <si>
    <t>A549 99 002</t>
  </si>
  <si>
    <t>A551 00</t>
  </si>
  <si>
    <t>A551 00 000</t>
  </si>
  <si>
    <t>A551 10</t>
  </si>
  <si>
    <t>A551 10 002</t>
  </si>
  <si>
    <t>A551 10 003</t>
  </si>
  <si>
    <t>A551 10 004</t>
  </si>
  <si>
    <t>A551 10 005</t>
  </si>
  <si>
    <t>A551 10 013</t>
  </si>
  <si>
    <t>A551 10 014</t>
  </si>
  <si>
    <t>A551 10 015</t>
  </si>
  <si>
    <t>A551 20</t>
  </si>
  <si>
    <t>A551 20 004</t>
  </si>
  <si>
    <t>A551 20 005</t>
  </si>
  <si>
    <t>A551 20 003</t>
  </si>
  <si>
    <t>A551 20 014</t>
  </si>
  <si>
    <t>A551 20 015</t>
  </si>
  <si>
    <t>A551 90</t>
  </si>
  <si>
    <t>A551 90 510</t>
  </si>
  <si>
    <t>A551 90 520</t>
  </si>
  <si>
    <t>A557 00</t>
  </si>
  <si>
    <t>A557 00 001</t>
  </si>
  <si>
    <t>A557 99</t>
  </si>
  <si>
    <t>A557 99 001</t>
  </si>
  <si>
    <t>A558 00</t>
  </si>
  <si>
    <t>A558 00 000</t>
  </si>
  <si>
    <t>A558 01</t>
  </si>
  <si>
    <t>A558 01 001</t>
  </si>
  <si>
    <t>A558 01 002</t>
  </si>
  <si>
    <t>A558 01 080</t>
  </si>
  <si>
    <t>A558 01 081</t>
  </si>
  <si>
    <t>A558 02</t>
  </si>
  <si>
    <t>A558 02 001</t>
  </si>
  <si>
    <t>A558 02 002</t>
  </si>
  <si>
    <t>A558 02 003</t>
  </si>
  <si>
    <t>A558 02 004</t>
  </si>
  <si>
    <t>A558 02 005</t>
  </si>
  <si>
    <t>A558 02 080</t>
  </si>
  <si>
    <t>A558 02 081</t>
  </si>
  <si>
    <t>A558 04</t>
  </si>
  <si>
    <t>A558 04 001</t>
  </si>
  <si>
    <t>A558 04 002</t>
  </si>
  <si>
    <t>A558 04 080</t>
  </si>
  <si>
    <t>A558 04 081</t>
  </si>
  <si>
    <t>A558 05</t>
  </si>
  <si>
    <t>A558 05 001</t>
  </si>
  <si>
    <t>A558 05 002</t>
  </si>
  <si>
    <t>A558 05 080</t>
  </si>
  <si>
    <t>A558 05 081</t>
  </si>
  <si>
    <t>A558 06 001</t>
  </si>
  <si>
    <t>A558 06 081</t>
  </si>
  <si>
    <t>A558 06 080</t>
  </si>
  <si>
    <t>PEU</t>
  </si>
  <si>
    <t>ONZTP</t>
  </si>
  <si>
    <t>A558 06</t>
  </si>
  <si>
    <t>A558 28</t>
  </si>
  <si>
    <t>A558 28 001</t>
  </si>
  <si>
    <t>A558 28 080</t>
  </si>
  <si>
    <t>A558 28 081</t>
  </si>
  <si>
    <t>A558 90</t>
  </si>
  <si>
    <t>A558 90 501</t>
  </si>
  <si>
    <t>A553 90</t>
  </si>
  <si>
    <t>A553 90 000</t>
  </si>
  <si>
    <t>A556 00</t>
  </si>
  <si>
    <t>A556 00 001</t>
  </si>
  <si>
    <t>A556 99</t>
  </si>
  <si>
    <t>A556 99 000</t>
  </si>
  <si>
    <t>A562 10</t>
  </si>
  <si>
    <t>A563 01 000</t>
  </si>
  <si>
    <t>A562 10 001</t>
  </si>
  <si>
    <t>A563 00</t>
  </si>
  <si>
    <t>A563 00 000</t>
  </si>
  <si>
    <t>A563 01</t>
  </si>
  <si>
    <t>A563 90</t>
  </si>
  <si>
    <t>A563 90 510</t>
  </si>
  <si>
    <t>A564 00</t>
  </si>
  <si>
    <t>A564 00 001</t>
  </si>
  <si>
    <t>A591 00</t>
  </si>
  <si>
    <t>A591 00 000</t>
  </si>
  <si>
    <t>A591 00 001</t>
  </si>
  <si>
    <t>A591 00 002</t>
  </si>
  <si>
    <t>A602 10</t>
  </si>
  <si>
    <t>A602 10 322</t>
  </si>
  <si>
    <t>A602 10 323</t>
  </si>
  <si>
    <t>A602 10 350</t>
  </si>
  <si>
    <t>A602 10 351</t>
  </si>
  <si>
    <t>A602 10 354</t>
  </si>
  <si>
    <t>A602 10 359</t>
  </si>
  <si>
    <t>A602 27</t>
  </si>
  <si>
    <t>A602 27 200</t>
  </si>
  <si>
    <t>A602 27 300</t>
  </si>
  <si>
    <t>A602 27 100</t>
  </si>
  <si>
    <t>A602 28</t>
  </si>
  <si>
    <t>A602 28 108</t>
  </si>
  <si>
    <t>A602 28 109</t>
  </si>
  <si>
    <t>A602 28 142</t>
  </si>
  <si>
    <t>A602 28 143</t>
  </si>
  <si>
    <t>A602 28 190</t>
  </si>
  <si>
    <t>A602 28 191</t>
  </si>
  <si>
    <t>A602 29</t>
  </si>
  <si>
    <t>A602 29 201</t>
  </si>
  <si>
    <t>A602 29 202</t>
  </si>
  <si>
    <t>A602 29 208</t>
  </si>
  <si>
    <t>A602 29 209</t>
  </si>
  <si>
    <t>A602 29 241</t>
  </si>
  <si>
    <t>A602 29 242</t>
  </si>
  <si>
    <t>A602 29 243</t>
  </si>
  <si>
    <t>A602 29 245</t>
  </si>
  <si>
    <t>A602 29 246</t>
  </si>
  <si>
    <t>A602 29 290</t>
  </si>
  <si>
    <t>A602 30</t>
  </si>
  <si>
    <t>A602 30 001</t>
  </si>
  <si>
    <t>A602 30 002</t>
  </si>
  <si>
    <t>A602 40</t>
  </si>
  <si>
    <t>A602 40 101</t>
  </si>
  <si>
    <t>A602 40 002</t>
  </si>
  <si>
    <t>A602 41</t>
  </si>
  <si>
    <t>A602 41 201</t>
  </si>
  <si>
    <t>A602 41 101</t>
  </si>
  <si>
    <t>A602 44</t>
  </si>
  <si>
    <t>A602 44 409</t>
  </si>
  <si>
    <t>A602 45</t>
  </si>
  <si>
    <t>A602 45 401</t>
  </si>
  <si>
    <t>A602 45 415</t>
  </si>
  <si>
    <t>A602 45 400</t>
  </si>
  <si>
    <t>A602 45 409</t>
  </si>
  <si>
    <t>A602 45 414</t>
  </si>
  <si>
    <t>A602 46</t>
  </si>
  <si>
    <t>A602 46 401</t>
  </si>
  <si>
    <t>A602 46 400</t>
  </si>
  <si>
    <t>A604 01</t>
  </si>
  <si>
    <t>A604 01 001</t>
  </si>
  <si>
    <t>A604 01 002</t>
  </si>
  <si>
    <t>A604 50</t>
  </si>
  <si>
    <t>A604 50 360</t>
  </si>
  <si>
    <t>A604 50 361</t>
  </si>
  <si>
    <t>A604 50 363</t>
  </si>
  <si>
    <t>A604 50 365</t>
  </si>
  <si>
    <t>A604 50 366</t>
  </si>
  <si>
    <t>A604 50 368</t>
  </si>
  <si>
    <t>A604 50 370</t>
  </si>
  <si>
    <t>A604 50 377</t>
  </si>
  <si>
    <t>A604 50 383</t>
  </si>
  <si>
    <t>OZPI</t>
  </si>
  <si>
    <t>A604 50 384</t>
  </si>
  <si>
    <t>A604 50 560</t>
  </si>
  <si>
    <t>A604 50 374</t>
  </si>
  <si>
    <t>A604 50 364</t>
  </si>
  <si>
    <t>A604 50 367</t>
  </si>
  <si>
    <t>A604 50 371</t>
  </si>
  <si>
    <t>A604 50 376</t>
  </si>
  <si>
    <t>A604 50 382</t>
  </si>
  <si>
    <t>A603 25</t>
  </si>
  <si>
    <t>A603 25 421</t>
  </si>
  <si>
    <t>A603 25 422</t>
  </si>
  <si>
    <t>A603 25 423</t>
  </si>
  <si>
    <t>A603 25 424</t>
  </si>
  <si>
    <t>A603 25 425</t>
  </si>
  <si>
    <t>A603 25 426</t>
  </si>
  <si>
    <t>A609 10</t>
  </si>
  <si>
    <t>A609 10 320</t>
  </si>
  <si>
    <t>A641 00</t>
  </si>
  <si>
    <t>A641 00 043</t>
  </si>
  <si>
    <t>A641 00 044</t>
  </si>
  <si>
    <t>A641 00 052</t>
  </si>
  <si>
    <t>A643 00</t>
  </si>
  <si>
    <t>A643 00 003</t>
  </si>
  <si>
    <t>A644 23</t>
  </si>
  <si>
    <t>A644 23 001</t>
  </si>
  <si>
    <t>A644 23 011</t>
  </si>
  <si>
    <t>A644 23 013</t>
  </si>
  <si>
    <t>A644 23 501</t>
  </si>
  <si>
    <t>A644 23 500</t>
  </si>
  <si>
    <t>A646 01</t>
  </si>
  <si>
    <t>A646 01 004</t>
  </si>
  <si>
    <t>A648 01</t>
  </si>
  <si>
    <t>A648 01 002</t>
  </si>
  <si>
    <t>A648 03</t>
  </si>
  <si>
    <t>A648 03 000</t>
  </si>
  <si>
    <t>A648 24</t>
  </si>
  <si>
    <t>A648 24 048</t>
  </si>
  <si>
    <t>A648 24 415</t>
  </si>
  <si>
    <t>A648 24 005</t>
  </si>
  <si>
    <t>A649 06</t>
  </si>
  <si>
    <t>A649 06 000</t>
  </si>
  <si>
    <t>A649 08</t>
  </si>
  <si>
    <t>A649 08 000</t>
  </si>
  <si>
    <t>A649 08 007</t>
  </si>
  <si>
    <t>A649 08 009</t>
  </si>
  <si>
    <t>A649 08 044</t>
  </si>
  <si>
    <t>A649 08 050</t>
  </si>
  <si>
    <t>A649 08 512</t>
  </si>
  <si>
    <t>A649 08 006</t>
  </si>
  <si>
    <t>A649 08 046</t>
  </si>
  <si>
    <t>A649 10</t>
  </si>
  <si>
    <t>A649 10 001</t>
  </si>
  <si>
    <t>A649 10 002</t>
  </si>
  <si>
    <t>A649 10 003</t>
  </si>
  <si>
    <t>A649 10 004</t>
  </si>
  <si>
    <t>A649 24</t>
  </si>
  <si>
    <t>A649 24 401</t>
  </si>
  <si>
    <t>A649 24 402</t>
  </si>
  <si>
    <t>A649 24 403</t>
  </si>
  <si>
    <t>A649 24 411</t>
  </si>
  <si>
    <t>A649 24 413</t>
  </si>
  <si>
    <t>A649 24 437</t>
  </si>
  <si>
    <t>A649 24 438</t>
  </si>
  <si>
    <t>A649 24 439</t>
  </si>
  <si>
    <t>A649 24 440</t>
  </si>
  <si>
    <t>A649 24 441</t>
  </si>
  <si>
    <t>A649 24 442</t>
  </si>
  <si>
    <t>A649 24 443</t>
  </si>
  <si>
    <t>A649 24 444</t>
  </si>
  <si>
    <t>A649 24 445</t>
  </si>
  <si>
    <t>A649 24 446</t>
  </si>
  <si>
    <t>A649 24 449</t>
  </si>
  <si>
    <t>A649 24 450</t>
  </si>
  <si>
    <t>A649 24 451</t>
  </si>
  <si>
    <t>A649 24 459</t>
  </si>
  <si>
    <t>A649 24 460</t>
  </si>
  <si>
    <t>A649 24 549</t>
  </si>
  <si>
    <t>A649 24 447</t>
  </si>
  <si>
    <t>A649 24 448</t>
  </si>
  <si>
    <t>A649 25</t>
  </si>
  <si>
    <t>A649 25 441</t>
  </si>
  <si>
    <t>A649 25 443</t>
  </si>
  <si>
    <t>A649 25 444</t>
  </si>
  <si>
    <t>A649 25 445</t>
  </si>
  <si>
    <t>A649 25 446</t>
  </si>
  <si>
    <t>A649 25 449</t>
  </si>
  <si>
    <t>A649 80</t>
  </si>
  <si>
    <t>A649 80 001</t>
  </si>
  <si>
    <t>A662 00</t>
  </si>
  <si>
    <t>A662 00 001</t>
  </si>
  <si>
    <t>A663 00</t>
  </si>
  <si>
    <t>A663 00 001</t>
  </si>
  <si>
    <t>A664 00</t>
  </si>
  <si>
    <t>A664 00001</t>
  </si>
  <si>
    <t>A671 01</t>
  </si>
  <si>
    <t>A671 01 000</t>
  </si>
  <si>
    <t>A671 01 001</t>
  </si>
  <si>
    <t>A671 01 002</t>
  </si>
  <si>
    <t>A671 01 007</t>
  </si>
  <si>
    <t>A671 01 010</t>
  </si>
  <si>
    <t>A671 01 006</t>
  </si>
  <si>
    <t>A671 01 011</t>
  </si>
  <si>
    <t>A671 02</t>
  </si>
  <si>
    <t>A671 02 001</t>
  </si>
  <si>
    <t>A671 02 002</t>
  </si>
  <si>
    <t>A671 20</t>
  </si>
  <si>
    <t>A671 20 001</t>
  </si>
  <si>
    <t>ONLEK</t>
  </si>
  <si>
    <t>A649 24 511</t>
  </si>
  <si>
    <t>OPP</t>
  </si>
  <si>
    <t>A504 95 373</t>
  </si>
  <si>
    <t xml:space="preserve">                    Nákl. na prodej - enter.a parent.výživa - ZP</t>
  </si>
  <si>
    <t>A501 15 061</t>
  </si>
  <si>
    <t xml:space="preserve">                    RTG materiál, filmy a chemikálie (sk. Z_504)</t>
  </si>
  <si>
    <t>A501 15 086</t>
  </si>
  <si>
    <t xml:space="preserve">                    ostatní ZPr - pacientské monitory (sk. Z_549)</t>
  </si>
  <si>
    <t xml:space="preserve">                    Odvod za nedodržení ZTP</t>
  </si>
  <si>
    <t>A551 20 002</t>
  </si>
  <si>
    <t xml:space="preserve">                    ZC DHM - z odpisů</t>
  </si>
  <si>
    <t>OFI</t>
  </si>
  <si>
    <t>A602 40 102</t>
  </si>
  <si>
    <t>A602 40 001</t>
  </si>
  <si>
    <t xml:space="preserve">                    odhad výk. za zdr. péči ZP (z minulých let)</t>
  </si>
  <si>
    <t xml:space="preserve">                    vyrov. odh. výk. za zdr. péči ZP (aktuální rok)</t>
  </si>
  <si>
    <t>OSB</t>
  </si>
  <si>
    <t>OVEH</t>
  </si>
  <si>
    <t>A518 08 020</t>
  </si>
  <si>
    <t>A518 08 021</t>
  </si>
  <si>
    <t xml:space="preserve">                    smluvní servis - UTZ</t>
  </si>
  <si>
    <t xml:space="preserve">                    revize, tech.kontroly, prev.prohl.- UTZ</t>
  </si>
  <si>
    <t>UIT</t>
  </si>
  <si>
    <t>ORST</t>
  </si>
  <si>
    <t>ORSA</t>
  </si>
  <si>
    <t>A528 10 000</t>
  </si>
  <si>
    <t xml:space="preserve">                zvyšování kvalifikace (OPMČ)</t>
  </si>
  <si>
    <t>OMAR, OVLZ</t>
  </si>
  <si>
    <t>OEC, OIN</t>
  </si>
  <si>
    <t>ORST, ORSA</t>
  </si>
  <si>
    <t>A525 10 001</t>
  </si>
  <si>
    <t xml:space="preserve">                    cestovní pojištění zaměstnanců</t>
  </si>
  <si>
    <t>dopoč. Prosinec</t>
  </si>
  <si>
    <t>rozpočet 2020</t>
  </si>
  <si>
    <t>A501 09</t>
  </si>
  <si>
    <t>A501 00</t>
  </si>
  <si>
    <t>A501 86</t>
  </si>
  <si>
    <t>Srpen</t>
  </si>
  <si>
    <t>Návrh rozpočtu FNOL na rok 2020</t>
  </si>
  <si>
    <t xml:space="preserve">                    Nákl. na prodej - enter.a parent.výživa - zdravotnickým zařízením</t>
  </si>
  <si>
    <t>A604 50 373</t>
  </si>
  <si>
    <t xml:space="preserve">                    Prodej - enter.a parent.výživa - ZP</t>
  </si>
  <si>
    <t xml:space="preserve">                    Prodej - enter.a parent.výživa - zdravotnickým zařízením</t>
  </si>
  <si>
    <t xml:space="preserve">                    ZPr. - HCO membrány (sk. Z546)</t>
  </si>
  <si>
    <t xml:space="preserve">                    ZPr. - katetry absorbční (sk. Z541)</t>
  </si>
  <si>
    <t xml:space="preserve">                    Všeob.mat. - razítka ostatní (V111) od 1 tis. do 2999,99 </t>
  </si>
  <si>
    <t xml:space="preserve">                    ND - ostatní techn. UTZ</t>
  </si>
  <si>
    <t xml:space="preserve">                    opravy zdravotnické techniky - UTZ</t>
  </si>
  <si>
    <t xml:space="preserve">                    opravy ostatní techniky - UTZ</t>
  </si>
  <si>
    <t xml:space="preserve">                    opravy ostatní techniky - ELSYS</t>
  </si>
  <si>
    <t xml:space="preserve">                    spotřeba cenin (známky, kolky)</t>
  </si>
  <si>
    <t xml:space="preserve">                    Ostatní provoz. sl. - hl. čin. (LPS)</t>
  </si>
  <si>
    <t xml:space="preserve">                    daň z příjmu - vytvoření dohadné položky (akt. období)</t>
  </si>
  <si>
    <t xml:space="preserve">                    Odškod.pacientů - prac. Úraz</t>
  </si>
  <si>
    <t xml:space="preserve">                    znalecké  posudky, odměny z klinických hodnocení</t>
  </si>
  <si>
    <t xml:space="preserve">                    Úklid. služby - brigádnické služby</t>
  </si>
  <si>
    <t xml:space="preserve">    Názvy účtů ↓</t>
  </si>
  <si>
    <t>Hospodářský výsledek→</t>
  </si>
  <si>
    <t xml:space="preserve">                    Transfery MZ na rezidenční místa</t>
  </si>
  <si>
    <t>A518 08 014</t>
  </si>
  <si>
    <t xml:space="preserve">                    Smluvní servis - potrubní pošta</t>
  </si>
  <si>
    <t>nové 4 ks sanitek</t>
  </si>
  <si>
    <t>vč. rezervy</t>
  </si>
  <si>
    <t>vč. rezervy 77,5 tis.Kč</t>
  </si>
  <si>
    <t>vč. rezervy 40 tis.Kč</t>
  </si>
  <si>
    <t>vč. rezervy 110 tis.Kč</t>
  </si>
  <si>
    <t>vč. rezervy 120 tis.Kč</t>
  </si>
  <si>
    <t>rezerva 50 tis. Kč</t>
  </si>
  <si>
    <t>opravy STA (100) DVBT2 (600)</t>
  </si>
  <si>
    <t>vč. rezervy 80 tis.Kč na navýšení cen a zimu</t>
  </si>
  <si>
    <t>rozpis Mgr. Svozil</t>
  </si>
  <si>
    <t>navýšení 0,5 mil.Kč na novou legislativu</t>
  </si>
  <si>
    <t>Mgr. Svozil -72 tis. Kč</t>
  </si>
  <si>
    <t>z toho Mgr. Svozil 200 tis.Kč.</t>
  </si>
  <si>
    <t>většinou generační obměna, viz rozpis.</t>
  </si>
  <si>
    <t>náhrada repasů</t>
  </si>
  <si>
    <t>nové freesety</t>
  </si>
  <si>
    <t>hlavně nové licence MS Office</t>
  </si>
  <si>
    <t>7.500 OBTKS, 100 UTZ</t>
  </si>
  <si>
    <t>plánovat ???</t>
  </si>
  <si>
    <t>v kolektivní smlouvě 5 mil.Kč</t>
  </si>
  <si>
    <t>již se zde neúčtuje</t>
  </si>
  <si>
    <t>rozpočet</t>
  </si>
  <si>
    <t>dopoč. prosinec</t>
  </si>
  <si>
    <t>r2020-r2019</t>
  </si>
  <si>
    <t>r2020-s2018</t>
  </si>
  <si>
    <t>r2020-s2019</t>
  </si>
  <si>
    <t>r2020/ r2019</t>
  </si>
  <si>
    <t>r2020/ s2018</t>
  </si>
  <si>
    <t>r2020/ s2019</t>
  </si>
  <si>
    <t>fce</t>
  </si>
  <si>
    <t>z A518 08 008</t>
  </si>
  <si>
    <t>z A518 08 018</t>
  </si>
  <si>
    <t>z A 501 18 003</t>
  </si>
  <si>
    <t>z A511 02 021</t>
  </si>
  <si>
    <t>rozděleno .. 02 032</t>
  </si>
  <si>
    <t>rozděleno ..02 033,034</t>
  </si>
  <si>
    <t>rozděleno .. 08 020</t>
  </si>
  <si>
    <t>rozděleno .. 08 021</t>
  </si>
  <si>
    <t>vč. MEDEVAC</t>
  </si>
  <si>
    <t>Jiné pokuty a penále</t>
  </si>
  <si>
    <t>Manka a škody</t>
  </si>
  <si>
    <t>17.329 tis. Kč, nákladů</t>
  </si>
  <si>
    <t>3.600 tis. Kč, nákladů</t>
  </si>
  <si>
    <t>rezerva 6.137 tis. Kč</t>
  </si>
  <si>
    <t>2019: prádelna 5.853,40</t>
  </si>
  <si>
    <t>2019: prádelna 2.355,77</t>
  </si>
  <si>
    <t>2019: prádelna 71.636,12</t>
  </si>
  <si>
    <t>2019: prádelna 296.073,-</t>
  </si>
  <si>
    <t>2019: prádelna 3.691,20</t>
  </si>
  <si>
    <t>2019: prádelna 26.268,-</t>
  </si>
  <si>
    <t>2019: prádelna 167.885,-</t>
  </si>
  <si>
    <t>2019: prádelna 1.494.914,-</t>
  </si>
  <si>
    <t>2019: prádelna 376.934,-</t>
  </si>
  <si>
    <t>2019: prádelna 15.947,-</t>
  </si>
  <si>
    <t>rezerva 200 tis., 2019: prádelna 51.165 Kč</t>
  </si>
  <si>
    <t>rezerva 200 tis. Kč, 2019: prádelna 2.880 Kč</t>
  </si>
  <si>
    <t>2019: prádelna 606.632 Kč</t>
  </si>
  <si>
    <t>2019: prádelna 307.010 Kč</t>
  </si>
  <si>
    <t>2020: prádelna 1.157 tis. Kč</t>
  </si>
  <si>
    <t>staženo 500 tis. Kč</t>
  </si>
  <si>
    <t>korekce IT</t>
  </si>
  <si>
    <t>korekce UHTS</t>
  </si>
  <si>
    <t>korekce OBÚ</t>
  </si>
  <si>
    <t>kliniky si řekly</t>
  </si>
  <si>
    <t>léky</t>
  </si>
  <si>
    <t>SZM</t>
  </si>
  <si>
    <t>bez CL a § 16</t>
  </si>
  <si>
    <t>CL</t>
  </si>
  <si>
    <t>§16</t>
  </si>
  <si>
    <t>limity</t>
  </si>
  <si>
    <t>nové</t>
  </si>
  <si>
    <t>Hemlibra</t>
  </si>
  <si>
    <t>původní MAK</t>
  </si>
  <si>
    <t>rozdíl my dáme a limity</t>
  </si>
  <si>
    <t>my dáme jsme řekli</t>
  </si>
  <si>
    <t>předpoklad plán 2020 léky verze 0</t>
  </si>
  <si>
    <t>výchozí objem limity finální 2019</t>
  </si>
  <si>
    <t>rezerva - potřeba FNOL</t>
  </si>
  <si>
    <t xml:space="preserve">zisk </t>
  </si>
  <si>
    <t>manipulační prostor EÚ</t>
  </si>
  <si>
    <t>ZM</t>
  </si>
  <si>
    <t>korekce objemu ZM viz plán výpočtu LP a ZM</t>
  </si>
  <si>
    <t>HV nyní po korekci</t>
  </si>
  <si>
    <t>Min. rezerva v tržbách</t>
  </si>
  <si>
    <t>Dohadné položky z 2019</t>
  </si>
  <si>
    <t>AKTUÁLNÍ POTENCIÁL HV vč dohadů a nadprodukce z 2019</t>
  </si>
  <si>
    <t>ZISK léky v plánu</t>
  </si>
  <si>
    <t>ZISK ZM v plánu</t>
  </si>
  <si>
    <t>Min. potenciál úhrady HOSP. nadprodukce při výkonnosti jako v 2019 - ODHAD</t>
  </si>
  <si>
    <t>REAL MIN Nadprodukce z 2019</t>
  </si>
  <si>
    <t>DOPADY 2019</t>
  </si>
  <si>
    <t>BĚŽNÁ ČINNOST 2020</t>
  </si>
  <si>
    <t>NUTNÁ AMBICE SNÍŽENÍ ON - PRO HV 180 mil. Kč před zdaněním z běžné činnosti a navýšení rezervy o 10 mil. Kč</t>
  </si>
  <si>
    <t>cíl 150 mil. Kč z běžné činnosti před zdaněním</t>
  </si>
  <si>
    <t>ON - plán 2020 při snížení o ambici</t>
  </si>
  <si>
    <t>ON - plán 2019 bez snížení o prádelnu</t>
  </si>
  <si>
    <t>se zohl. dopadu prádelny cca 3.192 mil. Kč</t>
  </si>
  <si>
    <t>ON - akutální předp. 2019</t>
  </si>
  <si>
    <t>Nárůst plánu ON 2020 při snížení o ambici proti plánu 2019</t>
  </si>
  <si>
    <t>Aktuální meziroční nárůst ON 2020 proti předp. 2019</t>
  </si>
  <si>
    <t>ON - plán 2020</t>
  </si>
  <si>
    <t>tj. v %</t>
  </si>
  <si>
    <t>bez ambice snížení ON</t>
  </si>
  <si>
    <t>HV zahrnuté v plánu - vč. ZISKU nyní a úhrady potenc. nadprodukce</t>
  </si>
  <si>
    <t>REZERVY</t>
  </si>
  <si>
    <t>LÉKY</t>
  </si>
  <si>
    <t>Správa</t>
  </si>
  <si>
    <t>OBÚ</t>
  </si>
  <si>
    <t>IT</t>
  </si>
  <si>
    <t>380 tis. rozdělení na kliniky</t>
  </si>
  <si>
    <t>korekce objemu LP bez CL a §16 viz plán výpočtu LP a ZM, proti dílčím plánům klinik</t>
  </si>
  <si>
    <t>plán SZM je 1.035 mil. Kč, z toho 20 mil zisk a 20 rezerva, k rozdělení 995 mil Kč proti limitu 993 mil Kč., viz sestava limity k 31.12.2019</t>
  </si>
  <si>
    <t>v tom:</t>
  </si>
  <si>
    <t>NON</t>
  </si>
  <si>
    <t>plán léky bez CL a §16 je 380 mil. Kč, z toho 10 mil zisk a 10 rezerva, k rozdělení 360 mil Kč proti limitu 354 mil Kč., viz sestava limity k 31.12.2019 a 3,5 Hemlibra tj, oproti 357,5</t>
  </si>
  <si>
    <t>a) rezerva - potřeba FNOL</t>
  </si>
  <si>
    <t>1) plán léky bez CL a § 16</t>
  </si>
  <si>
    <t>b) zisk - FNOL</t>
  </si>
  <si>
    <t>d) manipulační prostor</t>
  </si>
  <si>
    <t>2) plán zdravotnický materiál</t>
  </si>
  <si>
    <t>3) Ing. Olejníček - hlavní správce</t>
  </si>
  <si>
    <t>a) snížení rozpočtu</t>
  </si>
  <si>
    <t>z toho:</t>
  </si>
  <si>
    <t>511 02 024</t>
  </si>
  <si>
    <t>518 08 008</t>
  </si>
  <si>
    <t>4) Ing. Hlavinka - náměstek IT</t>
  </si>
  <si>
    <t>b) rezerva pro IT</t>
  </si>
  <si>
    <t>518 74 013</t>
  </si>
  <si>
    <t>5) Mgr. Čech - nákup zdravotnické přístroje a nástroje</t>
  </si>
  <si>
    <t>b) rezerva nákupu</t>
  </si>
  <si>
    <t>558 01 001</t>
  </si>
  <si>
    <t>6) Ing. Jeřábková - marketing</t>
  </si>
  <si>
    <t>518 74 020</t>
  </si>
  <si>
    <t>plán klinik:</t>
  </si>
  <si>
    <t>HIGHLIGHTS 2020</t>
  </si>
  <si>
    <t>c) finální limity 2019 + Hemlibra</t>
  </si>
  <si>
    <t>c) finální limity 2019</t>
  </si>
  <si>
    <t>b) v plánu zahrnuta rezerva pro ÚHTS</t>
  </si>
  <si>
    <t>a) snížení předloženého rozpočtu</t>
  </si>
  <si>
    <t>plán dle garantů</t>
  </si>
  <si>
    <t>plán dle garanta</t>
  </si>
  <si>
    <t>a) snížení nákladů rozpočtu</t>
  </si>
  <si>
    <t>b) zvýšení výnosů rozpočtu</t>
  </si>
  <si>
    <t>c) rezerva marketingu</t>
  </si>
  <si>
    <t>plán dle garanta výnosy</t>
  </si>
  <si>
    <t>plán dle garanta náklady</t>
  </si>
  <si>
    <t>Upraveno nad hodnotu plánu 2019</t>
  </si>
  <si>
    <t xml:space="preserve"> info Mgr. Procházková, upřesnění 7.1.2020</t>
  </si>
  <si>
    <t xml:space="preserve"> info Mgr. Procházková, upřesnění 7.1.2021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</si>
</sst>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A\5#,0\1\1\500\7"/>
    <numFmt numFmtId="165" formatCode="0.0%"/>
    <numFmt numFmtId="166" formatCode="0.0000%"/>
  </numFmts>
  <fonts count="6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Calibri"/>
      <family val="2"/>
      <charset val="238"/>
      <scheme val="minor"/>
    </font>
    <font>
      <sz val="8"/>
      <color indexed="8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FFFF00"/>
      <name val="Calibri"/>
      <family val="2"/>
      <charset val="238"/>
    </font>
    <font>
      <b/>
      <sz val="9"/>
      <color rgb="FF00B05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9"/>
      <color rgb="FF00206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0"/>
      <color rgb="FFFFFF00"/>
      <name val="Calibri"/>
      <family val="2"/>
      <charset val="238"/>
    </font>
    <font>
      <b/>
      <i/>
      <sz val="11"/>
      <color rgb="FFFFFF00"/>
      <name val="Calibri"/>
      <family val="2"/>
      <charset val="238"/>
      <scheme val="minor"/>
    </font>
    <font>
      <i/>
      <sz val="11"/>
      <color rgb="FFFFFF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b/>
      <sz val="18"/>
      <color rgb="FFFF0000"/>
      <name val="Bookman Old Style"/>
      <family val="1"/>
      <charset val="238"/>
    </font>
    <font>
      <b/>
      <sz val="3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theme="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FF74"/>
        <bgColor indexed="64"/>
      </patternFill>
    </fill>
    <fill>
      <patternFill patternType="solid">
        <fgColor rgb="FFF2C506"/>
        <bgColor indexed="64"/>
      </patternFill>
    </fill>
  </fills>
  <borders count="4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medium">
        <color indexed="2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hair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theme="1"/>
      </top>
      <bottom style="hair">
        <color theme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7"/>
      </left>
      <right/>
      <top style="medium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medium">
        <color indexed="2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/>
    <xf numFmtId="4" fontId="5" fillId="3" borderId="1"/>
    <xf numFmtId="0" fontId="5" fillId="3" borderId="0">
      <alignment horizontal="left"/>
    </xf>
    <xf numFmtId="0" fontId="5" fillId="2" borderId="0">
      <alignment horizontal="left"/>
    </xf>
    <xf numFmtId="0" fontId="9" fillId="8" borderId="0" applyNumberFormat="0" applyBorder="0" applyAlignment="0" applyProtection="0"/>
    <xf numFmtId="9" fontId="39" fillId="0" borderId="0" applyFont="0" applyFill="0" applyBorder="0" applyAlignment="0" applyProtection="0"/>
  </cellStyleXfs>
  <cellXfs count="339">
    <xf numFmtId="0" fontId="0" fillId="0" borderId="0" xfId="0"/>
    <xf numFmtId="0" fontId="6" fillId="4" borderId="0" xfId="0" applyFont="1" applyFill="1" applyBorder="1" applyAlignment="1">
      <alignment horizontal="right"/>
    </xf>
    <xf numFmtId="0" fontId="6" fillId="5" borderId="2" xfId="3" applyFont="1" applyFill="1" applyBorder="1" applyAlignment="1">
      <alignment horizontal="center" shrinkToFit="1"/>
    </xf>
    <xf numFmtId="0" fontId="4" fillId="4" borderId="5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8" fillId="4" borderId="0" xfId="0" applyFont="1" applyFill="1" applyBorder="1" applyAlignment="1">
      <alignment horizontal="left" vertical="center"/>
    </xf>
    <xf numFmtId="0" fontId="4" fillId="5" borderId="8" xfId="3" applyFont="1" applyFill="1" applyBorder="1" applyAlignment="1">
      <alignment horizontal="center" shrinkToFit="1"/>
    </xf>
    <xf numFmtId="0" fontId="4" fillId="5" borderId="2" xfId="3" applyFont="1" applyFill="1" applyBorder="1" applyAlignment="1">
      <alignment horizontal="center" shrinkToFit="1"/>
    </xf>
    <xf numFmtId="0" fontId="4" fillId="4" borderId="0" xfId="0" applyFont="1" applyFill="1" applyBorder="1" applyAlignment="1">
      <alignment wrapText="1"/>
    </xf>
    <xf numFmtId="3" fontId="4" fillId="7" borderId="9" xfId="4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4" applyFont="1" applyFill="1" applyBorder="1">
      <alignment horizontal="left"/>
    </xf>
    <xf numFmtId="0" fontId="4" fillId="0" borderId="0" xfId="4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3" fontId="4" fillId="9" borderId="9" xfId="4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center"/>
    </xf>
    <xf numFmtId="49" fontId="11" fillId="9" borderId="0" xfId="0" applyNumberFormat="1" applyFont="1" applyFill="1" applyBorder="1" applyAlignment="1">
      <alignment horizontal="center"/>
    </xf>
    <xf numFmtId="0" fontId="4" fillId="10" borderId="0" xfId="0" applyFont="1" applyFill="1" applyBorder="1"/>
    <xf numFmtId="0" fontId="4" fillId="11" borderId="0" xfId="0" applyFont="1" applyFill="1" applyBorder="1"/>
    <xf numFmtId="0" fontId="2" fillId="11" borderId="0" xfId="4" applyFont="1" applyFill="1" applyBorder="1">
      <alignment horizontal="left"/>
    </xf>
    <xf numFmtId="3" fontId="4" fillId="11" borderId="9" xfId="4" applyNumberFormat="1" applyFont="1" applyFill="1" applyBorder="1" applyAlignment="1">
      <alignment horizontal="right"/>
    </xf>
    <xf numFmtId="0" fontId="6" fillId="11" borderId="0" xfId="4" applyFont="1" applyFill="1" applyBorder="1">
      <alignment horizontal="left"/>
    </xf>
    <xf numFmtId="0" fontId="11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11" fillId="9" borderId="0" xfId="0" applyFont="1" applyFill="1" applyBorder="1" applyAlignment="1">
      <alignment horizontal="center" vertical="center" wrapText="1"/>
    </xf>
    <xf numFmtId="49" fontId="4" fillId="9" borderId="0" xfId="0" applyNumberFormat="1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 wrapText="1"/>
    </xf>
    <xf numFmtId="49" fontId="4" fillId="11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5" applyNumberFormat="1" applyFont="1" applyFill="1" applyBorder="1" applyAlignment="1">
      <alignment horizontal="center"/>
    </xf>
    <xf numFmtId="0" fontId="2" fillId="10" borderId="0" xfId="4" applyFont="1" applyFill="1" applyBorder="1">
      <alignment horizontal="left"/>
    </xf>
    <xf numFmtId="3" fontId="4" fillId="10" borderId="9" xfId="4" applyNumberFormat="1" applyFont="1" applyFill="1" applyBorder="1" applyAlignment="1">
      <alignment horizontal="right"/>
    </xf>
    <xf numFmtId="0" fontId="6" fillId="10" borderId="0" xfId="4" applyFont="1" applyFill="1" applyBorder="1">
      <alignment horizontal="left"/>
    </xf>
    <xf numFmtId="3" fontId="4" fillId="13" borderId="9" xfId="4" applyNumberFormat="1" applyFont="1" applyFill="1" applyBorder="1" applyAlignment="1">
      <alignment horizontal="right"/>
    </xf>
    <xf numFmtId="0" fontId="4" fillId="14" borderId="0" xfId="0" applyFont="1" applyFill="1" applyBorder="1"/>
    <xf numFmtId="0" fontId="6" fillId="14" borderId="0" xfId="4" applyFont="1" applyFill="1" applyBorder="1">
      <alignment horizontal="left"/>
    </xf>
    <xf numFmtId="0" fontId="6" fillId="0" borderId="0" xfId="4" applyFont="1" applyFill="1" applyBorder="1">
      <alignment horizontal="left"/>
    </xf>
    <xf numFmtId="3" fontId="6" fillId="14" borderId="9" xfId="4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164" fontId="6" fillId="0" borderId="0" xfId="4" applyNumberFormat="1" applyFont="1" applyFill="1" applyBorder="1">
      <alignment horizontal="left"/>
    </xf>
    <xf numFmtId="0" fontId="2" fillId="15" borderId="0" xfId="4" applyFont="1" applyFill="1" applyBorder="1">
      <alignment horizontal="left"/>
    </xf>
    <xf numFmtId="0" fontId="4" fillId="15" borderId="0" xfId="0" applyFont="1" applyFill="1" applyBorder="1"/>
    <xf numFmtId="0" fontId="0" fillId="15" borderId="0" xfId="0" applyFill="1"/>
    <xf numFmtId="3" fontId="4" fillId="15" borderId="9" xfId="4" applyNumberFormat="1" applyFont="1" applyFill="1" applyBorder="1" applyAlignment="1">
      <alignment horizontal="right"/>
    </xf>
    <xf numFmtId="0" fontId="6" fillId="15" borderId="0" xfId="4" applyFont="1" applyFill="1" applyBorder="1">
      <alignment horizontal="left"/>
    </xf>
    <xf numFmtId="0" fontId="4" fillId="16" borderId="0" xfId="0" applyFont="1" applyFill="1" applyBorder="1"/>
    <xf numFmtId="3" fontId="4" fillId="16" borderId="9" xfId="4" applyNumberFormat="1" applyFont="1" applyFill="1" applyBorder="1" applyAlignment="1">
      <alignment horizontal="right"/>
    </xf>
    <xf numFmtId="0" fontId="6" fillId="16" borderId="0" xfId="4" applyFont="1" applyFill="1" applyBorder="1">
      <alignment horizontal="left"/>
    </xf>
    <xf numFmtId="3" fontId="4" fillId="17" borderId="9" xfId="4" applyNumberFormat="1" applyFont="1" applyFill="1" applyBorder="1" applyAlignment="1">
      <alignment horizontal="right"/>
    </xf>
    <xf numFmtId="0" fontId="4" fillId="18" borderId="0" xfId="0" applyFont="1" applyFill="1" applyBorder="1"/>
    <xf numFmtId="3" fontId="4" fillId="18" borderId="9" xfId="4" applyNumberFormat="1" applyFont="1" applyFill="1" applyBorder="1" applyAlignment="1">
      <alignment horizontal="right"/>
    </xf>
    <xf numFmtId="0" fontId="6" fillId="18" borderId="0" xfId="4" applyFont="1" applyFill="1" applyBorder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3" fontId="4" fillId="0" borderId="9" xfId="4" applyNumberFormat="1" applyFont="1" applyFill="1" applyBorder="1" applyAlignment="1">
      <alignment horizontal="right"/>
    </xf>
    <xf numFmtId="0" fontId="6" fillId="19" borderId="0" xfId="4" applyFont="1" applyFill="1" applyBorder="1">
      <alignment horizontal="left"/>
    </xf>
    <xf numFmtId="0" fontId="4" fillId="19" borderId="0" xfId="0" applyFont="1" applyFill="1" applyBorder="1"/>
    <xf numFmtId="0" fontId="2" fillId="19" borderId="0" xfId="4" applyFont="1" applyFill="1" applyBorder="1">
      <alignment horizontal="left"/>
    </xf>
    <xf numFmtId="3" fontId="4" fillId="19" borderId="9" xfId="4" applyNumberFormat="1" applyFont="1" applyFill="1" applyBorder="1" applyAlignment="1">
      <alignment horizontal="right"/>
    </xf>
    <xf numFmtId="0" fontId="6" fillId="20" borderId="0" xfId="4" applyFont="1" applyFill="1" applyBorder="1">
      <alignment horizontal="left"/>
    </xf>
    <xf numFmtId="0" fontId="4" fillId="20" borderId="0" xfId="0" applyFont="1" applyFill="1" applyBorder="1"/>
    <xf numFmtId="3" fontId="4" fillId="20" borderId="9" xfId="4" applyNumberFormat="1" applyFont="1" applyFill="1" applyBorder="1" applyAlignment="1">
      <alignment horizontal="right"/>
    </xf>
    <xf numFmtId="3" fontId="4" fillId="4" borderId="6" xfId="0" applyNumberFormat="1" applyFont="1" applyFill="1" applyBorder="1"/>
    <xf numFmtId="3" fontId="4" fillId="4" borderId="7" xfId="0" applyNumberFormat="1" applyFont="1" applyFill="1" applyBorder="1" applyAlignment="1">
      <alignment vertical="center"/>
    </xf>
    <xf numFmtId="3" fontId="4" fillId="4" borderId="7" xfId="0" applyNumberFormat="1" applyFont="1" applyFill="1" applyBorder="1"/>
    <xf numFmtId="3" fontId="0" fillId="0" borderId="0" xfId="0" applyNumberFormat="1"/>
    <xf numFmtId="1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/>
    <xf numFmtId="0" fontId="0" fillId="0" borderId="0" xfId="0" applyBorder="1"/>
    <xf numFmtId="0" fontId="4" fillId="5" borderId="0" xfId="3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4" fillId="5" borderId="12" xfId="3" applyFont="1" applyFill="1" applyBorder="1" applyAlignment="1">
      <alignment horizontal="center" shrinkToFit="1"/>
    </xf>
    <xf numFmtId="0" fontId="3" fillId="12" borderId="0" xfId="0" applyFont="1" applyFill="1" applyBorder="1"/>
    <xf numFmtId="0" fontId="3" fillId="12" borderId="0" xfId="0" applyFont="1" applyFill="1" applyBorder="1" applyAlignment="1"/>
    <xf numFmtId="0" fontId="3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right" vertical="center"/>
    </xf>
    <xf numFmtId="0" fontId="4" fillId="12" borderId="0" xfId="0" applyFont="1" applyFill="1" applyBorder="1"/>
    <xf numFmtId="0" fontId="6" fillId="12" borderId="0" xfId="0" applyFont="1" applyFill="1" applyBorder="1" applyAlignment="1">
      <alignment horizontal="center"/>
    </xf>
    <xf numFmtId="0" fontId="0" fillId="12" borderId="0" xfId="0" applyFill="1" applyBorder="1"/>
    <xf numFmtId="0" fontId="0" fillId="12" borderId="0" xfId="0" applyFill="1"/>
    <xf numFmtId="0" fontId="6" fillId="9" borderId="0" xfId="4" applyFont="1" applyFill="1" applyBorder="1">
      <alignment horizontal="left"/>
    </xf>
    <xf numFmtId="3" fontId="4" fillId="9" borderId="11" xfId="4" applyNumberFormat="1" applyFont="1" applyFill="1" applyBorder="1" applyAlignment="1">
      <alignment horizontal="right"/>
    </xf>
    <xf numFmtId="3" fontId="4" fillId="7" borderId="11" xfId="4" applyNumberFormat="1" applyFont="1" applyFill="1" applyBorder="1" applyAlignment="1">
      <alignment horizontal="right"/>
    </xf>
    <xf numFmtId="0" fontId="4" fillId="21" borderId="0" xfId="0" applyFont="1" applyFill="1" applyBorder="1"/>
    <xf numFmtId="3" fontId="4" fillId="21" borderId="0" xfId="0" applyNumberFormat="1" applyFont="1" applyFill="1" applyBorder="1"/>
    <xf numFmtId="3" fontId="13" fillId="0" borderId="0" xfId="0" applyNumberFormat="1" applyFont="1"/>
    <xf numFmtId="3" fontId="13" fillId="14" borderId="0" xfId="0" applyNumberFormat="1" applyFont="1" applyFill="1"/>
    <xf numFmtId="3" fontId="13" fillId="15" borderId="0" xfId="0" applyNumberFormat="1" applyFont="1" applyFill="1"/>
    <xf numFmtId="3" fontId="13" fillId="10" borderId="0" xfId="0" applyNumberFormat="1" applyFont="1" applyFill="1"/>
    <xf numFmtId="3" fontId="13" fillId="11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3" fontId="14" fillId="14" borderId="0" xfId="0" applyNumberFormat="1" applyFont="1" applyFill="1"/>
    <xf numFmtId="3" fontId="13" fillId="9" borderId="0" xfId="0" applyNumberFormat="1" applyFont="1" applyFill="1"/>
    <xf numFmtId="3" fontId="13" fillId="17" borderId="0" xfId="0" applyNumberFormat="1" applyFont="1" applyFill="1"/>
    <xf numFmtId="3" fontId="13" fillId="19" borderId="0" xfId="0" applyNumberFormat="1" applyFont="1" applyFill="1"/>
    <xf numFmtId="3" fontId="13" fillId="16" borderId="0" xfId="0" applyNumberFormat="1" applyFont="1" applyFill="1"/>
    <xf numFmtId="3" fontId="13" fillId="18" borderId="0" xfId="0" applyNumberFormat="1" applyFont="1" applyFill="1"/>
    <xf numFmtId="3" fontId="0" fillId="0" borderId="0" xfId="0" applyNumberFormat="1" applyFill="1"/>
    <xf numFmtId="0" fontId="4" fillId="21" borderId="10" xfId="4" applyFont="1" applyFill="1" applyBorder="1">
      <alignment horizontal="left"/>
    </xf>
    <xf numFmtId="3" fontId="13" fillId="21" borderId="0" xfId="0" applyNumberFormat="1" applyFont="1" applyFill="1"/>
    <xf numFmtId="3" fontId="4" fillId="21" borderId="9" xfId="4" applyNumberFormat="1" applyFont="1" applyFill="1" applyBorder="1" applyAlignment="1">
      <alignment horizontal="right"/>
    </xf>
    <xf numFmtId="3" fontId="4" fillId="4" borderId="12" xfId="0" applyNumberFormat="1" applyFont="1" applyFill="1" applyBorder="1" applyAlignment="1">
      <alignment horizontal="center"/>
    </xf>
    <xf numFmtId="3" fontId="22" fillId="0" borderId="0" xfId="0" applyNumberFormat="1" applyFont="1"/>
    <xf numFmtId="3" fontId="23" fillId="0" borderId="0" xfId="0" applyNumberFormat="1" applyFont="1"/>
    <xf numFmtId="3" fontId="21" fillId="0" borderId="0" xfId="0" applyNumberFormat="1" applyFont="1" applyFill="1" applyBorder="1"/>
    <xf numFmtId="3" fontId="23" fillId="22" borderId="0" xfId="0" applyNumberFormat="1" applyFont="1" applyFill="1"/>
    <xf numFmtId="3" fontId="24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4" fillId="0" borderId="8" xfId="3" applyFont="1" applyFill="1" applyBorder="1" applyAlignment="1">
      <alignment horizontal="center" shrinkToFit="1"/>
    </xf>
    <xf numFmtId="1" fontId="4" fillId="0" borderId="1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shrinkToFit="1"/>
    </xf>
    <xf numFmtId="0" fontId="6" fillId="0" borderId="2" xfId="3" applyFont="1" applyFill="1" applyBorder="1" applyAlignment="1">
      <alignment horizontal="center" shrinkToFit="1"/>
    </xf>
    <xf numFmtId="3" fontId="4" fillId="0" borderId="13" xfId="0" applyNumberFormat="1" applyFont="1" applyFill="1" applyBorder="1"/>
    <xf numFmtId="0" fontId="4" fillId="0" borderId="0" xfId="0" applyFont="1" applyFill="1" applyBorder="1" applyAlignment="1">
      <alignment wrapText="1"/>
    </xf>
    <xf numFmtId="0" fontId="6" fillId="0" borderId="0" xfId="4" applyFont="1" applyFill="1" applyBorder="1" applyAlignment="1">
      <alignment horizontal="center" vertical="center" wrapText="1" shrinkToFit="1"/>
    </xf>
    <xf numFmtId="0" fontId="4" fillId="0" borderId="16" xfId="3" applyFont="1" applyFill="1" applyBorder="1" applyAlignment="1">
      <alignment horizontal="center" shrinkToFit="1"/>
    </xf>
    <xf numFmtId="0" fontId="4" fillId="0" borderId="17" xfId="3" applyFont="1" applyFill="1" applyBorder="1" applyAlignment="1">
      <alignment horizontal="center" shrinkToFit="1"/>
    </xf>
    <xf numFmtId="3" fontId="4" fillId="0" borderId="18" xfId="0" applyNumberFormat="1" applyFont="1" applyFill="1" applyBorder="1" applyAlignment="1">
      <alignment horizontal="center"/>
    </xf>
    <xf numFmtId="0" fontId="4" fillId="0" borderId="19" xfId="3" applyFont="1" applyFill="1" applyBorder="1" applyAlignment="1">
      <alignment horizontal="center" shrinkToFit="1"/>
    </xf>
    <xf numFmtId="0" fontId="4" fillId="0" borderId="20" xfId="3" applyFont="1" applyFill="1" applyBorder="1" applyAlignment="1">
      <alignment horizontal="center" shrinkToFit="1"/>
    </xf>
    <xf numFmtId="165" fontId="13" fillId="0" borderId="0" xfId="0" applyNumberFormat="1" applyFont="1"/>
    <xf numFmtId="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165" fontId="13" fillId="9" borderId="0" xfId="0" applyNumberFormat="1" applyFont="1" applyFill="1"/>
    <xf numFmtId="3" fontId="4" fillId="21" borderId="14" xfId="4" applyNumberFormat="1" applyFont="1" applyFill="1" applyBorder="1" applyAlignment="1">
      <alignment horizontal="right"/>
    </xf>
    <xf numFmtId="3" fontId="4" fillId="15" borderId="14" xfId="4" applyNumberFormat="1" applyFont="1" applyFill="1" applyBorder="1" applyAlignment="1">
      <alignment horizontal="right"/>
    </xf>
    <xf numFmtId="3" fontId="6" fillId="14" borderId="14" xfId="4" applyNumberFormat="1" applyFont="1" applyFill="1" applyBorder="1" applyAlignment="1">
      <alignment horizontal="right"/>
    </xf>
    <xf numFmtId="3" fontId="4" fillId="10" borderId="14" xfId="4" applyNumberFormat="1" applyFont="1" applyFill="1" applyBorder="1" applyAlignment="1">
      <alignment horizontal="right"/>
    </xf>
    <xf numFmtId="3" fontId="4" fillId="11" borderId="14" xfId="4" applyNumberFormat="1" applyFont="1" applyFill="1" applyBorder="1" applyAlignment="1">
      <alignment horizontal="right"/>
    </xf>
    <xf numFmtId="3" fontId="4" fillId="4" borderId="14" xfId="0" applyNumberFormat="1" applyFont="1" applyFill="1" applyBorder="1"/>
    <xf numFmtId="3" fontId="4" fillId="9" borderId="14" xfId="0" applyNumberFormat="1" applyFont="1" applyFill="1" applyBorder="1"/>
    <xf numFmtId="3" fontId="4" fillId="10" borderId="14" xfId="0" applyNumberFormat="1" applyFont="1" applyFill="1" applyBorder="1"/>
    <xf numFmtId="3" fontId="4" fillId="11" borderId="14" xfId="0" applyNumberFormat="1" applyFont="1" applyFill="1" applyBorder="1"/>
    <xf numFmtId="3" fontId="4" fillId="20" borderId="14" xfId="4" applyNumberFormat="1" applyFont="1" applyFill="1" applyBorder="1" applyAlignment="1">
      <alignment horizontal="right"/>
    </xf>
    <xf numFmtId="3" fontId="4" fillId="19" borderId="14" xfId="4" applyNumberFormat="1" applyFont="1" applyFill="1" applyBorder="1" applyAlignment="1">
      <alignment horizontal="right"/>
    </xf>
    <xf numFmtId="3" fontId="4" fillId="16" borderId="14" xfId="0" applyNumberFormat="1" applyFont="1" applyFill="1" applyBorder="1"/>
    <xf numFmtId="3" fontId="4" fillId="16" borderId="14" xfId="4" applyNumberFormat="1" applyFont="1" applyFill="1" applyBorder="1" applyAlignment="1">
      <alignment horizontal="right"/>
    </xf>
    <xf numFmtId="3" fontId="4" fillId="18" borderId="14" xfId="4" applyNumberFormat="1" applyFont="1" applyFill="1" applyBorder="1" applyAlignment="1">
      <alignment horizontal="right"/>
    </xf>
    <xf numFmtId="3" fontId="4" fillId="17" borderId="14" xfId="4" applyNumberFormat="1" applyFont="1" applyFill="1" applyBorder="1" applyAlignment="1">
      <alignment horizontal="right"/>
    </xf>
    <xf numFmtId="3" fontId="4" fillId="15" borderId="22" xfId="4" applyNumberFormat="1" applyFont="1" applyFill="1" applyBorder="1" applyAlignment="1">
      <alignment horizontal="right"/>
    </xf>
    <xf numFmtId="3" fontId="6" fillId="14" borderId="22" xfId="4" applyNumberFormat="1" applyFont="1" applyFill="1" applyBorder="1" applyAlignment="1">
      <alignment horizontal="right"/>
    </xf>
    <xf numFmtId="3" fontId="4" fillId="10" borderId="22" xfId="4" applyNumberFormat="1" applyFont="1" applyFill="1" applyBorder="1" applyAlignment="1">
      <alignment horizontal="right"/>
    </xf>
    <xf numFmtId="3" fontId="4" fillId="11" borderId="22" xfId="4" applyNumberFormat="1" applyFont="1" applyFill="1" applyBorder="1" applyAlignment="1">
      <alignment horizontal="right"/>
    </xf>
    <xf numFmtId="0" fontId="0" fillId="0" borderId="22" xfId="0" applyBorder="1"/>
    <xf numFmtId="3" fontId="4" fillId="7" borderId="22" xfId="4" applyNumberFormat="1" applyFont="1" applyFill="1" applyBorder="1" applyAlignment="1">
      <alignment horizontal="right"/>
    </xf>
    <xf numFmtId="3" fontId="4" fillId="0" borderId="22" xfId="4" applyNumberFormat="1" applyFont="1" applyFill="1" applyBorder="1" applyAlignment="1">
      <alignment horizontal="right"/>
    </xf>
    <xf numFmtId="3" fontId="4" fillId="9" borderId="22" xfId="4" applyNumberFormat="1" applyFont="1" applyFill="1" applyBorder="1" applyAlignment="1">
      <alignment horizontal="right"/>
    </xf>
    <xf numFmtId="3" fontId="13" fillId="0" borderId="22" xfId="0" applyNumberFormat="1" applyFont="1" applyBorder="1"/>
    <xf numFmtId="3" fontId="4" fillId="0" borderId="23" xfId="4" applyNumberFormat="1" applyFont="1" applyFill="1" applyBorder="1" applyAlignment="1">
      <alignment horizontal="right"/>
    </xf>
    <xf numFmtId="3" fontId="4" fillId="10" borderId="22" xfId="0" applyNumberFormat="1" applyFont="1" applyFill="1" applyBorder="1"/>
    <xf numFmtId="3" fontId="4" fillId="22" borderId="22" xfId="4" applyNumberFormat="1" applyFont="1" applyFill="1" applyBorder="1" applyAlignment="1">
      <alignment horizontal="right"/>
    </xf>
    <xf numFmtId="3" fontId="14" fillId="7" borderId="22" xfId="4" applyNumberFormat="1" applyFont="1" applyFill="1" applyBorder="1" applyAlignment="1">
      <alignment horizontal="right"/>
    </xf>
    <xf numFmtId="3" fontId="4" fillId="11" borderId="22" xfId="0" applyNumberFormat="1" applyFont="1" applyFill="1" applyBorder="1"/>
    <xf numFmtId="3" fontId="4" fillId="20" borderId="22" xfId="4" applyNumberFormat="1" applyFont="1" applyFill="1" applyBorder="1" applyAlignment="1">
      <alignment horizontal="right"/>
    </xf>
    <xf numFmtId="3" fontId="4" fillId="19" borderId="22" xfId="4" applyNumberFormat="1" applyFont="1" applyFill="1" applyBorder="1" applyAlignment="1">
      <alignment horizontal="right"/>
    </xf>
    <xf numFmtId="3" fontId="4" fillId="16" borderId="22" xfId="0" applyNumberFormat="1" applyFont="1" applyFill="1" applyBorder="1"/>
    <xf numFmtId="3" fontId="4" fillId="16" borderId="22" xfId="4" applyNumberFormat="1" applyFont="1" applyFill="1" applyBorder="1" applyAlignment="1">
      <alignment horizontal="right"/>
    </xf>
    <xf numFmtId="3" fontId="4" fillId="18" borderId="22" xfId="4" applyNumberFormat="1" applyFont="1" applyFill="1" applyBorder="1" applyAlignment="1">
      <alignment horizontal="right"/>
    </xf>
    <xf numFmtId="3" fontId="4" fillId="17" borderId="22" xfId="4" applyNumberFormat="1" applyFont="1" applyFill="1" applyBorder="1" applyAlignment="1">
      <alignment horizontal="right"/>
    </xf>
    <xf numFmtId="3" fontId="4" fillId="16" borderId="24" xfId="4" applyNumberFormat="1" applyFont="1" applyFill="1" applyBorder="1" applyAlignment="1">
      <alignment horizontal="right"/>
    </xf>
    <xf numFmtId="3" fontId="22" fillId="0" borderId="22" xfId="0" applyNumberFormat="1" applyFont="1" applyBorder="1"/>
    <xf numFmtId="0" fontId="13" fillId="0" borderId="0" xfId="0" applyFont="1"/>
    <xf numFmtId="3" fontId="4" fillId="0" borderId="0" xfId="4" applyNumberFormat="1" applyFont="1" applyFill="1" applyBorder="1" applyAlignment="1">
      <alignment horizontal="right"/>
    </xf>
    <xf numFmtId="0" fontId="13" fillId="0" borderId="22" xfId="0" applyFont="1" applyBorder="1"/>
    <xf numFmtId="49" fontId="11" fillId="18" borderId="0" xfId="0" applyNumberFormat="1" applyFont="1" applyFill="1" applyBorder="1" applyAlignment="1">
      <alignment horizontal="center"/>
    </xf>
    <xf numFmtId="3" fontId="4" fillId="18" borderId="14" xfId="0" applyNumberFormat="1" applyFont="1" applyFill="1" applyBorder="1"/>
    <xf numFmtId="165" fontId="13" fillId="18" borderId="0" xfId="0" applyNumberFormat="1" applyFont="1" applyFill="1"/>
    <xf numFmtId="49" fontId="11" fillId="0" borderId="0" xfId="0" applyNumberFormat="1" applyFont="1" applyFill="1" applyBorder="1" applyAlignment="1">
      <alignment horizontal="center"/>
    </xf>
    <xf numFmtId="3" fontId="4" fillId="0" borderId="14" xfId="0" applyNumberFormat="1" applyFont="1" applyFill="1" applyBorder="1"/>
    <xf numFmtId="3" fontId="13" fillId="0" borderId="0" xfId="0" applyNumberFormat="1" applyFont="1" applyFill="1"/>
    <xf numFmtId="165" fontId="13" fillId="0" borderId="0" xfId="0" applyNumberFormat="1" applyFont="1" applyFill="1"/>
    <xf numFmtId="3" fontId="13" fillId="18" borderId="22" xfId="0" applyNumberFormat="1" applyFont="1" applyFill="1" applyBorder="1"/>
    <xf numFmtId="3" fontId="23" fillId="18" borderId="0" xfId="0" applyNumberFormat="1" applyFont="1" applyFill="1"/>
    <xf numFmtId="3" fontId="22" fillId="18" borderId="0" xfId="0" applyNumberFormat="1" applyFont="1" applyFill="1"/>
    <xf numFmtId="3" fontId="22" fillId="0" borderId="25" xfId="0" applyNumberFormat="1" applyFont="1" applyBorder="1"/>
    <xf numFmtId="3" fontId="4" fillId="0" borderId="25" xfId="4" applyNumberFormat="1" applyFont="1" applyFill="1" applyBorder="1" applyAlignment="1">
      <alignment horizontal="right"/>
    </xf>
    <xf numFmtId="3" fontId="22" fillId="0" borderId="25" xfId="0" applyNumberFormat="1" applyFont="1" applyFill="1" applyBorder="1"/>
    <xf numFmtId="0" fontId="0" fillId="9" borderId="22" xfId="0" applyFill="1" applyBorder="1"/>
    <xf numFmtId="0" fontId="0" fillId="18" borderId="22" xfId="0" applyFill="1" applyBorder="1"/>
    <xf numFmtId="3" fontId="13" fillId="23" borderId="0" xfId="0" applyNumberFormat="1" applyFont="1" applyFill="1"/>
    <xf numFmtId="165" fontId="13" fillId="23" borderId="0" xfId="0" applyNumberFormat="1" applyFont="1" applyFill="1"/>
    <xf numFmtId="165" fontId="13" fillId="23" borderId="0" xfId="0" applyNumberFormat="1" applyFont="1" applyFill="1" applyBorder="1"/>
    <xf numFmtId="3" fontId="13" fillId="24" borderId="0" xfId="0" applyNumberFormat="1" applyFont="1" applyFill="1"/>
    <xf numFmtId="165" fontId="13" fillId="24" borderId="0" xfId="0" applyNumberFormat="1" applyFont="1" applyFill="1"/>
    <xf numFmtId="165" fontId="13" fillId="24" borderId="0" xfId="0" applyNumberFormat="1" applyFont="1" applyFill="1" applyBorder="1"/>
    <xf numFmtId="165" fontId="13" fillId="11" borderId="0" xfId="0" applyNumberFormat="1" applyFont="1" applyFill="1"/>
    <xf numFmtId="165" fontId="13" fillId="11" borderId="0" xfId="0" applyNumberFormat="1" applyFont="1" applyFill="1" applyBorder="1"/>
    <xf numFmtId="3" fontId="4" fillId="18" borderId="26" xfId="4" applyNumberFormat="1" applyFont="1" applyFill="1" applyBorder="1" applyAlignment="1">
      <alignment horizontal="right"/>
    </xf>
    <xf numFmtId="3" fontId="12" fillId="0" borderId="22" xfId="0" applyNumberFormat="1" applyFont="1" applyBorder="1"/>
    <xf numFmtId="3" fontId="0" fillId="0" borderId="22" xfId="0" applyNumberFormat="1" applyBorder="1"/>
    <xf numFmtId="9" fontId="22" fillId="0" borderId="0" xfId="0" applyNumberFormat="1" applyFont="1"/>
    <xf numFmtId="3" fontId="30" fillId="0" borderId="0" xfId="0" applyNumberFormat="1" applyFont="1"/>
    <xf numFmtId="3" fontId="22" fillId="0" borderId="0" xfId="0" applyNumberFormat="1" applyFont="1" applyBorder="1"/>
    <xf numFmtId="3" fontId="22" fillId="0" borderId="0" xfId="0" applyNumberFormat="1" applyFont="1" applyFill="1" applyBorder="1"/>
    <xf numFmtId="3" fontId="23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3" fontId="23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1" fillId="22" borderId="0" xfId="0" applyFont="1" applyFill="1"/>
    <xf numFmtId="3" fontId="31" fillId="22" borderId="0" xfId="0" applyNumberFormat="1" applyFont="1" applyFill="1"/>
    <xf numFmtId="0" fontId="0" fillId="0" borderId="0" xfId="0" applyFont="1"/>
    <xf numFmtId="3" fontId="0" fillId="0" borderId="0" xfId="0" applyNumberFormat="1" applyFont="1"/>
    <xf numFmtId="3" fontId="4" fillId="7" borderId="27" xfId="4" applyNumberFormat="1" applyFont="1" applyFill="1" applyBorder="1" applyAlignment="1">
      <alignment horizontal="right"/>
    </xf>
    <xf numFmtId="3" fontId="33" fillId="0" borderId="0" xfId="0" applyNumberFormat="1" applyFont="1"/>
    <xf numFmtId="3" fontId="36" fillId="22" borderId="22" xfId="4" applyNumberFormat="1" applyFont="1" applyFill="1" applyBorder="1" applyAlignment="1">
      <alignment horizontal="right"/>
    </xf>
    <xf numFmtId="0" fontId="37" fillId="0" borderId="0" xfId="0" applyFont="1"/>
    <xf numFmtId="0" fontId="38" fillId="0" borderId="0" xfId="0" applyFont="1"/>
    <xf numFmtId="3" fontId="32" fillId="0" borderId="0" xfId="0" applyNumberFormat="1" applyFont="1"/>
    <xf numFmtId="0" fontId="6" fillId="22" borderId="0" xfId="4" applyFont="1" applyFill="1" applyBorder="1">
      <alignment horizontal="left"/>
    </xf>
    <xf numFmtId="49" fontId="11" fillId="22" borderId="0" xfId="0" applyNumberFormat="1" applyFont="1" applyFill="1" applyBorder="1" applyAlignment="1">
      <alignment horizontal="center"/>
    </xf>
    <xf numFmtId="3" fontId="4" fillId="22" borderId="9" xfId="4" applyNumberFormat="1" applyFont="1" applyFill="1" applyBorder="1" applyAlignment="1">
      <alignment horizontal="right"/>
    </xf>
    <xf numFmtId="3" fontId="4" fillId="22" borderId="14" xfId="0" applyNumberFormat="1" applyFont="1" applyFill="1" applyBorder="1"/>
    <xf numFmtId="3" fontId="30" fillId="22" borderId="25" xfId="0" applyNumberFormat="1" applyFont="1" applyFill="1" applyBorder="1"/>
    <xf numFmtId="0" fontId="36" fillId="22" borderId="0" xfId="4" applyFont="1" applyFill="1" applyBorder="1">
      <alignment horizontal="left"/>
    </xf>
    <xf numFmtId="49" fontId="35" fillId="22" borderId="0" xfId="0" applyNumberFormat="1" applyFont="1" applyFill="1" applyBorder="1" applyAlignment="1">
      <alignment horizontal="center"/>
    </xf>
    <xf numFmtId="3" fontId="35" fillId="22" borderId="9" xfId="4" applyNumberFormat="1" applyFont="1" applyFill="1" applyBorder="1" applyAlignment="1">
      <alignment horizontal="right"/>
    </xf>
    <xf numFmtId="3" fontId="35" fillId="22" borderId="14" xfId="0" applyNumberFormat="1" applyFont="1" applyFill="1" applyBorder="1"/>
    <xf numFmtId="166" fontId="22" fillId="0" borderId="25" xfId="0" applyNumberFormat="1" applyFont="1" applyBorder="1"/>
    <xf numFmtId="3" fontId="12" fillId="22" borderId="22" xfId="0" applyNumberFormat="1" applyFont="1" applyFill="1" applyBorder="1"/>
    <xf numFmtId="3" fontId="42" fillId="26" borderId="21" xfId="4" applyNumberFormat="1" applyFont="1" applyFill="1" applyBorder="1" applyAlignment="1">
      <alignment horizontal="right" vertical="center"/>
    </xf>
    <xf numFmtId="3" fontId="43" fillId="26" borderId="0" xfId="0" applyNumberFormat="1" applyFont="1" applyFill="1" applyBorder="1" applyAlignment="1">
      <alignment vertical="center"/>
    </xf>
    <xf numFmtId="3" fontId="44" fillId="0" borderId="0" xfId="0" applyNumberFormat="1" applyFont="1"/>
    <xf numFmtId="3" fontId="40" fillId="25" borderId="0" xfId="0" applyNumberFormat="1" applyFont="1" applyFill="1" applyBorder="1" applyAlignment="1">
      <alignment vertical="center"/>
    </xf>
    <xf numFmtId="3" fontId="46" fillId="15" borderId="0" xfId="0" applyNumberFormat="1" applyFont="1" applyFill="1" applyAlignment="1">
      <alignment horizontal="left" vertical="center" wrapText="1"/>
    </xf>
    <xf numFmtId="3" fontId="46" fillId="15" borderId="0" xfId="0" applyNumberFormat="1" applyFont="1" applyFill="1" applyAlignment="1">
      <alignment vertical="center"/>
    </xf>
    <xf numFmtId="3" fontId="45" fillId="27" borderId="0" xfId="0" applyNumberFormat="1" applyFont="1" applyFill="1" applyBorder="1" applyAlignment="1">
      <alignment vertical="center"/>
    </xf>
    <xf numFmtId="3" fontId="41" fillId="0" borderId="28" xfId="0" applyNumberFormat="1" applyFont="1" applyFill="1" applyBorder="1"/>
    <xf numFmtId="3" fontId="41" fillId="0" borderId="29" xfId="0" applyNumberFormat="1" applyFont="1" applyFill="1" applyBorder="1" applyAlignment="1"/>
    <xf numFmtId="3" fontId="41" fillId="0" borderId="30" xfId="0" applyNumberFormat="1" applyFont="1" applyFill="1" applyBorder="1"/>
    <xf numFmtId="3" fontId="41" fillId="0" borderId="31" xfId="0" applyNumberFormat="1" applyFont="1" applyFill="1" applyBorder="1"/>
    <xf numFmtId="0" fontId="4" fillId="0" borderId="32" xfId="3" applyFont="1" applyFill="1" applyBorder="1" applyAlignment="1">
      <alignment horizontal="center" shrinkToFit="1"/>
    </xf>
    <xf numFmtId="1" fontId="4" fillId="0" borderId="33" xfId="0" applyNumberFormat="1" applyFont="1" applyFill="1" applyBorder="1" applyAlignment="1">
      <alignment horizontal="center"/>
    </xf>
    <xf numFmtId="0" fontId="0" fillId="0" borderId="34" xfId="0" applyFill="1" applyBorder="1"/>
    <xf numFmtId="3" fontId="22" fillId="0" borderId="28" xfId="0" applyNumberFormat="1" applyFont="1" applyFill="1" applyBorder="1" applyAlignment="1">
      <alignment horizontal="right"/>
    </xf>
    <xf numFmtId="3" fontId="22" fillId="0" borderId="29" xfId="0" applyNumberFormat="1" applyFont="1" applyFill="1" applyBorder="1"/>
    <xf numFmtId="3" fontId="22" fillId="0" borderId="35" xfId="0" applyNumberFormat="1" applyFont="1" applyFill="1" applyBorder="1" applyAlignment="1">
      <alignment horizontal="right"/>
    </xf>
    <xf numFmtId="3" fontId="22" fillId="0" borderId="36" xfId="0" applyNumberFormat="1" applyFont="1" applyFill="1" applyBorder="1"/>
    <xf numFmtId="3" fontId="22" fillId="0" borderId="31" xfId="0" applyNumberFormat="1" applyFont="1" applyBorder="1" applyAlignment="1">
      <alignment horizontal="right" vertical="center" wrapText="1"/>
    </xf>
    <xf numFmtId="3" fontId="22" fillId="0" borderId="30" xfId="0" applyNumberFormat="1" applyFont="1" applyBorder="1" applyAlignment="1">
      <alignment horizontal="right" vertical="center" wrapText="1"/>
    </xf>
    <xf numFmtId="0" fontId="0" fillId="28" borderId="37" xfId="0" applyFill="1" applyBorder="1"/>
    <xf numFmtId="3" fontId="0" fillId="28" borderId="37" xfId="0" applyNumberFormat="1" applyFill="1" applyBorder="1"/>
    <xf numFmtId="0" fontId="0" fillId="28" borderId="38" xfId="0" applyFill="1" applyBorder="1"/>
    <xf numFmtId="3" fontId="0" fillId="28" borderId="38" xfId="0" applyNumberFormat="1" applyFill="1" applyBorder="1"/>
    <xf numFmtId="3" fontId="49" fillId="29" borderId="0" xfId="4" applyNumberFormat="1" applyFont="1" applyFill="1" applyBorder="1" applyAlignment="1">
      <alignment horizontal="left" vertical="center"/>
    </xf>
    <xf numFmtId="3" fontId="49" fillId="29" borderId="0" xfId="4" applyNumberFormat="1" applyFont="1" applyFill="1" applyBorder="1" applyAlignment="1">
      <alignment horizontal="right" vertical="center"/>
    </xf>
    <xf numFmtId="3" fontId="49" fillId="29" borderId="0" xfId="0" applyNumberFormat="1" applyFont="1" applyFill="1" applyBorder="1" applyAlignment="1">
      <alignment vertical="center"/>
    </xf>
    <xf numFmtId="3" fontId="50" fillId="29" borderId="0" xfId="0" applyNumberFormat="1" applyFont="1" applyFill="1"/>
    <xf numFmtId="0" fontId="51" fillId="11" borderId="0" xfId="0" applyFont="1" applyFill="1" applyBorder="1"/>
    <xf numFmtId="3" fontId="51" fillId="11" borderId="0" xfId="0" applyNumberFormat="1" applyFont="1" applyFill="1" applyBorder="1"/>
    <xf numFmtId="0" fontId="51" fillId="11" borderId="37" xfId="0" applyFont="1" applyFill="1" applyBorder="1"/>
    <xf numFmtId="3" fontId="51" fillId="11" borderId="37" xfId="0" applyNumberFormat="1" applyFont="1" applyFill="1" applyBorder="1"/>
    <xf numFmtId="0" fontId="53" fillId="30" borderId="0" xfId="0" applyFont="1" applyFill="1" applyAlignment="1">
      <alignment horizontal="left" vertical="center"/>
    </xf>
    <xf numFmtId="0" fontId="54" fillId="30" borderId="0" xfId="0" applyFont="1" applyFill="1"/>
    <xf numFmtId="0" fontId="53" fillId="30" borderId="0" xfId="0" applyFont="1" applyFill="1" applyAlignment="1">
      <alignment vertical="center"/>
    </xf>
    <xf numFmtId="10" fontId="53" fillId="30" borderId="0" xfId="6" applyNumberFormat="1" applyFont="1" applyFill="1" applyAlignment="1">
      <alignment vertical="center"/>
    </xf>
    <xf numFmtId="3" fontId="52" fillId="30" borderId="0" xfId="4" applyNumberFormat="1" applyFont="1" applyFill="1" applyBorder="1" applyAlignment="1">
      <alignment horizontal="left" vertical="center"/>
    </xf>
    <xf numFmtId="3" fontId="52" fillId="30" borderId="0" xfId="4" applyNumberFormat="1" applyFont="1" applyFill="1" applyBorder="1" applyAlignment="1">
      <alignment horizontal="right" vertical="center"/>
    </xf>
    <xf numFmtId="3" fontId="52" fillId="30" borderId="0" xfId="0" applyNumberFormat="1" applyFont="1" applyFill="1" applyBorder="1" applyAlignment="1">
      <alignment vertical="center"/>
    </xf>
    <xf numFmtId="3" fontId="53" fillId="30" borderId="0" xfId="0" applyNumberFormat="1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3" fontId="56" fillId="0" borderId="0" xfId="0" applyNumberFormat="1" applyFont="1"/>
    <xf numFmtId="3" fontId="56" fillId="0" borderId="0" xfId="0" applyNumberFormat="1" applyFont="1" applyAlignment="1">
      <alignment horizontal="right"/>
    </xf>
    <xf numFmtId="3" fontId="56" fillId="9" borderId="0" xfId="0" applyNumberFormat="1" applyFont="1" applyFill="1" applyAlignment="1">
      <alignment horizontal="right"/>
    </xf>
    <xf numFmtId="3" fontId="56" fillId="9" borderId="0" xfId="0" applyNumberFormat="1" applyFont="1" applyFill="1"/>
    <xf numFmtId="0" fontId="57" fillId="0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3" fontId="59" fillId="18" borderId="42" xfId="0" applyNumberFormat="1" applyFont="1" applyFill="1" applyBorder="1" applyAlignment="1">
      <alignment vertical="center"/>
    </xf>
    <xf numFmtId="0" fontId="0" fillId="18" borderId="0" xfId="0" applyFill="1"/>
    <xf numFmtId="3" fontId="60" fillId="22" borderId="22" xfId="0" applyNumberFormat="1" applyFont="1" applyFill="1" applyBorder="1"/>
    <xf numFmtId="3" fontId="23" fillId="0" borderId="25" xfId="0" applyNumberFormat="1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4" fillId="16" borderId="14" xfId="4" applyFont="1" applyFill="1" applyBorder="1">
      <alignment horizontal="left"/>
    </xf>
    <xf numFmtId="0" fontId="4" fillId="16" borderId="15" xfId="4" applyFont="1" applyFill="1" applyBorder="1">
      <alignment horizontal="left"/>
    </xf>
    <xf numFmtId="0" fontId="4" fillId="19" borderId="14" xfId="4" applyFont="1" applyFill="1" applyBorder="1">
      <alignment horizontal="left"/>
    </xf>
    <xf numFmtId="0" fontId="4" fillId="19" borderId="15" xfId="4" applyFont="1" applyFill="1" applyBorder="1">
      <alignment horizontal="left"/>
    </xf>
    <xf numFmtId="0" fontId="4" fillId="0" borderId="14" xfId="4" applyFont="1" applyFill="1" applyBorder="1">
      <alignment horizontal="left"/>
    </xf>
    <xf numFmtId="0" fontId="4" fillId="0" borderId="15" xfId="4" applyFont="1" applyFill="1" applyBorder="1">
      <alignment horizontal="left"/>
    </xf>
    <xf numFmtId="0" fontId="4" fillId="18" borderId="14" xfId="4" applyFont="1" applyFill="1" applyBorder="1">
      <alignment horizontal="left"/>
    </xf>
    <xf numFmtId="0" fontId="4" fillId="18" borderId="15" xfId="4" applyFont="1" applyFill="1" applyBorder="1">
      <alignment horizontal="left"/>
    </xf>
    <xf numFmtId="0" fontId="4" fillId="7" borderId="14" xfId="4" applyFont="1" applyFill="1" applyBorder="1">
      <alignment horizontal="left"/>
    </xf>
    <xf numFmtId="0" fontId="4" fillId="7" borderId="15" xfId="4" applyFont="1" applyFill="1" applyBorder="1">
      <alignment horizontal="left"/>
    </xf>
    <xf numFmtId="0" fontId="4" fillId="9" borderId="14" xfId="4" applyFont="1" applyFill="1" applyBorder="1">
      <alignment horizontal="left"/>
    </xf>
    <xf numFmtId="0" fontId="4" fillId="9" borderId="15" xfId="4" applyFont="1" applyFill="1" applyBorder="1">
      <alignment horizontal="left"/>
    </xf>
    <xf numFmtId="0" fontId="4" fillId="20" borderId="14" xfId="4" applyFont="1" applyFill="1" applyBorder="1">
      <alignment horizontal="left"/>
    </xf>
    <xf numFmtId="0" fontId="4" fillId="20" borderId="15" xfId="4" applyFont="1" applyFill="1" applyBorder="1">
      <alignment horizontal="left"/>
    </xf>
    <xf numFmtId="0" fontId="4" fillId="10" borderId="14" xfId="4" applyFont="1" applyFill="1" applyBorder="1">
      <alignment horizontal="left"/>
    </xf>
    <xf numFmtId="0" fontId="4" fillId="10" borderId="15" xfId="4" applyFont="1" applyFill="1" applyBorder="1">
      <alignment horizontal="left"/>
    </xf>
    <xf numFmtId="0" fontId="4" fillId="14" borderId="14" xfId="4" applyFont="1" applyFill="1" applyBorder="1">
      <alignment horizontal="left"/>
    </xf>
    <xf numFmtId="0" fontId="4" fillId="14" borderId="15" xfId="4" applyFont="1" applyFill="1" applyBorder="1">
      <alignment horizontal="left"/>
    </xf>
    <xf numFmtId="0" fontId="4" fillId="11" borderId="14" xfId="4" applyFont="1" applyFill="1" applyBorder="1">
      <alignment horizontal="left"/>
    </xf>
    <xf numFmtId="0" fontId="4" fillId="11" borderId="15" xfId="4" applyFont="1" applyFill="1" applyBorder="1">
      <alignment horizontal="left"/>
    </xf>
    <xf numFmtId="0" fontId="4" fillId="7" borderId="14" xfId="4" applyFont="1" applyFill="1" applyBorder="1" applyAlignment="1">
      <alignment horizontal="left"/>
    </xf>
    <xf numFmtId="0" fontId="4" fillId="7" borderId="15" xfId="4" applyFont="1" applyFill="1" applyBorder="1" applyAlignment="1">
      <alignment horizontal="left"/>
    </xf>
    <xf numFmtId="0" fontId="4" fillId="10" borderId="14" xfId="4" applyFont="1" applyFill="1" applyBorder="1" applyAlignment="1">
      <alignment horizontal="left"/>
    </xf>
    <xf numFmtId="0" fontId="4" fillId="10" borderId="15" xfId="4" applyFont="1" applyFill="1" applyBorder="1" applyAlignment="1">
      <alignment horizontal="left"/>
    </xf>
    <xf numFmtId="0" fontId="4" fillId="11" borderId="14" xfId="4" applyFont="1" applyFill="1" applyBorder="1" applyAlignment="1">
      <alignment horizontal="left"/>
    </xf>
    <xf numFmtId="0" fontId="4" fillId="11" borderId="15" xfId="4" applyFont="1" applyFill="1" applyBorder="1" applyAlignment="1">
      <alignment horizontal="left"/>
    </xf>
    <xf numFmtId="0" fontId="4" fillId="18" borderId="14" xfId="4" applyFont="1" applyFill="1" applyBorder="1" applyAlignment="1">
      <alignment horizontal="left"/>
    </xf>
    <xf numFmtId="0" fontId="4" fillId="18" borderId="15" xfId="4" applyFont="1" applyFill="1" applyBorder="1" applyAlignment="1">
      <alignment horizontal="left"/>
    </xf>
    <xf numFmtId="0" fontId="4" fillId="0" borderId="14" xfId="4" applyFont="1" applyFill="1" applyBorder="1" applyAlignment="1">
      <alignment horizontal="left"/>
    </xf>
    <xf numFmtId="0" fontId="4" fillId="0" borderId="15" xfId="4" applyFont="1" applyFill="1" applyBorder="1" applyAlignment="1">
      <alignment horizontal="left"/>
    </xf>
    <xf numFmtId="0" fontId="4" fillId="14" borderId="14" xfId="4" applyFont="1" applyFill="1" applyBorder="1" applyAlignment="1">
      <alignment horizontal="left"/>
    </xf>
    <xf numFmtId="0" fontId="4" fillId="14" borderId="15" xfId="4" applyFont="1" applyFill="1" applyBorder="1" applyAlignment="1">
      <alignment horizontal="left"/>
    </xf>
    <xf numFmtId="0" fontId="4" fillId="9" borderId="14" xfId="4" applyFont="1" applyFill="1" applyBorder="1" applyAlignment="1">
      <alignment horizontal="left"/>
    </xf>
    <xf numFmtId="0" fontId="4" fillId="9" borderId="15" xfId="4" applyFont="1" applyFill="1" applyBorder="1" applyAlignment="1">
      <alignment horizontal="left"/>
    </xf>
    <xf numFmtId="0" fontId="35" fillId="22" borderId="14" xfId="4" applyFont="1" applyFill="1" applyBorder="1" applyAlignment="1">
      <alignment horizontal="left"/>
    </xf>
    <xf numFmtId="0" fontId="35" fillId="22" borderId="15" xfId="4" applyFont="1" applyFill="1" applyBorder="1" applyAlignment="1">
      <alignment horizontal="left"/>
    </xf>
    <xf numFmtId="0" fontId="4" fillId="22" borderId="14" xfId="4" applyFont="1" applyFill="1" applyBorder="1" applyAlignment="1">
      <alignment horizontal="left"/>
    </xf>
    <xf numFmtId="0" fontId="4" fillId="22" borderId="15" xfId="4" applyFont="1" applyFill="1" applyBorder="1" applyAlignment="1">
      <alignment horizontal="left"/>
    </xf>
    <xf numFmtId="3" fontId="4" fillId="22" borderId="25" xfId="4" applyNumberFormat="1" applyFont="1" applyFill="1" applyBorder="1" applyAlignment="1">
      <alignment horizontal="left" vertical="center" wrapText="1"/>
    </xf>
    <xf numFmtId="0" fontId="0" fillId="22" borderId="25" xfId="0" applyFill="1" applyBorder="1" applyAlignment="1">
      <alignment horizontal="left" vertical="center" wrapText="1"/>
    </xf>
    <xf numFmtId="0" fontId="48" fillId="0" borderId="35" xfId="0" applyFont="1" applyFill="1" applyBorder="1" applyAlignment="1">
      <alignment horizontal="left" vertical="center" wrapText="1"/>
    </xf>
    <xf numFmtId="0" fontId="47" fillId="0" borderId="35" xfId="0" applyFont="1" applyFill="1" applyBorder="1" applyAlignment="1">
      <alignment horizontal="left" vertical="center"/>
    </xf>
    <xf numFmtId="3" fontId="23" fillId="0" borderId="25" xfId="0" applyNumberFormat="1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5" fillId="6" borderId="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 textRotation="90"/>
    </xf>
    <xf numFmtId="0" fontId="57" fillId="31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/>
    <xf numFmtId="4" fontId="6" fillId="4" borderId="0" xfId="2" applyFont="1" applyFill="1" applyBorder="1" applyAlignment="1">
      <alignment horizontal="center" vertical="center" shrinkToFit="1"/>
    </xf>
    <xf numFmtId="0" fontId="2" fillId="12" borderId="0" xfId="4" applyFont="1" applyFill="1" applyBorder="1" applyAlignment="1">
      <alignment horizontal="center" vertical="center" wrapText="1" shrinkToFit="1"/>
    </xf>
    <xf numFmtId="0" fontId="0" fillId="15" borderId="0" xfId="0" applyFill="1"/>
    <xf numFmtId="165" fontId="22" fillId="0" borderId="0" xfId="0" applyNumberFormat="1" applyFont="1"/>
  </cellXfs>
  <cellStyles count="7">
    <cellStyle name="___row1" xfId="4" xr:uid="{00000000-0005-0000-0000-000000000000}"/>
    <cellStyle name="__page" xfId="1" xr:uid="{00000000-0005-0000-0000-000001000000}"/>
    <cellStyle name="_data" xfId="2" xr:uid="{00000000-0005-0000-0000-000002000000}"/>
    <cellStyle name="_page" xfId="3" xr:uid="{00000000-0005-0000-0000-000003000000}"/>
    <cellStyle name="Normální" xfId="0" builtinId="0"/>
    <cellStyle name="Procenta" xfId="6" builtinId="5"/>
    <cellStyle name="Zvýraznění 2" xfId="5" builtinId="33"/>
  </cellStyles>
  <dxfs count="310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color rgb="FF00DA63"/>
      </font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C506"/>
      <color rgb="FFF8F200"/>
      <color rgb="FF01FF74"/>
      <color rgb="FF5DFFA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7</xdr:col>
      <xdr:colOff>533400</xdr:colOff>
      <xdr:row>6</xdr:row>
      <xdr:rowOff>173934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14300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74544</xdr:colOff>
      <xdr:row>6</xdr:row>
      <xdr:rowOff>41413</xdr:rowOff>
    </xdr:from>
    <xdr:to>
      <xdr:col>7</xdr:col>
      <xdr:colOff>607944</xdr:colOff>
      <xdr:row>7</xdr:row>
      <xdr:rowOff>24848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1184413"/>
          <a:ext cx="158529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533400</xdr:colOff>
      <xdr:row>7</xdr:row>
      <xdr:rowOff>173935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31445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419100</xdr:colOff>
      <xdr:row>7</xdr:row>
      <xdr:rowOff>173935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419101</xdr:colOff>
      <xdr:row>5</xdr:row>
      <xdr:rowOff>172278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962025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419101</xdr:colOff>
      <xdr:row>7</xdr:row>
      <xdr:rowOff>173935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419099</xdr:colOff>
      <xdr:row>5</xdr:row>
      <xdr:rowOff>173935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9715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419099</xdr:colOff>
      <xdr:row>7</xdr:row>
      <xdr:rowOff>173935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10</xdr:col>
      <xdr:colOff>419101</xdr:colOff>
      <xdr:row>7</xdr:row>
      <xdr:rowOff>173935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150490</xdr:colOff>
      <xdr:row>8</xdr:row>
      <xdr:rowOff>20299</xdr:rowOff>
    </xdr:from>
    <xdr:to>
      <xdr:col>12</xdr:col>
      <xdr:colOff>299612</xdr:colOff>
      <xdr:row>19</xdr:row>
      <xdr:rowOff>48717</xdr:rowOff>
    </xdr:to>
    <xdr:sp macro="" textlink="">
      <xdr:nvSpPr>
        <xdr:cNvPr id="2" name="Šipka: dolů 1">
          <a:extLst>
            <a:ext uri="{FF2B5EF4-FFF2-40B4-BE49-F238E27FC236}">
              <a16:creationId xmlns:a16="http://schemas.microsoft.com/office/drawing/2014/main" id="{C014283E-BB0B-4AEE-8C16-B2B9B1909692}"/>
            </a:ext>
          </a:extLst>
        </xdr:cNvPr>
        <xdr:cNvSpPr/>
      </xdr:nvSpPr>
      <xdr:spPr>
        <a:xfrm rot="12080613">
          <a:off x="14128428" y="2365830"/>
          <a:ext cx="149122" cy="1969137"/>
        </a:xfrm>
        <a:prstGeom prst="downArrow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7</xdr:col>
      <xdr:colOff>495299</xdr:colOff>
      <xdr:row>9</xdr:row>
      <xdr:rowOff>173934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A95B535-839F-495D-A1B0-504AEC5B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714500"/>
          <a:ext cx="1581149" cy="17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495299</xdr:colOff>
      <xdr:row>8</xdr:row>
      <xdr:rowOff>173935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E9F8F0A-BB8B-4D2A-AE2D-B71FE1FA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524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495299</xdr:colOff>
      <xdr:row>10</xdr:row>
      <xdr:rowOff>173935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DCC17795-4C1A-40C8-B1E6-7CB0FD43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05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676275</xdr:colOff>
      <xdr:row>10</xdr:row>
      <xdr:rowOff>173935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A397FEB4-B08C-4ACF-851F-A977EDDC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47625</xdr:rowOff>
    </xdr:from>
    <xdr:to>
      <xdr:col>8</xdr:col>
      <xdr:colOff>676276</xdr:colOff>
      <xdr:row>8</xdr:row>
      <xdr:rowOff>29403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174A6D6C-B6EE-4566-AC49-74DFFDB84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381125"/>
          <a:ext cx="1466851" cy="17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676276</xdr:colOff>
      <xdr:row>10</xdr:row>
      <xdr:rowOff>173935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9BBD1820-8884-4A09-A49F-99391E3D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409575</xdr:colOff>
      <xdr:row>8</xdr:row>
      <xdr:rowOff>173935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AED153C8-06F9-4BFC-B8E0-44BACB407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524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409575</xdr:colOff>
      <xdr:row>10</xdr:row>
      <xdr:rowOff>173935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1B2B8692-25B6-4485-BFF2-273F374E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600076</xdr:colOff>
      <xdr:row>10</xdr:row>
      <xdr:rowOff>173935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5C4B14B4-E14C-4D4E-877D-53400786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8"/>
  <sheetViews>
    <sheetView tabSelected="1" zoomScale="90" zoomScaleNormal="90"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L11" sqref="L11"/>
    </sheetView>
  </sheetViews>
  <sheetFormatPr defaultColWidth="4.42578125" defaultRowHeight="15" x14ac:dyDescent="0.25"/>
  <cols>
    <col min="1" max="1" width="11.7109375" customWidth="1"/>
    <col min="2" max="3" width="7.42578125" style="17" customWidth="1"/>
    <col min="4" max="4" width="7.42578125" style="18" customWidth="1"/>
    <col min="5" max="5" width="18.28515625" customWidth="1"/>
    <col min="6" max="6" width="23.28515625" customWidth="1"/>
    <col min="7" max="10" width="15.7109375" customWidth="1"/>
    <col min="11" max="11" width="19.7109375" customWidth="1"/>
    <col min="12" max="12" width="51.42578125" style="108" customWidth="1"/>
    <col min="13" max="13" width="19.42578125" style="108" customWidth="1"/>
    <col min="14" max="14" width="15.7109375" customWidth="1"/>
    <col min="15" max="15" width="7.7109375" customWidth="1"/>
    <col min="16" max="16" width="20.7109375" customWidth="1"/>
    <col min="17" max="17" width="7.7109375" customWidth="1"/>
    <col min="18" max="18" width="18.42578125" customWidth="1"/>
    <col min="19" max="19" width="18" customWidth="1"/>
    <col min="20" max="20" width="6.140625" customWidth="1"/>
  </cols>
  <sheetData>
    <row r="1" spans="1:20" ht="45" x14ac:dyDescent="0.25">
      <c r="L1" s="234" t="s">
        <v>1785</v>
      </c>
      <c r="M1" s="235">
        <f>180000000+10000000-M10</f>
        <v>74910952.565802574</v>
      </c>
      <c r="N1" s="262" t="s">
        <v>1786</v>
      </c>
      <c r="O1" s="263"/>
      <c r="P1" s="263"/>
      <c r="Q1" s="264" t="s">
        <v>1794</v>
      </c>
      <c r="R1" s="265">
        <f>M1/S5</f>
        <v>2.1768618229865554E-2</v>
      </c>
    </row>
    <row r="2" spans="1:20" ht="40.9" customHeight="1" thickBo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236" t="s">
        <v>1778</v>
      </c>
      <c r="M2" s="236">
        <f>SUM(M3:M9)</f>
        <v>295089047.43419743</v>
      </c>
      <c r="N2" s="270" t="s">
        <v>1795</v>
      </c>
    </row>
    <row r="3" spans="1:20" ht="15" customHeight="1" x14ac:dyDescent="0.25">
      <c r="A3" s="326" t="s">
        <v>1670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237" t="s">
        <v>1777</v>
      </c>
      <c r="M3" s="238">
        <v>80000000</v>
      </c>
      <c r="N3" s="323" t="s">
        <v>1783</v>
      </c>
      <c r="P3" s="258" t="s">
        <v>1788</v>
      </c>
      <c r="Q3" s="258"/>
      <c r="R3" s="258"/>
      <c r="S3" s="259">
        <f>-I329</f>
        <v>3200975876.67694</v>
      </c>
      <c r="T3" t="s">
        <v>1789</v>
      </c>
    </row>
    <row r="4" spans="1:20" ht="15" customHeight="1" thickBo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239" t="s">
        <v>1782</v>
      </c>
      <c r="M4" s="240">
        <v>100000000</v>
      </c>
      <c r="N4" s="323"/>
      <c r="O4" s="113"/>
      <c r="P4" s="250" t="s">
        <v>1790</v>
      </c>
      <c r="Q4" s="250"/>
      <c r="R4" s="250"/>
      <c r="S4" s="251">
        <f>-J329</f>
        <v>3262532953.5656986</v>
      </c>
    </row>
    <row r="5" spans="1:20" ht="15" customHeight="1" thickBot="1" x14ac:dyDescent="0.3">
      <c r="A5" s="13"/>
      <c r="B5" s="13"/>
      <c r="C5" s="13"/>
      <c r="D5" s="13"/>
      <c r="E5" s="124"/>
      <c r="F5" s="115"/>
      <c r="G5" s="13"/>
      <c r="H5" s="13"/>
      <c r="I5" s="13"/>
      <c r="J5" s="13"/>
      <c r="K5" s="13"/>
      <c r="L5" s="244" t="s">
        <v>1779</v>
      </c>
      <c r="M5" s="245">
        <v>10000000</v>
      </c>
      <c r="N5" s="322" t="s">
        <v>1784</v>
      </c>
      <c r="O5" s="114"/>
      <c r="P5" s="252" t="s">
        <v>1793</v>
      </c>
      <c r="Q5" s="252"/>
      <c r="R5" s="252"/>
      <c r="S5" s="253">
        <f>-K329</f>
        <v>3441235992.7847033</v>
      </c>
    </row>
    <row r="6" spans="1:20" ht="15" customHeight="1" x14ac:dyDescent="0.25">
      <c r="A6" s="13"/>
      <c r="B6" s="13"/>
      <c r="C6" s="13"/>
      <c r="D6" s="13"/>
      <c r="E6" s="13"/>
      <c r="F6" s="116" t="s">
        <v>3</v>
      </c>
      <c r="G6" s="125" t="s">
        <v>4</v>
      </c>
      <c r="H6" s="126" t="s">
        <v>4</v>
      </c>
      <c r="I6" s="126" t="s">
        <v>4</v>
      </c>
      <c r="J6" s="127" t="s">
        <v>1715</v>
      </c>
      <c r="K6" s="241" t="s">
        <v>1714</v>
      </c>
      <c r="L6" s="246" t="s">
        <v>1780</v>
      </c>
      <c r="M6" s="247">
        <v>20000000</v>
      </c>
      <c r="N6" s="322"/>
      <c r="O6" s="173"/>
      <c r="P6" s="260" t="s">
        <v>1787</v>
      </c>
      <c r="Q6" s="260"/>
      <c r="R6" s="260"/>
      <c r="S6" s="261">
        <f>S5-M1</f>
        <v>3366325040.2189007</v>
      </c>
      <c r="T6" s="114"/>
    </row>
    <row r="7" spans="1:20" ht="15" customHeight="1" x14ac:dyDescent="0.25">
      <c r="A7" s="13"/>
      <c r="B7" s="13"/>
      <c r="C7" s="13"/>
      <c r="D7" s="13"/>
      <c r="E7" s="13"/>
      <c r="F7" s="116" t="s">
        <v>5</v>
      </c>
      <c r="G7" s="128" t="s">
        <v>0</v>
      </c>
      <c r="H7" s="117">
        <v>2018</v>
      </c>
      <c r="I7" s="117" t="s">
        <v>1</v>
      </c>
      <c r="J7" s="118">
        <v>2019</v>
      </c>
      <c r="K7" s="242">
        <v>2020</v>
      </c>
      <c r="L7" s="246" t="s">
        <v>1776</v>
      </c>
      <c r="M7" s="247">
        <v>20000000</v>
      </c>
      <c r="N7" s="322"/>
      <c r="O7" s="173"/>
      <c r="P7" s="254" t="s">
        <v>1792</v>
      </c>
      <c r="Q7" s="255"/>
      <c r="R7" s="256"/>
      <c r="S7" s="257">
        <f>S5-S4</f>
        <v>178703039.21900463</v>
      </c>
    </row>
    <row r="8" spans="1:20" ht="24" customHeight="1" thickBot="1" x14ac:dyDescent="0.3">
      <c r="A8" s="13"/>
      <c r="B8" s="13"/>
      <c r="C8" s="13"/>
      <c r="D8" s="13"/>
      <c r="E8" s="119"/>
      <c r="F8" s="116" t="s">
        <v>6</v>
      </c>
      <c r="G8" s="129" t="s">
        <v>8</v>
      </c>
      <c r="H8" s="120" t="s">
        <v>8</v>
      </c>
      <c r="I8" s="121" t="s">
        <v>7</v>
      </c>
      <c r="J8" s="122"/>
      <c r="K8" s="243"/>
      <c r="L8" s="249" t="s">
        <v>1781</v>
      </c>
      <c r="M8" s="248">
        <f>800*37275*1.11*0.95</f>
        <v>31445190.000000004</v>
      </c>
      <c r="N8" s="322"/>
      <c r="O8" s="114"/>
      <c r="P8" s="266" t="s">
        <v>1791</v>
      </c>
      <c r="Q8" s="267"/>
      <c r="R8" s="268"/>
      <c r="S8" s="269">
        <f>S6-S3</f>
        <v>165349163.54196072</v>
      </c>
    </row>
    <row r="9" spans="1:20" ht="15" customHeight="1" thickBot="1" x14ac:dyDescent="0.3">
      <c r="A9" s="13"/>
      <c r="B9" s="13"/>
      <c r="C9" s="13"/>
      <c r="D9" s="13"/>
      <c r="E9" s="13"/>
      <c r="F9" s="123"/>
      <c r="G9" s="13"/>
      <c r="H9" s="13"/>
      <c r="I9" s="13"/>
      <c r="J9" s="13"/>
      <c r="K9" s="13"/>
      <c r="L9" s="231" t="s">
        <v>1775</v>
      </c>
      <c r="M9" s="231">
        <f>+K10+SUM(M11:M13)</f>
        <v>33643857.434197426</v>
      </c>
      <c r="N9" s="114"/>
      <c r="O9" s="114"/>
      <c r="P9" s="114"/>
      <c r="Q9" s="114"/>
      <c r="R9" s="114"/>
      <c r="S9" s="114"/>
    </row>
    <row r="10" spans="1:20" ht="29.25" customHeight="1" thickTop="1" x14ac:dyDescent="0.25">
      <c r="A10" s="14" t="s">
        <v>9</v>
      </c>
      <c r="B10" s="15" t="s">
        <v>915</v>
      </c>
      <c r="C10" s="16" t="s">
        <v>913</v>
      </c>
      <c r="D10" s="16" t="s">
        <v>914</v>
      </c>
      <c r="E10" s="104" t="s">
        <v>1688</v>
      </c>
      <c r="F10" s="89" t="s">
        <v>1689</v>
      </c>
      <c r="G10" s="106">
        <f t="shared" ref="G10:K10" si="0">G11+G618</f>
        <v>186173175.68000126</v>
      </c>
      <c r="H10" s="106">
        <f t="shared" si="0"/>
        <v>150988797.60001373</v>
      </c>
      <c r="I10" s="106">
        <f t="shared" si="0"/>
        <v>297.39444923400879</v>
      </c>
      <c r="J10" s="135">
        <f t="shared" si="0"/>
        <v>2350951961.9779015</v>
      </c>
      <c r="K10" s="230">
        <f t="shared" si="0"/>
        <v>33643857.434197426</v>
      </c>
      <c r="L10" s="233" t="s">
        <v>1796</v>
      </c>
      <c r="M10" s="233">
        <f>SUM(M5:M9)</f>
        <v>115089047.43419743</v>
      </c>
      <c r="N10" s="133" t="s">
        <v>1716</v>
      </c>
      <c r="O10" s="133" t="s">
        <v>1719</v>
      </c>
      <c r="P10" s="133" t="s">
        <v>1717</v>
      </c>
      <c r="Q10" s="133" t="s">
        <v>1720</v>
      </c>
      <c r="R10" s="133" t="s">
        <v>1718</v>
      </c>
      <c r="S10" s="133" t="s">
        <v>1721</v>
      </c>
      <c r="T10" s="133" t="s">
        <v>1722</v>
      </c>
    </row>
    <row r="11" spans="1:20" ht="15" customHeight="1" x14ac:dyDescent="0.25">
      <c r="A11" s="50" t="s">
        <v>10</v>
      </c>
      <c r="B11" s="46"/>
      <c r="C11" s="47"/>
      <c r="D11" s="47"/>
      <c r="E11" s="48"/>
      <c r="F11" s="47"/>
      <c r="G11" s="49">
        <f t="shared" ref="G11:J11" si="1">G12+G220+G329+G388+G402+G497+G572+G591+G594+G604</f>
        <v>-5765412337.54</v>
      </c>
      <c r="H11" s="49">
        <f t="shared" si="1"/>
        <v>-6551766629.6399984</v>
      </c>
      <c r="I11" s="49">
        <f t="shared" si="1"/>
        <v>-7003665989.7987928</v>
      </c>
      <c r="J11" s="136">
        <f t="shared" si="1"/>
        <v>-4951832479.5656986</v>
      </c>
      <c r="K11" s="150">
        <f>K12+K220+K329+K388+K402+K497+K572+K591+K594+K604</f>
        <v>-7708639817.8073025</v>
      </c>
      <c r="L11" s="108" t="s">
        <v>1753</v>
      </c>
      <c r="M11" s="108">
        <v>0</v>
      </c>
      <c r="N11" s="131">
        <f t="shared" ref="N11:N74" si="2">-K11+I11</f>
        <v>704973828.00850964</v>
      </c>
      <c r="O11" s="132">
        <f t="shared" ref="O11:O74" si="3">IF(I11=0,"",K11/I11)</f>
        <v>1.1006578310609532</v>
      </c>
      <c r="P11" s="131">
        <f t="shared" ref="P11:P74" si="4">-K11+H11</f>
        <v>1156873188.167304</v>
      </c>
      <c r="Q11" s="132">
        <f t="shared" ref="Q11:Q74" si="5">IF(H11=0,"",K11/H11)</f>
        <v>1.1765742361661118</v>
      </c>
      <c r="R11" s="131">
        <f>-K11+J11</f>
        <v>2756807338.2416039</v>
      </c>
      <c r="S11" s="132">
        <f>IF(J11=0,"",K11/J11)</f>
        <v>1.5567246771004237</v>
      </c>
      <c r="T11" s="172">
        <f t="shared" ref="T11:T74" si="6">LEN(A11)</f>
        <v>2</v>
      </c>
    </row>
    <row r="12" spans="1:20" ht="15" customHeight="1" x14ac:dyDescent="0.25">
      <c r="A12" s="41" t="s">
        <v>11</v>
      </c>
      <c r="B12" s="41"/>
      <c r="C12" s="40"/>
      <c r="D12" s="40"/>
      <c r="E12" s="312" t="s">
        <v>12</v>
      </c>
      <c r="F12" s="313"/>
      <c r="G12" s="43">
        <f t="shared" ref="G12:K12" si="7">G13+G169+G181+G182++G208</f>
        <v>-2525630792.1799994</v>
      </c>
      <c r="H12" s="43">
        <f t="shared" si="7"/>
        <v>-2947928823.999999</v>
      </c>
      <c r="I12" s="43">
        <f t="shared" si="7"/>
        <v>-3074723987.2617278</v>
      </c>
      <c r="J12" s="137">
        <f t="shared" si="7"/>
        <v>-1275317583</v>
      </c>
      <c r="K12" s="151">
        <f t="shared" si="7"/>
        <v>-3452615256.1125994</v>
      </c>
      <c r="L12" s="232" t="s">
        <v>1754</v>
      </c>
      <c r="M12" s="232">
        <v>0</v>
      </c>
      <c r="N12" s="91">
        <f t="shared" si="2"/>
        <v>377891268.85087156</v>
      </c>
      <c r="O12" s="130">
        <f t="shared" si="3"/>
        <v>1.1229025013030234</v>
      </c>
      <c r="P12" s="91">
        <f t="shared" si="4"/>
        <v>504686432.11260033</v>
      </c>
      <c r="Q12" s="130">
        <f t="shared" si="5"/>
        <v>1.1712003451385231</v>
      </c>
      <c r="R12" s="91">
        <f t="shared" ref="R12:R13" si="8">-K12+J12</f>
        <v>2177297673.1125994</v>
      </c>
      <c r="S12" s="132">
        <f>IF(J12=0,"",K12/J12)</f>
        <v>2.7072591973450422</v>
      </c>
      <c r="T12" s="172">
        <f t="shared" si="6"/>
        <v>3</v>
      </c>
    </row>
    <row r="13" spans="1:20" ht="11.25" customHeight="1" x14ac:dyDescent="0.25">
      <c r="A13" s="38" t="s">
        <v>13</v>
      </c>
      <c r="B13" s="38"/>
      <c r="C13" s="22"/>
      <c r="D13" s="22"/>
      <c r="E13" s="304" t="s">
        <v>14</v>
      </c>
      <c r="F13" s="305"/>
      <c r="G13" s="37">
        <f t="shared" ref="G13:K13" si="9">G14+G16+G18+G20+G25+G44+G47+G97+G108+G129+G139+G149+G151+G155+G157+G164+G166</f>
        <v>-2249875022.4499993</v>
      </c>
      <c r="H13" s="37">
        <f t="shared" si="9"/>
        <v>-2615350514.3199992</v>
      </c>
      <c r="I13" s="37">
        <f t="shared" si="9"/>
        <v>-2717026737.035943</v>
      </c>
      <c r="J13" s="37">
        <f t="shared" si="9"/>
        <v>-1275317583</v>
      </c>
      <c r="K13" s="152">
        <f t="shared" si="9"/>
        <v>-3090187142.9999995</v>
      </c>
      <c r="L13" s="232" t="s">
        <v>1755</v>
      </c>
      <c r="M13" s="232">
        <v>0</v>
      </c>
      <c r="N13" s="190">
        <f t="shared" si="2"/>
        <v>373160405.96405649</v>
      </c>
      <c r="O13" s="191">
        <f t="shared" si="3"/>
        <v>1.1373414552302656</v>
      </c>
      <c r="P13" s="190">
        <f t="shared" si="4"/>
        <v>474836628.68000031</v>
      </c>
      <c r="Q13" s="191">
        <f t="shared" si="5"/>
        <v>1.1815575488180634</v>
      </c>
      <c r="R13" s="190">
        <f t="shared" si="8"/>
        <v>1814869559.9999995</v>
      </c>
      <c r="S13" s="192">
        <f t="shared" ref="S13:S76" si="10">IF(J13=0,"",K13/J13)</f>
        <v>2.4230726402523062</v>
      </c>
      <c r="T13" s="172">
        <f t="shared" si="6"/>
        <v>4</v>
      </c>
    </row>
    <row r="14" spans="1:20" ht="11.25" customHeight="1" x14ac:dyDescent="0.25">
      <c r="A14" s="26" t="s">
        <v>1667</v>
      </c>
      <c r="B14" s="26"/>
      <c r="C14" s="23"/>
      <c r="D14" s="23"/>
      <c r="E14" s="306" t="s">
        <v>15</v>
      </c>
      <c r="F14" s="307"/>
      <c r="G14" s="25">
        <f t="shared" ref="G14:K14" si="11">SUM(G15)</f>
        <v>181228.51</v>
      </c>
      <c r="H14" s="25">
        <f t="shared" si="11"/>
        <v>161161.20000000001</v>
      </c>
      <c r="I14" s="25">
        <f t="shared" si="11"/>
        <v>0</v>
      </c>
      <c r="J14" s="139">
        <f t="shared" si="11"/>
        <v>0</v>
      </c>
      <c r="K14" s="153">
        <f t="shared" si="11"/>
        <v>0</v>
      </c>
      <c r="N14" s="91">
        <f t="shared" si="2"/>
        <v>0</v>
      </c>
      <c r="O14" s="130" t="str">
        <f t="shared" si="3"/>
        <v/>
      </c>
      <c r="P14" s="91">
        <f t="shared" si="4"/>
        <v>161161.20000000001</v>
      </c>
      <c r="Q14" s="130">
        <f t="shared" si="5"/>
        <v>0</v>
      </c>
      <c r="R14" s="91"/>
      <c r="S14" s="132" t="str">
        <f t="shared" si="10"/>
        <v/>
      </c>
      <c r="T14" s="172">
        <f t="shared" si="6"/>
        <v>7</v>
      </c>
    </row>
    <row r="15" spans="1:20" ht="11.25" customHeight="1" x14ac:dyDescent="0.25">
      <c r="A15" s="42" t="s">
        <v>16</v>
      </c>
      <c r="B15" s="14"/>
      <c r="C15" s="13"/>
      <c r="D15" s="13"/>
      <c r="E15" s="302" t="s">
        <v>17</v>
      </c>
      <c r="F15" s="303"/>
      <c r="G15" s="11">
        <v>181228.51</v>
      </c>
      <c r="H15" s="11">
        <v>161161.20000000001</v>
      </c>
      <c r="I15" s="11">
        <v>0</v>
      </c>
      <c r="J15" s="140">
        <v>0</v>
      </c>
      <c r="K15" s="154"/>
      <c r="L15" s="271" t="s">
        <v>1797</v>
      </c>
      <c r="M15" s="271"/>
      <c r="N15" s="91">
        <f t="shared" si="2"/>
        <v>0</v>
      </c>
      <c r="O15" s="130" t="str">
        <f t="shared" si="3"/>
        <v/>
      </c>
      <c r="P15" s="91">
        <f t="shared" si="4"/>
        <v>161161.20000000001</v>
      </c>
      <c r="Q15" s="130">
        <f t="shared" si="5"/>
        <v>0</v>
      </c>
      <c r="R15" s="91"/>
      <c r="S15" s="132" t="str">
        <f t="shared" si="10"/>
        <v/>
      </c>
      <c r="T15" s="172">
        <f t="shared" si="6"/>
        <v>9</v>
      </c>
    </row>
    <row r="16" spans="1:20" ht="11.25" customHeight="1" x14ac:dyDescent="0.25">
      <c r="A16" s="26" t="s">
        <v>1666</v>
      </c>
      <c r="B16" s="24"/>
      <c r="C16" s="23"/>
      <c r="D16" s="23"/>
      <c r="E16" s="306" t="s">
        <v>18</v>
      </c>
      <c r="F16" s="307"/>
      <c r="G16" s="25">
        <f t="shared" ref="G16:K16" si="12">SUM(G17)</f>
        <v>181.23000000000201</v>
      </c>
      <c r="H16" s="25">
        <f t="shared" si="12"/>
        <v>4020.45</v>
      </c>
      <c r="I16" s="25">
        <f t="shared" si="12"/>
        <v>0</v>
      </c>
      <c r="J16" s="139">
        <f t="shared" si="12"/>
        <v>0</v>
      </c>
      <c r="K16" s="153">
        <f t="shared" si="12"/>
        <v>0</v>
      </c>
      <c r="L16" s="272" t="s">
        <v>1798</v>
      </c>
      <c r="M16" s="271">
        <v>10000000</v>
      </c>
      <c r="N16" s="91">
        <f t="shared" si="2"/>
        <v>0</v>
      </c>
      <c r="O16" s="130" t="str">
        <f t="shared" si="3"/>
        <v/>
      </c>
      <c r="P16" s="91">
        <f t="shared" si="4"/>
        <v>4020.45</v>
      </c>
      <c r="Q16" s="130">
        <f t="shared" si="5"/>
        <v>0</v>
      </c>
      <c r="R16" s="91"/>
      <c r="S16" s="132" t="str">
        <f t="shared" si="10"/>
        <v/>
      </c>
      <c r="T16" s="172">
        <f t="shared" si="6"/>
        <v>7</v>
      </c>
    </row>
    <row r="17" spans="1:20" ht="11.25" customHeight="1" x14ac:dyDescent="0.25">
      <c r="A17" s="42" t="s">
        <v>925</v>
      </c>
      <c r="B17" s="27" t="s">
        <v>916</v>
      </c>
      <c r="C17" s="28" t="s">
        <v>917</v>
      </c>
      <c r="D17" s="28" t="s">
        <v>917</v>
      </c>
      <c r="E17" s="302" t="s">
        <v>19</v>
      </c>
      <c r="F17" s="303"/>
      <c r="G17" s="11">
        <v>181.23000000000201</v>
      </c>
      <c r="H17" s="11">
        <v>4020.45</v>
      </c>
      <c r="I17" s="11">
        <v>0</v>
      </c>
      <c r="J17" s="140">
        <v>0</v>
      </c>
      <c r="K17" s="155"/>
      <c r="L17" s="272" t="s">
        <v>1773</v>
      </c>
      <c r="M17" s="271">
        <v>20000000</v>
      </c>
      <c r="N17" s="91">
        <f t="shared" si="2"/>
        <v>0</v>
      </c>
      <c r="O17" s="130" t="str">
        <f t="shared" si="3"/>
        <v/>
      </c>
      <c r="P17" s="91">
        <f t="shared" si="4"/>
        <v>4020.45</v>
      </c>
      <c r="Q17" s="130">
        <f t="shared" si="5"/>
        <v>0</v>
      </c>
      <c r="R17" s="91"/>
      <c r="S17" s="132" t="str">
        <f t="shared" si="10"/>
        <v/>
      </c>
      <c r="T17" s="172">
        <f t="shared" si="6"/>
        <v>11</v>
      </c>
    </row>
    <row r="18" spans="1:20" ht="11.25" customHeight="1" x14ac:dyDescent="0.25">
      <c r="A18" s="26" t="s">
        <v>926</v>
      </c>
      <c r="B18" s="24"/>
      <c r="C18" s="23"/>
      <c r="D18" s="23"/>
      <c r="E18" s="306" t="s">
        <v>20</v>
      </c>
      <c r="F18" s="307"/>
      <c r="G18" s="25">
        <f t="shared" ref="G18:K18" si="13">SUM(G19)</f>
        <v>-9918625.0600000005</v>
      </c>
      <c r="H18" s="25">
        <f t="shared" si="13"/>
        <v>-9212410.3100000005</v>
      </c>
      <c r="I18" s="25">
        <f t="shared" si="13"/>
        <v>-10000000</v>
      </c>
      <c r="J18" s="139">
        <f t="shared" si="13"/>
        <v>0</v>
      </c>
      <c r="K18" s="153">
        <f t="shared" si="13"/>
        <v>-10000000</v>
      </c>
      <c r="L18" s="272" t="s">
        <v>1799</v>
      </c>
      <c r="M18" s="271">
        <v>6060000</v>
      </c>
      <c r="N18" s="91">
        <f t="shared" si="2"/>
        <v>0</v>
      </c>
      <c r="O18" s="130">
        <f t="shared" si="3"/>
        <v>1</v>
      </c>
      <c r="P18" s="91">
        <f t="shared" si="4"/>
        <v>787589.68999999948</v>
      </c>
      <c r="Q18" s="130">
        <f t="shared" si="5"/>
        <v>1.0854922505074569</v>
      </c>
      <c r="R18" s="91"/>
      <c r="S18" s="132" t="str">
        <f t="shared" si="10"/>
        <v/>
      </c>
      <c r="T18" s="172">
        <f t="shared" si="6"/>
        <v>7</v>
      </c>
    </row>
    <row r="19" spans="1:20" ht="11.25" customHeight="1" x14ac:dyDescent="0.25">
      <c r="A19" s="42" t="s">
        <v>927</v>
      </c>
      <c r="B19" s="27" t="s">
        <v>916</v>
      </c>
      <c r="C19" s="28" t="s">
        <v>917</v>
      </c>
      <c r="D19" s="28" t="s">
        <v>917</v>
      </c>
      <c r="E19" s="302" t="s">
        <v>21</v>
      </c>
      <c r="F19" s="303"/>
      <c r="G19" s="11">
        <v>-9918625.0600000005</v>
      </c>
      <c r="H19" s="11">
        <v>-9212410.3100000005</v>
      </c>
      <c r="I19" s="11">
        <v>-10000000</v>
      </c>
      <c r="J19" s="140">
        <v>0</v>
      </c>
      <c r="K19" s="171">
        <v>-10000000</v>
      </c>
      <c r="L19" s="272" t="s">
        <v>1800</v>
      </c>
      <c r="M19" s="271">
        <v>3000000</v>
      </c>
      <c r="N19" s="91">
        <f t="shared" si="2"/>
        <v>0</v>
      </c>
      <c r="O19" s="130">
        <f t="shared" si="3"/>
        <v>1</v>
      </c>
      <c r="P19" s="91">
        <f t="shared" si="4"/>
        <v>787589.68999999948</v>
      </c>
      <c r="Q19" s="130">
        <f t="shared" si="5"/>
        <v>1.0854922505074569</v>
      </c>
      <c r="R19" s="91"/>
      <c r="S19" s="132" t="str">
        <f t="shared" si="10"/>
        <v/>
      </c>
      <c r="T19" s="172">
        <f t="shared" si="6"/>
        <v>11</v>
      </c>
    </row>
    <row r="20" spans="1:20" ht="11.25" customHeight="1" x14ac:dyDescent="0.25">
      <c r="A20" s="26" t="s">
        <v>928</v>
      </c>
      <c r="B20" s="24"/>
      <c r="C20" s="23"/>
      <c r="D20" s="23"/>
      <c r="E20" s="306" t="s">
        <v>22</v>
      </c>
      <c r="F20" s="307"/>
      <c r="G20" s="25">
        <f t="shared" ref="G20:K20" si="14">SUM(G21:G24)</f>
        <v>-2802347.55</v>
      </c>
      <c r="H20" s="25">
        <f t="shared" si="14"/>
        <v>-2973695.66</v>
      </c>
      <c r="I20" s="25">
        <f t="shared" si="14"/>
        <v>-3040133.3333332683</v>
      </c>
      <c r="J20" s="139">
        <f t="shared" si="14"/>
        <v>0</v>
      </c>
      <c r="K20" s="153">
        <f t="shared" si="14"/>
        <v>-3250000</v>
      </c>
      <c r="L20" s="273" t="s">
        <v>1801</v>
      </c>
      <c r="M20" s="274">
        <v>2000000</v>
      </c>
      <c r="N20" s="91">
        <f t="shared" si="2"/>
        <v>209866.6666667317</v>
      </c>
      <c r="O20" s="130">
        <f t="shared" si="3"/>
        <v>1.0690320599973915</v>
      </c>
      <c r="P20" s="91">
        <f t="shared" si="4"/>
        <v>276304.33999999985</v>
      </c>
      <c r="Q20" s="130">
        <f t="shared" si="5"/>
        <v>1.0929161459649841</v>
      </c>
      <c r="R20" s="91"/>
      <c r="S20" s="132" t="str">
        <f t="shared" si="10"/>
        <v/>
      </c>
      <c r="T20" s="172">
        <f t="shared" si="6"/>
        <v>7</v>
      </c>
    </row>
    <row r="21" spans="1:20" ht="11.25" customHeight="1" x14ac:dyDescent="0.25">
      <c r="A21" s="42" t="s">
        <v>929</v>
      </c>
      <c r="B21" s="20" t="s">
        <v>916</v>
      </c>
      <c r="C21" s="20" t="s">
        <v>919</v>
      </c>
      <c r="D21" s="20" t="s">
        <v>918</v>
      </c>
      <c r="E21" s="302" t="s">
        <v>23</v>
      </c>
      <c r="F21" s="303"/>
      <c r="G21" s="11">
        <v>-516162.48</v>
      </c>
      <c r="H21" s="11">
        <v>-477150.16</v>
      </c>
      <c r="I21" s="11">
        <v>-549999.99999995995</v>
      </c>
      <c r="J21" s="140">
        <v>0</v>
      </c>
      <c r="K21" s="155">
        <v>-550000</v>
      </c>
      <c r="L21" s="109" t="s">
        <v>1696</v>
      </c>
      <c r="M21" s="109"/>
      <c r="N21" s="91">
        <f t="shared" si="2"/>
        <v>4.0046870708465576E-8</v>
      </c>
      <c r="O21" s="130">
        <f t="shared" si="3"/>
        <v>1.0000000000000728</v>
      </c>
      <c r="P21" s="91">
        <f t="shared" si="4"/>
        <v>72849.840000000026</v>
      </c>
      <c r="Q21" s="130">
        <f t="shared" si="5"/>
        <v>1.1526769686087919</v>
      </c>
      <c r="R21" s="91"/>
      <c r="S21" s="132" t="str">
        <f t="shared" si="10"/>
        <v/>
      </c>
      <c r="T21" s="172">
        <f t="shared" si="6"/>
        <v>11</v>
      </c>
    </row>
    <row r="22" spans="1:20" ht="11.25" customHeight="1" x14ac:dyDescent="0.25">
      <c r="A22" s="42" t="s">
        <v>930</v>
      </c>
      <c r="B22" s="20" t="s">
        <v>916</v>
      </c>
      <c r="C22" s="20" t="s">
        <v>919</v>
      </c>
      <c r="D22" s="20" t="s">
        <v>918</v>
      </c>
      <c r="E22" s="302" t="s">
        <v>24</v>
      </c>
      <c r="F22" s="303"/>
      <c r="G22" s="11">
        <v>-2140869.25</v>
      </c>
      <c r="H22" s="11">
        <v>-2322093.02</v>
      </c>
      <c r="I22" s="11">
        <v>-2299999.9999999902</v>
      </c>
      <c r="J22" s="140">
        <v>0</v>
      </c>
      <c r="K22" s="155">
        <v>-2500000</v>
      </c>
      <c r="N22" s="91">
        <f t="shared" si="2"/>
        <v>200000.00000000978</v>
      </c>
      <c r="O22" s="130">
        <f t="shared" si="3"/>
        <v>1.086956521739135</v>
      </c>
      <c r="P22" s="91">
        <f t="shared" si="4"/>
        <v>177906.97999999998</v>
      </c>
      <c r="Q22" s="130">
        <f t="shared" si="5"/>
        <v>1.0766149238931004</v>
      </c>
      <c r="R22" s="91"/>
      <c r="S22" s="132" t="str">
        <f t="shared" si="10"/>
        <v/>
      </c>
      <c r="T22" s="172">
        <f t="shared" si="6"/>
        <v>11</v>
      </c>
    </row>
    <row r="23" spans="1:20" ht="11.25" customHeight="1" x14ac:dyDescent="0.25">
      <c r="A23" s="42" t="s">
        <v>931</v>
      </c>
      <c r="B23" s="20" t="s">
        <v>916</v>
      </c>
      <c r="C23" s="20" t="s">
        <v>919</v>
      </c>
      <c r="D23" s="20" t="s">
        <v>918</v>
      </c>
      <c r="E23" s="302" t="s">
        <v>25</v>
      </c>
      <c r="F23" s="303"/>
      <c r="G23" s="11">
        <v>-145315.82</v>
      </c>
      <c r="H23" s="11">
        <v>-172455.48</v>
      </c>
      <c r="I23" s="11">
        <v>-190133.33333331801</v>
      </c>
      <c r="J23" s="140">
        <v>0</v>
      </c>
      <c r="K23" s="155">
        <v>-200000</v>
      </c>
      <c r="N23" s="91">
        <f t="shared" si="2"/>
        <v>9866.6666666819947</v>
      </c>
      <c r="O23" s="130">
        <f t="shared" si="3"/>
        <v>1.0518934081347271</v>
      </c>
      <c r="P23" s="91">
        <f t="shared" si="4"/>
        <v>27544.51999999999</v>
      </c>
      <c r="Q23" s="130">
        <f t="shared" si="5"/>
        <v>1.1597195983566309</v>
      </c>
      <c r="R23" s="91"/>
      <c r="S23" s="132" t="str">
        <f t="shared" si="10"/>
        <v/>
      </c>
      <c r="T23" s="172">
        <f t="shared" si="6"/>
        <v>11</v>
      </c>
    </row>
    <row r="24" spans="1:20" ht="11.25" customHeight="1" x14ac:dyDescent="0.25">
      <c r="A24" s="42" t="s">
        <v>932</v>
      </c>
      <c r="B24" s="20"/>
      <c r="C24" s="20"/>
      <c r="D24" s="20"/>
      <c r="E24" s="302" t="s">
        <v>26</v>
      </c>
      <c r="F24" s="303"/>
      <c r="G24" s="11">
        <v>0</v>
      </c>
      <c r="H24" s="11">
        <v>-1997</v>
      </c>
      <c r="I24" s="11">
        <v>0</v>
      </c>
      <c r="J24" s="140">
        <v>0</v>
      </c>
      <c r="K24" s="154"/>
      <c r="L24" s="185"/>
      <c r="M24" s="203"/>
      <c r="N24" s="91">
        <f t="shared" si="2"/>
        <v>0</v>
      </c>
      <c r="O24" s="130" t="str">
        <f t="shared" si="3"/>
        <v/>
      </c>
      <c r="P24" s="91">
        <f t="shared" si="4"/>
        <v>-1997</v>
      </c>
      <c r="Q24" s="130">
        <f t="shared" si="5"/>
        <v>0</v>
      </c>
      <c r="R24" s="91"/>
      <c r="S24" s="132" t="str">
        <f t="shared" si="10"/>
        <v/>
      </c>
      <c r="T24" s="172">
        <f t="shared" si="6"/>
        <v>11</v>
      </c>
    </row>
    <row r="25" spans="1:20" ht="11.25" customHeight="1" x14ac:dyDescent="0.25">
      <c r="A25" s="26" t="s">
        <v>933</v>
      </c>
      <c r="B25" s="24"/>
      <c r="C25" s="23"/>
      <c r="D25" s="23"/>
      <c r="E25" s="306" t="s">
        <v>27</v>
      </c>
      <c r="F25" s="307"/>
      <c r="G25" s="25">
        <f t="shared" ref="G25:J25" si="15">SUM(G26:G43)</f>
        <v>-1235315057.9200001</v>
      </c>
      <c r="H25" s="25">
        <f t="shared" si="15"/>
        <v>-1473358323.6499999</v>
      </c>
      <c r="I25" s="25">
        <f t="shared" si="15"/>
        <v>-1534708170.0046365</v>
      </c>
      <c r="J25" s="25">
        <f t="shared" si="15"/>
        <v>-1275317583</v>
      </c>
      <c r="K25" s="153">
        <f>SUM(K26:K43)</f>
        <v>-1834014800</v>
      </c>
      <c r="L25" s="185">
        <f>+K25-K40-K41</f>
        <v>-380000000</v>
      </c>
      <c r="M25" s="203"/>
      <c r="N25" s="95">
        <f t="shared" si="2"/>
        <v>299306629.99536347</v>
      </c>
      <c r="O25" s="196">
        <f t="shared" si="3"/>
        <v>1.1950251102100142</v>
      </c>
      <c r="P25" s="95">
        <f t="shared" si="4"/>
        <v>360656476.35000014</v>
      </c>
      <c r="Q25" s="196">
        <f t="shared" si="5"/>
        <v>1.2447853115978833</v>
      </c>
      <c r="R25" s="95">
        <f t="shared" ref="R25:R47" si="16">-K25+J25</f>
        <v>558697217</v>
      </c>
      <c r="S25" s="197">
        <f t="shared" si="10"/>
        <v>1.4380847754688253</v>
      </c>
      <c r="T25" s="172">
        <f t="shared" si="6"/>
        <v>7</v>
      </c>
    </row>
    <row r="26" spans="1:20" ht="11.25" customHeight="1" x14ac:dyDescent="0.25">
      <c r="A26" s="42" t="s">
        <v>934</v>
      </c>
      <c r="B26" s="27" t="s">
        <v>916</v>
      </c>
      <c r="C26" s="28" t="s">
        <v>917</v>
      </c>
      <c r="D26" s="28" t="s">
        <v>917</v>
      </c>
      <c r="E26" s="302" t="s">
        <v>28</v>
      </c>
      <c r="F26" s="303"/>
      <c r="G26" s="11">
        <v>-171054568.94999999</v>
      </c>
      <c r="H26" s="11">
        <v>-176496778.88999999</v>
      </c>
      <c r="I26" s="11">
        <v>-184417947.939466</v>
      </c>
      <c r="J26" s="140">
        <v>0</v>
      </c>
      <c r="K26" s="156">
        <f>-182874279-870000-3500000</f>
        <v>-187244279</v>
      </c>
      <c r="L26" s="186" t="s">
        <v>1802</v>
      </c>
      <c r="M26" s="173"/>
      <c r="N26" s="91">
        <f t="shared" si="2"/>
        <v>2826331.0605340004</v>
      </c>
      <c r="O26" s="130">
        <f t="shared" si="3"/>
        <v>1.0153256832760211</v>
      </c>
      <c r="P26" s="91">
        <f t="shared" si="4"/>
        <v>10747500.110000014</v>
      </c>
      <c r="Q26" s="130">
        <f t="shared" si="5"/>
        <v>1.0608934631985454</v>
      </c>
      <c r="R26" s="91"/>
      <c r="S26" s="132" t="str">
        <f t="shared" si="10"/>
        <v/>
      </c>
      <c r="T26" s="172">
        <f t="shared" si="6"/>
        <v>11</v>
      </c>
    </row>
    <row r="27" spans="1:20" ht="11.25" customHeight="1" x14ac:dyDescent="0.25">
      <c r="A27" s="42" t="s">
        <v>935</v>
      </c>
      <c r="B27" s="27" t="s">
        <v>916</v>
      </c>
      <c r="C27" s="28" t="s">
        <v>917</v>
      </c>
      <c r="D27" s="28" t="s">
        <v>917</v>
      </c>
      <c r="E27" s="302" t="s">
        <v>29</v>
      </c>
      <c r="F27" s="303"/>
      <c r="G27" s="11">
        <v>-10145250.630000001</v>
      </c>
      <c r="H27" s="11">
        <v>-8987106.1500000004</v>
      </c>
      <c r="I27" s="11">
        <v>-8732929.0312178396</v>
      </c>
      <c r="J27" s="140">
        <v>0</v>
      </c>
      <c r="K27" s="156">
        <f>-10088700+20000</f>
        <v>-10068700</v>
      </c>
      <c r="L27" s="320" t="s">
        <v>1807</v>
      </c>
      <c r="M27" s="173"/>
      <c r="N27" s="91">
        <f t="shared" si="2"/>
        <v>1335770.9687821604</v>
      </c>
      <c r="O27" s="130">
        <f t="shared" si="3"/>
        <v>1.152957955344323</v>
      </c>
      <c r="P27" s="91">
        <f t="shared" si="4"/>
        <v>1081593.8499999996</v>
      </c>
      <c r="Q27" s="130">
        <f t="shared" si="5"/>
        <v>1.1203495131744938</v>
      </c>
      <c r="R27" s="91"/>
      <c r="S27" s="132" t="str">
        <f t="shared" si="10"/>
        <v/>
      </c>
      <c r="T27" s="172">
        <f t="shared" si="6"/>
        <v>11</v>
      </c>
    </row>
    <row r="28" spans="1:20" ht="11.25" customHeight="1" x14ac:dyDescent="0.25">
      <c r="A28" s="42" t="s">
        <v>936</v>
      </c>
      <c r="B28" s="27" t="s">
        <v>916</v>
      </c>
      <c r="C28" s="28" t="s">
        <v>917</v>
      </c>
      <c r="D28" s="28" t="s">
        <v>917</v>
      </c>
      <c r="E28" s="302" t="s">
        <v>30</v>
      </c>
      <c r="F28" s="303"/>
      <c r="G28" s="11">
        <v>-242273.07</v>
      </c>
      <c r="H28" s="11">
        <v>-386360.9</v>
      </c>
      <c r="I28" s="11">
        <v>-414999.999999994</v>
      </c>
      <c r="J28" s="140">
        <v>0</v>
      </c>
      <c r="K28" s="156">
        <v>-320000</v>
      </c>
      <c r="L28" s="321"/>
      <c r="M28" s="173"/>
      <c r="N28" s="91">
        <f t="shared" si="2"/>
        <v>-94999.999999994005</v>
      </c>
      <c r="O28" s="130">
        <f t="shared" si="3"/>
        <v>0.77108433734940873</v>
      </c>
      <c r="P28" s="91">
        <f t="shared" si="4"/>
        <v>-66360.900000000023</v>
      </c>
      <c r="Q28" s="130">
        <f t="shared" si="5"/>
        <v>0.82824116001386261</v>
      </c>
      <c r="R28" s="91"/>
      <c r="S28" s="132" t="str">
        <f t="shared" si="10"/>
        <v/>
      </c>
      <c r="T28" s="172">
        <f t="shared" si="6"/>
        <v>11</v>
      </c>
    </row>
    <row r="29" spans="1:20" ht="11.25" customHeight="1" x14ac:dyDescent="0.25">
      <c r="A29" s="42" t="s">
        <v>937</v>
      </c>
      <c r="B29" s="28" t="s">
        <v>916</v>
      </c>
      <c r="C29" s="28" t="s">
        <v>920</v>
      </c>
      <c r="D29" s="28" t="s">
        <v>921</v>
      </c>
      <c r="E29" s="302" t="s">
        <v>31</v>
      </c>
      <c r="F29" s="303"/>
      <c r="G29" s="11">
        <v>-24977677.399999999</v>
      </c>
      <c r="H29" s="11">
        <v>-26091573.530000001</v>
      </c>
      <c r="I29" s="11">
        <v>-26000000</v>
      </c>
      <c r="J29" s="140">
        <v>0</v>
      </c>
      <c r="K29" s="155">
        <v>-28500000</v>
      </c>
      <c r="L29" s="321"/>
      <c r="M29" s="173"/>
      <c r="N29" s="91">
        <f t="shared" si="2"/>
        <v>2500000</v>
      </c>
      <c r="O29" s="130">
        <f t="shared" si="3"/>
        <v>1.0961538461538463</v>
      </c>
      <c r="P29" s="91">
        <f t="shared" si="4"/>
        <v>2408426.4699999988</v>
      </c>
      <c r="Q29" s="130">
        <f t="shared" si="5"/>
        <v>1.0923066777567401</v>
      </c>
      <c r="R29" s="91"/>
      <c r="S29" s="132" t="str">
        <f t="shared" si="10"/>
        <v/>
      </c>
      <c r="T29" s="172">
        <f t="shared" si="6"/>
        <v>11</v>
      </c>
    </row>
    <row r="30" spans="1:20" ht="11.25" customHeight="1" x14ac:dyDescent="0.25">
      <c r="A30" s="42" t="s">
        <v>938</v>
      </c>
      <c r="B30" s="27" t="s">
        <v>916</v>
      </c>
      <c r="C30" s="28" t="s">
        <v>917</v>
      </c>
      <c r="D30" s="28" t="s">
        <v>917</v>
      </c>
      <c r="E30" s="302" t="s">
        <v>32</v>
      </c>
      <c r="F30" s="303"/>
      <c r="G30" s="11">
        <v>-2777036.85</v>
      </c>
      <c r="H30" s="11">
        <v>-2720978.14</v>
      </c>
      <c r="I30" s="11">
        <v>-2521019.5091897398</v>
      </c>
      <c r="J30" s="140">
        <v>0</v>
      </c>
      <c r="K30" s="156">
        <v>-3361000</v>
      </c>
      <c r="L30" s="321"/>
      <c r="M30" s="173"/>
      <c r="N30" s="91">
        <f t="shared" si="2"/>
        <v>839980.49081026018</v>
      </c>
      <c r="O30" s="130">
        <f t="shared" si="3"/>
        <v>1.3331907935453586</v>
      </c>
      <c r="P30" s="91">
        <f t="shared" si="4"/>
        <v>640021.85999999987</v>
      </c>
      <c r="Q30" s="130">
        <f t="shared" si="5"/>
        <v>1.2352175677530433</v>
      </c>
      <c r="R30" s="91"/>
      <c r="S30" s="132" t="str">
        <f t="shared" si="10"/>
        <v/>
      </c>
      <c r="T30" s="172">
        <f t="shared" si="6"/>
        <v>11</v>
      </c>
    </row>
    <row r="31" spans="1:20" ht="11.25" customHeight="1" x14ac:dyDescent="0.25">
      <c r="A31" s="42" t="s">
        <v>939</v>
      </c>
      <c r="B31" s="27" t="s">
        <v>916</v>
      </c>
      <c r="C31" s="28" t="s">
        <v>917</v>
      </c>
      <c r="D31" s="28" t="s">
        <v>917</v>
      </c>
      <c r="E31" s="302" t="s">
        <v>33</v>
      </c>
      <c r="F31" s="303"/>
      <c r="G31" s="11">
        <v>-1653257.2</v>
      </c>
      <c r="H31" s="11">
        <v>-1499551.17</v>
      </c>
      <c r="I31" s="11">
        <v>-1768356.84378694</v>
      </c>
      <c r="J31" s="140">
        <v>0</v>
      </c>
      <c r="K31" s="156">
        <f>-1855000</f>
        <v>-1855000</v>
      </c>
      <c r="L31" s="186"/>
      <c r="M31" s="173"/>
      <c r="N31" s="91">
        <f t="shared" si="2"/>
        <v>86643.156213060021</v>
      </c>
      <c r="O31" s="130">
        <f t="shared" si="3"/>
        <v>1.0489964208963127</v>
      </c>
      <c r="P31" s="91">
        <f t="shared" si="4"/>
        <v>355448.83000000007</v>
      </c>
      <c r="Q31" s="130">
        <f t="shared" si="5"/>
        <v>1.2370368128217992</v>
      </c>
      <c r="R31" s="91"/>
      <c r="S31" s="132" t="str">
        <f t="shared" si="10"/>
        <v/>
      </c>
      <c r="T31" s="172">
        <f t="shared" si="6"/>
        <v>11</v>
      </c>
    </row>
    <row r="32" spans="1:20" ht="11.25" customHeight="1" x14ac:dyDescent="0.25">
      <c r="A32" s="42" t="s">
        <v>940</v>
      </c>
      <c r="B32" s="27" t="s">
        <v>916</v>
      </c>
      <c r="C32" s="28" t="s">
        <v>917</v>
      </c>
      <c r="D32" s="28" t="s">
        <v>917</v>
      </c>
      <c r="E32" s="302" t="s">
        <v>34</v>
      </c>
      <c r="F32" s="303"/>
      <c r="G32" s="11">
        <v>-48159108.380000003</v>
      </c>
      <c r="H32" s="11">
        <v>-50781726.43</v>
      </c>
      <c r="I32" s="11">
        <v>-50447999.999999903</v>
      </c>
      <c r="J32" s="140">
        <v>0</v>
      </c>
      <c r="K32" s="156">
        <f>-58598695+50000</f>
        <v>-58548695</v>
      </c>
      <c r="L32" s="186"/>
      <c r="M32" s="173"/>
      <c r="N32" s="91">
        <f t="shared" si="2"/>
        <v>8100695.0000000969</v>
      </c>
      <c r="O32" s="130">
        <f t="shared" si="3"/>
        <v>1.1605751466856984</v>
      </c>
      <c r="P32" s="91">
        <f t="shared" si="4"/>
        <v>7766968.5700000003</v>
      </c>
      <c r="Q32" s="130">
        <f t="shared" si="5"/>
        <v>1.1529480999569082</v>
      </c>
      <c r="R32" s="91"/>
      <c r="S32" s="132" t="str">
        <f t="shared" si="10"/>
        <v/>
      </c>
      <c r="T32" s="172">
        <f t="shared" si="6"/>
        <v>11</v>
      </c>
    </row>
    <row r="33" spans="1:20" ht="11.25" customHeight="1" x14ac:dyDescent="0.25">
      <c r="A33" s="42" t="s">
        <v>941</v>
      </c>
      <c r="B33" s="27" t="s">
        <v>916</v>
      </c>
      <c r="C33" s="28" t="s">
        <v>917</v>
      </c>
      <c r="D33" s="28" t="s">
        <v>917</v>
      </c>
      <c r="E33" s="302" t="s">
        <v>35</v>
      </c>
      <c r="F33" s="303"/>
      <c r="G33" s="11">
        <v>-13421029.01</v>
      </c>
      <c r="H33" s="11">
        <v>-12154549.35</v>
      </c>
      <c r="I33" s="11">
        <v>-12040930.727390099</v>
      </c>
      <c r="J33" s="140">
        <v>0</v>
      </c>
      <c r="K33" s="156">
        <f>-12551000+5000</f>
        <v>-12546000</v>
      </c>
      <c r="L33" s="186"/>
      <c r="M33" s="173"/>
      <c r="N33" s="91">
        <f t="shared" si="2"/>
        <v>505069.27260990068</v>
      </c>
      <c r="O33" s="130">
        <f t="shared" si="3"/>
        <v>1.0419460325820988</v>
      </c>
      <c r="P33" s="91">
        <f t="shared" si="4"/>
        <v>391450.65000000037</v>
      </c>
      <c r="Q33" s="130">
        <f t="shared" si="5"/>
        <v>1.0322061014956512</v>
      </c>
      <c r="R33" s="91"/>
      <c r="S33" s="132" t="str">
        <f t="shared" si="10"/>
        <v/>
      </c>
      <c r="T33" s="172">
        <f t="shared" si="6"/>
        <v>11</v>
      </c>
    </row>
    <row r="34" spans="1:20" ht="11.25" customHeight="1" x14ac:dyDescent="0.25">
      <c r="A34" s="42" t="s">
        <v>942</v>
      </c>
      <c r="B34" s="27" t="s">
        <v>916</v>
      </c>
      <c r="C34" s="28" t="s">
        <v>917</v>
      </c>
      <c r="D34" s="28" t="s">
        <v>917</v>
      </c>
      <c r="E34" s="302" t="s">
        <v>36</v>
      </c>
      <c r="F34" s="303"/>
      <c r="G34" s="11">
        <v>-7703631.1500000004</v>
      </c>
      <c r="H34" s="11">
        <v>-7969823.8200000003</v>
      </c>
      <c r="I34" s="11">
        <v>-7959878.0024193702</v>
      </c>
      <c r="J34" s="140">
        <v>0</v>
      </c>
      <c r="K34" s="156">
        <f>-9294878+5000</f>
        <v>-9289878</v>
      </c>
      <c r="L34" s="186"/>
      <c r="M34" s="173"/>
      <c r="N34" s="91">
        <f t="shared" si="2"/>
        <v>1329999.9975806298</v>
      </c>
      <c r="O34" s="130">
        <f t="shared" si="3"/>
        <v>1.167087987677246</v>
      </c>
      <c r="P34" s="91">
        <f t="shared" si="4"/>
        <v>1320054.1799999997</v>
      </c>
      <c r="Q34" s="130">
        <f t="shared" si="5"/>
        <v>1.1656315383895148</v>
      </c>
      <c r="R34" s="91"/>
      <c r="S34" s="132" t="str">
        <f t="shared" si="10"/>
        <v/>
      </c>
      <c r="T34" s="172">
        <f t="shared" si="6"/>
        <v>11</v>
      </c>
    </row>
    <row r="35" spans="1:20" ht="11.25" customHeight="1" x14ac:dyDescent="0.25">
      <c r="A35" s="42" t="s">
        <v>943</v>
      </c>
      <c r="B35" s="27" t="s">
        <v>916</v>
      </c>
      <c r="C35" s="28" t="s">
        <v>917</v>
      </c>
      <c r="D35" s="28" t="s">
        <v>917</v>
      </c>
      <c r="E35" s="302" t="s">
        <v>37</v>
      </c>
      <c r="F35" s="303"/>
      <c r="G35" s="11">
        <v>-19326606.73</v>
      </c>
      <c r="H35" s="11">
        <v>-20719912.789999999</v>
      </c>
      <c r="I35" s="11">
        <v>-19609580.822696202</v>
      </c>
      <c r="J35" s="140">
        <v>0</v>
      </c>
      <c r="K35" s="156">
        <v>-35446741</v>
      </c>
      <c r="L35" s="186"/>
      <c r="M35" s="173"/>
      <c r="N35" s="91">
        <f t="shared" si="2"/>
        <v>15837160.177303798</v>
      </c>
      <c r="O35" s="130">
        <f t="shared" si="3"/>
        <v>1.8076235958585005</v>
      </c>
      <c r="P35" s="91">
        <f t="shared" si="4"/>
        <v>14726828.210000001</v>
      </c>
      <c r="Q35" s="130">
        <f t="shared" si="5"/>
        <v>1.710757248800177</v>
      </c>
      <c r="R35" s="91"/>
      <c r="S35" s="132" t="str">
        <f t="shared" si="10"/>
        <v/>
      </c>
      <c r="T35" s="172">
        <f t="shared" si="6"/>
        <v>11</v>
      </c>
    </row>
    <row r="36" spans="1:20" ht="11.25" customHeight="1" x14ac:dyDescent="0.25">
      <c r="A36" s="42" t="s">
        <v>944</v>
      </c>
      <c r="B36" s="27" t="s">
        <v>916</v>
      </c>
      <c r="C36" s="28" t="s">
        <v>917</v>
      </c>
      <c r="D36" s="28" t="s">
        <v>917</v>
      </c>
      <c r="E36" s="302" t="s">
        <v>38</v>
      </c>
      <c r="F36" s="303"/>
      <c r="G36" s="11">
        <v>-4089444.39</v>
      </c>
      <c r="H36" s="11">
        <v>-3803421.87</v>
      </c>
      <c r="I36" s="11">
        <v>-3806999.99999998</v>
      </c>
      <c r="J36" s="140">
        <v>0</v>
      </c>
      <c r="K36" s="156">
        <v>-3841000</v>
      </c>
      <c r="L36" s="186"/>
      <c r="M36" s="173"/>
      <c r="N36" s="91">
        <f t="shared" si="2"/>
        <v>34000.000000020023</v>
      </c>
      <c r="O36" s="130">
        <f t="shared" si="3"/>
        <v>1.0089309167323406</v>
      </c>
      <c r="P36" s="91">
        <f t="shared" si="4"/>
        <v>37578.129999999888</v>
      </c>
      <c r="Q36" s="130">
        <f t="shared" si="5"/>
        <v>1.009880084640729</v>
      </c>
      <c r="R36" s="91"/>
      <c r="S36" s="132" t="str">
        <f t="shared" si="10"/>
        <v/>
      </c>
      <c r="T36" s="172">
        <f t="shared" si="6"/>
        <v>11</v>
      </c>
    </row>
    <row r="37" spans="1:20" ht="11.25" customHeight="1" x14ac:dyDescent="0.25">
      <c r="A37" s="42" t="s">
        <v>945</v>
      </c>
      <c r="B37" s="27" t="s">
        <v>916</v>
      </c>
      <c r="C37" s="28" t="s">
        <v>917</v>
      </c>
      <c r="D37" s="28" t="s">
        <v>917</v>
      </c>
      <c r="E37" s="302" t="s">
        <v>39</v>
      </c>
      <c r="F37" s="303"/>
      <c r="G37" s="11">
        <v>-20976071.800000001</v>
      </c>
      <c r="H37" s="11">
        <v>-23233481.719999999</v>
      </c>
      <c r="I37" s="11">
        <v>-23444641.194271199</v>
      </c>
      <c r="J37" s="140">
        <v>0</v>
      </c>
      <c r="K37" s="156">
        <f>-21387009+10000</f>
        <v>-21377009</v>
      </c>
      <c r="L37" s="186"/>
      <c r="M37" s="173"/>
      <c r="N37" s="91">
        <f t="shared" si="2"/>
        <v>-2067632.1942711994</v>
      </c>
      <c r="O37" s="130">
        <f t="shared" si="3"/>
        <v>0.91180789771368165</v>
      </c>
      <c r="P37" s="91">
        <f t="shared" si="4"/>
        <v>-1856472.7199999988</v>
      </c>
      <c r="Q37" s="130">
        <f t="shared" si="5"/>
        <v>0.92009494132763159</v>
      </c>
      <c r="R37" s="91"/>
      <c r="S37" s="132" t="str">
        <f t="shared" si="10"/>
        <v/>
      </c>
      <c r="T37" s="172">
        <f t="shared" si="6"/>
        <v>11</v>
      </c>
    </row>
    <row r="38" spans="1:20" ht="11.25" customHeight="1" x14ac:dyDescent="0.25">
      <c r="A38" s="42" t="s">
        <v>946</v>
      </c>
      <c r="B38" s="27" t="s">
        <v>916</v>
      </c>
      <c r="C38" s="28" t="s">
        <v>917</v>
      </c>
      <c r="D38" s="28" t="s">
        <v>917</v>
      </c>
      <c r="E38" s="302" t="s">
        <v>40</v>
      </c>
      <c r="F38" s="303"/>
      <c r="G38" s="11">
        <v>-13331370.42</v>
      </c>
      <c r="H38" s="11">
        <v>-12498609.220000001</v>
      </c>
      <c r="I38" s="11">
        <v>-12205468.978488499</v>
      </c>
      <c r="J38" s="140">
        <v>0</v>
      </c>
      <c r="K38" s="156">
        <f>-11500730+30000</f>
        <v>-11470730</v>
      </c>
      <c r="L38" s="186"/>
      <c r="M38" s="173"/>
      <c r="N38" s="91">
        <f t="shared" si="2"/>
        <v>-734738.9784884993</v>
      </c>
      <c r="O38" s="130">
        <f t="shared" si="3"/>
        <v>0.93980247872626288</v>
      </c>
      <c r="P38" s="91">
        <f t="shared" si="4"/>
        <v>-1027879.2200000007</v>
      </c>
      <c r="Q38" s="130">
        <f t="shared" si="5"/>
        <v>0.91776051223721666</v>
      </c>
      <c r="R38" s="91"/>
      <c r="S38" s="132" t="str">
        <f t="shared" si="10"/>
        <v/>
      </c>
      <c r="T38" s="172">
        <f t="shared" si="6"/>
        <v>11</v>
      </c>
    </row>
    <row r="39" spans="1:20" ht="11.25" customHeight="1" x14ac:dyDescent="0.25">
      <c r="A39" s="42" t="s">
        <v>947</v>
      </c>
      <c r="B39" s="27" t="s">
        <v>916</v>
      </c>
      <c r="C39" s="28" t="s">
        <v>917</v>
      </c>
      <c r="D39" s="28" t="s">
        <v>917</v>
      </c>
      <c r="E39" s="302" t="s">
        <v>41</v>
      </c>
      <c r="F39" s="303"/>
      <c r="G39" s="11">
        <v>-202369.25</v>
      </c>
      <c r="H39" s="11">
        <v>-246187.4</v>
      </c>
      <c r="I39" s="11">
        <v>-359999.999999994</v>
      </c>
      <c r="J39" s="140">
        <v>0</v>
      </c>
      <c r="K39" s="156">
        <v>-300000</v>
      </c>
      <c r="L39" s="186"/>
      <c r="M39" s="173"/>
      <c r="N39" s="91">
        <f t="shared" si="2"/>
        <v>-59999.999999994005</v>
      </c>
      <c r="O39" s="130">
        <f t="shared" si="3"/>
        <v>0.83333333333334725</v>
      </c>
      <c r="P39" s="91">
        <f t="shared" si="4"/>
        <v>53812.600000000006</v>
      </c>
      <c r="Q39" s="130">
        <f t="shared" si="5"/>
        <v>1.2185838917832512</v>
      </c>
      <c r="R39" s="91"/>
      <c r="S39" s="132" t="str">
        <f t="shared" si="10"/>
        <v/>
      </c>
      <c r="T39" s="172">
        <f t="shared" si="6"/>
        <v>11</v>
      </c>
    </row>
    <row r="40" spans="1:20" ht="11.25" customHeight="1" x14ac:dyDescent="0.25">
      <c r="A40" s="42" t="s">
        <v>948</v>
      </c>
      <c r="B40" s="27" t="s">
        <v>916</v>
      </c>
      <c r="C40" s="28" t="s">
        <v>917</v>
      </c>
      <c r="D40" s="28" t="s">
        <v>917</v>
      </c>
      <c r="E40" s="302" t="s">
        <v>42</v>
      </c>
      <c r="F40" s="303"/>
      <c r="G40" s="11">
        <v>-881038445.94000006</v>
      </c>
      <c r="H40" s="11">
        <v>-1045394322.41</v>
      </c>
      <c r="I40" s="11">
        <v>-1100000242.21492</v>
      </c>
      <c r="J40" s="140">
        <v>-1225094513</v>
      </c>
      <c r="K40" s="156">
        <f>-1350000000+20000000-10000000</f>
        <v>-1340000000</v>
      </c>
      <c r="L40" s="186"/>
      <c r="M40" s="173"/>
      <c r="N40" s="95">
        <f t="shared" si="2"/>
        <v>239999757.78507996</v>
      </c>
      <c r="O40" s="196">
        <f t="shared" si="3"/>
        <v>1.2181815499438666</v>
      </c>
      <c r="P40" s="95">
        <f t="shared" si="4"/>
        <v>294605677.59000003</v>
      </c>
      <c r="Q40" s="196">
        <f t="shared" si="5"/>
        <v>1.2818129688238891</v>
      </c>
      <c r="R40" s="95">
        <f t="shared" si="16"/>
        <v>114905487</v>
      </c>
      <c r="S40" s="197">
        <f t="shared" si="10"/>
        <v>1.0937931610832381</v>
      </c>
      <c r="T40" s="172">
        <f t="shared" si="6"/>
        <v>11</v>
      </c>
    </row>
    <row r="41" spans="1:20" ht="11.25" customHeight="1" x14ac:dyDescent="0.25">
      <c r="A41" s="42" t="s">
        <v>949</v>
      </c>
      <c r="B41" s="27" t="s">
        <v>916</v>
      </c>
      <c r="C41" s="28" t="s">
        <v>917</v>
      </c>
      <c r="D41" s="28" t="s">
        <v>917</v>
      </c>
      <c r="E41" s="302" t="s">
        <v>43</v>
      </c>
      <c r="F41" s="303"/>
      <c r="G41" s="11">
        <v>-94027027.730000004</v>
      </c>
      <c r="H41" s="11">
        <v>-75085327.530000001</v>
      </c>
      <c r="I41" s="11">
        <v>-75000163.379168198</v>
      </c>
      <c r="J41" s="140">
        <f>-50223070</f>
        <v>-50223070</v>
      </c>
      <c r="K41" s="156">
        <f>-131070000-18667000-500000-5657800-20000-16167000+58067000</f>
        <v>-114014800</v>
      </c>
      <c r="L41" s="186"/>
      <c r="M41" s="173"/>
      <c r="N41" s="95">
        <f t="shared" si="2"/>
        <v>39014636.620831802</v>
      </c>
      <c r="O41" s="196">
        <f t="shared" si="3"/>
        <v>1.5201940217595364</v>
      </c>
      <c r="P41" s="95">
        <f t="shared" si="4"/>
        <v>38929472.469999999</v>
      </c>
      <c r="Q41" s="196">
        <f t="shared" si="5"/>
        <v>1.5184697696689931</v>
      </c>
      <c r="R41" s="95">
        <f t="shared" si="16"/>
        <v>63791730</v>
      </c>
      <c r="S41" s="197">
        <f t="shared" si="10"/>
        <v>2.2701678730511694</v>
      </c>
      <c r="T41" s="172">
        <f t="shared" si="6"/>
        <v>11</v>
      </c>
    </row>
    <row r="42" spans="1:20" ht="11.25" customHeight="1" x14ac:dyDescent="0.25">
      <c r="A42" s="42" t="s">
        <v>950</v>
      </c>
      <c r="B42" s="28" t="s">
        <v>916</v>
      </c>
      <c r="C42" s="28" t="s">
        <v>919</v>
      </c>
      <c r="D42" s="28" t="s">
        <v>1649</v>
      </c>
      <c r="E42" s="302" t="s">
        <v>44</v>
      </c>
      <c r="F42" s="303"/>
      <c r="G42" s="11">
        <v>-5771419.3200000003</v>
      </c>
      <c r="H42" s="11">
        <v>-5288612.3299999898</v>
      </c>
      <c r="I42" s="11">
        <v>-5977011.3616224304</v>
      </c>
      <c r="J42" s="140">
        <v>0</v>
      </c>
      <c r="K42" s="155">
        <v>-6370387</v>
      </c>
      <c r="L42" s="186"/>
      <c r="M42" s="173"/>
      <c r="N42" s="91">
        <f t="shared" si="2"/>
        <v>393375.63837756962</v>
      </c>
      <c r="O42" s="130">
        <f t="shared" si="3"/>
        <v>1.0658147717274524</v>
      </c>
      <c r="P42" s="91">
        <f t="shared" si="4"/>
        <v>1081774.6700000102</v>
      </c>
      <c r="Q42" s="130">
        <f t="shared" si="5"/>
        <v>1.2045479234436554</v>
      </c>
      <c r="R42" s="91"/>
      <c r="S42" s="132" t="str">
        <f t="shared" si="10"/>
        <v/>
      </c>
      <c r="T42" s="172">
        <f t="shared" si="6"/>
        <v>11</v>
      </c>
    </row>
    <row r="43" spans="1:20" ht="11.25" customHeight="1" x14ac:dyDescent="0.25">
      <c r="A43" s="219" t="s">
        <v>951</v>
      </c>
      <c r="B43" s="220" t="s">
        <v>922</v>
      </c>
      <c r="C43" s="220" t="s">
        <v>923</v>
      </c>
      <c r="D43" s="220" t="s">
        <v>922</v>
      </c>
      <c r="E43" s="318" t="s">
        <v>45</v>
      </c>
      <c r="F43" s="319"/>
      <c r="G43" s="221">
        <v>83581530.299999997</v>
      </c>
      <c r="H43" s="221">
        <v>0</v>
      </c>
      <c r="I43" s="221">
        <v>0</v>
      </c>
      <c r="J43" s="222">
        <v>0</v>
      </c>
      <c r="K43" s="215">
        <v>10539419</v>
      </c>
      <c r="L43" s="223" t="s">
        <v>1803</v>
      </c>
      <c r="M43" s="203"/>
      <c r="N43" s="91">
        <f t="shared" si="2"/>
        <v>-10539419</v>
      </c>
      <c r="O43" s="130" t="str">
        <f t="shared" si="3"/>
        <v/>
      </c>
      <c r="P43" s="91">
        <f t="shared" si="4"/>
        <v>-10539419</v>
      </c>
      <c r="Q43" s="130" t="str">
        <f t="shared" si="5"/>
        <v/>
      </c>
      <c r="R43" s="91"/>
      <c r="S43" s="132" t="str">
        <f t="shared" si="10"/>
        <v/>
      </c>
      <c r="T43" s="172">
        <f t="shared" si="6"/>
        <v>11</v>
      </c>
    </row>
    <row r="44" spans="1:20" ht="11.25" customHeight="1" x14ac:dyDescent="0.25">
      <c r="A44" s="26" t="s">
        <v>952</v>
      </c>
      <c r="B44" s="24"/>
      <c r="C44" s="23"/>
      <c r="D44" s="23"/>
      <c r="E44" s="306" t="s">
        <v>46</v>
      </c>
      <c r="F44" s="307"/>
      <c r="G44" s="25">
        <f t="shared" ref="G44:K44" si="17">SUM(G45:G46)</f>
        <v>-67718747.079999998</v>
      </c>
      <c r="H44" s="25">
        <f t="shared" si="17"/>
        <v>-65481805</v>
      </c>
      <c r="I44" s="25">
        <f t="shared" si="17"/>
        <v>-68700399.999999613</v>
      </c>
      <c r="J44" s="25">
        <f t="shared" si="17"/>
        <v>0</v>
      </c>
      <c r="K44" s="153">
        <f t="shared" si="17"/>
        <v>-72131000</v>
      </c>
      <c r="L44" s="185"/>
      <c r="M44" s="203"/>
      <c r="N44" s="91">
        <f t="shared" si="2"/>
        <v>3430600.0000003874</v>
      </c>
      <c r="O44" s="130">
        <f t="shared" si="3"/>
        <v>1.0499356626744591</v>
      </c>
      <c r="P44" s="91">
        <f t="shared" si="4"/>
        <v>6649195</v>
      </c>
      <c r="Q44" s="130">
        <f t="shared" si="5"/>
        <v>1.1015426346295738</v>
      </c>
      <c r="R44" s="91"/>
      <c r="S44" s="132" t="str">
        <f t="shared" si="10"/>
        <v/>
      </c>
      <c r="T44" s="172">
        <f t="shared" si="6"/>
        <v>7</v>
      </c>
    </row>
    <row r="45" spans="1:20" ht="11.25" customHeight="1" x14ac:dyDescent="0.25">
      <c r="A45" s="42" t="s">
        <v>953</v>
      </c>
      <c r="B45" s="20" t="s">
        <v>922</v>
      </c>
      <c r="C45" s="20" t="s">
        <v>919</v>
      </c>
      <c r="D45" s="20" t="s">
        <v>924</v>
      </c>
      <c r="E45" s="302" t="s">
        <v>47</v>
      </c>
      <c r="F45" s="303"/>
      <c r="G45" s="11">
        <v>-63239721.079999998</v>
      </c>
      <c r="H45" s="11">
        <v>-61658360</v>
      </c>
      <c r="I45" s="11">
        <v>-64699999.999999799</v>
      </c>
      <c r="J45" s="140">
        <v>0</v>
      </c>
      <c r="K45" s="155">
        <v>-67665000</v>
      </c>
      <c r="L45" s="185"/>
      <c r="M45" s="203"/>
      <c r="N45" s="91">
        <f t="shared" si="2"/>
        <v>2965000.0000002012</v>
      </c>
      <c r="O45" s="130">
        <f t="shared" si="3"/>
        <v>1.0458268933539445</v>
      </c>
      <c r="P45" s="91">
        <f t="shared" si="4"/>
        <v>6006640</v>
      </c>
      <c r="Q45" s="130">
        <f t="shared" si="5"/>
        <v>1.0974180954537227</v>
      </c>
      <c r="R45" s="91"/>
      <c r="S45" s="132" t="str">
        <f t="shared" si="10"/>
        <v/>
      </c>
      <c r="T45" s="172">
        <f t="shared" si="6"/>
        <v>11</v>
      </c>
    </row>
    <row r="46" spans="1:20" ht="11.25" customHeight="1" x14ac:dyDescent="0.25">
      <c r="A46" s="42" t="s">
        <v>954</v>
      </c>
      <c r="B46" s="20" t="s">
        <v>922</v>
      </c>
      <c r="C46" s="20" t="s">
        <v>919</v>
      </c>
      <c r="D46" s="20" t="s">
        <v>924</v>
      </c>
      <c r="E46" s="302" t="s">
        <v>48</v>
      </c>
      <c r="F46" s="303"/>
      <c r="G46" s="11">
        <v>-4479026</v>
      </c>
      <c r="H46" s="11">
        <v>-3823445</v>
      </c>
      <c r="I46" s="11">
        <v>-4000399.99999981</v>
      </c>
      <c r="J46" s="140">
        <v>0</v>
      </c>
      <c r="K46" s="155">
        <v>-4466000</v>
      </c>
      <c r="L46" s="185"/>
      <c r="M46" s="203"/>
      <c r="N46" s="91">
        <f t="shared" si="2"/>
        <v>465600.00000018999</v>
      </c>
      <c r="O46" s="130">
        <f t="shared" si="3"/>
        <v>1.1163883611639367</v>
      </c>
      <c r="P46" s="91">
        <f t="shared" si="4"/>
        <v>642555</v>
      </c>
      <c r="Q46" s="130">
        <f t="shared" si="5"/>
        <v>1.1680565563255128</v>
      </c>
      <c r="R46" s="91"/>
      <c r="S46" s="132" t="str">
        <f t="shared" si="10"/>
        <v/>
      </c>
      <c r="T46" s="172">
        <f t="shared" si="6"/>
        <v>11</v>
      </c>
    </row>
    <row r="47" spans="1:20" ht="11.25" customHeight="1" x14ac:dyDescent="0.25">
      <c r="A47" s="26" t="s">
        <v>955</v>
      </c>
      <c r="B47" s="26"/>
      <c r="C47" s="23"/>
      <c r="D47" s="23"/>
      <c r="E47" s="306" t="s">
        <v>49</v>
      </c>
      <c r="F47" s="307"/>
      <c r="G47" s="25">
        <f t="shared" ref="G47:J47" si="18">SUM(G48:G96)</f>
        <v>-805100171.72000003</v>
      </c>
      <c r="H47" s="25">
        <f t="shared" si="18"/>
        <v>-926475101.1699996</v>
      </c>
      <c r="I47" s="25">
        <f t="shared" si="18"/>
        <v>-965611409.68686581</v>
      </c>
      <c r="J47" s="25">
        <f t="shared" si="18"/>
        <v>0</v>
      </c>
      <c r="K47" s="153">
        <f>SUM(K48:K96)</f>
        <v>-1035000000.0000001</v>
      </c>
      <c r="L47" s="185"/>
      <c r="M47" s="203"/>
      <c r="N47" s="95">
        <f t="shared" si="2"/>
        <v>69388590.313134313</v>
      </c>
      <c r="O47" s="196">
        <f t="shared" si="3"/>
        <v>1.0718597456668786</v>
      </c>
      <c r="P47" s="95">
        <f t="shared" si="4"/>
        <v>108524898.83000052</v>
      </c>
      <c r="Q47" s="196">
        <f t="shared" si="5"/>
        <v>1.117137415450183</v>
      </c>
      <c r="R47" s="95">
        <f t="shared" si="16"/>
        <v>1035000000.0000001</v>
      </c>
      <c r="S47" s="197" t="str">
        <f t="shared" si="10"/>
        <v/>
      </c>
      <c r="T47" s="172">
        <f t="shared" si="6"/>
        <v>7</v>
      </c>
    </row>
    <row r="48" spans="1:20" ht="11.25" customHeight="1" x14ac:dyDescent="0.25">
      <c r="A48" s="42" t="s">
        <v>956</v>
      </c>
      <c r="B48" s="27" t="s">
        <v>916</v>
      </c>
      <c r="C48" s="28" t="s">
        <v>917</v>
      </c>
      <c r="D48" s="28" t="s">
        <v>917</v>
      </c>
      <c r="E48" s="302" t="s">
        <v>50</v>
      </c>
      <c r="F48" s="303"/>
      <c r="G48" s="11">
        <v>-22720686.129999999</v>
      </c>
      <c r="H48" s="11">
        <v>-24668301.82</v>
      </c>
      <c r="I48" s="11">
        <v>-27550384.222749699</v>
      </c>
      <c r="J48" s="140">
        <v>0</v>
      </c>
      <c r="K48" s="156">
        <v>-25000000</v>
      </c>
      <c r="L48" s="185"/>
      <c r="M48" s="203"/>
      <c r="N48" s="91">
        <f t="shared" si="2"/>
        <v>-2550384.2227496989</v>
      </c>
      <c r="O48" s="130">
        <f t="shared" si="3"/>
        <v>0.90742836099382884</v>
      </c>
      <c r="P48" s="91">
        <f t="shared" si="4"/>
        <v>331698.1799999997</v>
      </c>
      <c r="Q48" s="130">
        <f t="shared" si="5"/>
        <v>1.0134463321561549</v>
      </c>
      <c r="R48" s="91"/>
      <c r="S48" s="132" t="str">
        <f t="shared" si="10"/>
        <v/>
      </c>
      <c r="T48" s="172">
        <f t="shared" si="6"/>
        <v>11</v>
      </c>
    </row>
    <row r="49" spans="1:20" ht="11.25" customHeight="1" x14ac:dyDescent="0.25">
      <c r="A49" s="42" t="s">
        <v>957</v>
      </c>
      <c r="B49" s="27" t="s">
        <v>916</v>
      </c>
      <c r="C49" s="28" t="s">
        <v>917</v>
      </c>
      <c r="D49" s="28" t="s">
        <v>917</v>
      </c>
      <c r="E49" s="302" t="s">
        <v>51</v>
      </c>
      <c r="F49" s="303"/>
      <c r="G49" s="11">
        <v>-137726650.38999999</v>
      </c>
      <c r="H49" s="11">
        <v>-135328508.03</v>
      </c>
      <c r="I49" s="11">
        <v>-136059666.66666701</v>
      </c>
      <c r="J49" s="140">
        <v>0</v>
      </c>
      <c r="K49" s="156">
        <v>-145000000</v>
      </c>
      <c r="L49" s="320" t="s">
        <v>1804</v>
      </c>
      <c r="M49" s="203"/>
      <c r="N49" s="91">
        <f t="shared" si="2"/>
        <v>8940333.3333329856</v>
      </c>
      <c r="O49" s="130">
        <f t="shared" si="3"/>
        <v>1.0657089169212499</v>
      </c>
      <c r="P49" s="91">
        <f t="shared" si="4"/>
        <v>9671491.9699999988</v>
      </c>
      <c r="Q49" s="130">
        <f t="shared" si="5"/>
        <v>1.0714667745236355</v>
      </c>
      <c r="R49" s="91"/>
      <c r="S49" s="132" t="str">
        <f t="shared" si="10"/>
        <v/>
      </c>
      <c r="T49" s="172">
        <f t="shared" si="6"/>
        <v>11</v>
      </c>
    </row>
    <row r="50" spans="1:20" ht="11.25" customHeight="1" x14ac:dyDescent="0.25">
      <c r="A50" s="42" t="s">
        <v>958</v>
      </c>
      <c r="B50" s="27" t="s">
        <v>916</v>
      </c>
      <c r="C50" s="28" t="s">
        <v>917</v>
      </c>
      <c r="D50" s="28" t="s">
        <v>917</v>
      </c>
      <c r="E50" s="302" t="s">
        <v>52</v>
      </c>
      <c r="F50" s="303"/>
      <c r="G50" s="11">
        <v>-30158515.859999999</v>
      </c>
      <c r="H50" s="11">
        <v>-30679738.32</v>
      </c>
      <c r="I50" s="11">
        <v>-30530166.666666601</v>
      </c>
      <c r="J50" s="140">
        <v>0</v>
      </c>
      <c r="K50" s="156">
        <v>-27500000</v>
      </c>
      <c r="L50" s="321"/>
      <c r="M50" s="203"/>
      <c r="N50" s="91">
        <f t="shared" si="2"/>
        <v>-3030166.6666666009</v>
      </c>
      <c r="O50" s="130">
        <f t="shared" si="3"/>
        <v>0.90074844006747623</v>
      </c>
      <c r="P50" s="91">
        <f t="shared" si="4"/>
        <v>-3179738.3200000003</v>
      </c>
      <c r="Q50" s="130">
        <f t="shared" si="5"/>
        <v>0.89635705862826276</v>
      </c>
      <c r="R50" s="91"/>
      <c r="S50" s="132" t="str">
        <f t="shared" si="10"/>
        <v/>
      </c>
      <c r="T50" s="172">
        <f t="shared" si="6"/>
        <v>11</v>
      </c>
    </row>
    <row r="51" spans="1:20" ht="11.25" customHeight="1" x14ac:dyDescent="0.25">
      <c r="A51" s="42" t="s">
        <v>959</v>
      </c>
      <c r="B51" s="27" t="s">
        <v>916</v>
      </c>
      <c r="C51" s="28" t="s">
        <v>917</v>
      </c>
      <c r="D51" s="28" t="s">
        <v>917</v>
      </c>
      <c r="E51" s="302" t="s">
        <v>53</v>
      </c>
      <c r="F51" s="303"/>
      <c r="G51" s="11">
        <v>-34088094.43</v>
      </c>
      <c r="H51" s="11">
        <v>-38416908.149999999</v>
      </c>
      <c r="I51" s="11">
        <v>-38800253.178557202</v>
      </c>
      <c r="J51" s="140">
        <v>0</v>
      </c>
      <c r="K51" s="156">
        <v>-44964250</v>
      </c>
      <c r="L51" s="321"/>
      <c r="M51" s="203"/>
      <c r="N51" s="91">
        <f t="shared" si="2"/>
        <v>6163996.8214427978</v>
      </c>
      <c r="O51" s="130">
        <f t="shared" si="3"/>
        <v>1.1588648608316119</v>
      </c>
      <c r="P51" s="91">
        <f t="shared" si="4"/>
        <v>6547341.8500000015</v>
      </c>
      <c r="Q51" s="130">
        <f t="shared" si="5"/>
        <v>1.1704286514790754</v>
      </c>
      <c r="R51" s="91"/>
      <c r="S51" s="132" t="str">
        <f t="shared" si="10"/>
        <v/>
      </c>
      <c r="T51" s="172">
        <f t="shared" si="6"/>
        <v>11</v>
      </c>
    </row>
    <row r="52" spans="1:20" ht="11.25" customHeight="1" x14ac:dyDescent="0.25">
      <c r="A52" s="42" t="s">
        <v>960</v>
      </c>
      <c r="B52" s="27" t="s">
        <v>916</v>
      </c>
      <c r="C52" s="28" t="s">
        <v>917</v>
      </c>
      <c r="D52" s="28" t="s">
        <v>917</v>
      </c>
      <c r="E52" s="302" t="s">
        <v>54</v>
      </c>
      <c r="F52" s="303"/>
      <c r="G52" s="11">
        <v>-7804274.6299999999</v>
      </c>
      <c r="H52" s="11">
        <v>-7877140.8200000003</v>
      </c>
      <c r="I52" s="11">
        <v>-8000000</v>
      </c>
      <c r="J52" s="140">
        <v>0</v>
      </c>
      <c r="K52" s="156">
        <v>-8000000</v>
      </c>
      <c r="L52" s="321"/>
      <c r="M52" s="203"/>
      <c r="N52" s="91">
        <f t="shared" si="2"/>
        <v>0</v>
      </c>
      <c r="O52" s="130">
        <f t="shared" si="3"/>
        <v>1</v>
      </c>
      <c r="P52" s="91">
        <f t="shared" si="4"/>
        <v>122859.1799999997</v>
      </c>
      <c r="Q52" s="130">
        <f t="shared" si="5"/>
        <v>1.0155969256875619</v>
      </c>
      <c r="R52" s="91"/>
      <c r="S52" s="132" t="str">
        <f t="shared" si="10"/>
        <v/>
      </c>
      <c r="T52" s="172">
        <f t="shared" si="6"/>
        <v>11</v>
      </c>
    </row>
    <row r="53" spans="1:20" ht="11.25" customHeight="1" x14ac:dyDescent="0.25">
      <c r="A53" s="42" t="s">
        <v>961</v>
      </c>
      <c r="B53" s="27" t="s">
        <v>916</v>
      </c>
      <c r="C53" s="28" t="s">
        <v>917</v>
      </c>
      <c r="D53" s="28" t="s">
        <v>917</v>
      </c>
      <c r="E53" s="302" t="s">
        <v>55</v>
      </c>
      <c r="F53" s="303"/>
      <c r="G53" s="11">
        <v>-22823921.960000001</v>
      </c>
      <c r="H53" s="11">
        <v>-23070099.41</v>
      </c>
      <c r="I53" s="11">
        <v>-28000000</v>
      </c>
      <c r="J53" s="140">
        <v>0</v>
      </c>
      <c r="K53" s="156">
        <v>-25000000</v>
      </c>
      <c r="L53" s="185"/>
      <c r="M53" s="203"/>
      <c r="N53" s="91">
        <f t="shared" si="2"/>
        <v>-3000000</v>
      </c>
      <c r="O53" s="130">
        <f t="shared" si="3"/>
        <v>0.8928571428571429</v>
      </c>
      <c r="P53" s="91">
        <f t="shared" si="4"/>
        <v>1929900.5899999999</v>
      </c>
      <c r="Q53" s="130">
        <f t="shared" si="5"/>
        <v>1.0836537613341823</v>
      </c>
      <c r="R53" s="91"/>
      <c r="S53" s="132" t="str">
        <f t="shared" si="10"/>
        <v/>
      </c>
      <c r="T53" s="172">
        <f t="shared" si="6"/>
        <v>11</v>
      </c>
    </row>
    <row r="54" spans="1:20" ht="11.25" customHeight="1" x14ac:dyDescent="0.25">
      <c r="A54" s="45" t="s">
        <v>962</v>
      </c>
      <c r="B54" s="27" t="s">
        <v>916</v>
      </c>
      <c r="C54" s="28" t="s">
        <v>917</v>
      </c>
      <c r="D54" s="28" t="s">
        <v>917</v>
      </c>
      <c r="E54" s="302" t="s">
        <v>56</v>
      </c>
      <c r="F54" s="303"/>
      <c r="G54" s="11">
        <v>-1201052.6200000001</v>
      </c>
      <c r="H54" s="11">
        <v>-658704.35</v>
      </c>
      <c r="I54" s="11">
        <v>-879999.99999999604</v>
      </c>
      <c r="J54" s="140">
        <v>0</v>
      </c>
      <c r="K54" s="156">
        <v>-880000</v>
      </c>
      <c r="L54" s="185"/>
      <c r="M54" s="203"/>
      <c r="N54" s="91">
        <f t="shared" si="2"/>
        <v>3.9581209421157837E-9</v>
      </c>
      <c r="O54" s="130">
        <f t="shared" si="3"/>
        <v>1.0000000000000044</v>
      </c>
      <c r="P54" s="91">
        <f t="shared" si="4"/>
        <v>221295.65000000002</v>
      </c>
      <c r="Q54" s="130">
        <f t="shared" si="5"/>
        <v>1.3359559565683756</v>
      </c>
      <c r="R54" s="91"/>
      <c r="S54" s="132" t="str">
        <f t="shared" si="10"/>
        <v/>
      </c>
      <c r="T54" s="172">
        <f t="shared" si="6"/>
        <v>11</v>
      </c>
    </row>
    <row r="55" spans="1:20" ht="11.25" customHeight="1" x14ac:dyDescent="0.25">
      <c r="A55" s="42" t="s">
        <v>963</v>
      </c>
      <c r="B55" s="27" t="s">
        <v>916</v>
      </c>
      <c r="C55" s="28" t="s">
        <v>917</v>
      </c>
      <c r="D55" s="28" t="s">
        <v>917</v>
      </c>
      <c r="E55" s="302" t="s">
        <v>57</v>
      </c>
      <c r="F55" s="303"/>
      <c r="G55" s="11">
        <v>0</v>
      </c>
      <c r="H55" s="11">
        <v>-87892.57</v>
      </c>
      <c r="I55" s="11">
        <v>-99999.999999995998</v>
      </c>
      <c r="J55" s="140">
        <v>0</v>
      </c>
      <c r="K55" s="156">
        <v>-100000</v>
      </c>
      <c r="L55" s="185"/>
      <c r="M55" s="203"/>
      <c r="N55" s="91">
        <f t="shared" si="2"/>
        <v>4.0017766878008842E-9</v>
      </c>
      <c r="O55" s="130">
        <f t="shared" si="3"/>
        <v>1.00000000000004</v>
      </c>
      <c r="P55" s="91">
        <f t="shared" si="4"/>
        <v>12107.429999999993</v>
      </c>
      <c r="Q55" s="130">
        <f t="shared" si="5"/>
        <v>1.1377525995655833</v>
      </c>
      <c r="R55" s="91"/>
      <c r="S55" s="132" t="str">
        <f t="shared" si="10"/>
        <v/>
      </c>
      <c r="T55" s="172">
        <f t="shared" si="6"/>
        <v>11</v>
      </c>
    </row>
    <row r="56" spans="1:20" ht="11.25" customHeight="1" x14ac:dyDescent="0.25">
      <c r="A56" s="42" t="s">
        <v>964</v>
      </c>
      <c r="B56" s="27" t="s">
        <v>916</v>
      </c>
      <c r="C56" s="28" t="s">
        <v>917</v>
      </c>
      <c r="D56" s="28" t="s">
        <v>917</v>
      </c>
      <c r="E56" s="302" t="s">
        <v>58</v>
      </c>
      <c r="F56" s="303"/>
      <c r="G56" s="11">
        <v>-25390277.989999998</v>
      </c>
      <c r="H56" s="11">
        <v>-25115159.989999998</v>
      </c>
      <c r="I56" s="11">
        <v>-26199666.666666601</v>
      </c>
      <c r="J56" s="140">
        <v>0</v>
      </c>
      <c r="K56" s="156">
        <v>-31000000</v>
      </c>
      <c r="L56" s="185"/>
      <c r="M56" s="203"/>
      <c r="N56" s="91">
        <f t="shared" si="2"/>
        <v>4800333.3333333991</v>
      </c>
      <c r="O56" s="130">
        <f t="shared" si="3"/>
        <v>1.1832211605745651</v>
      </c>
      <c r="P56" s="91">
        <f t="shared" si="4"/>
        <v>5884840.0100000016</v>
      </c>
      <c r="Q56" s="130">
        <f t="shared" si="5"/>
        <v>1.2343142553080746</v>
      </c>
      <c r="R56" s="91"/>
      <c r="S56" s="132" t="str">
        <f t="shared" si="10"/>
        <v/>
      </c>
      <c r="T56" s="172">
        <f t="shared" si="6"/>
        <v>11</v>
      </c>
    </row>
    <row r="57" spans="1:20" ht="11.25" customHeight="1" x14ac:dyDescent="0.25">
      <c r="A57" s="42" t="s">
        <v>965</v>
      </c>
      <c r="B57" s="27" t="s">
        <v>916</v>
      </c>
      <c r="C57" s="28" t="s">
        <v>917</v>
      </c>
      <c r="D57" s="28" t="s">
        <v>917</v>
      </c>
      <c r="E57" s="302" t="s">
        <v>59</v>
      </c>
      <c r="F57" s="303"/>
      <c r="G57" s="11">
        <v>-24274873.57</v>
      </c>
      <c r="H57" s="11">
        <v>-26386706.449999999</v>
      </c>
      <c r="I57" s="11">
        <v>-25585243.911582999</v>
      </c>
      <c r="J57" s="140">
        <v>0</v>
      </c>
      <c r="K57" s="156">
        <f>-28806000+100000</f>
        <v>-28706000</v>
      </c>
      <c r="L57" s="185"/>
      <c r="M57" s="203"/>
      <c r="N57" s="91">
        <f t="shared" si="2"/>
        <v>3120756.0884170011</v>
      </c>
      <c r="O57" s="130">
        <f t="shared" si="3"/>
        <v>1.1219748421864435</v>
      </c>
      <c r="P57" s="91">
        <f t="shared" si="4"/>
        <v>2319293.5500000007</v>
      </c>
      <c r="Q57" s="130">
        <f t="shared" si="5"/>
        <v>1.087896288018924</v>
      </c>
      <c r="R57" s="91"/>
      <c r="S57" s="132" t="str">
        <f t="shared" si="10"/>
        <v/>
      </c>
      <c r="T57" s="172">
        <f t="shared" si="6"/>
        <v>11</v>
      </c>
    </row>
    <row r="58" spans="1:20" ht="11.25" customHeight="1" x14ac:dyDescent="0.25">
      <c r="A58" s="42" t="s">
        <v>966</v>
      </c>
      <c r="B58" s="27" t="s">
        <v>916</v>
      </c>
      <c r="C58" s="28" t="s">
        <v>917</v>
      </c>
      <c r="D58" s="28" t="s">
        <v>917</v>
      </c>
      <c r="E58" s="302" t="s">
        <v>60</v>
      </c>
      <c r="F58" s="303"/>
      <c r="G58" s="11">
        <v>-4099751.21</v>
      </c>
      <c r="H58" s="11">
        <v>-2139000</v>
      </c>
      <c r="I58" s="11">
        <v>-5.8207661143813995E-11</v>
      </c>
      <c r="J58" s="140">
        <v>0</v>
      </c>
      <c r="K58" s="156">
        <v>-2200000</v>
      </c>
      <c r="L58" s="185"/>
      <c r="M58" s="203"/>
      <c r="N58" s="91">
        <f t="shared" si="2"/>
        <v>2200000</v>
      </c>
      <c r="O58" s="130">
        <f t="shared" si="3"/>
        <v>3.7795712055230112E+16</v>
      </c>
      <c r="P58" s="91">
        <f t="shared" si="4"/>
        <v>61000</v>
      </c>
      <c r="Q58" s="130">
        <f t="shared" si="5"/>
        <v>1.0285179990649835</v>
      </c>
      <c r="R58" s="91"/>
      <c r="S58" s="132" t="str">
        <f t="shared" si="10"/>
        <v/>
      </c>
      <c r="T58" s="172">
        <f t="shared" si="6"/>
        <v>11</v>
      </c>
    </row>
    <row r="59" spans="1:20" ht="11.25" customHeight="1" x14ac:dyDescent="0.25">
      <c r="A59" s="42" t="s">
        <v>967</v>
      </c>
      <c r="B59" s="27" t="s">
        <v>916</v>
      </c>
      <c r="C59" s="28" t="s">
        <v>917</v>
      </c>
      <c r="D59" s="28" t="s">
        <v>917</v>
      </c>
      <c r="E59" s="302" t="s">
        <v>61</v>
      </c>
      <c r="F59" s="303"/>
      <c r="G59" s="11">
        <v>-599800.01</v>
      </c>
      <c r="H59" s="11">
        <v>-4198600</v>
      </c>
      <c r="I59" s="11">
        <v>-15000000</v>
      </c>
      <c r="J59" s="140">
        <v>0</v>
      </c>
      <c r="K59" s="156">
        <v>-15000000</v>
      </c>
      <c r="L59" s="185"/>
      <c r="M59" s="203"/>
      <c r="N59" s="91">
        <f t="shared" si="2"/>
        <v>0</v>
      </c>
      <c r="O59" s="130">
        <f t="shared" si="3"/>
        <v>1</v>
      </c>
      <c r="P59" s="91">
        <f t="shared" si="4"/>
        <v>10801400</v>
      </c>
      <c r="Q59" s="130">
        <f t="shared" si="5"/>
        <v>3.5726194445767638</v>
      </c>
      <c r="R59" s="91"/>
      <c r="S59" s="132" t="str">
        <f t="shared" si="10"/>
        <v/>
      </c>
      <c r="T59" s="172">
        <f t="shared" si="6"/>
        <v>11</v>
      </c>
    </row>
    <row r="60" spans="1:20" ht="11.25" customHeight="1" x14ac:dyDescent="0.25">
      <c r="A60" s="42" t="s">
        <v>968</v>
      </c>
      <c r="B60" s="27" t="s">
        <v>916</v>
      </c>
      <c r="C60" s="28" t="s">
        <v>917</v>
      </c>
      <c r="D60" s="28" t="s">
        <v>917</v>
      </c>
      <c r="E60" s="302" t="s">
        <v>62</v>
      </c>
      <c r="F60" s="303"/>
      <c r="G60" s="11">
        <v>0</v>
      </c>
      <c r="H60" s="11">
        <v>-720000</v>
      </c>
      <c r="I60" s="11">
        <v>0</v>
      </c>
      <c r="J60" s="140">
        <v>0</v>
      </c>
      <c r="K60" s="156">
        <v>-3000000</v>
      </c>
      <c r="L60" s="185"/>
      <c r="M60" s="203"/>
      <c r="N60" s="91">
        <f t="shared" si="2"/>
        <v>3000000</v>
      </c>
      <c r="O60" s="130" t="str">
        <f t="shared" si="3"/>
        <v/>
      </c>
      <c r="P60" s="91">
        <f t="shared" si="4"/>
        <v>2280000</v>
      </c>
      <c r="Q60" s="130">
        <f t="shared" si="5"/>
        <v>4.166666666666667</v>
      </c>
      <c r="R60" s="91"/>
      <c r="S60" s="132" t="str">
        <f t="shared" si="10"/>
        <v/>
      </c>
      <c r="T60" s="172">
        <f t="shared" si="6"/>
        <v>11</v>
      </c>
    </row>
    <row r="61" spans="1:20" ht="11.25" customHeight="1" x14ac:dyDescent="0.25">
      <c r="A61" s="42" t="s">
        <v>969</v>
      </c>
      <c r="B61" s="27" t="s">
        <v>916</v>
      </c>
      <c r="C61" s="28" t="s">
        <v>917</v>
      </c>
      <c r="D61" s="28" t="s">
        <v>917</v>
      </c>
      <c r="E61" s="302" t="s">
        <v>63</v>
      </c>
      <c r="F61" s="303"/>
      <c r="G61" s="11">
        <v>-184116690.84</v>
      </c>
      <c r="H61" s="11">
        <v>-187234345.30000001</v>
      </c>
      <c r="I61" s="11">
        <v>-186118521.706218</v>
      </c>
      <c r="J61" s="140">
        <v>0</v>
      </c>
      <c r="K61" s="156">
        <f>-197479135-5727000</f>
        <v>-203206135</v>
      </c>
      <c r="L61" s="185"/>
      <c r="M61" s="203"/>
      <c r="N61" s="91">
        <f t="shared" si="2"/>
        <v>17087613.293781996</v>
      </c>
      <c r="O61" s="130">
        <f t="shared" si="3"/>
        <v>1.0918103858612966</v>
      </c>
      <c r="P61" s="91">
        <f t="shared" si="4"/>
        <v>15971789.699999988</v>
      </c>
      <c r="Q61" s="130">
        <f t="shared" si="5"/>
        <v>1.0853037388755191</v>
      </c>
      <c r="R61" s="91"/>
      <c r="S61" s="132" t="str">
        <f t="shared" si="10"/>
        <v/>
      </c>
      <c r="T61" s="172">
        <f t="shared" si="6"/>
        <v>11</v>
      </c>
    </row>
    <row r="62" spans="1:20" ht="11.25" customHeight="1" x14ac:dyDescent="0.25">
      <c r="A62" s="42" t="s">
        <v>970</v>
      </c>
      <c r="B62" s="27" t="s">
        <v>916</v>
      </c>
      <c r="C62" s="28" t="s">
        <v>917</v>
      </c>
      <c r="D62" s="28" t="s">
        <v>917</v>
      </c>
      <c r="E62" s="302" t="s">
        <v>64</v>
      </c>
      <c r="F62" s="303"/>
      <c r="G62" s="11">
        <v>-1289114.24</v>
      </c>
      <c r="H62" s="11">
        <v>-1323719.8600000001</v>
      </c>
      <c r="I62" s="11">
        <v>-1185999.99999999</v>
      </c>
      <c r="J62" s="140">
        <v>0</v>
      </c>
      <c r="K62" s="156">
        <v>-1025850</v>
      </c>
      <c r="L62" s="185"/>
      <c r="M62" s="203"/>
      <c r="N62" s="91">
        <f t="shared" si="2"/>
        <v>-160149.99999998999</v>
      </c>
      <c r="O62" s="130">
        <f t="shared" si="3"/>
        <v>0.8649662731871911</v>
      </c>
      <c r="P62" s="91">
        <f t="shared" si="4"/>
        <v>-297869.8600000001</v>
      </c>
      <c r="Q62" s="130">
        <f t="shared" si="5"/>
        <v>0.77497515221989632</v>
      </c>
      <c r="R62" s="91"/>
      <c r="S62" s="132" t="str">
        <f t="shared" si="10"/>
        <v/>
      </c>
      <c r="T62" s="172">
        <f t="shared" si="6"/>
        <v>11</v>
      </c>
    </row>
    <row r="63" spans="1:20" ht="11.25" customHeight="1" x14ac:dyDescent="0.25">
      <c r="A63" s="42" t="s">
        <v>971</v>
      </c>
      <c r="B63" s="27" t="s">
        <v>916</v>
      </c>
      <c r="C63" s="28" t="s">
        <v>917</v>
      </c>
      <c r="D63" s="28" t="s">
        <v>917</v>
      </c>
      <c r="E63" s="302" t="s">
        <v>65</v>
      </c>
      <c r="F63" s="303"/>
      <c r="G63" s="11">
        <v>-6378093.46</v>
      </c>
      <c r="H63" s="11">
        <v>-6443508.0099999998</v>
      </c>
      <c r="I63" s="11">
        <v>-5600265.9334926</v>
      </c>
      <c r="J63" s="140">
        <v>0</v>
      </c>
      <c r="K63" s="156">
        <v>-5971346</v>
      </c>
      <c r="L63" s="185"/>
      <c r="M63" s="203"/>
      <c r="N63" s="91">
        <f t="shared" si="2"/>
        <v>371080.06650740001</v>
      </c>
      <c r="O63" s="130">
        <f t="shared" si="3"/>
        <v>1.0662611509728748</v>
      </c>
      <c r="P63" s="91">
        <f t="shared" si="4"/>
        <v>-472162.00999999978</v>
      </c>
      <c r="Q63" s="130">
        <f t="shared" si="5"/>
        <v>0.92672283339025452</v>
      </c>
      <c r="R63" s="91"/>
      <c r="S63" s="132" t="str">
        <f t="shared" si="10"/>
        <v/>
      </c>
      <c r="T63" s="172">
        <f t="shared" si="6"/>
        <v>11</v>
      </c>
    </row>
    <row r="64" spans="1:20" ht="11.25" customHeight="1" x14ac:dyDescent="0.25">
      <c r="A64" s="42" t="s">
        <v>972</v>
      </c>
      <c r="B64" s="27" t="s">
        <v>916</v>
      </c>
      <c r="C64" s="28" t="s">
        <v>917</v>
      </c>
      <c r="D64" s="28" t="s">
        <v>917</v>
      </c>
      <c r="E64" s="302" t="s">
        <v>66</v>
      </c>
      <c r="F64" s="303"/>
      <c r="G64" s="11">
        <v>-20236388.07</v>
      </c>
      <c r="H64" s="11">
        <v>-21841269.960000001</v>
      </c>
      <c r="I64" s="11">
        <v>-21222608.510449398</v>
      </c>
      <c r="J64" s="140">
        <v>0</v>
      </c>
      <c r="K64" s="156">
        <f>-22833249.0000001+10000</f>
        <v>-22823249.000000101</v>
      </c>
      <c r="L64" s="185"/>
      <c r="M64" s="203"/>
      <c r="N64" s="91">
        <f t="shared" si="2"/>
        <v>1600640.4895507023</v>
      </c>
      <c r="O64" s="130">
        <f t="shared" si="3"/>
        <v>1.0754214774664761</v>
      </c>
      <c r="P64" s="91">
        <f t="shared" si="4"/>
        <v>981979.04000009969</v>
      </c>
      <c r="Q64" s="130">
        <f t="shared" si="5"/>
        <v>1.0449597959183916</v>
      </c>
      <c r="R64" s="91"/>
      <c r="S64" s="132" t="str">
        <f t="shared" si="10"/>
        <v/>
      </c>
      <c r="T64" s="172">
        <f t="shared" si="6"/>
        <v>11</v>
      </c>
    </row>
    <row r="65" spans="1:20" ht="11.25" customHeight="1" x14ac:dyDescent="0.25">
      <c r="A65" s="42" t="s">
        <v>973</v>
      </c>
      <c r="B65" s="27" t="s">
        <v>916</v>
      </c>
      <c r="C65" s="28" t="s">
        <v>917</v>
      </c>
      <c r="D65" s="28" t="s">
        <v>917</v>
      </c>
      <c r="E65" s="302" t="s">
        <v>67</v>
      </c>
      <c r="F65" s="303"/>
      <c r="G65" s="11">
        <v>-116311055.29000001</v>
      </c>
      <c r="H65" s="11">
        <v>-121116938.81</v>
      </c>
      <c r="I65" s="11">
        <v>-143319914.439468</v>
      </c>
      <c r="J65" s="140">
        <v>0</v>
      </c>
      <c r="K65" s="156">
        <f>-142188678-450000</f>
        <v>-142638678</v>
      </c>
      <c r="L65" s="185"/>
      <c r="M65" s="203"/>
      <c r="N65" s="91">
        <f t="shared" si="2"/>
        <v>-681236.43946799636</v>
      </c>
      <c r="O65" s="130">
        <f t="shared" si="3"/>
        <v>0.99524674263076174</v>
      </c>
      <c r="P65" s="91">
        <f t="shared" si="4"/>
        <v>21521739.189999998</v>
      </c>
      <c r="Q65" s="130">
        <f t="shared" si="5"/>
        <v>1.177693883295398</v>
      </c>
      <c r="R65" s="91"/>
      <c r="S65" s="132" t="str">
        <f t="shared" si="10"/>
        <v/>
      </c>
      <c r="T65" s="172">
        <f t="shared" si="6"/>
        <v>11</v>
      </c>
    </row>
    <row r="66" spans="1:20" ht="11.25" customHeight="1" x14ac:dyDescent="0.25">
      <c r="A66" s="42" t="s">
        <v>1636</v>
      </c>
      <c r="B66" s="27" t="s">
        <v>916</v>
      </c>
      <c r="C66" s="28" t="s">
        <v>917</v>
      </c>
      <c r="D66" s="28" t="s">
        <v>917</v>
      </c>
      <c r="E66" s="302" t="s">
        <v>68</v>
      </c>
      <c r="F66" s="303"/>
      <c r="G66" s="11">
        <v>-19632198.969999999</v>
      </c>
      <c r="H66" s="11">
        <v>-21188026.129999999</v>
      </c>
      <c r="I66" s="11">
        <v>-18500000</v>
      </c>
      <c r="J66" s="140">
        <v>0</v>
      </c>
      <c r="K66" s="156">
        <f>-21110000-1800000</f>
        <v>-22910000</v>
      </c>
      <c r="L66" s="185"/>
      <c r="M66" s="203"/>
      <c r="N66" s="91">
        <f t="shared" si="2"/>
        <v>4410000</v>
      </c>
      <c r="O66" s="130">
        <f t="shared" si="3"/>
        <v>1.2383783783783784</v>
      </c>
      <c r="P66" s="91">
        <f t="shared" si="4"/>
        <v>1721973.870000001</v>
      </c>
      <c r="Q66" s="130">
        <f t="shared" si="5"/>
        <v>1.0812710848775984</v>
      </c>
      <c r="R66" s="91"/>
      <c r="S66" s="132" t="str">
        <f t="shared" si="10"/>
        <v/>
      </c>
      <c r="T66" s="172">
        <f t="shared" si="6"/>
        <v>11</v>
      </c>
    </row>
    <row r="67" spans="1:20" ht="11.25" customHeight="1" x14ac:dyDescent="0.25">
      <c r="A67" s="42" t="s">
        <v>974</v>
      </c>
      <c r="B67" s="27" t="s">
        <v>916</v>
      </c>
      <c r="C67" s="28" t="s">
        <v>917</v>
      </c>
      <c r="D67" s="28" t="s">
        <v>917</v>
      </c>
      <c r="E67" s="302" t="s">
        <v>69</v>
      </c>
      <c r="F67" s="303"/>
      <c r="G67" s="11">
        <v>-7930083</v>
      </c>
      <c r="H67" s="11">
        <v>-8058511.5700000003</v>
      </c>
      <c r="I67" s="11">
        <v>-8049999.9999999898</v>
      </c>
      <c r="J67" s="140">
        <v>0</v>
      </c>
      <c r="K67" s="156">
        <v>-8805512.9999999907</v>
      </c>
      <c r="L67" s="185"/>
      <c r="M67" s="203"/>
      <c r="N67" s="91">
        <f t="shared" si="2"/>
        <v>755513.00000000093</v>
      </c>
      <c r="O67" s="130">
        <f t="shared" si="3"/>
        <v>1.0938525465838511</v>
      </c>
      <c r="P67" s="91">
        <f t="shared" si="4"/>
        <v>747001.42999999039</v>
      </c>
      <c r="Q67" s="130">
        <f t="shared" si="5"/>
        <v>1.0926971964377277</v>
      </c>
      <c r="R67" s="91"/>
      <c r="S67" s="132" t="str">
        <f t="shared" si="10"/>
        <v/>
      </c>
      <c r="T67" s="172">
        <f t="shared" si="6"/>
        <v>11</v>
      </c>
    </row>
    <row r="68" spans="1:20" ht="11.25" customHeight="1" x14ac:dyDescent="0.25">
      <c r="A68" s="42" t="s">
        <v>975</v>
      </c>
      <c r="B68" s="27" t="s">
        <v>916</v>
      </c>
      <c r="C68" s="28" t="s">
        <v>917</v>
      </c>
      <c r="D68" s="28" t="s">
        <v>917</v>
      </c>
      <c r="E68" s="302" t="s">
        <v>70</v>
      </c>
      <c r="F68" s="303"/>
      <c r="G68" s="11">
        <v>-38264386.590000004</v>
      </c>
      <c r="H68" s="11">
        <v>-37270808.399999999</v>
      </c>
      <c r="I68" s="11">
        <v>-40606785.850632802</v>
      </c>
      <c r="J68" s="140">
        <v>0</v>
      </c>
      <c r="K68" s="156">
        <f>-44021771-35000</f>
        <v>-44056771</v>
      </c>
      <c r="L68" s="185"/>
      <c r="M68" s="203"/>
      <c r="N68" s="91">
        <f t="shared" si="2"/>
        <v>3449985.1493671983</v>
      </c>
      <c r="O68" s="130">
        <f t="shared" si="3"/>
        <v>1.0849608034001399</v>
      </c>
      <c r="P68" s="91">
        <f t="shared" si="4"/>
        <v>6785962.6000000015</v>
      </c>
      <c r="Q68" s="130">
        <f t="shared" si="5"/>
        <v>1.1820717846302471</v>
      </c>
      <c r="R68" s="91"/>
      <c r="S68" s="132" t="str">
        <f t="shared" si="10"/>
        <v/>
      </c>
      <c r="T68" s="172">
        <f t="shared" si="6"/>
        <v>11</v>
      </c>
    </row>
    <row r="69" spans="1:20" ht="11.25" customHeight="1" x14ac:dyDescent="0.25">
      <c r="A69" s="42" t="s">
        <v>976</v>
      </c>
      <c r="B69" s="27" t="s">
        <v>916</v>
      </c>
      <c r="C69" s="28" t="s">
        <v>917</v>
      </c>
      <c r="D69" s="28" t="s">
        <v>917</v>
      </c>
      <c r="E69" s="302" t="s">
        <v>71</v>
      </c>
      <c r="F69" s="303"/>
      <c r="G69" s="11">
        <v>-10990584.49</v>
      </c>
      <c r="H69" s="11">
        <v>-11424754.060000001</v>
      </c>
      <c r="I69" s="11">
        <v>-11220826.1340548</v>
      </c>
      <c r="J69" s="140">
        <v>0</v>
      </c>
      <c r="K69" s="156">
        <f>-11492112-10000</f>
        <v>-11502112</v>
      </c>
      <c r="L69" s="185"/>
      <c r="M69" s="203"/>
      <c r="N69" s="91">
        <f t="shared" si="2"/>
        <v>281285.8659451995</v>
      </c>
      <c r="O69" s="130">
        <f t="shared" si="3"/>
        <v>1.0250681957446526</v>
      </c>
      <c r="P69" s="91">
        <f t="shared" si="4"/>
        <v>77357.939999999478</v>
      </c>
      <c r="Q69" s="130">
        <f t="shared" si="5"/>
        <v>1.0067710814249247</v>
      </c>
      <c r="R69" s="91"/>
      <c r="S69" s="132" t="str">
        <f t="shared" si="10"/>
        <v/>
      </c>
      <c r="T69" s="172">
        <f t="shared" si="6"/>
        <v>11</v>
      </c>
    </row>
    <row r="70" spans="1:20" ht="11.25" customHeight="1" x14ac:dyDescent="0.25">
      <c r="A70" s="42" t="s">
        <v>977</v>
      </c>
      <c r="B70" s="27" t="s">
        <v>916</v>
      </c>
      <c r="C70" s="28" t="s">
        <v>917</v>
      </c>
      <c r="D70" s="28" t="s">
        <v>917</v>
      </c>
      <c r="E70" s="302" t="s">
        <v>72</v>
      </c>
      <c r="F70" s="303"/>
      <c r="G70" s="11">
        <v>-5528820.2999999998</v>
      </c>
      <c r="H70" s="11">
        <v>-5774018.1600000001</v>
      </c>
      <c r="I70" s="11">
        <v>-5917193.4667901704</v>
      </c>
      <c r="J70" s="140">
        <v>0</v>
      </c>
      <c r="K70" s="156">
        <f>-6029973.00000001+60000</f>
        <v>-5969973.0000000102</v>
      </c>
      <c r="L70" s="185"/>
      <c r="M70" s="203"/>
      <c r="N70" s="91">
        <f t="shared" si="2"/>
        <v>52779.533209839836</v>
      </c>
      <c r="O70" s="130">
        <f t="shared" si="3"/>
        <v>1.00891969030691</v>
      </c>
      <c r="P70" s="91">
        <f t="shared" si="4"/>
        <v>195954.8400000101</v>
      </c>
      <c r="Q70" s="130">
        <f t="shared" si="5"/>
        <v>1.033937343903333</v>
      </c>
      <c r="R70" s="91"/>
      <c r="S70" s="132" t="str">
        <f t="shared" si="10"/>
        <v/>
      </c>
      <c r="T70" s="172">
        <f t="shared" si="6"/>
        <v>11</v>
      </c>
    </row>
    <row r="71" spans="1:20" ht="11.25" customHeight="1" x14ac:dyDescent="0.25">
      <c r="A71" s="42" t="s">
        <v>978</v>
      </c>
      <c r="B71" s="27" t="s">
        <v>916</v>
      </c>
      <c r="C71" s="28" t="s">
        <v>917</v>
      </c>
      <c r="D71" s="28" t="s">
        <v>917</v>
      </c>
      <c r="E71" s="302" t="s">
        <v>73</v>
      </c>
      <c r="F71" s="303"/>
      <c r="G71" s="11">
        <v>-448217.1</v>
      </c>
      <c r="H71" s="11">
        <v>-409114.8</v>
      </c>
      <c r="I71" s="11">
        <v>-409999.99999999598</v>
      </c>
      <c r="J71" s="140">
        <v>0</v>
      </c>
      <c r="K71" s="156">
        <f>-425000+45000</f>
        <v>-380000</v>
      </c>
      <c r="L71" s="185"/>
      <c r="M71" s="203"/>
      <c r="N71" s="91">
        <f t="shared" si="2"/>
        <v>-29999.999999995984</v>
      </c>
      <c r="O71" s="130">
        <f t="shared" si="3"/>
        <v>0.92682926829269197</v>
      </c>
      <c r="P71" s="91">
        <f t="shared" si="4"/>
        <v>-29114.799999999988</v>
      </c>
      <c r="Q71" s="130">
        <f t="shared" si="5"/>
        <v>0.92883464494562407</v>
      </c>
      <c r="R71" s="91"/>
      <c r="S71" s="132" t="str">
        <f t="shared" si="10"/>
        <v/>
      </c>
      <c r="T71" s="172">
        <f t="shared" si="6"/>
        <v>11</v>
      </c>
    </row>
    <row r="72" spans="1:20" ht="11.25" customHeight="1" x14ac:dyDescent="0.25">
      <c r="A72" s="42" t="s">
        <v>979</v>
      </c>
      <c r="B72" s="27" t="s">
        <v>916</v>
      </c>
      <c r="C72" s="28" t="s">
        <v>917</v>
      </c>
      <c r="D72" s="28" t="s">
        <v>917</v>
      </c>
      <c r="E72" s="302" t="s">
        <v>74</v>
      </c>
      <c r="F72" s="303"/>
      <c r="G72" s="11">
        <v>-7970717.2099999897</v>
      </c>
      <c r="H72" s="11">
        <v>-7860641.3099999996</v>
      </c>
      <c r="I72" s="11">
        <v>-7805215.0986726005</v>
      </c>
      <c r="J72" s="140">
        <v>0</v>
      </c>
      <c r="K72" s="156">
        <f>-8148884.00000001-10000</f>
        <v>-8158884.0000000102</v>
      </c>
      <c r="L72" s="185"/>
      <c r="M72" s="203"/>
      <c r="N72" s="91">
        <f t="shared" si="2"/>
        <v>353668.90132740978</v>
      </c>
      <c r="O72" s="130">
        <f t="shared" si="3"/>
        <v>1.0453118712112823</v>
      </c>
      <c r="P72" s="91">
        <f t="shared" si="4"/>
        <v>298242.69000001065</v>
      </c>
      <c r="Q72" s="130">
        <f t="shared" si="5"/>
        <v>1.0379412669066324</v>
      </c>
      <c r="R72" s="91"/>
      <c r="S72" s="132" t="str">
        <f t="shared" si="10"/>
        <v/>
      </c>
      <c r="T72" s="172">
        <f t="shared" si="6"/>
        <v>11</v>
      </c>
    </row>
    <row r="73" spans="1:20" ht="11.25" customHeight="1" x14ac:dyDescent="0.25">
      <c r="A73" s="42" t="s">
        <v>980</v>
      </c>
      <c r="B73" s="27" t="s">
        <v>916</v>
      </c>
      <c r="C73" s="28" t="s">
        <v>917</v>
      </c>
      <c r="D73" s="28" t="s">
        <v>917</v>
      </c>
      <c r="E73" s="302" t="s">
        <v>75</v>
      </c>
      <c r="F73" s="303"/>
      <c r="G73" s="11">
        <v>-329835.90999999997</v>
      </c>
      <c r="H73" s="11">
        <v>-213373.73</v>
      </c>
      <c r="I73" s="11">
        <v>-170000</v>
      </c>
      <c r="J73" s="140">
        <v>0</v>
      </c>
      <c r="K73" s="156">
        <v>-335000</v>
      </c>
      <c r="L73" s="185"/>
      <c r="M73" s="203"/>
      <c r="N73" s="91">
        <f t="shared" si="2"/>
        <v>165000</v>
      </c>
      <c r="O73" s="130">
        <f t="shared" si="3"/>
        <v>1.9705882352941178</v>
      </c>
      <c r="P73" s="91">
        <f t="shared" si="4"/>
        <v>121626.26999999999</v>
      </c>
      <c r="Q73" s="130">
        <f t="shared" si="5"/>
        <v>1.5700152029024379</v>
      </c>
      <c r="R73" s="91"/>
      <c r="S73" s="132" t="str">
        <f t="shared" si="10"/>
        <v/>
      </c>
      <c r="T73" s="172">
        <f t="shared" si="6"/>
        <v>11</v>
      </c>
    </row>
    <row r="74" spans="1:20" ht="11.25" customHeight="1" x14ac:dyDescent="0.25">
      <c r="A74" s="42" t="s">
        <v>981</v>
      </c>
      <c r="B74" s="27" t="s">
        <v>916</v>
      </c>
      <c r="C74" s="28" t="s">
        <v>917</v>
      </c>
      <c r="D74" s="28" t="s">
        <v>917</v>
      </c>
      <c r="E74" s="302" t="s">
        <v>76</v>
      </c>
      <c r="F74" s="303"/>
      <c r="G74" s="11">
        <v>-1081767.8600000001</v>
      </c>
      <c r="H74" s="11">
        <v>-2316975.64</v>
      </c>
      <c r="I74" s="11">
        <v>-1784999.99999999</v>
      </c>
      <c r="J74" s="140">
        <v>0</v>
      </c>
      <c r="K74" s="156">
        <v>-1732500</v>
      </c>
      <c r="L74" s="185"/>
      <c r="M74" s="203"/>
      <c r="N74" s="91">
        <f t="shared" si="2"/>
        <v>-52499.999999989988</v>
      </c>
      <c r="O74" s="130">
        <f t="shared" si="3"/>
        <v>0.97058823529412308</v>
      </c>
      <c r="P74" s="91">
        <f t="shared" si="4"/>
        <v>-584475.64000000013</v>
      </c>
      <c r="Q74" s="130">
        <f t="shared" si="5"/>
        <v>0.74774200042949091</v>
      </c>
      <c r="R74" s="91"/>
      <c r="S74" s="132" t="str">
        <f t="shared" si="10"/>
        <v/>
      </c>
      <c r="T74" s="172">
        <f t="shared" si="6"/>
        <v>11</v>
      </c>
    </row>
    <row r="75" spans="1:20" ht="11.25" customHeight="1" x14ac:dyDescent="0.25">
      <c r="A75" s="42" t="s">
        <v>982</v>
      </c>
      <c r="B75" s="27" t="s">
        <v>916</v>
      </c>
      <c r="C75" s="28" t="s">
        <v>917</v>
      </c>
      <c r="D75" s="28" t="s">
        <v>917</v>
      </c>
      <c r="E75" s="302" t="s">
        <v>77</v>
      </c>
      <c r="F75" s="303"/>
      <c r="G75" s="11">
        <v>-25985735.300000001</v>
      </c>
      <c r="H75" s="11">
        <v>-23763989.050000001</v>
      </c>
      <c r="I75" s="11">
        <v>-22447481.653664701</v>
      </c>
      <c r="J75" s="140">
        <v>0</v>
      </c>
      <c r="K75" s="156">
        <f>-28653822-125000</f>
        <v>-28778822</v>
      </c>
      <c r="L75" s="185"/>
      <c r="M75" s="203"/>
      <c r="N75" s="91">
        <f t="shared" ref="N75:N138" si="19">-K75+I75</f>
        <v>6331340.3463352993</v>
      </c>
      <c r="O75" s="130">
        <f t="shared" ref="O75:O138" si="20">IF(I75=0,"",K75/I75)</f>
        <v>1.2820512538564284</v>
      </c>
      <c r="P75" s="91">
        <f t="shared" ref="P75:P138" si="21">-K75+H75</f>
        <v>5014832.9499999993</v>
      </c>
      <c r="Q75" s="130">
        <f t="shared" ref="Q75:Q138" si="22">IF(H75=0,"",K75/H75)</f>
        <v>1.2110265637409894</v>
      </c>
      <c r="R75" s="91"/>
      <c r="S75" s="132" t="str">
        <f t="shared" si="10"/>
        <v/>
      </c>
      <c r="T75" s="172">
        <f t="shared" ref="T75:T138" si="23">LEN(A75)</f>
        <v>11</v>
      </c>
    </row>
    <row r="76" spans="1:20" ht="11.25" customHeight="1" x14ac:dyDescent="0.25">
      <c r="A76" s="42" t="s">
        <v>983</v>
      </c>
      <c r="B76" s="27" t="s">
        <v>916</v>
      </c>
      <c r="C76" s="28" t="s">
        <v>917</v>
      </c>
      <c r="D76" s="28" t="s">
        <v>917</v>
      </c>
      <c r="E76" s="302" t="s">
        <v>78</v>
      </c>
      <c r="F76" s="303"/>
      <c r="G76" s="11">
        <v>-35852467.240000002</v>
      </c>
      <c r="H76" s="11">
        <v>-35269834.619999997</v>
      </c>
      <c r="I76" s="11">
        <v>-36000000</v>
      </c>
      <c r="J76" s="140">
        <v>0</v>
      </c>
      <c r="K76" s="156">
        <v>-40000000</v>
      </c>
      <c r="L76" s="185"/>
      <c r="M76" s="203"/>
      <c r="N76" s="91">
        <f t="shared" si="19"/>
        <v>4000000</v>
      </c>
      <c r="O76" s="130">
        <f t="shared" si="20"/>
        <v>1.1111111111111112</v>
      </c>
      <c r="P76" s="91">
        <f t="shared" si="21"/>
        <v>4730165.3800000027</v>
      </c>
      <c r="Q76" s="130">
        <f t="shared" si="22"/>
        <v>1.13411362516902</v>
      </c>
      <c r="R76" s="91"/>
      <c r="S76" s="132" t="str">
        <f t="shared" si="10"/>
        <v/>
      </c>
      <c r="T76" s="172">
        <f t="shared" si="23"/>
        <v>11</v>
      </c>
    </row>
    <row r="77" spans="1:20" ht="11.25" customHeight="1" x14ac:dyDescent="0.25">
      <c r="A77" s="42" t="s">
        <v>984</v>
      </c>
      <c r="B77" s="27" t="s">
        <v>916</v>
      </c>
      <c r="C77" s="28" t="s">
        <v>917</v>
      </c>
      <c r="D77" s="28" t="s">
        <v>917</v>
      </c>
      <c r="E77" s="302" t="s">
        <v>79</v>
      </c>
      <c r="F77" s="303"/>
      <c r="G77" s="11">
        <v>-7288375.4000000004</v>
      </c>
      <c r="H77" s="11">
        <v>-5935243.7800000003</v>
      </c>
      <c r="I77" s="11">
        <v>-7655000</v>
      </c>
      <c r="J77" s="140">
        <v>0</v>
      </c>
      <c r="K77" s="156">
        <v>-7600000</v>
      </c>
      <c r="L77" s="185"/>
      <c r="M77" s="203"/>
      <c r="N77" s="91">
        <f t="shared" si="19"/>
        <v>-55000</v>
      </c>
      <c r="O77" s="130">
        <f t="shared" si="20"/>
        <v>0.99281515349444804</v>
      </c>
      <c r="P77" s="91">
        <f t="shared" si="21"/>
        <v>1664756.2199999997</v>
      </c>
      <c r="Q77" s="130">
        <f t="shared" si="22"/>
        <v>1.2804865784299764</v>
      </c>
      <c r="R77" s="91"/>
      <c r="S77" s="132" t="str">
        <f t="shared" ref="S77:S140" si="24">IF(J77=0,"",K77/J77)</f>
        <v/>
      </c>
      <c r="T77" s="172">
        <f t="shared" si="23"/>
        <v>11</v>
      </c>
    </row>
    <row r="78" spans="1:20" ht="11.25" customHeight="1" x14ac:dyDescent="0.25">
      <c r="A78" s="42" t="s">
        <v>985</v>
      </c>
      <c r="B78" s="27" t="s">
        <v>916</v>
      </c>
      <c r="C78" s="28" t="s">
        <v>917</v>
      </c>
      <c r="D78" s="28" t="s">
        <v>917</v>
      </c>
      <c r="E78" s="302" t="s">
        <v>80</v>
      </c>
      <c r="F78" s="303"/>
      <c r="G78" s="11">
        <v>-13279632.1</v>
      </c>
      <c r="H78" s="11">
        <v>-13300200.279999999</v>
      </c>
      <c r="I78" s="11">
        <v>-13500000</v>
      </c>
      <c r="J78" s="140">
        <v>0</v>
      </c>
      <c r="K78" s="156">
        <v>-13500000</v>
      </c>
      <c r="L78" s="185"/>
      <c r="M78" s="203"/>
      <c r="N78" s="91">
        <f t="shared" si="19"/>
        <v>0</v>
      </c>
      <c r="O78" s="130">
        <f t="shared" si="20"/>
        <v>1</v>
      </c>
      <c r="P78" s="91">
        <f t="shared" si="21"/>
        <v>199799.72000000067</v>
      </c>
      <c r="Q78" s="130">
        <f t="shared" si="22"/>
        <v>1.0150223091227015</v>
      </c>
      <c r="R78" s="91"/>
      <c r="S78" s="132" t="str">
        <f t="shared" si="24"/>
        <v/>
      </c>
      <c r="T78" s="172">
        <f t="shared" si="23"/>
        <v>11</v>
      </c>
    </row>
    <row r="79" spans="1:20" ht="11.25" customHeight="1" x14ac:dyDescent="0.25">
      <c r="A79" s="42" t="s">
        <v>986</v>
      </c>
      <c r="B79" s="27" t="s">
        <v>916</v>
      </c>
      <c r="C79" s="28" t="s">
        <v>917</v>
      </c>
      <c r="D79" s="28" t="s">
        <v>917</v>
      </c>
      <c r="E79" s="302" t="s">
        <v>81</v>
      </c>
      <c r="F79" s="303"/>
      <c r="G79" s="11">
        <v>-5473288.1100000003</v>
      </c>
      <c r="H79" s="11">
        <v>-3112908.22</v>
      </c>
      <c r="I79" s="11">
        <v>-5300000</v>
      </c>
      <c r="J79" s="140">
        <v>0</v>
      </c>
      <c r="K79" s="156">
        <v>-5300000</v>
      </c>
      <c r="L79" s="185"/>
      <c r="M79" s="203"/>
      <c r="N79" s="91">
        <f t="shared" si="19"/>
        <v>0</v>
      </c>
      <c r="O79" s="130">
        <f t="shared" si="20"/>
        <v>1</v>
      </c>
      <c r="P79" s="91">
        <f t="shared" si="21"/>
        <v>2187091.7799999998</v>
      </c>
      <c r="Q79" s="130">
        <f t="shared" si="22"/>
        <v>1.7025879420241949</v>
      </c>
      <c r="R79" s="91"/>
      <c r="S79" s="132" t="str">
        <f t="shared" si="24"/>
        <v/>
      </c>
      <c r="T79" s="172">
        <f t="shared" si="23"/>
        <v>11</v>
      </c>
    </row>
    <row r="80" spans="1:20" ht="11.25" customHeight="1" x14ac:dyDescent="0.25">
      <c r="A80" s="42" t="s">
        <v>987</v>
      </c>
      <c r="B80" s="27" t="s">
        <v>916</v>
      </c>
      <c r="C80" s="28" t="s">
        <v>917</v>
      </c>
      <c r="D80" s="28" t="s">
        <v>917</v>
      </c>
      <c r="E80" s="302" t="s">
        <v>82</v>
      </c>
      <c r="F80" s="303"/>
      <c r="G80" s="11">
        <v>-24128533.199999999</v>
      </c>
      <c r="H80" s="11">
        <v>-27623453.18</v>
      </c>
      <c r="I80" s="11">
        <v>-27817209.652351901</v>
      </c>
      <c r="J80" s="140">
        <v>0</v>
      </c>
      <c r="K80" s="156">
        <f>-32780000-210000</f>
        <v>-32990000</v>
      </c>
      <c r="L80" s="185"/>
      <c r="M80" s="203"/>
      <c r="N80" s="91">
        <f t="shared" si="19"/>
        <v>5172790.3476480991</v>
      </c>
      <c r="O80" s="130">
        <f t="shared" si="20"/>
        <v>1.1859564784640702</v>
      </c>
      <c r="P80" s="91">
        <f t="shared" si="21"/>
        <v>5366546.82</v>
      </c>
      <c r="Q80" s="130">
        <f t="shared" si="22"/>
        <v>1.194275016415598</v>
      </c>
      <c r="R80" s="91"/>
      <c r="S80" s="132" t="str">
        <f t="shared" si="24"/>
        <v/>
      </c>
      <c r="T80" s="172">
        <f t="shared" si="23"/>
        <v>11</v>
      </c>
    </row>
    <row r="81" spans="1:20" ht="11.25" customHeight="1" x14ac:dyDescent="0.25">
      <c r="A81" s="42" t="s">
        <v>988</v>
      </c>
      <c r="B81" s="27" t="s">
        <v>916</v>
      </c>
      <c r="C81" s="28" t="s">
        <v>917</v>
      </c>
      <c r="D81" s="28" t="s">
        <v>917</v>
      </c>
      <c r="E81" s="302" t="s">
        <v>83</v>
      </c>
      <c r="F81" s="303"/>
      <c r="G81" s="11">
        <v>-2371149.7799999998</v>
      </c>
      <c r="H81" s="11">
        <v>-1280403.74</v>
      </c>
      <c r="I81" s="11">
        <v>-1400000</v>
      </c>
      <c r="J81" s="140">
        <v>0</v>
      </c>
      <c r="K81" s="156">
        <v>-1400000</v>
      </c>
      <c r="L81" s="185"/>
      <c r="M81" s="203"/>
      <c r="N81" s="91">
        <f t="shared" si="19"/>
        <v>0</v>
      </c>
      <c r="O81" s="130">
        <f t="shared" si="20"/>
        <v>1</v>
      </c>
      <c r="P81" s="91">
        <f t="shared" si="21"/>
        <v>119596.26000000001</v>
      </c>
      <c r="Q81" s="130">
        <f t="shared" si="22"/>
        <v>1.0934051161081426</v>
      </c>
      <c r="R81" s="91"/>
      <c r="S81" s="132" t="str">
        <f t="shared" si="24"/>
        <v/>
      </c>
      <c r="T81" s="172">
        <f t="shared" si="23"/>
        <v>11</v>
      </c>
    </row>
    <row r="82" spans="1:20" ht="11.25" customHeight="1" x14ac:dyDescent="0.25">
      <c r="A82" s="42" t="s">
        <v>989</v>
      </c>
      <c r="B82" s="27" t="s">
        <v>916</v>
      </c>
      <c r="C82" s="28" t="s">
        <v>917</v>
      </c>
      <c r="D82" s="28" t="s">
        <v>917</v>
      </c>
      <c r="E82" s="302" t="s">
        <v>84</v>
      </c>
      <c r="F82" s="303"/>
      <c r="G82" s="11">
        <v>-22059578.899999999</v>
      </c>
      <c r="H82" s="11">
        <v>-21252983.710000001</v>
      </c>
      <c r="I82" s="11">
        <v>-21739733.333333299</v>
      </c>
      <c r="J82" s="140">
        <v>0</v>
      </c>
      <c r="K82" s="156">
        <v>-22140000</v>
      </c>
      <c r="L82" s="185"/>
      <c r="M82" s="203"/>
      <c r="N82" s="91">
        <f t="shared" si="19"/>
        <v>400266.66666670144</v>
      </c>
      <c r="O82" s="130">
        <f t="shared" si="20"/>
        <v>1.0184117560473005</v>
      </c>
      <c r="P82" s="91">
        <f t="shared" si="21"/>
        <v>887016.28999999911</v>
      </c>
      <c r="Q82" s="130">
        <f t="shared" si="22"/>
        <v>1.0417360829003335</v>
      </c>
      <c r="R82" s="91"/>
      <c r="S82" s="132" t="str">
        <f t="shared" si="24"/>
        <v/>
      </c>
      <c r="T82" s="172">
        <f t="shared" si="23"/>
        <v>11</v>
      </c>
    </row>
    <row r="83" spans="1:20" ht="11.25" customHeight="1" x14ac:dyDescent="0.25">
      <c r="A83" s="42" t="s">
        <v>990</v>
      </c>
      <c r="B83" s="27" t="s">
        <v>916</v>
      </c>
      <c r="C83" s="28" t="s">
        <v>917</v>
      </c>
      <c r="D83" s="28" t="s">
        <v>917</v>
      </c>
      <c r="E83" s="302" t="s">
        <v>85</v>
      </c>
      <c r="F83" s="303"/>
      <c r="G83" s="11">
        <v>-5464030.7699999996</v>
      </c>
      <c r="H83" s="11">
        <v>-5621178.6600000104</v>
      </c>
      <c r="I83" s="11">
        <v>-5547059.7117859703</v>
      </c>
      <c r="J83" s="140">
        <v>0</v>
      </c>
      <c r="K83" s="156">
        <v>-6343491.9999999898</v>
      </c>
      <c r="L83" s="185"/>
      <c r="M83" s="203"/>
      <c r="N83" s="91">
        <f t="shared" si="19"/>
        <v>796432.2882140195</v>
      </c>
      <c r="O83" s="130">
        <f t="shared" si="20"/>
        <v>1.1435773778533194</v>
      </c>
      <c r="P83" s="91">
        <f t="shared" si="21"/>
        <v>722313.33999997936</v>
      </c>
      <c r="Q83" s="130">
        <f t="shared" si="22"/>
        <v>1.1284985558526934</v>
      </c>
      <c r="R83" s="91"/>
      <c r="S83" s="132" t="str">
        <f t="shared" si="24"/>
        <v/>
      </c>
      <c r="T83" s="172">
        <f t="shared" si="23"/>
        <v>11</v>
      </c>
    </row>
    <row r="84" spans="1:20" ht="11.25" customHeight="1" x14ac:dyDescent="0.25">
      <c r="A84" s="42" t="s">
        <v>991</v>
      </c>
      <c r="B84" s="27" t="s">
        <v>916</v>
      </c>
      <c r="C84" s="28" t="s">
        <v>917</v>
      </c>
      <c r="D84" s="28" t="s">
        <v>917</v>
      </c>
      <c r="E84" s="302" t="s">
        <v>86</v>
      </c>
      <c r="F84" s="303"/>
      <c r="G84" s="11">
        <v>-19085697.370000001</v>
      </c>
      <c r="H84" s="11">
        <v>-21705858.370000001</v>
      </c>
      <c r="I84" s="11">
        <v>-19680212.883061498</v>
      </c>
      <c r="J84" s="140">
        <v>0</v>
      </c>
      <c r="K84" s="156">
        <f>-24839687-170000-262000-170000</f>
        <v>-25441687</v>
      </c>
      <c r="L84" s="185"/>
      <c r="M84" s="203"/>
      <c r="N84" s="91">
        <f t="shared" si="19"/>
        <v>5761474.1169385016</v>
      </c>
      <c r="O84" s="130">
        <f t="shared" si="20"/>
        <v>1.2927546643510817</v>
      </c>
      <c r="P84" s="91">
        <f t="shared" si="21"/>
        <v>3735828.629999999</v>
      </c>
      <c r="Q84" s="130">
        <f t="shared" si="22"/>
        <v>1.1721115362644836</v>
      </c>
      <c r="R84" s="91"/>
      <c r="S84" s="132" t="str">
        <f t="shared" si="24"/>
        <v/>
      </c>
      <c r="T84" s="172">
        <f t="shared" si="23"/>
        <v>11</v>
      </c>
    </row>
    <row r="85" spans="1:20" ht="11.25" customHeight="1" x14ac:dyDescent="0.25">
      <c r="A85" s="42" t="s">
        <v>992</v>
      </c>
      <c r="B85" s="27" t="s">
        <v>916</v>
      </c>
      <c r="C85" s="28" t="s">
        <v>917</v>
      </c>
      <c r="D85" s="28" t="s">
        <v>917</v>
      </c>
      <c r="E85" s="302" t="s">
        <v>87</v>
      </c>
      <c r="F85" s="303"/>
      <c r="G85" s="11">
        <v>-4330208.88</v>
      </c>
      <c r="H85" s="11">
        <v>-4214075.17</v>
      </c>
      <c r="I85" s="11">
        <v>-4330000</v>
      </c>
      <c r="J85" s="140">
        <v>0</v>
      </c>
      <c r="K85" s="156">
        <v>-4330000</v>
      </c>
      <c r="L85" s="185"/>
      <c r="M85" s="203"/>
      <c r="N85" s="91">
        <f t="shared" si="19"/>
        <v>0</v>
      </c>
      <c r="O85" s="130">
        <f t="shared" si="20"/>
        <v>1</v>
      </c>
      <c r="P85" s="91">
        <f t="shared" si="21"/>
        <v>115924.83000000007</v>
      </c>
      <c r="Q85" s="130">
        <f t="shared" si="22"/>
        <v>1.0275089611180335</v>
      </c>
      <c r="R85" s="91"/>
      <c r="S85" s="132" t="str">
        <f t="shared" si="24"/>
        <v/>
      </c>
      <c r="T85" s="172">
        <f t="shared" si="23"/>
        <v>11</v>
      </c>
    </row>
    <row r="86" spans="1:20" ht="11.25" customHeight="1" x14ac:dyDescent="0.25">
      <c r="A86" s="42" t="s">
        <v>993</v>
      </c>
      <c r="B86" s="27" t="s">
        <v>916</v>
      </c>
      <c r="C86" s="28" t="s">
        <v>917</v>
      </c>
      <c r="D86" s="28" t="s">
        <v>917</v>
      </c>
      <c r="E86" s="302" t="s">
        <v>88</v>
      </c>
      <c r="F86" s="303"/>
      <c r="G86" s="11">
        <v>-3020466.72</v>
      </c>
      <c r="H86" s="11">
        <v>-3199200.56</v>
      </c>
      <c r="I86" s="11">
        <v>-3170000</v>
      </c>
      <c r="J86" s="140">
        <v>0</v>
      </c>
      <c r="K86" s="156">
        <v>-3500000</v>
      </c>
      <c r="L86" s="185"/>
      <c r="M86" s="203"/>
      <c r="N86" s="91">
        <f t="shared" si="19"/>
        <v>330000</v>
      </c>
      <c r="O86" s="130">
        <f t="shared" si="20"/>
        <v>1.1041009463722398</v>
      </c>
      <c r="P86" s="91">
        <f t="shared" si="21"/>
        <v>300799.43999999994</v>
      </c>
      <c r="Q86" s="130">
        <f t="shared" si="22"/>
        <v>1.0940233143745135</v>
      </c>
      <c r="R86" s="91"/>
      <c r="S86" s="132" t="str">
        <f t="shared" si="24"/>
        <v/>
      </c>
      <c r="T86" s="172">
        <f t="shared" si="23"/>
        <v>11</v>
      </c>
    </row>
    <row r="87" spans="1:20" ht="11.25" customHeight="1" x14ac:dyDescent="0.25">
      <c r="A87" s="42" t="s">
        <v>994</v>
      </c>
      <c r="B87" s="27" t="s">
        <v>916</v>
      </c>
      <c r="C87" s="28" t="s">
        <v>917</v>
      </c>
      <c r="D87" s="28" t="s">
        <v>917</v>
      </c>
      <c r="E87" s="302" t="s">
        <v>89</v>
      </c>
      <c r="F87" s="303"/>
      <c r="G87" s="11">
        <v>-198103.7</v>
      </c>
      <c r="H87" s="11">
        <v>-200166.99</v>
      </c>
      <c r="I87" s="11">
        <v>-199999.999999992</v>
      </c>
      <c r="J87" s="140">
        <v>0</v>
      </c>
      <c r="K87" s="156">
        <v>-200000</v>
      </c>
      <c r="L87" s="185"/>
      <c r="M87" s="203"/>
      <c r="N87" s="91">
        <f t="shared" si="19"/>
        <v>8.0035533756017685E-9</v>
      </c>
      <c r="O87" s="130">
        <f t="shared" si="20"/>
        <v>1.00000000000004</v>
      </c>
      <c r="P87" s="91">
        <f t="shared" si="21"/>
        <v>-166.98999999999069</v>
      </c>
      <c r="Q87" s="130">
        <f t="shared" si="22"/>
        <v>0.99916574655990986</v>
      </c>
      <c r="R87" s="91"/>
      <c r="S87" s="132" t="str">
        <f t="shared" si="24"/>
        <v/>
      </c>
      <c r="T87" s="172">
        <f t="shared" si="23"/>
        <v>11</v>
      </c>
    </row>
    <row r="88" spans="1:20" ht="11.25" customHeight="1" x14ac:dyDescent="0.25">
      <c r="A88" s="86" t="s">
        <v>1638</v>
      </c>
      <c r="B88" s="29" t="s">
        <v>916</v>
      </c>
      <c r="C88" s="30" t="s">
        <v>917</v>
      </c>
      <c r="D88" s="30" t="s">
        <v>917</v>
      </c>
      <c r="E88" s="314" t="s">
        <v>1639</v>
      </c>
      <c r="F88" s="315"/>
      <c r="G88" s="19"/>
      <c r="H88" s="19"/>
      <c r="I88" s="19"/>
      <c r="J88" s="141"/>
      <c r="K88" s="157">
        <v>0</v>
      </c>
      <c r="L88" s="187"/>
      <c r="M88" s="204"/>
      <c r="N88" s="98">
        <f t="shared" si="19"/>
        <v>0</v>
      </c>
      <c r="O88" s="134" t="str">
        <f t="shared" si="20"/>
        <v/>
      </c>
      <c r="P88" s="98">
        <f t="shared" si="21"/>
        <v>0</v>
      </c>
      <c r="Q88" s="134" t="str">
        <f t="shared" si="22"/>
        <v/>
      </c>
      <c r="R88" s="98"/>
      <c r="S88" s="132" t="str">
        <f t="shared" si="24"/>
        <v/>
      </c>
      <c r="T88" s="172">
        <f t="shared" si="23"/>
        <v>11</v>
      </c>
    </row>
    <row r="89" spans="1:20" ht="11.25" customHeight="1" x14ac:dyDescent="0.25">
      <c r="A89" s="42" t="s">
        <v>995</v>
      </c>
      <c r="B89" s="27" t="s">
        <v>916</v>
      </c>
      <c r="C89" s="28" t="s">
        <v>917</v>
      </c>
      <c r="D89" s="28" t="s">
        <v>917</v>
      </c>
      <c r="E89" s="302" t="s">
        <v>90</v>
      </c>
      <c r="F89" s="303"/>
      <c r="G89" s="11">
        <v>0</v>
      </c>
      <c r="H89" s="11">
        <v>-2385820.9300000002</v>
      </c>
      <c r="I89" s="11">
        <v>-2107000</v>
      </c>
      <c r="J89" s="140">
        <v>0</v>
      </c>
      <c r="K89" s="156">
        <v>-1806000</v>
      </c>
      <c r="L89" s="185"/>
      <c r="M89" s="203"/>
      <c r="N89" s="91">
        <f t="shared" si="19"/>
        <v>-301000</v>
      </c>
      <c r="O89" s="130">
        <f t="shared" si="20"/>
        <v>0.8571428571428571</v>
      </c>
      <c r="P89" s="91">
        <f t="shared" si="21"/>
        <v>-579820.93000000017</v>
      </c>
      <c r="Q89" s="130">
        <f t="shared" si="22"/>
        <v>0.75697215046227295</v>
      </c>
      <c r="R89" s="91"/>
      <c r="S89" s="132" t="str">
        <f t="shared" si="24"/>
        <v/>
      </c>
      <c r="T89" s="172">
        <f t="shared" si="23"/>
        <v>11</v>
      </c>
    </row>
    <row r="90" spans="1:20" ht="11.25" customHeight="1" x14ac:dyDescent="0.25">
      <c r="A90" s="42" t="s">
        <v>996</v>
      </c>
      <c r="B90" s="27" t="s">
        <v>916</v>
      </c>
      <c r="C90" s="28" t="s">
        <v>917</v>
      </c>
      <c r="D90" s="28" t="s">
        <v>917</v>
      </c>
      <c r="E90" s="302" t="s">
        <v>91</v>
      </c>
      <c r="F90" s="303"/>
      <c r="G90" s="11">
        <v>-4270088.1399999997</v>
      </c>
      <c r="H90" s="11">
        <v>-4401019.24</v>
      </c>
      <c r="I90" s="11">
        <v>-4349999.9999999804</v>
      </c>
      <c r="J90" s="140">
        <v>0</v>
      </c>
      <c r="K90" s="156">
        <v>-4430000</v>
      </c>
      <c r="L90" s="185"/>
      <c r="M90" s="203"/>
      <c r="N90" s="91">
        <f t="shared" si="19"/>
        <v>80000.000000019558</v>
      </c>
      <c r="O90" s="130">
        <f t="shared" si="20"/>
        <v>1.0183908045977057</v>
      </c>
      <c r="P90" s="91">
        <f t="shared" si="21"/>
        <v>28980.759999999776</v>
      </c>
      <c r="Q90" s="130">
        <f t="shared" si="22"/>
        <v>1.0065850109757757</v>
      </c>
      <c r="R90" s="91"/>
      <c r="S90" s="132" t="str">
        <f t="shared" si="24"/>
        <v/>
      </c>
      <c r="T90" s="172">
        <f t="shared" si="23"/>
        <v>11</v>
      </c>
    </row>
    <row r="91" spans="1:20" ht="11.25" customHeight="1" x14ac:dyDescent="0.25">
      <c r="A91" s="224" t="s">
        <v>997</v>
      </c>
      <c r="B91" s="225" t="s">
        <v>922</v>
      </c>
      <c r="C91" s="225" t="s">
        <v>923</v>
      </c>
      <c r="D91" s="225" t="s">
        <v>922</v>
      </c>
      <c r="E91" s="316" t="s">
        <v>92</v>
      </c>
      <c r="F91" s="317"/>
      <c r="G91" s="226">
        <v>101081809.65000001</v>
      </c>
      <c r="H91" s="226">
        <v>0</v>
      </c>
      <c r="I91" s="226">
        <v>0</v>
      </c>
      <c r="J91" s="227">
        <v>0</v>
      </c>
      <c r="K91" s="215">
        <v>16431262</v>
      </c>
      <c r="L91" s="223" t="s">
        <v>1774</v>
      </c>
      <c r="M91" s="203"/>
      <c r="N91" s="91">
        <f t="shared" si="19"/>
        <v>-16431262</v>
      </c>
      <c r="O91" s="130" t="str">
        <f t="shared" si="20"/>
        <v/>
      </c>
      <c r="P91" s="91">
        <f t="shared" si="21"/>
        <v>-16431262</v>
      </c>
      <c r="Q91" s="130" t="str">
        <f t="shared" si="22"/>
        <v/>
      </c>
      <c r="R91" s="91"/>
      <c r="S91" s="132" t="str">
        <f t="shared" si="24"/>
        <v/>
      </c>
      <c r="T91" s="172">
        <f t="shared" si="23"/>
        <v>11</v>
      </c>
    </row>
    <row r="92" spans="1:20" ht="11.25" customHeight="1" x14ac:dyDescent="0.25">
      <c r="A92" s="42" t="s">
        <v>998</v>
      </c>
      <c r="B92" s="27" t="s">
        <v>916</v>
      </c>
      <c r="C92" s="28" t="s">
        <v>917</v>
      </c>
      <c r="D92" s="28" t="s">
        <v>917</v>
      </c>
      <c r="E92" s="302" t="s">
        <v>1637</v>
      </c>
      <c r="F92" s="303"/>
      <c r="G92" s="11">
        <v>-110470.59</v>
      </c>
      <c r="H92" s="11">
        <v>-8088.59</v>
      </c>
      <c r="I92" s="11">
        <v>-109999.999999992</v>
      </c>
      <c r="J92" s="140">
        <v>0</v>
      </c>
      <c r="K92" s="156">
        <v>-10000</v>
      </c>
      <c r="L92" s="185"/>
      <c r="M92" s="203"/>
      <c r="N92" s="91">
        <f t="shared" si="19"/>
        <v>-99999.999999991996</v>
      </c>
      <c r="O92" s="130">
        <f t="shared" si="20"/>
        <v>9.0909090909097517E-2</v>
      </c>
      <c r="P92" s="91">
        <f t="shared" si="21"/>
        <v>1911.4099999999999</v>
      </c>
      <c r="Q92" s="130">
        <f t="shared" si="22"/>
        <v>1.2363094185760435</v>
      </c>
      <c r="R92" s="91"/>
      <c r="S92" s="132" t="str">
        <f t="shared" si="24"/>
        <v/>
      </c>
      <c r="T92" s="172">
        <f t="shared" si="23"/>
        <v>11</v>
      </c>
    </row>
    <row r="93" spans="1:20" ht="11.25" customHeight="1" x14ac:dyDescent="0.25">
      <c r="A93" s="42" t="s">
        <v>999</v>
      </c>
      <c r="B93" s="27" t="s">
        <v>916</v>
      </c>
      <c r="C93" s="28" t="s">
        <v>917</v>
      </c>
      <c r="D93" s="28" t="s">
        <v>917</v>
      </c>
      <c r="E93" s="302" t="s">
        <v>1676</v>
      </c>
      <c r="F93" s="303"/>
      <c r="G93" s="11">
        <v>-1502073</v>
      </c>
      <c r="H93" s="11">
        <v>-765245.11</v>
      </c>
      <c r="I93" s="11">
        <v>-1400000</v>
      </c>
      <c r="J93" s="140">
        <v>0</v>
      </c>
      <c r="K93" s="156">
        <v>0</v>
      </c>
      <c r="L93" s="185"/>
      <c r="M93" s="203"/>
      <c r="N93" s="91">
        <f t="shared" si="19"/>
        <v>-1400000</v>
      </c>
      <c r="O93" s="130">
        <f t="shared" si="20"/>
        <v>0</v>
      </c>
      <c r="P93" s="91">
        <f t="shared" si="21"/>
        <v>-765245.11</v>
      </c>
      <c r="Q93" s="130">
        <f t="shared" si="22"/>
        <v>0</v>
      </c>
      <c r="R93" s="91"/>
      <c r="S93" s="132" t="str">
        <f t="shared" si="24"/>
        <v/>
      </c>
      <c r="T93" s="172">
        <f t="shared" si="23"/>
        <v>11</v>
      </c>
    </row>
    <row r="94" spans="1:20" ht="11.25" customHeight="1" x14ac:dyDescent="0.25">
      <c r="A94" s="42" t="s">
        <v>1000</v>
      </c>
      <c r="B94" s="27" t="s">
        <v>916</v>
      </c>
      <c r="C94" s="28" t="s">
        <v>917</v>
      </c>
      <c r="D94" s="28" t="s">
        <v>917</v>
      </c>
      <c r="E94" s="302" t="s">
        <v>1675</v>
      </c>
      <c r="F94" s="303"/>
      <c r="G94" s="11">
        <v>-220230.64</v>
      </c>
      <c r="H94" s="11">
        <v>-110115.32</v>
      </c>
      <c r="I94" s="11">
        <v>-240000</v>
      </c>
      <c r="J94" s="140">
        <v>0</v>
      </c>
      <c r="K94" s="156">
        <v>-240000</v>
      </c>
      <c r="L94" s="228"/>
      <c r="M94" s="203"/>
      <c r="N94" s="91">
        <f t="shared" si="19"/>
        <v>0</v>
      </c>
      <c r="O94" s="130">
        <f t="shared" si="20"/>
        <v>1</v>
      </c>
      <c r="P94" s="91">
        <f t="shared" si="21"/>
        <v>129884.68</v>
      </c>
      <c r="Q94" s="130">
        <f t="shared" si="22"/>
        <v>2.1795332384267692</v>
      </c>
      <c r="R94" s="91"/>
      <c r="S94" s="132" t="str">
        <f t="shared" si="24"/>
        <v/>
      </c>
      <c r="T94" s="172">
        <f t="shared" si="23"/>
        <v>11</v>
      </c>
    </row>
    <row r="95" spans="1:20" ht="11.25" customHeight="1" x14ac:dyDescent="0.25">
      <c r="A95" s="42" t="s">
        <v>1001</v>
      </c>
      <c r="B95" s="27" t="s">
        <v>916</v>
      </c>
      <c r="C95" s="28" t="s">
        <v>917</v>
      </c>
      <c r="D95" s="28" t="s">
        <v>917</v>
      </c>
      <c r="E95" s="302" t="s">
        <v>94</v>
      </c>
      <c r="F95" s="303"/>
      <c r="G95" s="11">
        <v>-145999.4</v>
      </c>
      <c r="H95" s="11">
        <v>0</v>
      </c>
      <c r="I95" s="11">
        <v>0</v>
      </c>
      <c r="J95" s="140">
        <v>0</v>
      </c>
      <c r="K95" s="156">
        <v>-2555000</v>
      </c>
      <c r="L95" s="228"/>
      <c r="M95" s="203"/>
      <c r="N95" s="91">
        <f t="shared" si="19"/>
        <v>2555000</v>
      </c>
      <c r="O95" s="130" t="str">
        <f t="shared" si="20"/>
        <v/>
      </c>
      <c r="P95" s="91">
        <f t="shared" si="21"/>
        <v>2555000</v>
      </c>
      <c r="Q95" s="130" t="str">
        <f t="shared" si="22"/>
        <v/>
      </c>
      <c r="R95" s="91"/>
      <c r="S95" s="132" t="str">
        <f t="shared" si="24"/>
        <v/>
      </c>
      <c r="T95" s="172">
        <f t="shared" si="23"/>
        <v>11</v>
      </c>
    </row>
    <row r="96" spans="1:20" ht="11.25" customHeight="1" x14ac:dyDescent="0.25">
      <c r="A96" s="42" t="s">
        <v>1002</v>
      </c>
      <c r="B96" s="27" t="s">
        <v>916</v>
      </c>
      <c r="C96" s="28" t="s">
        <v>917</v>
      </c>
      <c r="D96" s="28" t="s">
        <v>917</v>
      </c>
      <c r="E96" s="302" t="s">
        <v>95</v>
      </c>
      <c r="F96" s="303"/>
      <c r="G96" s="11">
        <v>0</v>
      </c>
      <c r="H96" s="11">
        <v>-502550</v>
      </c>
      <c r="I96" s="11">
        <v>0</v>
      </c>
      <c r="J96" s="140">
        <v>0</v>
      </c>
      <c r="K96" s="158">
        <v>-15000000</v>
      </c>
      <c r="L96" s="185"/>
      <c r="M96" s="203"/>
      <c r="N96" s="91">
        <f t="shared" si="19"/>
        <v>15000000</v>
      </c>
      <c r="O96" s="130" t="str">
        <f t="shared" si="20"/>
        <v/>
      </c>
      <c r="P96" s="91">
        <f t="shared" si="21"/>
        <v>14497450</v>
      </c>
      <c r="Q96" s="130">
        <f t="shared" si="22"/>
        <v>29.84777634066262</v>
      </c>
      <c r="R96" s="91"/>
      <c r="S96" s="132" t="str">
        <f t="shared" si="24"/>
        <v/>
      </c>
      <c r="T96" s="172">
        <f t="shared" si="23"/>
        <v>11</v>
      </c>
    </row>
    <row r="97" spans="1:20" ht="11.25" customHeight="1" x14ac:dyDescent="0.25">
      <c r="A97" s="26" t="s">
        <v>1003</v>
      </c>
      <c r="B97" s="31"/>
      <c r="C97" s="32"/>
      <c r="D97" s="32"/>
      <c r="E97" s="306" t="s">
        <v>96</v>
      </c>
      <c r="F97" s="307"/>
      <c r="G97" s="25">
        <f t="shared" ref="G97:K97" si="25">SUM(G98:G107)</f>
        <v>-42760029.670000002</v>
      </c>
      <c r="H97" s="25">
        <f t="shared" si="25"/>
        <v>-44789924.079999998</v>
      </c>
      <c r="I97" s="25">
        <f t="shared" si="25"/>
        <v>-44489606.613470599</v>
      </c>
      <c r="J97" s="25">
        <f t="shared" si="25"/>
        <v>0</v>
      </c>
      <c r="K97" s="153">
        <f t="shared" si="25"/>
        <v>-48155086.999999613</v>
      </c>
      <c r="L97" s="185"/>
      <c r="M97" s="203"/>
      <c r="N97" s="91">
        <f t="shared" si="19"/>
        <v>3665480.3865290135</v>
      </c>
      <c r="O97" s="130">
        <f t="shared" si="20"/>
        <v>1.0823895886150448</v>
      </c>
      <c r="P97" s="91">
        <f t="shared" si="21"/>
        <v>3365162.9199996144</v>
      </c>
      <c r="Q97" s="130">
        <f t="shared" si="22"/>
        <v>1.0751321416394688</v>
      </c>
      <c r="R97" s="91"/>
      <c r="S97" s="132" t="str">
        <f t="shared" si="24"/>
        <v/>
      </c>
      <c r="T97" s="172">
        <f t="shared" si="23"/>
        <v>7</v>
      </c>
    </row>
    <row r="98" spans="1:20" ht="11.25" customHeight="1" x14ac:dyDescent="0.25">
      <c r="A98" s="42" t="s">
        <v>1004</v>
      </c>
      <c r="B98" s="27" t="s">
        <v>916</v>
      </c>
      <c r="C98" s="28" t="s">
        <v>920</v>
      </c>
      <c r="D98" s="28" t="s">
        <v>917</v>
      </c>
      <c r="E98" s="302" t="s">
        <v>97</v>
      </c>
      <c r="F98" s="303"/>
      <c r="G98" s="11">
        <v>-17860832.899999999</v>
      </c>
      <c r="H98" s="11">
        <v>-18431664.010000002</v>
      </c>
      <c r="I98" s="11">
        <v>-17950399.999999698</v>
      </c>
      <c r="J98" s="140">
        <v>0</v>
      </c>
      <c r="K98" s="158">
        <v>-19815000</v>
      </c>
      <c r="L98" s="185"/>
      <c r="M98" s="203"/>
      <c r="N98" s="91">
        <f t="shared" si="19"/>
        <v>1864600.0000003017</v>
      </c>
      <c r="O98" s="130">
        <f t="shared" si="20"/>
        <v>1.1038751225599615</v>
      </c>
      <c r="P98" s="91">
        <f t="shared" si="21"/>
        <v>1383335.9899999984</v>
      </c>
      <c r="Q98" s="130">
        <f t="shared" si="22"/>
        <v>1.0750521488048761</v>
      </c>
      <c r="R98" s="91"/>
      <c r="S98" s="132" t="str">
        <f t="shared" si="24"/>
        <v/>
      </c>
      <c r="T98" s="172">
        <f t="shared" si="23"/>
        <v>11</v>
      </c>
    </row>
    <row r="99" spans="1:20" ht="11.25" customHeight="1" x14ac:dyDescent="0.25">
      <c r="A99" s="42" t="s">
        <v>1005</v>
      </c>
      <c r="B99" s="27" t="s">
        <v>916</v>
      </c>
      <c r="C99" s="28" t="s">
        <v>920</v>
      </c>
      <c r="D99" s="28" t="s">
        <v>917</v>
      </c>
      <c r="E99" s="302" t="s">
        <v>98</v>
      </c>
      <c r="F99" s="303"/>
      <c r="G99" s="11">
        <v>-3894394.27</v>
      </c>
      <c r="H99" s="11">
        <v>-3836959.21</v>
      </c>
      <c r="I99" s="11">
        <v>-3959999.9999996098</v>
      </c>
      <c r="J99" s="140">
        <v>0</v>
      </c>
      <c r="K99" s="279">
        <f>I99</f>
        <v>-3959999.9999996098</v>
      </c>
      <c r="L99" s="223" t="s">
        <v>1839</v>
      </c>
      <c r="M99" s="203"/>
      <c r="N99" s="91">
        <f t="shared" si="19"/>
        <v>0</v>
      </c>
      <c r="O99" s="130">
        <f t="shared" si="20"/>
        <v>1</v>
      </c>
      <c r="P99" s="91">
        <f t="shared" si="21"/>
        <v>123040.78999960981</v>
      </c>
      <c r="Q99" s="130">
        <f t="shared" si="22"/>
        <v>1.0320672655781529</v>
      </c>
      <c r="R99" s="91"/>
      <c r="S99" s="132" t="str">
        <f t="shared" si="24"/>
        <v/>
      </c>
      <c r="T99" s="172">
        <f t="shared" si="23"/>
        <v>11</v>
      </c>
    </row>
    <row r="100" spans="1:20" ht="11.25" customHeight="1" x14ac:dyDescent="0.25">
      <c r="A100" s="42" t="s">
        <v>1006</v>
      </c>
      <c r="B100" s="27" t="s">
        <v>916</v>
      </c>
      <c r="C100" s="28" t="s">
        <v>919</v>
      </c>
      <c r="D100" s="28" t="s">
        <v>917</v>
      </c>
      <c r="E100" s="302" t="s">
        <v>99</v>
      </c>
      <c r="F100" s="303"/>
      <c r="G100" s="11">
        <v>-1850818.9</v>
      </c>
      <c r="H100" s="11">
        <v>-1936975.61</v>
      </c>
      <c r="I100" s="11">
        <v>-1925000</v>
      </c>
      <c r="J100" s="140">
        <v>0</v>
      </c>
      <c r="K100" s="155">
        <v>-1925000</v>
      </c>
      <c r="L100" s="185"/>
      <c r="M100" s="203"/>
      <c r="N100" s="91">
        <f t="shared" si="19"/>
        <v>0</v>
      </c>
      <c r="O100" s="130">
        <f t="shared" si="20"/>
        <v>1</v>
      </c>
      <c r="P100" s="91">
        <f t="shared" si="21"/>
        <v>-11975.610000000102</v>
      </c>
      <c r="Q100" s="130">
        <f t="shared" si="22"/>
        <v>0.99381736665233478</v>
      </c>
      <c r="R100" s="91"/>
      <c r="S100" s="132" t="str">
        <f t="shared" si="24"/>
        <v/>
      </c>
      <c r="T100" s="172">
        <f t="shared" si="23"/>
        <v>11</v>
      </c>
    </row>
    <row r="101" spans="1:20" ht="11.25" customHeight="1" x14ac:dyDescent="0.25">
      <c r="A101" s="42" t="s">
        <v>1007</v>
      </c>
      <c r="B101" s="27" t="s">
        <v>916</v>
      </c>
      <c r="C101" s="28" t="s">
        <v>919</v>
      </c>
      <c r="D101" s="28" t="s">
        <v>917</v>
      </c>
      <c r="E101" s="302" t="s">
        <v>100</v>
      </c>
      <c r="F101" s="303"/>
      <c r="G101" s="11">
        <v>-288477.26</v>
      </c>
      <c r="H101" s="11">
        <v>-219177.52</v>
      </c>
      <c r="I101" s="11">
        <v>-249599.999999981</v>
      </c>
      <c r="J101" s="140">
        <v>0</v>
      </c>
      <c r="K101" s="155">
        <v>-220000</v>
      </c>
      <c r="L101" s="185"/>
      <c r="M101" s="203"/>
      <c r="N101" s="91">
        <f t="shared" si="19"/>
        <v>-29599.999999980995</v>
      </c>
      <c r="O101" s="130">
        <f t="shared" si="20"/>
        <v>0.88141025641032356</v>
      </c>
      <c r="P101" s="91">
        <f t="shared" si="21"/>
        <v>822.48000000001048</v>
      </c>
      <c r="Q101" s="130">
        <f t="shared" si="22"/>
        <v>1.0037525746253539</v>
      </c>
      <c r="R101" s="91"/>
      <c r="S101" s="132" t="str">
        <f t="shared" si="24"/>
        <v/>
      </c>
      <c r="T101" s="172">
        <f t="shared" si="23"/>
        <v>11</v>
      </c>
    </row>
    <row r="102" spans="1:20" ht="11.25" customHeight="1" x14ac:dyDescent="0.25">
      <c r="A102" s="42" t="s">
        <v>1008</v>
      </c>
      <c r="B102" s="27" t="s">
        <v>916</v>
      </c>
      <c r="C102" s="28" t="s">
        <v>923</v>
      </c>
      <c r="D102" s="28" t="s">
        <v>917</v>
      </c>
      <c r="E102" s="302" t="s">
        <v>101</v>
      </c>
      <c r="F102" s="303"/>
      <c r="G102" s="11">
        <v>-353106.78</v>
      </c>
      <c r="H102" s="11">
        <v>-377320.58</v>
      </c>
      <c r="I102" s="11">
        <v>-379999.99999999697</v>
      </c>
      <c r="J102" s="140">
        <v>0</v>
      </c>
      <c r="K102" s="155">
        <v>-380000</v>
      </c>
      <c r="L102" s="185"/>
      <c r="M102" s="203"/>
      <c r="N102" s="91">
        <f t="shared" si="19"/>
        <v>3.0267983675003052E-9</v>
      </c>
      <c r="O102" s="130">
        <f t="shared" si="20"/>
        <v>1.000000000000008</v>
      </c>
      <c r="P102" s="91">
        <f t="shared" si="21"/>
        <v>2679.4199999999837</v>
      </c>
      <c r="Q102" s="130">
        <f t="shared" si="22"/>
        <v>1.0071011764054851</v>
      </c>
      <c r="R102" s="91"/>
      <c r="S102" s="132" t="str">
        <f t="shared" si="24"/>
        <v/>
      </c>
      <c r="T102" s="172">
        <f t="shared" si="23"/>
        <v>11</v>
      </c>
    </row>
    <row r="103" spans="1:20" ht="11.25" customHeight="1" x14ac:dyDescent="0.25">
      <c r="A103" s="42" t="s">
        <v>1009</v>
      </c>
      <c r="B103" s="20" t="s">
        <v>916</v>
      </c>
      <c r="C103" s="20" t="s">
        <v>919</v>
      </c>
      <c r="D103" s="20" t="s">
        <v>1014</v>
      </c>
      <c r="E103" s="302" t="s">
        <v>102</v>
      </c>
      <c r="F103" s="303"/>
      <c r="G103" s="11">
        <v>-40952.400000000001</v>
      </c>
      <c r="H103" s="11">
        <v>-40992.06</v>
      </c>
      <c r="I103" s="11">
        <v>-44606.613471322002</v>
      </c>
      <c r="J103" s="140">
        <v>0</v>
      </c>
      <c r="K103" s="155">
        <v>-30000</v>
      </c>
      <c r="N103" s="91">
        <f t="shared" si="19"/>
        <v>-14606.613471322002</v>
      </c>
      <c r="O103" s="130">
        <f t="shared" si="20"/>
        <v>0.67254601202324571</v>
      </c>
      <c r="P103" s="91">
        <f t="shared" si="21"/>
        <v>-10992.059999999998</v>
      </c>
      <c r="Q103" s="130">
        <f t="shared" si="22"/>
        <v>0.73184904588839894</v>
      </c>
      <c r="R103" s="91"/>
      <c r="S103" s="132" t="str">
        <f t="shared" si="24"/>
        <v/>
      </c>
      <c r="T103" s="172">
        <f t="shared" si="23"/>
        <v>11</v>
      </c>
    </row>
    <row r="104" spans="1:20" ht="11.25" customHeight="1" x14ac:dyDescent="0.25">
      <c r="A104" s="42" t="s">
        <v>1010</v>
      </c>
      <c r="B104" s="27" t="s">
        <v>916</v>
      </c>
      <c r="C104" s="28" t="s">
        <v>919</v>
      </c>
      <c r="D104" s="28" t="s">
        <v>917</v>
      </c>
      <c r="E104" s="302" t="s">
        <v>103</v>
      </c>
      <c r="F104" s="303"/>
      <c r="G104" s="11">
        <v>-15134109.130000001</v>
      </c>
      <c r="H104" s="11">
        <v>-16162505.449999999</v>
      </c>
      <c r="I104" s="11">
        <v>-16500000</v>
      </c>
      <c r="J104" s="140">
        <v>0</v>
      </c>
      <c r="K104" s="155">
        <f>-17481385-572125</f>
        <v>-18053510</v>
      </c>
      <c r="N104" s="91">
        <f t="shared" si="19"/>
        <v>1553510</v>
      </c>
      <c r="O104" s="130">
        <f t="shared" si="20"/>
        <v>1.0941521212121212</v>
      </c>
      <c r="P104" s="91">
        <f t="shared" si="21"/>
        <v>1891004.5500000007</v>
      </c>
      <c r="Q104" s="130">
        <f t="shared" si="22"/>
        <v>1.1169994686683926</v>
      </c>
      <c r="R104" s="91"/>
      <c r="S104" s="132" t="str">
        <f t="shared" si="24"/>
        <v/>
      </c>
      <c r="T104" s="172">
        <f t="shared" si="23"/>
        <v>11</v>
      </c>
    </row>
    <row r="105" spans="1:20" ht="11.25" customHeight="1" x14ac:dyDescent="0.25">
      <c r="A105" s="42" t="s">
        <v>1011</v>
      </c>
      <c r="B105" s="27" t="s">
        <v>916</v>
      </c>
      <c r="C105" s="28" t="s">
        <v>919</v>
      </c>
      <c r="D105" s="28" t="s">
        <v>917</v>
      </c>
      <c r="E105" s="302" t="s">
        <v>104</v>
      </c>
      <c r="F105" s="303"/>
      <c r="G105" s="11">
        <v>-1878991.71</v>
      </c>
      <c r="H105" s="11">
        <v>-2107509.66</v>
      </c>
      <c r="I105" s="11">
        <v>-1800000</v>
      </c>
      <c r="J105" s="140">
        <v>0</v>
      </c>
      <c r="K105" s="155">
        <v>-1759764</v>
      </c>
      <c r="N105" s="91">
        <f t="shared" si="19"/>
        <v>-40236</v>
      </c>
      <c r="O105" s="130">
        <f t="shared" si="20"/>
        <v>0.97764666666666666</v>
      </c>
      <c r="P105" s="91">
        <f t="shared" si="21"/>
        <v>-347745.66000000015</v>
      </c>
      <c r="Q105" s="130">
        <f t="shared" si="22"/>
        <v>0.83499688442709197</v>
      </c>
      <c r="R105" s="91"/>
      <c r="S105" s="132" t="str">
        <f t="shared" si="24"/>
        <v/>
      </c>
      <c r="T105" s="172">
        <f t="shared" si="23"/>
        <v>11</v>
      </c>
    </row>
    <row r="106" spans="1:20" ht="11.25" customHeight="1" x14ac:dyDescent="0.25">
      <c r="A106" s="42" t="s">
        <v>1012</v>
      </c>
      <c r="B106" s="27" t="s">
        <v>916</v>
      </c>
      <c r="C106" s="28" t="s">
        <v>923</v>
      </c>
      <c r="D106" s="28" t="s">
        <v>917</v>
      </c>
      <c r="E106" s="302" t="s">
        <v>105</v>
      </c>
      <c r="F106" s="303"/>
      <c r="G106" s="11">
        <v>-214565.5</v>
      </c>
      <c r="H106" s="11">
        <v>-346106.17</v>
      </c>
      <c r="I106" s="11">
        <v>-329999.99999999302</v>
      </c>
      <c r="J106" s="140">
        <v>0</v>
      </c>
      <c r="K106" s="155">
        <v>-458000</v>
      </c>
      <c r="N106" s="91">
        <f t="shared" si="19"/>
        <v>128000.00000000698</v>
      </c>
      <c r="O106" s="130">
        <f t="shared" si="20"/>
        <v>1.3878787878788172</v>
      </c>
      <c r="P106" s="91">
        <f t="shared" si="21"/>
        <v>111893.83000000002</v>
      </c>
      <c r="Q106" s="130">
        <f t="shared" si="22"/>
        <v>1.3232933697772566</v>
      </c>
      <c r="R106" s="91"/>
      <c r="S106" s="132" t="str">
        <f t="shared" si="24"/>
        <v/>
      </c>
      <c r="T106" s="172">
        <f t="shared" si="23"/>
        <v>11</v>
      </c>
    </row>
    <row r="107" spans="1:20" ht="11.25" customHeight="1" x14ac:dyDescent="0.25">
      <c r="A107" s="42" t="s">
        <v>1013</v>
      </c>
      <c r="B107" s="27" t="s">
        <v>916</v>
      </c>
      <c r="C107" s="28" t="s">
        <v>919</v>
      </c>
      <c r="D107" s="28" t="s">
        <v>917</v>
      </c>
      <c r="E107" s="302" t="s">
        <v>106</v>
      </c>
      <c r="F107" s="303"/>
      <c r="G107" s="11">
        <v>-1243780.82</v>
      </c>
      <c r="H107" s="11">
        <v>-1330713.81</v>
      </c>
      <c r="I107" s="11">
        <v>-1350000</v>
      </c>
      <c r="J107" s="140">
        <v>0</v>
      </c>
      <c r="K107" s="155">
        <v>-1553813</v>
      </c>
      <c r="N107" s="91">
        <f t="shared" si="19"/>
        <v>203813</v>
      </c>
      <c r="O107" s="130">
        <f t="shared" si="20"/>
        <v>1.1509725925925927</v>
      </c>
      <c r="P107" s="91">
        <f t="shared" si="21"/>
        <v>223099.18999999994</v>
      </c>
      <c r="Q107" s="130">
        <f t="shared" si="22"/>
        <v>1.1676537722262008</v>
      </c>
      <c r="R107" s="91"/>
      <c r="S107" s="132" t="str">
        <f t="shared" si="24"/>
        <v/>
      </c>
      <c r="T107" s="172">
        <f t="shared" si="23"/>
        <v>11</v>
      </c>
    </row>
    <row r="108" spans="1:20" ht="11.25" customHeight="1" x14ac:dyDescent="0.25">
      <c r="A108" s="26" t="s">
        <v>1015</v>
      </c>
      <c r="B108" s="26"/>
      <c r="C108" s="23"/>
      <c r="D108" s="23"/>
      <c r="E108" s="306" t="s">
        <v>107</v>
      </c>
      <c r="F108" s="307"/>
      <c r="G108" s="25">
        <f t="shared" ref="G108:K108" si="26">SUM(G109:G128)</f>
        <v>-40559961.160000019</v>
      </c>
      <c r="H108" s="25">
        <f t="shared" si="26"/>
        <v>-45196020.040000007</v>
      </c>
      <c r="I108" s="25">
        <f t="shared" si="26"/>
        <v>-44058221.011721864</v>
      </c>
      <c r="J108" s="25">
        <f t="shared" si="26"/>
        <v>0</v>
      </c>
      <c r="K108" s="153">
        <f t="shared" si="26"/>
        <v>-43207590</v>
      </c>
      <c r="N108" s="91">
        <f t="shared" si="19"/>
        <v>-850631.01172186434</v>
      </c>
      <c r="O108" s="130">
        <f t="shared" si="20"/>
        <v>0.98069302408974823</v>
      </c>
      <c r="P108" s="91">
        <f t="shared" si="21"/>
        <v>-1988430.0400000066</v>
      </c>
      <c r="Q108" s="130">
        <f t="shared" si="22"/>
        <v>0.95600431103800343</v>
      </c>
      <c r="R108" s="91"/>
      <c r="S108" s="132" t="str">
        <f t="shared" si="24"/>
        <v/>
      </c>
      <c r="T108" s="172">
        <f t="shared" si="23"/>
        <v>7</v>
      </c>
    </row>
    <row r="109" spans="1:20" ht="11.25" customHeight="1" x14ac:dyDescent="0.25">
      <c r="A109" s="42" t="s">
        <v>1016</v>
      </c>
      <c r="B109" s="28" t="s">
        <v>916</v>
      </c>
      <c r="C109" s="28" t="s">
        <v>923</v>
      </c>
      <c r="D109" s="28" t="s">
        <v>917</v>
      </c>
      <c r="E109" s="302" t="s">
        <v>108</v>
      </c>
      <c r="F109" s="303"/>
      <c r="G109" s="11">
        <v>-1163112.8799999999</v>
      </c>
      <c r="H109" s="11">
        <v>-2094620.86</v>
      </c>
      <c r="I109" s="11">
        <v>-1100400</v>
      </c>
      <c r="J109" s="140">
        <v>0</v>
      </c>
      <c r="K109" s="155">
        <v>-1200000</v>
      </c>
      <c r="N109" s="91">
        <f t="shared" si="19"/>
        <v>99600</v>
      </c>
      <c r="O109" s="130">
        <f t="shared" si="20"/>
        <v>1.0905125408942202</v>
      </c>
      <c r="P109" s="91">
        <f t="shared" si="21"/>
        <v>-894620.8600000001</v>
      </c>
      <c r="Q109" s="130">
        <f t="shared" si="22"/>
        <v>0.57289604191185217</v>
      </c>
      <c r="R109" s="91"/>
      <c r="S109" s="132" t="str">
        <f t="shared" si="24"/>
        <v/>
      </c>
      <c r="T109" s="172">
        <f t="shared" si="23"/>
        <v>11</v>
      </c>
    </row>
    <row r="110" spans="1:20" ht="11.25" customHeight="1" x14ac:dyDescent="0.25">
      <c r="A110" s="42" t="s">
        <v>1017</v>
      </c>
      <c r="B110" s="28" t="s">
        <v>916</v>
      </c>
      <c r="C110" s="28" t="s">
        <v>917</v>
      </c>
      <c r="D110" s="28" t="s">
        <v>917</v>
      </c>
      <c r="E110" s="302" t="s">
        <v>109</v>
      </c>
      <c r="F110" s="303"/>
      <c r="G110" s="11">
        <v>-2455306.7599999998</v>
      </c>
      <c r="H110" s="11">
        <v>-2678306.7000000002</v>
      </c>
      <c r="I110" s="11">
        <v>-2676714.8982581999</v>
      </c>
      <c r="J110" s="140">
        <v>0</v>
      </c>
      <c r="K110" s="156">
        <v>-2640590</v>
      </c>
      <c r="L110" s="109" t="s">
        <v>1737</v>
      </c>
      <c r="M110" s="109"/>
      <c r="N110" s="91">
        <f t="shared" si="19"/>
        <v>-36124.898258199915</v>
      </c>
      <c r="O110" s="130">
        <f t="shared" si="20"/>
        <v>0.98650401718849201</v>
      </c>
      <c r="P110" s="91">
        <f t="shared" si="21"/>
        <v>-37716.700000000186</v>
      </c>
      <c r="Q110" s="130">
        <f t="shared" si="22"/>
        <v>0.98591770688547353</v>
      </c>
      <c r="R110" s="91"/>
      <c r="S110" s="132" t="str">
        <f t="shared" si="24"/>
        <v/>
      </c>
      <c r="T110" s="172">
        <f t="shared" si="23"/>
        <v>11</v>
      </c>
    </row>
    <row r="111" spans="1:20" ht="11.25" customHeight="1" x14ac:dyDescent="0.25">
      <c r="A111" s="42" t="s">
        <v>1018</v>
      </c>
      <c r="B111" s="27" t="s">
        <v>916</v>
      </c>
      <c r="C111" s="28" t="s">
        <v>923</v>
      </c>
      <c r="D111" s="28" t="s">
        <v>917</v>
      </c>
      <c r="E111" s="302" t="s">
        <v>110</v>
      </c>
      <c r="F111" s="303"/>
      <c r="G111" s="11">
        <v>-11910197.289999999</v>
      </c>
      <c r="H111" s="11">
        <v>-12882614.84</v>
      </c>
      <c r="I111" s="11">
        <v>-12499626.2861221</v>
      </c>
      <c r="J111" s="140">
        <v>0</v>
      </c>
      <c r="K111" s="156">
        <v>-13236000</v>
      </c>
      <c r="N111" s="91">
        <f t="shared" si="19"/>
        <v>736373.71387789957</v>
      </c>
      <c r="O111" s="130">
        <f t="shared" si="20"/>
        <v>1.0589116583985771</v>
      </c>
      <c r="P111" s="91">
        <f t="shared" si="21"/>
        <v>353385.16000000015</v>
      </c>
      <c r="Q111" s="130">
        <f t="shared" si="22"/>
        <v>1.0274311670719793</v>
      </c>
      <c r="R111" s="91"/>
      <c r="S111" s="132" t="str">
        <f t="shared" si="24"/>
        <v/>
      </c>
      <c r="T111" s="172">
        <f t="shared" si="23"/>
        <v>11</v>
      </c>
    </row>
    <row r="112" spans="1:20" ht="11.25" customHeight="1" x14ac:dyDescent="0.25">
      <c r="A112" s="42" t="s">
        <v>1019</v>
      </c>
      <c r="B112" s="28" t="s">
        <v>916</v>
      </c>
      <c r="C112" s="28" t="s">
        <v>917</v>
      </c>
      <c r="D112" s="28" t="s">
        <v>917</v>
      </c>
      <c r="E112" s="302" t="s">
        <v>111</v>
      </c>
      <c r="F112" s="303"/>
      <c r="G112" s="11">
        <v>-5326103.4500000104</v>
      </c>
      <c r="H112" s="11">
        <v>-5652314.1600000001</v>
      </c>
      <c r="I112" s="11">
        <v>-5369893.2784323003</v>
      </c>
      <c r="J112" s="140">
        <v>0</v>
      </c>
      <c r="K112" s="156">
        <v>-5781000</v>
      </c>
      <c r="L112" s="109" t="s">
        <v>1738</v>
      </c>
      <c r="M112" s="109"/>
      <c r="N112" s="91">
        <f t="shared" si="19"/>
        <v>411106.72156769969</v>
      </c>
      <c r="O112" s="130">
        <f t="shared" si="20"/>
        <v>1.0765577079937274</v>
      </c>
      <c r="P112" s="91">
        <f t="shared" si="21"/>
        <v>128685.83999999985</v>
      </c>
      <c r="Q112" s="130">
        <f t="shared" si="22"/>
        <v>1.0227669298551516</v>
      </c>
      <c r="R112" s="91"/>
      <c r="S112" s="132" t="str">
        <f t="shared" si="24"/>
        <v/>
      </c>
      <c r="T112" s="172">
        <f t="shared" si="23"/>
        <v>11</v>
      </c>
    </row>
    <row r="113" spans="1:20" ht="11.25" customHeight="1" x14ac:dyDescent="0.25">
      <c r="A113" s="42" t="s">
        <v>1020</v>
      </c>
      <c r="B113" s="20" t="s">
        <v>916</v>
      </c>
      <c r="C113" s="20" t="s">
        <v>923</v>
      </c>
      <c r="D113" s="20" t="s">
        <v>1648</v>
      </c>
      <c r="E113" s="302" t="s">
        <v>112</v>
      </c>
      <c r="F113" s="303"/>
      <c r="G113" s="11">
        <v>-1074839.1399999999</v>
      </c>
      <c r="H113" s="11">
        <v>-1530055.78</v>
      </c>
      <c r="I113" s="11">
        <v>-1499979.77380611</v>
      </c>
      <c r="J113" s="140">
        <v>0</v>
      </c>
      <c r="K113" s="155">
        <f>-1600000-3000</f>
        <v>-1603000</v>
      </c>
      <c r="L113" s="109" t="s">
        <v>1739</v>
      </c>
      <c r="M113" s="109"/>
      <c r="N113" s="91">
        <f t="shared" si="19"/>
        <v>103020.22619388998</v>
      </c>
      <c r="O113" s="130">
        <f t="shared" si="20"/>
        <v>1.0686810769004453</v>
      </c>
      <c r="P113" s="91">
        <f t="shared" si="21"/>
        <v>72944.219999999972</v>
      </c>
      <c r="Q113" s="130">
        <f t="shared" si="22"/>
        <v>1.0476742227005607</v>
      </c>
      <c r="R113" s="91"/>
      <c r="S113" s="132" t="str">
        <f t="shared" si="24"/>
        <v/>
      </c>
      <c r="T113" s="172">
        <f t="shared" si="23"/>
        <v>11</v>
      </c>
    </row>
    <row r="114" spans="1:20" ht="11.25" customHeight="1" x14ac:dyDescent="0.25">
      <c r="A114" s="42" t="s">
        <v>1021</v>
      </c>
      <c r="B114" s="33"/>
      <c r="C114" s="33"/>
      <c r="D114" s="33"/>
      <c r="E114" s="302" t="s">
        <v>113</v>
      </c>
      <c r="F114" s="303"/>
      <c r="G114" s="11">
        <v>-1178419</v>
      </c>
      <c r="H114" s="11">
        <v>-1190194.1100000001</v>
      </c>
      <c r="I114" s="11">
        <v>-1200000</v>
      </c>
      <c r="J114" s="140">
        <v>0</v>
      </c>
      <c r="K114" s="154"/>
      <c r="L114" s="109" t="s">
        <v>1740</v>
      </c>
      <c r="M114" s="109"/>
      <c r="N114" s="91">
        <f t="shared" si="19"/>
        <v>-1200000</v>
      </c>
      <c r="O114" s="130">
        <f t="shared" si="20"/>
        <v>0</v>
      </c>
      <c r="P114" s="91">
        <f t="shared" si="21"/>
        <v>-1190194.1100000001</v>
      </c>
      <c r="Q114" s="130">
        <f t="shared" si="22"/>
        <v>0</v>
      </c>
      <c r="R114" s="91"/>
      <c r="S114" s="132" t="str">
        <f t="shared" si="24"/>
        <v/>
      </c>
      <c r="T114" s="172">
        <f t="shared" si="23"/>
        <v>11</v>
      </c>
    </row>
    <row r="115" spans="1:20" ht="11.25" customHeight="1" x14ac:dyDescent="0.25">
      <c r="A115" s="42" t="s">
        <v>1022</v>
      </c>
      <c r="B115" s="28" t="s">
        <v>916</v>
      </c>
      <c r="C115" s="28" t="s">
        <v>923</v>
      </c>
      <c r="D115" s="28" t="s">
        <v>1037</v>
      </c>
      <c r="E115" s="302" t="s">
        <v>114</v>
      </c>
      <c r="F115" s="303"/>
      <c r="G115" s="11">
        <v>-316206.67</v>
      </c>
      <c r="H115" s="11">
        <v>-307104.88</v>
      </c>
      <c r="I115" s="11">
        <v>-300000</v>
      </c>
      <c r="J115" s="140">
        <v>0</v>
      </c>
      <c r="K115" s="155">
        <v>-150000</v>
      </c>
      <c r="N115" s="91">
        <f t="shared" si="19"/>
        <v>-150000</v>
      </c>
      <c r="O115" s="130">
        <f t="shared" si="20"/>
        <v>0.5</v>
      </c>
      <c r="P115" s="91">
        <f t="shared" si="21"/>
        <v>-157104.88</v>
      </c>
      <c r="Q115" s="130">
        <f t="shared" si="22"/>
        <v>0.488432485996315</v>
      </c>
      <c r="R115" s="91"/>
      <c r="S115" s="132" t="str">
        <f t="shared" si="24"/>
        <v/>
      </c>
      <c r="T115" s="172">
        <f t="shared" si="23"/>
        <v>11</v>
      </c>
    </row>
    <row r="116" spans="1:20" ht="11.25" customHeight="1" x14ac:dyDescent="0.25">
      <c r="A116" s="42" t="s">
        <v>1023</v>
      </c>
      <c r="B116" s="28" t="s">
        <v>916</v>
      </c>
      <c r="C116" s="28" t="s">
        <v>923</v>
      </c>
      <c r="D116" s="28" t="s">
        <v>1037</v>
      </c>
      <c r="E116" s="302" t="s">
        <v>115</v>
      </c>
      <c r="F116" s="303"/>
      <c r="G116" s="11">
        <v>-869138.85</v>
      </c>
      <c r="H116" s="11">
        <v>-1192111.68</v>
      </c>
      <c r="I116" s="11">
        <v>-2100000</v>
      </c>
      <c r="J116" s="140">
        <v>0</v>
      </c>
      <c r="K116" s="155">
        <v>-2186000</v>
      </c>
      <c r="N116" s="91">
        <f t="shared" si="19"/>
        <v>86000</v>
      </c>
      <c r="O116" s="130">
        <f t="shared" si="20"/>
        <v>1.0409523809523809</v>
      </c>
      <c r="P116" s="91">
        <f t="shared" si="21"/>
        <v>993888.32000000007</v>
      </c>
      <c r="Q116" s="130">
        <f t="shared" si="22"/>
        <v>1.8337208138083172</v>
      </c>
      <c r="R116" s="91"/>
      <c r="S116" s="132" t="str">
        <f t="shared" si="24"/>
        <v/>
      </c>
      <c r="T116" s="172">
        <f t="shared" si="23"/>
        <v>11</v>
      </c>
    </row>
    <row r="117" spans="1:20" ht="11.25" customHeight="1" x14ac:dyDescent="0.25">
      <c r="A117" s="42" t="s">
        <v>1024</v>
      </c>
      <c r="B117" s="28" t="s">
        <v>916</v>
      </c>
      <c r="C117" s="28" t="s">
        <v>923</v>
      </c>
      <c r="D117" s="28" t="s">
        <v>1037</v>
      </c>
      <c r="E117" s="302" t="s">
        <v>116</v>
      </c>
      <c r="F117" s="303"/>
      <c r="G117" s="11">
        <v>-192923.83</v>
      </c>
      <c r="H117" s="11">
        <v>-166275.57999999999</v>
      </c>
      <c r="I117" s="11">
        <v>-150000</v>
      </c>
      <c r="J117" s="140">
        <v>0</v>
      </c>
      <c r="K117" s="155">
        <v>-200000</v>
      </c>
      <c r="N117" s="91">
        <f t="shared" si="19"/>
        <v>50000</v>
      </c>
      <c r="O117" s="130">
        <f t="shared" si="20"/>
        <v>1.3333333333333333</v>
      </c>
      <c r="P117" s="91">
        <f t="shared" si="21"/>
        <v>33724.420000000013</v>
      </c>
      <c r="Q117" s="130">
        <f t="shared" si="22"/>
        <v>1.2028224469281659</v>
      </c>
      <c r="R117" s="91"/>
      <c r="S117" s="132" t="str">
        <f t="shared" si="24"/>
        <v/>
      </c>
      <c r="T117" s="172">
        <f t="shared" si="23"/>
        <v>11</v>
      </c>
    </row>
    <row r="118" spans="1:20" ht="11.25" customHeight="1" x14ac:dyDescent="0.25">
      <c r="A118" s="42" t="s">
        <v>1025</v>
      </c>
      <c r="B118" s="28" t="s">
        <v>916</v>
      </c>
      <c r="C118" s="28" t="s">
        <v>923</v>
      </c>
      <c r="D118" s="28" t="s">
        <v>917</v>
      </c>
      <c r="E118" s="302" t="s">
        <v>117</v>
      </c>
      <c r="F118" s="303"/>
      <c r="G118" s="11">
        <v>-73163.490000000005</v>
      </c>
      <c r="H118" s="11">
        <v>-125355.68</v>
      </c>
      <c r="I118" s="11">
        <v>-79999.9999999711</v>
      </c>
      <c r="J118" s="140">
        <v>0</v>
      </c>
      <c r="K118" s="155">
        <v>-80000</v>
      </c>
      <c r="L118" s="109" t="s">
        <v>1741</v>
      </c>
      <c r="M118" s="109"/>
      <c r="N118" s="91">
        <f t="shared" si="19"/>
        <v>2.8900103643536568E-8</v>
      </c>
      <c r="O118" s="130">
        <f t="shared" si="20"/>
        <v>1.0000000000003613</v>
      </c>
      <c r="P118" s="91">
        <f t="shared" si="21"/>
        <v>-45355.679999999993</v>
      </c>
      <c r="Q118" s="130">
        <f t="shared" si="22"/>
        <v>0.63818408547582373</v>
      </c>
      <c r="R118" s="91"/>
      <c r="S118" s="132" t="str">
        <f t="shared" si="24"/>
        <v/>
      </c>
      <c r="T118" s="172">
        <f t="shared" si="23"/>
        <v>11</v>
      </c>
    </row>
    <row r="119" spans="1:20" ht="11.25" customHeight="1" x14ac:dyDescent="0.25">
      <c r="A119" s="42" t="s">
        <v>1026</v>
      </c>
      <c r="B119" s="28" t="s">
        <v>916</v>
      </c>
      <c r="C119" s="28" t="s">
        <v>917</v>
      </c>
      <c r="D119" s="28" t="s">
        <v>917</v>
      </c>
      <c r="E119" s="302" t="s">
        <v>118</v>
      </c>
      <c r="F119" s="303"/>
      <c r="G119" s="11">
        <v>-3030124.82</v>
      </c>
      <c r="H119" s="11">
        <v>-3244072.02</v>
      </c>
      <c r="I119" s="11">
        <v>-3366765.5632302398</v>
      </c>
      <c r="J119" s="140">
        <v>0</v>
      </c>
      <c r="K119" s="156">
        <v>-3147000</v>
      </c>
      <c r="N119" s="91">
        <f t="shared" si="19"/>
        <v>-219765.56323023979</v>
      </c>
      <c r="O119" s="130">
        <f t="shared" si="20"/>
        <v>0.93472501749739123</v>
      </c>
      <c r="P119" s="91">
        <f t="shared" si="21"/>
        <v>-97072.020000000019</v>
      </c>
      <c r="Q119" s="130">
        <f t="shared" si="22"/>
        <v>0.9700771069811206</v>
      </c>
      <c r="R119" s="91"/>
      <c r="S119" s="132" t="str">
        <f t="shared" si="24"/>
        <v/>
      </c>
      <c r="T119" s="172">
        <f t="shared" si="23"/>
        <v>11</v>
      </c>
    </row>
    <row r="120" spans="1:20" ht="11.25" customHeight="1" x14ac:dyDescent="0.25">
      <c r="A120" s="42" t="s">
        <v>1027</v>
      </c>
      <c r="B120" s="20" t="s">
        <v>1654</v>
      </c>
      <c r="C120" s="20" t="s">
        <v>919</v>
      </c>
      <c r="D120" s="20" t="s">
        <v>1655</v>
      </c>
      <c r="E120" s="302" t="s">
        <v>119</v>
      </c>
      <c r="F120" s="303"/>
      <c r="G120" s="11">
        <v>-2617019.5699999998</v>
      </c>
      <c r="H120" s="11">
        <v>-3060266.65</v>
      </c>
      <c r="I120" s="11">
        <v>-2899821.03027773</v>
      </c>
      <c r="J120" s="140">
        <v>0</v>
      </c>
      <c r="K120" s="155">
        <f>-2900000+900000</f>
        <v>-2000000</v>
      </c>
      <c r="L120" s="109" t="s">
        <v>1707</v>
      </c>
      <c r="M120" s="109"/>
      <c r="N120" s="91">
        <f t="shared" si="19"/>
        <v>-899821.03027772997</v>
      </c>
      <c r="O120" s="130">
        <f t="shared" si="20"/>
        <v>0.68969773621113795</v>
      </c>
      <c r="P120" s="91">
        <f t="shared" si="21"/>
        <v>-1060266.6499999999</v>
      </c>
      <c r="Q120" s="130">
        <f t="shared" si="22"/>
        <v>0.65353782161433549</v>
      </c>
      <c r="R120" s="91"/>
      <c r="S120" s="132" t="str">
        <f t="shared" si="24"/>
        <v/>
      </c>
      <c r="T120" s="172">
        <f t="shared" si="23"/>
        <v>11</v>
      </c>
    </row>
    <row r="121" spans="1:20" ht="11.25" customHeight="1" x14ac:dyDescent="0.25">
      <c r="A121" s="42" t="s">
        <v>1028</v>
      </c>
      <c r="B121" s="28" t="s">
        <v>916</v>
      </c>
      <c r="C121" s="28" t="s">
        <v>923</v>
      </c>
      <c r="D121" s="28" t="s">
        <v>1037</v>
      </c>
      <c r="E121" s="302" t="s">
        <v>120</v>
      </c>
      <c r="F121" s="303"/>
      <c r="G121" s="11">
        <v>-740884.46</v>
      </c>
      <c r="H121" s="11">
        <v>-579770.76</v>
      </c>
      <c r="I121" s="11">
        <v>-399999.99999999598</v>
      </c>
      <c r="J121" s="140">
        <v>0</v>
      </c>
      <c r="K121" s="155">
        <v>-450000</v>
      </c>
      <c r="N121" s="91">
        <f t="shared" si="19"/>
        <v>50000.000000004016</v>
      </c>
      <c r="O121" s="130">
        <f t="shared" si="20"/>
        <v>1.1250000000000113</v>
      </c>
      <c r="P121" s="91">
        <f t="shared" si="21"/>
        <v>-129770.76000000001</v>
      </c>
      <c r="Q121" s="130">
        <f t="shared" si="22"/>
        <v>0.77616884300960609</v>
      </c>
      <c r="R121" s="91"/>
      <c r="S121" s="132" t="str">
        <f t="shared" si="24"/>
        <v/>
      </c>
      <c r="T121" s="172">
        <f t="shared" si="23"/>
        <v>11</v>
      </c>
    </row>
    <row r="122" spans="1:20" ht="11.25" customHeight="1" x14ac:dyDescent="0.25">
      <c r="A122" s="42" t="s">
        <v>1029</v>
      </c>
      <c r="B122" s="28" t="s">
        <v>916</v>
      </c>
      <c r="C122" s="28" t="s">
        <v>923</v>
      </c>
      <c r="D122" s="28" t="s">
        <v>1037</v>
      </c>
      <c r="E122" s="302" t="s">
        <v>121</v>
      </c>
      <c r="F122" s="303"/>
      <c r="G122" s="11">
        <v>-244487.8</v>
      </c>
      <c r="H122" s="11">
        <v>-612253.15</v>
      </c>
      <c r="I122" s="11">
        <v>-450000</v>
      </c>
      <c r="J122" s="140">
        <v>0</v>
      </c>
      <c r="K122" s="155">
        <v>-300000</v>
      </c>
      <c r="N122" s="91">
        <f t="shared" si="19"/>
        <v>-150000</v>
      </c>
      <c r="O122" s="130">
        <f t="shared" si="20"/>
        <v>0.66666666666666663</v>
      </c>
      <c r="P122" s="91">
        <f t="shared" si="21"/>
        <v>-312253.15000000002</v>
      </c>
      <c r="Q122" s="130">
        <f t="shared" si="22"/>
        <v>0.48999339570568151</v>
      </c>
      <c r="R122" s="91"/>
      <c r="S122" s="132" t="str">
        <f t="shared" si="24"/>
        <v/>
      </c>
      <c r="T122" s="172">
        <f t="shared" si="23"/>
        <v>11</v>
      </c>
    </row>
    <row r="123" spans="1:20" ht="11.25" customHeight="1" x14ac:dyDescent="0.25">
      <c r="A123" s="42" t="s">
        <v>1030</v>
      </c>
      <c r="B123" s="28" t="s">
        <v>916</v>
      </c>
      <c r="C123" s="28" t="s">
        <v>923</v>
      </c>
      <c r="D123" s="28" t="s">
        <v>1037</v>
      </c>
      <c r="E123" s="302" t="s">
        <v>122</v>
      </c>
      <c r="F123" s="303"/>
      <c r="G123" s="11">
        <v>-41235.96</v>
      </c>
      <c r="H123" s="11">
        <v>-123444.04</v>
      </c>
      <c r="I123" s="11">
        <v>-99999.999999972002</v>
      </c>
      <c r="J123" s="140">
        <v>0</v>
      </c>
      <c r="K123" s="155">
        <v>-120000</v>
      </c>
      <c r="N123" s="91">
        <f t="shared" si="19"/>
        <v>20000.000000027998</v>
      </c>
      <c r="O123" s="130">
        <f t="shared" si="20"/>
        <v>1.2000000000003359</v>
      </c>
      <c r="P123" s="91">
        <f t="shared" si="21"/>
        <v>-3444.0399999999936</v>
      </c>
      <c r="Q123" s="130">
        <f t="shared" si="22"/>
        <v>0.97210039464035691</v>
      </c>
      <c r="R123" s="91"/>
      <c r="S123" s="132" t="str">
        <f t="shared" si="24"/>
        <v/>
      </c>
      <c r="T123" s="172">
        <f t="shared" si="23"/>
        <v>11</v>
      </c>
    </row>
    <row r="124" spans="1:20" ht="11.25" customHeight="1" x14ac:dyDescent="0.25">
      <c r="A124" s="42" t="s">
        <v>1031</v>
      </c>
      <c r="B124" s="28" t="s">
        <v>916</v>
      </c>
      <c r="C124" s="28" t="s">
        <v>923</v>
      </c>
      <c r="D124" s="28" t="s">
        <v>1037</v>
      </c>
      <c r="E124" s="302" t="s">
        <v>123</v>
      </c>
      <c r="F124" s="303"/>
      <c r="G124" s="11">
        <v>-139102.19</v>
      </c>
      <c r="H124" s="11">
        <v>-166962.64000000001</v>
      </c>
      <c r="I124" s="11">
        <v>-180000</v>
      </c>
      <c r="J124" s="140">
        <v>0</v>
      </c>
      <c r="K124" s="155">
        <v>-180000</v>
      </c>
      <c r="N124" s="91">
        <f t="shared" si="19"/>
        <v>0</v>
      </c>
      <c r="O124" s="130">
        <f t="shared" si="20"/>
        <v>1</v>
      </c>
      <c r="P124" s="91">
        <f t="shared" si="21"/>
        <v>13037.359999999986</v>
      </c>
      <c r="Q124" s="130">
        <f t="shared" si="22"/>
        <v>1.0780854926587169</v>
      </c>
      <c r="R124" s="91"/>
      <c r="S124" s="132" t="str">
        <f t="shared" si="24"/>
        <v/>
      </c>
      <c r="T124" s="172">
        <f t="shared" si="23"/>
        <v>11</v>
      </c>
    </row>
    <row r="125" spans="1:20" ht="11.25" customHeight="1" x14ac:dyDescent="0.25">
      <c r="A125" s="42" t="s">
        <v>1032</v>
      </c>
      <c r="B125" s="28" t="s">
        <v>916</v>
      </c>
      <c r="C125" s="28" t="s">
        <v>917</v>
      </c>
      <c r="D125" s="28" t="s">
        <v>917</v>
      </c>
      <c r="E125" s="302" t="s">
        <v>124</v>
      </c>
      <c r="F125" s="303"/>
      <c r="G125" s="11">
        <v>-7797358.54</v>
      </c>
      <c r="H125" s="11">
        <v>-8146648.4200000102</v>
      </c>
      <c r="I125" s="11">
        <v>-8200020.1815952603</v>
      </c>
      <c r="J125" s="140">
        <v>0</v>
      </c>
      <c r="K125" s="156">
        <v>-8309000</v>
      </c>
      <c r="L125" s="109" t="s">
        <v>1742</v>
      </c>
      <c r="M125" s="109"/>
      <c r="N125" s="91">
        <f t="shared" si="19"/>
        <v>108979.81840473972</v>
      </c>
      <c r="O125" s="130">
        <f t="shared" si="20"/>
        <v>1.013290189047259</v>
      </c>
      <c r="P125" s="91">
        <f t="shared" si="21"/>
        <v>162351.57999998983</v>
      </c>
      <c r="Q125" s="130">
        <f t="shared" si="22"/>
        <v>1.0199286346519407</v>
      </c>
      <c r="R125" s="91"/>
      <c r="S125" s="132" t="str">
        <f t="shared" si="24"/>
        <v/>
      </c>
      <c r="T125" s="172">
        <f t="shared" si="23"/>
        <v>11</v>
      </c>
    </row>
    <row r="126" spans="1:20" ht="11.25" customHeight="1" x14ac:dyDescent="0.25">
      <c r="A126" s="42" t="s">
        <v>1033</v>
      </c>
      <c r="B126" s="28" t="s">
        <v>916</v>
      </c>
      <c r="C126" s="28" t="s">
        <v>919</v>
      </c>
      <c r="D126" s="28" t="s">
        <v>1649</v>
      </c>
      <c r="E126" s="302" t="s">
        <v>125</v>
      </c>
      <c r="F126" s="303"/>
      <c r="G126" s="11">
        <v>-1388594.84</v>
      </c>
      <c r="H126" s="11">
        <v>-1440965.31</v>
      </c>
      <c r="I126" s="11">
        <v>-1480000</v>
      </c>
      <c r="J126" s="140">
        <v>0</v>
      </c>
      <c r="K126" s="155">
        <v>-1620000</v>
      </c>
      <c r="N126" s="91">
        <f t="shared" si="19"/>
        <v>140000</v>
      </c>
      <c r="O126" s="130">
        <f t="shared" si="20"/>
        <v>1.0945945945945945</v>
      </c>
      <c r="P126" s="91">
        <f t="shared" si="21"/>
        <v>179034.68999999994</v>
      </c>
      <c r="Q126" s="130">
        <f t="shared" si="22"/>
        <v>1.1242463567703791</v>
      </c>
      <c r="R126" s="91"/>
      <c r="S126" s="132" t="str">
        <f t="shared" si="24"/>
        <v/>
      </c>
      <c r="T126" s="172">
        <f t="shared" si="23"/>
        <v>11</v>
      </c>
    </row>
    <row r="127" spans="1:20" ht="11.25" customHeight="1" x14ac:dyDescent="0.25">
      <c r="A127" s="42" t="s">
        <v>1034</v>
      </c>
      <c r="B127" s="28" t="s">
        <v>916</v>
      </c>
      <c r="C127" s="28" t="s">
        <v>923</v>
      </c>
      <c r="D127" s="28" t="s">
        <v>1037</v>
      </c>
      <c r="E127" s="302" t="s">
        <v>1677</v>
      </c>
      <c r="F127" s="303"/>
      <c r="G127" s="11">
        <v>-599</v>
      </c>
      <c r="H127" s="11">
        <v>-1710</v>
      </c>
      <c r="I127" s="11">
        <v>-4999.999999996</v>
      </c>
      <c r="J127" s="140">
        <v>0</v>
      </c>
      <c r="K127" s="155">
        <v>-5000</v>
      </c>
      <c r="N127" s="91">
        <f t="shared" si="19"/>
        <v>3.9999576983973384E-9</v>
      </c>
      <c r="O127" s="130">
        <f t="shared" si="20"/>
        <v>1.0000000000008</v>
      </c>
      <c r="P127" s="91">
        <f t="shared" si="21"/>
        <v>3290</v>
      </c>
      <c r="Q127" s="130">
        <f t="shared" si="22"/>
        <v>2.9239766081871346</v>
      </c>
      <c r="R127" s="91"/>
      <c r="S127" s="132" t="str">
        <f t="shared" si="24"/>
        <v/>
      </c>
      <c r="T127" s="172">
        <f t="shared" si="23"/>
        <v>11</v>
      </c>
    </row>
    <row r="128" spans="1:20" ht="11.25" customHeight="1" x14ac:dyDescent="0.25">
      <c r="A128" s="42" t="s">
        <v>1035</v>
      </c>
      <c r="B128" s="28"/>
      <c r="C128" s="28"/>
      <c r="D128" s="28"/>
      <c r="E128" s="302" t="s">
        <v>126</v>
      </c>
      <c r="F128" s="303"/>
      <c r="G128" s="11">
        <v>-1142.6199999999999</v>
      </c>
      <c r="H128" s="11">
        <v>-972.78</v>
      </c>
      <c r="I128" s="11">
        <v>0</v>
      </c>
      <c r="J128" s="140">
        <v>0</v>
      </c>
      <c r="K128" s="154">
        <v>0</v>
      </c>
      <c r="N128" s="91">
        <f t="shared" si="19"/>
        <v>0</v>
      </c>
      <c r="O128" s="130" t="str">
        <f t="shared" si="20"/>
        <v/>
      </c>
      <c r="P128" s="91">
        <f t="shared" si="21"/>
        <v>-972.78</v>
      </c>
      <c r="Q128" s="130">
        <f t="shared" si="22"/>
        <v>0</v>
      </c>
      <c r="R128" s="91"/>
      <c r="S128" s="132" t="str">
        <f t="shared" si="24"/>
        <v/>
      </c>
      <c r="T128" s="172">
        <f t="shared" si="23"/>
        <v>11</v>
      </c>
    </row>
    <row r="129" spans="1:20" ht="11.25" customHeight="1" x14ac:dyDescent="0.25">
      <c r="A129" s="26" t="s">
        <v>1038</v>
      </c>
      <c r="B129" s="26"/>
      <c r="C129" s="23"/>
      <c r="D129" s="23"/>
      <c r="E129" s="306" t="s">
        <v>127</v>
      </c>
      <c r="F129" s="307"/>
      <c r="G129" s="25">
        <f t="shared" ref="G129:K129" si="27">SUM(G130:G138)</f>
        <v>-13353536.449999999</v>
      </c>
      <c r="H129" s="25">
        <f t="shared" si="27"/>
        <v>-12971235.859999999</v>
      </c>
      <c r="I129" s="25">
        <f t="shared" si="27"/>
        <v>-12705743.030643739</v>
      </c>
      <c r="J129" s="25">
        <f t="shared" si="27"/>
        <v>0</v>
      </c>
      <c r="K129" s="153">
        <f t="shared" si="27"/>
        <v>-13453960</v>
      </c>
      <c r="N129" s="91">
        <f t="shared" si="19"/>
        <v>748216.96935626119</v>
      </c>
      <c r="O129" s="130">
        <f t="shared" si="20"/>
        <v>1.0588880923808792</v>
      </c>
      <c r="P129" s="91">
        <f t="shared" si="21"/>
        <v>482724.1400000006</v>
      </c>
      <c r="Q129" s="130">
        <f t="shared" si="22"/>
        <v>1.0372149689674983</v>
      </c>
      <c r="R129" s="91"/>
      <c r="S129" s="132" t="str">
        <f t="shared" si="24"/>
        <v/>
      </c>
      <c r="T129" s="172">
        <f t="shared" si="23"/>
        <v>7</v>
      </c>
    </row>
    <row r="130" spans="1:20" ht="11.25" customHeight="1" x14ac:dyDescent="0.25">
      <c r="A130" s="42" t="s">
        <v>1039</v>
      </c>
      <c r="B130" s="28" t="s">
        <v>916</v>
      </c>
      <c r="C130" s="28" t="s">
        <v>923</v>
      </c>
      <c r="D130" s="28" t="s">
        <v>1037</v>
      </c>
      <c r="E130" s="302" t="s">
        <v>128</v>
      </c>
      <c r="F130" s="303"/>
      <c r="G130" s="11">
        <v>-226270.35</v>
      </c>
      <c r="H130" s="11">
        <v>-169543.03</v>
      </c>
      <c r="I130" s="11">
        <v>-139999.999999992</v>
      </c>
      <c r="J130" s="140">
        <v>0</v>
      </c>
      <c r="K130" s="155">
        <v>0</v>
      </c>
      <c r="N130" s="91">
        <f t="shared" si="19"/>
        <v>-139999.999999992</v>
      </c>
      <c r="O130" s="130">
        <f t="shared" si="20"/>
        <v>0</v>
      </c>
      <c r="P130" s="91">
        <f t="shared" si="21"/>
        <v>-169543.03</v>
      </c>
      <c r="Q130" s="130">
        <f t="shared" si="22"/>
        <v>0</v>
      </c>
      <c r="R130" s="91"/>
      <c r="S130" s="132" t="str">
        <f t="shared" si="24"/>
        <v/>
      </c>
      <c r="T130" s="172">
        <f t="shared" si="23"/>
        <v>11</v>
      </c>
    </row>
    <row r="131" spans="1:20" ht="11.25" customHeight="1" x14ac:dyDescent="0.25">
      <c r="A131" s="42" t="s">
        <v>1040</v>
      </c>
      <c r="B131" s="28" t="s">
        <v>916</v>
      </c>
      <c r="C131" s="28" t="s">
        <v>923</v>
      </c>
      <c r="D131" s="28" t="s">
        <v>917</v>
      </c>
      <c r="E131" s="302" t="s">
        <v>129</v>
      </c>
      <c r="F131" s="303"/>
      <c r="G131" s="11">
        <v>-816468.25</v>
      </c>
      <c r="H131" s="11">
        <v>-936945.32</v>
      </c>
      <c r="I131" s="11">
        <v>-799999.99999990396</v>
      </c>
      <c r="J131" s="140">
        <v>0</v>
      </c>
      <c r="K131" s="155">
        <v>-850000</v>
      </c>
      <c r="N131" s="91">
        <f t="shared" si="19"/>
        <v>50000.000000096043</v>
      </c>
      <c r="O131" s="130">
        <f t="shared" si="20"/>
        <v>1.0625000000001275</v>
      </c>
      <c r="P131" s="91">
        <f t="shared" si="21"/>
        <v>-86945.319999999949</v>
      </c>
      <c r="Q131" s="130">
        <f t="shared" si="22"/>
        <v>0.90720342143338739</v>
      </c>
      <c r="R131" s="91"/>
      <c r="S131" s="132" t="str">
        <f t="shared" si="24"/>
        <v/>
      </c>
      <c r="T131" s="172">
        <f t="shared" si="23"/>
        <v>11</v>
      </c>
    </row>
    <row r="132" spans="1:20" ht="11.25" customHeight="1" x14ac:dyDescent="0.25">
      <c r="A132" s="42" t="s">
        <v>1041</v>
      </c>
      <c r="B132" s="20" t="s">
        <v>916</v>
      </c>
      <c r="C132" s="20" t="s">
        <v>920</v>
      </c>
      <c r="D132" s="20" t="s">
        <v>1053</v>
      </c>
      <c r="E132" s="302" t="s">
        <v>130</v>
      </c>
      <c r="F132" s="303"/>
      <c r="G132" s="11">
        <v>-1236600.17</v>
      </c>
      <c r="H132" s="11">
        <v>-1020629.45</v>
      </c>
      <c r="I132" s="11">
        <v>-299999.999999939</v>
      </c>
      <c r="J132" s="140">
        <v>0</v>
      </c>
      <c r="K132" s="155">
        <v>-100000</v>
      </c>
      <c r="N132" s="91">
        <f t="shared" si="19"/>
        <v>-199999.999999939</v>
      </c>
      <c r="O132" s="130">
        <f t="shared" si="20"/>
        <v>0.33333333333340109</v>
      </c>
      <c r="P132" s="91">
        <f t="shared" si="21"/>
        <v>-920629.45</v>
      </c>
      <c r="Q132" s="130">
        <f t="shared" si="22"/>
        <v>9.7978752229812699E-2</v>
      </c>
      <c r="R132" s="91"/>
      <c r="S132" s="132" t="str">
        <f t="shared" si="24"/>
        <v/>
      </c>
      <c r="T132" s="172">
        <f t="shared" si="23"/>
        <v>11</v>
      </c>
    </row>
    <row r="133" spans="1:20" ht="11.25" customHeight="1" x14ac:dyDescent="0.25">
      <c r="A133" s="42" t="s">
        <v>1042</v>
      </c>
      <c r="B133" s="20" t="s">
        <v>916</v>
      </c>
      <c r="C133" s="20" t="s">
        <v>920</v>
      </c>
      <c r="D133" s="20" t="s">
        <v>1053</v>
      </c>
      <c r="E133" s="302" t="s">
        <v>131</v>
      </c>
      <c r="F133" s="303"/>
      <c r="G133" s="11">
        <v>-8855827.8900000006</v>
      </c>
      <c r="H133" s="11">
        <v>-7500087.1900000004</v>
      </c>
      <c r="I133" s="11">
        <v>-7099999.9999997597</v>
      </c>
      <c r="J133" s="140">
        <v>0</v>
      </c>
      <c r="K133" s="155">
        <f>-100000-7500000</f>
        <v>-7600000</v>
      </c>
      <c r="L133" s="109" t="s">
        <v>1710</v>
      </c>
      <c r="M133" s="109"/>
      <c r="N133" s="91">
        <f t="shared" si="19"/>
        <v>500000.00000024028</v>
      </c>
      <c r="O133" s="130">
        <f t="shared" si="20"/>
        <v>1.0704225352113039</v>
      </c>
      <c r="P133" s="91">
        <f t="shared" si="21"/>
        <v>99912.80999999959</v>
      </c>
      <c r="Q133" s="130">
        <f t="shared" si="22"/>
        <v>1.0133215531325042</v>
      </c>
      <c r="R133" s="91"/>
      <c r="S133" s="132" t="str">
        <f t="shared" si="24"/>
        <v/>
      </c>
      <c r="T133" s="172">
        <f t="shared" si="23"/>
        <v>11</v>
      </c>
    </row>
    <row r="134" spans="1:20" ht="11.25" customHeight="1" x14ac:dyDescent="0.25">
      <c r="A134" s="42" t="s">
        <v>1043</v>
      </c>
      <c r="B134" s="20" t="s">
        <v>1654</v>
      </c>
      <c r="C134" s="20" t="s">
        <v>919</v>
      </c>
      <c r="D134" s="20" t="s">
        <v>1655</v>
      </c>
      <c r="E134" s="302" t="s">
        <v>132</v>
      </c>
      <c r="F134" s="303"/>
      <c r="G134" s="11">
        <v>-1278998.45</v>
      </c>
      <c r="H134" s="11">
        <v>-2215890.1</v>
      </c>
      <c r="I134" s="11">
        <v>-2616095.8245606702</v>
      </c>
      <c r="J134" s="140">
        <v>0</v>
      </c>
      <c r="K134" s="155">
        <v>-2753960</v>
      </c>
      <c r="N134" s="91">
        <f t="shared" si="19"/>
        <v>137864.17543932982</v>
      </c>
      <c r="O134" s="130">
        <f t="shared" si="20"/>
        <v>1.0526984425207291</v>
      </c>
      <c r="P134" s="91">
        <f t="shared" si="21"/>
        <v>538069.89999999991</v>
      </c>
      <c r="Q134" s="130">
        <f t="shared" si="22"/>
        <v>1.2428233692636652</v>
      </c>
      <c r="R134" s="91"/>
      <c r="S134" s="132" t="str">
        <f t="shared" si="24"/>
        <v/>
      </c>
      <c r="T134" s="172">
        <f t="shared" si="23"/>
        <v>11</v>
      </c>
    </row>
    <row r="135" spans="1:20" ht="11.25" customHeight="1" x14ac:dyDescent="0.25">
      <c r="A135" s="42" t="s">
        <v>1044</v>
      </c>
      <c r="B135" s="20" t="s">
        <v>916</v>
      </c>
      <c r="C135" s="20" t="s">
        <v>923</v>
      </c>
      <c r="D135" s="20" t="s">
        <v>1648</v>
      </c>
      <c r="E135" s="302" t="s">
        <v>133</v>
      </c>
      <c r="F135" s="303"/>
      <c r="G135" s="11">
        <v>-504853.28999999899</v>
      </c>
      <c r="H135" s="11">
        <v>-634431.09999999905</v>
      </c>
      <c r="I135" s="11">
        <v>-599647.20608354697</v>
      </c>
      <c r="J135" s="140">
        <v>0</v>
      </c>
      <c r="K135" s="155">
        <v>-700000</v>
      </c>
      <c r="N135" s="91">
        <f t="shared" si="19"/>
        <v>100352.79391645303</v>
      </c>
      <c r="O135" s="130">
        <f t="shared" si="20"/>
        <v>1.1673530584289442</v>
      </c>
      <c r="P135" s="91">
        <f t="shared" si="21"/>
        <v>65568.900000000955</v>
      </c>
      <c r="Q135" s="130">
        <f t="shared" si="22"/>
        <v>1.103350702700421</v>
      </c>
      <c r="R135" s="91"/>
      <c r="S135" s="132" t="str">
        <f t="shared" si="24"/>
        <v/>
      </c>
      <c r="T135" s="172">
        <f t="shared" si="23"/>
        <v>11</v>
      </c>
    </row>
    <row r="136" spans="1:20" ht="11.25" customHeight="1" x14ac:dyDescent="0.25">
      <c r="A136" s="42" t="s">
        <v>1045</v>
      </c>
      <c r="B136" s="20" t="s">
        <v>916</v>
      </c>
      <c r="C136" s="20" t="s">
        <v>919</v>
      </c>
      <c r="D136" s="20" t="s">
        <v>918</v>
      </c>
      <c r="E136" s="290" t="s">
        <v>134</v>
      </c>
      <c r="F136" s="291"/>
      <c r="G136" s="11">
        <v>-434518.05</v>
      </c>
      <c r="H136" s="11">
        <v>-492176.67</v>
      </c>
      <c r="I136" s="11">
        <v>-449999.99999998801</v>
      </c>
      <c r="J136" s="140">
        <v>0</v>
      </c>
      <c r="K136" s="155">
        <v>-550000</v>
      </c>
      <c r="L136" s="109" t="s">
        <v>1695</v>
      </c>
      <c r="M136" s="109"/>
      <c r="N136" s="91">
        <f t="shared" si="19"/>
        <v>100000.00000001199</v>
      </c>
      <c r="O136" s="130">
        <f t="shared" si="20"/>
        <v>1.2222222222222547</v>
      </c>
      <c r="P136" s="91">
        <f t="shared" si="21"/>
        <v>57823.330000000016</v>
      </c>
      <c r="Q136" s="130">
        <f t="shared" si="22"/>
        <v>1.1174849063853434</v>
      </c>
      <c r="R136" s="91"/>
      <c r="S136" s="132" t="str">
        <f t="shared" si="24"/>
        <v/>
      </c>
      <c r="T136" s="172">
        <f t="shared" si="23"/>
        <v>11</v>
      </c>
    </row>
    <row r="137" spans="1:20" ht="11.25" customHeight="1" x14ac:dyDescent="0.25">
      <c r="A137" s="57" t="s">
        <v>1046</v>
      </c>
      <c r="B137" s="175" t="s">
        <v>916</v>
      </c>
      <c r="C137" s="175" t="s">
        <v>919</v>
      </c>
      <c r="D137" s="175" t="s">
        <v>1649</v>
      </c>
      <c r="E137" s="308" t="s">
        <v>1678</v>
      </c>
      <c r="F137" s="309"/>
      <c r="G137" s="56">
        <v>0</v>
      </c>
      <c r="H137" s="56">
        <v>0</v>
      </c>
      <c r="I137" s="56">
        <v>-699999.99999993597</v>
      </c>
      <c r="J137" s="176">
        <v>0</v>
      </c>
      <c r="K137" s="168">
        <v>-900000</v>
      </c>
      <c r="L137" s="183" t="s">
        <v>1725</v>
      </c>
      <c r="M137" s="183"/>
      <c r="N137" s="91">
        <f t="shared" si="19"/>
        <v>200000.00000006403</v>
      </c>
      <c r="O137" s="130">
        <f t="shared" si="20"/>
        <v>1.2857142857144033</v>
      </c>
      <c r="P137" s="91">
        <f t="shared" si="21"/>
        <v>900000</v>
      </c>
      <c r="Q137" s="130" t="str">
        <f t="shared" si="22"/>
        <v/>
      </c>
      <c r="R137" s="91"/>
      <c r="S137" s="132" t="str">
        <f t="shared" si="24"/>
        <v/>
      </c>
      <c r="T137" s="172">
        <f t="shared" si="23"/>
        <v>11</v>
      </c>
    </row>
    <row r="138" spans="1:20" ht="11.25" customHeight="1" x14ac:dyDescent="0.25">
      <c r="A138" s="42" t="s">
        <v>1047</v>
      </c>
      <c r="B138" s="20"/>
      <c r="C138" s="20"/>
      <c r="D138" s="20"/>
      <c r="E138" s="302" t="s">
        <v>135</v>
      </c>
      <c r="F138" s="303"/>
      <c r="G138" s="11">
        <v>0</v>
      </c>
      <c r="H138" s="11">
        <v>-1533</v>
      </c>
      <c r="I138" s="11">
        <v>0</v>
      </c>
      <c r="J138" s="140">
        <v>0</v>
      </c>
      <c r="K138" s="154"/>
      <c r="N138" s="91">
        <f t="shared" si="19"/>
        <v>0</v>
      </c>
      <c r="O138" s="130" t="str">
        <f t="shared" si="20"/>
        <v/>
      </c>
      <c r="P138" s="91">
        <f t="shared" si="21"/>
        <v>-1533</v>
      </c>
      <c r="Q138" s="130">
        <f t="shared" si="22"/>
        <v>0</v>
      </c>
      <c r="R138" s="91"/>
      <c r="S138" s="132" t="str">
        <f t="shared" si="24"/>
        <v/>
      </c>
      <c r="T138" s="172">
        <f t="shared" si="23"/>
        <v>11</v>
      </c>
    </row>
    <row r="139" spans="1:20" ht="11.25" customHeight="1" x14ac:dyDescent="0.25">
      <c r="A139" s="26" t="s">
        <v>1048</v>
      </c>
      <c r="B139" s="26"/>
      <c r="C139" s="23"/>
      <c r="D139" s="23"/>
      <c r="E139" s="306" t="s">
        <v>136</v>
      </c>
      <c r="F139" s="307"/>
      <c r="G139" s="25">
        <f t="shared" ref="G139:K139" si="28">SUM(G140:G148)</f>
        <v>-30327520.59999999</v>
      </c>
      <c r="H139" s="25">
        <f t="shared" si="28"/>
        <v>-32999748.190000001</v>
      </c>
      <c r="I139" s="25">
        <f t="shared" si="28"/>
        <v>-32112701.835206844</v>
      </c>
      <c r="J139" s="25">
        <f t="shared" si="28"/>
        <v>0</v>
      </c>
      <c r="K139" s="153">
        <f t="shared" si="28"/>
        <v>-28849705.999999981</v>
      </c>
      <c r="N139" s="91">
        <f t="shared" ref="N139:N202" si="29">-K139+I139</f>
        <v>-3262995.8352068625</v>
      </c>
      <c r="O139" s="130">
        <f t="shared" ref="O139:O202" si="30">IF(I139=0,"",K139/I139)</f>
        <v>0.89838924635019446</v>
      </c>
      <c r="P139" s="91">
        <f t="shared" ref="P139:P202" si="31">-K139+H139</f>
        <v>-4150042.19000002</v>
      </c>
      <c r="Q139" s="130">
        <f t="shared" ref="Q139:Q202" si="32">IF(H139=0,"",K139/H139)</f>
        <v>0.87424018613397725</v>
      </c>
      <c r="R139" s="91"/>
      <c r="S139" s="132" t="str">
        <f t="shared" si="24"/>
        <v/>
      </c>
      <c r="T139" s="172">
        <f t="shared" ref="T139:T202" si="33">LEN(A139)</f>
        <v>7</v>
      </c>
    </row>
    <row r="140" spans="1:20" ht="11.25" customHeight="1" x14ac:dyDescent="0.25">
      <c r="A140" s="42" t="s">
        <v>1049</v>
      </c>
      <c r="B140" s="33"/>
      <c r="C140" s="33"/>
      <c r="D140" s="33"/>
      <c r="E140" s="302" t="s">
        <v>137</v>
      </c>
      <c r="F140" s="303"/>
      <c r="G140" s="11">
        <v>-3238794.12</v>
      </c>
      <c r="H140" s="11">
        <v>-1489714.86</v>
      </c>
      <c r="I140" s="11">
        <v>-2000000</v>
      </c>
      <c r="J140" s="140">
        <v>0</v>
      </c>
      <c r="K140" s="158">
        <v>-400000</v>
      </c>
      <c r="N140" s="91">
        <f t="shared" si="29"/>
        <v>-1600000</v>
      </c>
      <c r="O140" s="130">
        <f t="shared" si="30"/>
        <v>0.2</v>
      </c>
      <c r="P140" s="91">
        <f t="shared" si="31"/>
        <v>-1089714.8600000001</v>
      </c>
      <c r="Q140" s="130">
        <f t="shared" si="32"/>
        <v>0.26850775993467635</v>
      </c>
      <c r="R140" s="91"/>
      <c r="S140" s="132" t="str">
        <f t="shared" si="24"/>
        <v/>
      </c>
      <c r="T140" s="172">
        <f t="shared" si="33"/>
        <v>11</v>
      </c>
    </row>
    <row r="141" spans="1:20" ht="11.25" customHeight="1" x14ac:dyDescent="0.25">
      <c r="A141" s="42" t="s">
        <v>1050</v>
      </c>
      <c r="B141" s="20"/>
      <c r="C141" s="33"/>
      <c r="D141" s="33"/>
      <c r="E141" s="302" t="s">
        <v>138</v>
      </c>
      <c r="F141" s="303"/>
      <c r="G141" s="11">
        <v>-929</v>
      </c>
      <c r="H141" s="11">
        <v>0</v>
      </c>
      <c r="I141" s="11">
        <v>0</v>
      </c>
      <c r="J141" s="140">
        <v>0</v>
      </c>
      <c r="K141" s="174">
        <v>0</v>
      </c>
      <c r="N141" s="91">
        <f t="shared" si="29"/>
        <v>0</v>
      </c>
      <c r="O141" s="130" t="str">
        <f t="shared" si="30"/>
        <v/>
      </c>
      <c r="P141" s="91">
        <f t="shared" si="31"/>
        <v>0</v>
      </c>
      <c r="Q141" s="130" t="str">
        <f t="shared" si="32"/>
        <v/>
      </c>
      <c r="R141" s="91"/>
      <c r="S141" s="132" t="str">
        <f t="shared" ref="S141:S204" si="34">IF(J141=0,"",K141/J141)</f>
        <v/>
      </c>
      <c r="T141" s="172">
        <f t="shared" si="33"/>
        <v>11</v>
      </c>
    </row>
    <row r="142" spans="1:20" ht="11.25" customHeight="1" x14ac:dyDescent="0.25">
      <c r="A142" s="42" t="s">
        <v>1051</v>
      </c>
      <c r="B142" s="28" t="s">
        <v>916</v>
      </c>
      <c r="C142" s="28" t="s">
        <v>923</v>
      </c>
      <c r="D142" s="28" t="s">
        <v>1037</v>
      </c>
      <c r="E142" s="302" t="s">
        <v>139</v>
      </c>
      <c r="F142" s="303"/>
      <c r="G142" s="11">
        <v>-2592689.21999999</v>
      </c>
      <c r="H142" s="11">
        <v>-3654037.6600000099</v>
      </c>
      <c r="I142" s="11">
        <v>-2900000.0000000098</v>
      </c>
      <c r="J142" s="140">
        <v>0</v>
      </c>
      <c r="K142" s="155">
        <v>-1000000</v>
      </c>
      <c r="L142" s="109" t="s">
        <v>1698</v>
      </c>
      <c r="M142" s="109"/>
      <c r="N142" s="91">
        <f t="shared" si="29"/>
        <v>-1900000.0000000098</v>
      </c>
      <c r="O142" s="130">
        <f t="shared" si="30"/>
        <v>0.34482758620689541</v>
      </c>
      <c r="P142" s="91">
        <f t="shared" si="31"/>
        <v>-2654037.6600000099</v>
      </c>
      <c r="Q142" s="130">
        <f t="shared" si="32"/>
        <v>0.27366986688363726</v>
      </c>
      <c r="R142" s="91"/>
      <c r="S142" s="132" t="str">
        <f t="shared" si="34"/>
        <v/>
      </c>
      <c r="T142" s="172">
        <f t="shared" si="33"/>
        <v>11</v>
      </c>
    </row>
    <row r="143" spans="1:20" ht="11.25" customHeight="1" x14ac:dyDescent="0.25">
      <c r="A143" s="42" t="s">
        <v>1052</v>
      </c>
      <c r="B143" s="28" t="s">
        <v>916</v>
      </c>
      <c r="C143" s="28" t="s">
        <v>923</v>
      </c>
      <c r="D143" s="28" t="s">
        <v>1037</v>
      </c>
      <c r="E143" s="302" t="s">
        <v>140</v>
      </c>
      <c r="F143" s="303"/>
      <c r="G143" s="11">
        <v>-94187.940000000104</v>
      </c>
      <c r="H143" s="11">
        <v>-65961.8</v>
      </c>
      <c r="I143" s="11">
        <v>-63999.999999995998</v>
      </c>
      <c r="J143" s="140">
        <v>0</v>
      </c>
      <c r="K143" s="155">
        <v>-125000</v>
      </c>
      <c r="N143" s="91">
        <f t="shared" si="29"/>
        <v>61000.000000004002</v>
      </c>
      <c r="O143" s="130">
        <f t="shared" si="30"/>
        <v>1.9531250000001221</v>
      </c>
      <c r="P143" s="91">
        <f t="shared" si="31"/>
        <v>59038.2</v>
      </c>
      <c r="Q143" s="130">
        <f t="shared" si="32"/>
        <v>1.8950362179321971</v>
      </c>
      <c r="R143" s="91"/>
      <c r="S143" s="132" t="str">
        <f t="shared" si="34"/>
        <v/>
      </c>
      <c r="T143" s="172">
        <f t="shared" si="33"/>
        <v>11</v>
      </c>
    </row>
    <row r="144" spans="1:20" ht="11.25" customHeight="1" x14ac:dyDescent="0.25">
      <c r="A144" s="42" t="s">
        <v>1054</v>
      </c>
      <c r="B144" s="28" t="s">
        <v>916</v>
      </c>
      <c r="C144" s="28" t="s">
        <v>923</v>
      </c>
      <c r="D144" s="28" t="s">
        <v>1037</v>
      </c>
      <c r="E144" s="302" t="s">
        <v>141</v>
      </c>
      <c r="F144" s="303"/>
      <c r="G144" s="11">
        <v>-190794.35</v>
      </c>
      <c r="H144" s="11">
        <v>-2203147.31</v>
      </c>
      <c r="I144" s="11">
        <v>-1524000</v>
      </c>
      <c r="J144" s="140">
        <v>0</v>
      </c>
      <c r="K144" s="155">
        <v>-250000</v>
      </c>
      <c r="N144" s="91">
        <f t="shared" si="29"/>
        <v>-1274000</v>
      </c>
      <c r="O144" s="130">
        <f t="shared" si="30"/>
        <v>0.16404199475065617</v>
      </c>
      <c r="P144" s="91">
        <f t="shared" si="31"/>
        <v>-1953147.31</v>
      </c>
      <c r="Q144" s="130">
        <f t="shared" si="32"/>
        <v>0.11347402820740116</v>
      </c>
      <c r="R144" s="91"/>
      <c r="S144" s="132" t="str">
        <f t="shared" si="34"/>
        <v/>
      </c>
      <c r="T144" s="172">
        <f t="shared" si="33"/>
        <v>11</v>
      </c>
    </row>
    <row r="145" spans="1:20" ht="11.25" customHeight="1" x14ac:dyDescent="0.25">
      <c r="A145" s="42" t="s">
        <v>1055</v>
      </c>
      <c r="B145" s="14"/>
      <c r="C145" s="13"/>
      <c r="D145" s="13"/>
      <c r="E145" s="302" t="s">
        <v>142</v>
      </c>
      <c r="F145" s="303"/>
      <c r="G145" s="11">
        <v>532.4</v>
      </c>
      <c r="H145" s="11">
        <v>11972.95</v>
      </c>
      <c r="I145" s="11">
        <v>0</v>
      </c>
      <c r="J145" s="140">
        <v>0</v>
      </c>
      <c r="K145" s="154"/>
      <c r="N145" s="91">
        <f t="shared" si="29"/>
        <v>0</v>
      </c>
      <c r="O145" s="130" t="str">
        <f t="shared" si="30"/>
        <v/>
      </c>
      <c r="P145" s="91">
        <f t="shared" si="31"/>
        <v>11972.95</v>
      </c>
      <c r="Q145" s="130">
        <f t="shared" si="32"/>
        <v>0</v>
      </c>
      <c r="R145" s="91"/>
      <c r="S145" s="132" t="str">
        <f t="shared" si="34"/>
        <v/>
      </c>
      <c r="T145" s="172">
        <f t="shared" si="33"/>
        <v>11</v>
      </c>
    </row>
    <row r="146" spans="1:20" ht="11.25" customHeight="1" x14ac:dyDescent="0.25">
      <c r="A146" s="42" t="s">
        <v>1056</v>
      </c>
      <c r="B146" s="28" t="s">
        <v>916</v>
      </c>
      <c r="C146" s="28" t="s">
        <v>917</v>
      </c>
      <c r="D146" s="28" t="s">
        <v>917</v>
      </c>
      <c r="E146" s="302" t="s">
        <v>143</v>
      </c>
      <c r="F146" s="303"/>
      <c r="G146" s="11">
        <v>-6199120.2599999998</v>
      </c>
      <c r="H146" s="11">
        <v>-6751539.4699999904</v>
      </c>
      <c r="I146" s="11">
        <v>-6649145.2521631904</v>
      </c>
      <c r="J146" s="140">
        <v>0</v>
      </c>
      <c r="K146" s="159">
        <f>-7072247-20000+187247</f>
        <v>-6905000</v>
      </c>
      <c r="N146" s="91">
        <f t="shared" si="29"/>
        <v>255854.74783680961</v>
      </c>
      <c r="O146" s="130">
        <f t="shared" si="30"/>
        <v>1.0384793440560758</v>
      </c>
      <c r="P146" s="91">
        <f t="shared" si="31"/>
        <v>153460.53000000957</v>
      </c>
      <c r="Q146" s="130">
        <f t="shared" si="32"/>
        <v>1.0227297093769356</v>
      </c>
      <c r="R146" s="91"/>
      <c r="S146" s="132" t="str">
        <f t="shared" si="34"/>
        <v/>
      </c>
      <c r="T146" s="172">
        <f t="shared" si="33"/>
        <v>11</v>
      </c>
    </row>
    <row r="147" spans="1:20" ht="11.25" customHeight="1" x14ac:dyDescent="0.25">
      <c r="A147" s="42" t="s">
        <v>1057</v>
      </c>
      <c r="B147" s="28" t="s">
        <v>916</v>
      </c>
      <c r="C147" s="28" t="s">
        <v>917</v>
      </c>
      <c r="D147" s="28" t="s">
        <v>917</v>
      </c>
      <c r="E147" s="302" t="s">
        <v>144</v>
      </c>
      <c r="F147" s="303"/>
      <c r="G147" s="11">
        <v>-12778799.890000001</v>
      </c>
      <c r="H147" s="11">
        <v>-13075164.6</v>
      </c>
      <c r="I147" s="11">
        <v>-13151958.6907572</v>
      </c>
      <c r="J147" s="140">
        <v>0</v>
      </c>
      <c r="K147" s="159">
        <f>-14306805-55000+111099</f>
        <v>-14250706</v>
      </c>
      <c r="N147" s="91">
        <f t="shared" si="29"/>
        <v>1098747.3092427999</v>
      </c>
      <c r="O147" s="130">
        <f t="shared" si="30"/>
        <v>1.0835424848174871</v>
      </c>
      <c r="P147" s="91">
        <f t="shared" si="31"/>
        <v>1175541.4000000004</v>
      </c>
      <c r="Q147" s="130">
        <f t="shared" si="32"/>
        <v>1.0899064322295415</v>
      </c>
      <c r="R147" s="91"/>
      <c r="S147" s="132" t="str">
        <f t="shared" si="34"/>
        <v/>
      </c>
      <c r="T147" s="172">
        <f t="shared" si="33"/>
        <v>11</v>
      </c>
    </row>
    <row r="148" spans="1:20" ht="11.25" customHeight="1" x14ac:dyDescent="0.25">
      <c r="A148" s="42" t="s">
        <v>1058</v>
      </c>
      <c r="B148" s="28" t="s">
        <v>916</v>
      </c>
      <c r="C148" s="28" t="s">
        <v>917</v>
      </c>
      <c r="D148" s="28" t="s">
        <v>917</v>
      </c>
      <c r="E148" s="302" t="s">
        <v>145</v>
      </c>
      <c r="F148" s="303"/>
      <c r="G148" s="11">
        <v>-5232738.22</v>
      </c>
      <c r="H148" s="11">
        <v>-5772155.4400000004</v>
      </c>
      <c r="I148" s="11">
        <v>-5823597.8922864497</v>
      </c>
      <c r="J148" s="140">
        <v>0</v>
      </c>
      <c r="K148" s="159">
        <f>-5456653.99999998+5000-169000-298346</f>
        <v>-5918999.9999999804</v>
      </c>
      <c r="N148" s="91">
        <f t="shared" si="29"/>
        <v>95402.107713530771</v>
      </c>
      <c r="O148" s="130">
        <f t="shared" si="30"/>
        <v>1.0163819874720221</v>
      </c>
      <c r="P148" s="91">
        <f t="shared" si="31"/>
        <v>146844.55999998003</v>
      </c>
      <c r="Q148" s="130">
        <f t="shared" si="32"/>
        <v>1.0254401603571472</v>
      </c>
      <c r="R148" s="91"/>
      <c r="S148" s="132" t="str">
        <f t="shared" si="34"/>
        <v/>
      </c>
      <c r="T148" s="172">
        <f t="shared" si="33"/>
        <v>11</v>
      </c>
    </row>
    <row r="149" spans="1:20" ht="11.25" customHeight="1" x14ac:dyDescent="0.25">
      <c r="A149" s="26" t="s">
        <v>1059</v>
      </c>
      <c r="B149" s="26"/>
      <c r="C149" s="23"/>
      <c r="D149" s="23"/>
      <c r="E149" s="306" t="s">
        <v>146</v>
      </c>
      <c r="F149" s="307"/>
      <c r="G149" s="25">
        <f t="shared" ref="G149:K149" si="35">SUM(G150)</f>
        <v>-99178.03</v>
      </c>
      <c r="H149" s="25">
        <f t="shared" si="35"/>
        <v>-120156.37</v>
      </c>
      <c r="I149" s="25">
        <f t="shared" si="35"/>
        <v>-99999.999999995998</v>
      </c>
      <c r="J149" s="25">
        <f t="shared" si="35"/>
        <v>0</v>
      </c>
      <c r="K149" s="153">
        <f t="shared" si="35"/>
        <v>-125000</v>
      </c>
      <c r="N149" s="91">
        <f t="shared" si="29"/>
        <v>25000.000000004002</v>
      </c>
      <c r="O149" s="130">
        <f t="shared" si="30"/>
        <v>1.25000000000005</v>
      </c>
      <c r="P149" s="91">
        <f t="shared" si="31"/>
        <v>4843.6300000000047</v>
      </c>
      <c r="Q149" s="130">
        <f t="shared" si="32"/>
        <v>1.040311054669844</v>
      </c>
      <c r="R149" s="91"/>
      <c r="S149" s="132" t="str">
        <f t="shared" si="34"/>
        <v/>
      </c>
      <c r="T149" s="172">
        <f t="shared" si="33"/>
        <v>7</v>
      </c>
    </row>
    <row r="150" spans="1:20" ht="11.25" customHeight="1" x14ac:dyDescent="0.25">
      <c r="A150" s="42" t="s">
        <v>1060</v>
      </c>
      <c r="B150" s="20" t="s">
        <v>916</v>
      </c>
      <c r="C150" s="20" t="s">
        <v>919</v>
      </c>
      <c r="D150" s="20" t="s">
        <v>917</v>
      </c>
      <c r="E150" s="302" t="s">
        <v>147</v>
      </c>
      <c r="F150" s="303"/>
      <c r="G150" s="11">
        <v>-99178.03</v>
      </c>
      <c r="H150" s="11">
        <v>-120156.37</v>
      </c>
      <c r="I150" s="11">
        <v>-99999.999999995998</v>
      </c>
      <c r="J150" s="140">
        <v>0</v>
      </c>
      <c r="K150" s="155">
        <v>-125000</v>
      </c>
      <c r="N150" s="91">
        <f t="shared" si="29"/>
        <v>25000.000000004002</v>
      </c>
      <c r="O150" s="130">
        <f t="shared" si="30"/>
        <v>1.25000000000005</v>
      </c>
      <c r="P150" s="91">
        <f t="shared" si="31"/>
        <v>4843.6300000000047</v>
      </c>
      <c r="Q150" s="130">
        <f t="shared" si="32"/>
        <v>1.040311054669844</v>
      </c>
      <c r="R150" s="91"/>
      <c r="S150" s="132" t="str">
        <f t="shared" si="34"/>
        <v/>
      </c>
      <c r="T150" s="172">
        <f t="shared" si="33"/>
        <v>11</v>
      </c>
    </row>
    <row r="151" spans="1:20" ht="11.25" customHeight="1" x14ac:dyDescent="0.25">
      <c r="A151" s="26" t="s">
        <v>1061</v>
      </c>
      <c r="B151" s="26"/>
      <c r="C151" s="23"/>
      <c r="D151" s="23"/>
      <c r="E151" s="306" t="s">
        <v>148</v>
      </c>
      <c r="F151" s="307"/>
      <c r="G151" s="25">
        <f t="shared" ref="G151:K151" si="36">SUM(G152:G154)</f>
        <v>-1920028.44</v>
      </c>
      <c r="H151" s="25">
        <f t="shared" si="36"/>
        <v>-1776114.44</v>
      </c>
      <c r="I151" s="25">
        <f t="shared" si="36"/>
        <v>-1500351.5200643081</v>
      </c>
      <c r="J151" s="25">
        <f t="shared" si="36"/>
        <v>0</v>
      </c>
      <c r="K151" s="153">
        <f t="shared" si="36"/>
        <v>-2000000</v>
      </c>
      <c r="N151" s="91">
        <f t="shared" si="29"/>
        <v>499648.47993569192</v>
      </c>
      <c r="O151" s="130">
        <f t="shared" si="30"/>
        <v>1.3330209442612995</v>
      </c>
      <c r="P151" s="91">
        <f t="shared" si="31"/>
        <v>223885.56000000006</v>
      </c>
      <c r="Q151" s="130">
        <f t="shared" si="32"/>
        <v>1.1260535666834621</v>
      </c>
      <c r="R151" s="91"/>
      <c r="S151" s="132" t="str">
        <f t="shared" si="34"/>
        <v/>
      </c>
      <c r="T151" s="172">
        <f t="shared" si="33"/>
        <v>7</v>
      </c>
    </row>
    <row r="152" spans="1:20" ht="11.25" customHeight="1" x14ac:dyDescent="0.25">
      <c r="A152" s="42" t="s">
        <v>1062</v>
      </c>
      <c r="B152" s="27" t="s">
        <v>916</v>
      </c>
      <c r="C152" s="28" t="s">
        <v>920</v>
      </c>
      <c r="D152" s="28" t="s">
        <v>917</v>
      </c>
      <c r="E152" s="302" t="s">
        <v>149</v>
      </c>
      <c r="F152" s="303"/>
      <c r="G152" s="11">
        <v>-1384255.1</v>
      </c>
      <c r="H152" s="11">
        <v>-562991.74</v>
      </c>
      <c r="I152" s="11">
        <v>-499999.99999999203</v>
      </c>
      <c r="J152" s="140">
        <v>0</v>
      </c>
      <c r="K152" s="155">
        <v>-500000</v>
      </c>
      <c r="N152" s="91">
        <f t="shared" si="29"/>
        <v>7.9744495451450348E-9</v>
      </c>
      <c r="O152" s="130">
        <f t="shared" si="30"/>
        <v>1.000000000000016</v>
      </c>
      <c r="P152" s="91">
        <f t="shared" si="31"/>
        <v>-62991.739999999991</v>
      </c>
      <c r="Q152" s="130">
        <f t="shared" si="32"/>
        <v>0.88811249699684758</v>
      </c>
      <c r="R152" s="91"/>
      <c r="S152" s="132" t="str">
        <f t="shared" si="34"/>
        <v/>
      </c>
      <c r="T152" s="172">
        <f t="shared" si="33"/>
        <v>11</v>
      </c>
    </row>
    <row r="153" spans="1:20" ht="11.25" customHeight="1" x14ac:dyDescent="0.25">
      <c r="A153" s="42" t="s">
        <v>1063</v>
      </c>
      <c r="B153" s="27" t="s">
        <v>916</v>
      </c>
      <c r="C153" s="28" t="s">
        <v>920</v>
      </c>
      <c r="D153" s="28" t="s">
        <v>917</v>
      </c>
      <c r="E153" s="302" t="s">
        <v>150</v>
      </c>
      <c r="F153" s="303"/>
      <c r="G153" s="11">
        <v>-535773.34</v>
      </c>
      <c r="H153" s="11">
        <v>-1212958.3799999999</v>
      </c>
      <c r="I153" s="11">
        <v>-999999.99999999604</v>
      </c>
      <c r="J153" s="140">
        <v>0</v>
      </c>
      <c r="K153" s="155">
        <v>-1500000</v>
      </c>
      <c r="N153" s="91">
        <f t="shared" si="29"/>
        <v>500000.00000000396</v>
      </c>
      <c r="O153" s="130">
        <f t="shared" si="30"/>
        <v>1.500000000000006</v>
      </c>
      <c r="P153" s="91">
        <f t="shared" si="31"/>
        <v>287041.62000000011</v>
      </c>
      <c r="Q153" s="130">
        <f t="shared" si="32"/>
        <v>1.2366458938187146</v>
      </c>
      <c r="R153" s="91"/>
      <c r="S153" s="132" t="str">
        <f t="shared" si="34"/>
        <v/>
      </c>
      <c r="T153" s="172">
        <f t="shared" si="33"/>
        <v>11</v>
      </c>
    </row>
    <row r="154" spans="1:20" ht="11.25" customHeight="1" x14ac:dyDescent="0.25">
      <c r="A154" s="42" t="s">
        <v>1064</v>
      </c>
      <c r="B154" s="27"/>
      <c r="C154" s="28"/>
      <c r="D154" s="28"/>
      <c r="E154" s="302" t="s">
        <v>93</v>
      </c>
      <c r="F154" s="303"/>
      <c r="G154" s="11">
        <v>0</v>
      </c>
      <c r="H154" s="11">
        <v>-164.32</v>
      </c>
      <c r="I154" s="11">
        <v>-351.52006432000002</v>
      </c>
      <c r="J154" s="140">
        <v>0</v>
      </c>
      <c r="K154" s="155">
        <v>0</v>
      </c>
      <c r="N154" s="91">
        <f t="shared" si="29"/>
        <v>-351.52006432000002</v>
      </c>
      <c r="O154" s="130">
        <f t="shared" si="30"/>
        <v>0</v>
      </c>
      <c r="P154" s="91">
        <f t="shared" si="31"/>
        <v>-164.32</v>
      </c>
      <c r="Q154" s="130">
        <f t="shared" si="32"/>
        <v>0</v>
      </c>
      <c r="R154" s="91"/>
      <c r="S154" s="132" t="str">
        <f t="shared" si="34"/>
        <v/>
      </c>
      <c r="T154" s="172">
        <f t="shared" si="33"/>
        <v>11</v>
      </c>
    </row>
    <row r="155" spans="1:20" ht="11.25" customHeight="1" x14ac:dyDescent="0.25">
      <c r="A155" s="26" t="s">
        <v>1668</v>
      </c>
      <c r="B155" s="26"/>
      <c r="C155" s="23"/>
      <c r="D155" s="23"/>
      <c r="E155" s="306" t="s">
        <v>151</v>
      </c>
      <c r="F155" s="307"/>
      <c r="G155" s="25">
        <f>SUM(G156)</f>
        <v>-1170.94</v>
      </c>
      <c r="H155" s="25">
        <f>SUM(H156)</f>
        <v>-1125.3399999999999</v>
      </c>
      <c r="I155" s="25">
        <f>SUM(I156)</f>
        <v>0</v>
      </c>
      <c r="J155" s="139">
        <f t="shared" ref="J155:K155" si="37">SUM(J156)</f>
        <v>0</v>
      </c>
      <c r="K155" s="153">
        <f t="shared" si="37"/>
        <v>0</v>
      </c>
      <c r="N155" s="91">
        <f t="shared" si="29"/>
        <v>0</v>
      </c>
      <c r="O155" s="130" t="str">
        <f t="shared" si="30"/>
        <v/>
      </c>
      <c r="P155" s="91">
        <f t="shared" si="31"/>
        <v>-1125.3399999999999</v>
      </c>
      <c r="Q155" s="130">
        <f t="shared" si="32"/>
        <v>0</v>
      </c>
      <c r="R155" s="91"/>
      <c r="S155" s="132" t="str">
        <f t="shared" si="34"/>
        <v/>
      </c>
      <c r="T155" s="172">
        <f t="shared" si="33"/>
        <v>7</v>
      </c>
    </row>
    <row r="156" spans="1:20" ht="11.25" customHeight="1" x14ac:dyDescent="0.25">
      <c r="A156" s="42" t="s">
        <v>1065</v>
      </c>
      <c r="B156" s="14"/>
      <c r="C156" s="13"/>
      <c r="D156" s="13"/>
      <c r="E156" s="302" t="s">
        <v>152</v>
      </c>
      <c r="F156" s="303"/>
      <c r="G156" s="11">
        <v>-1170.94</v>
      </c>
      <c r="H156" s="11">
        <v>-1125.3399999999999</v>
      </c>
      <c r="I156" s="11">
        <v>0</v>
      </c>
      <c r="J156" s="140">
        <v>0</v>
      </c>
      <c r="K156" s="155">
        <v>0</v>
      </c>
      <c r="N156" s="91">
        <f t="shared" si="29"/>
        <v>0</v>
      </c>
      <c r="O156" s="130" t="str">
        <f t="shared" si="30"/>
        <v/>
      </c>
      <c r="P156" s="91">
        <f t="shared" si="31"/>
        <v>-1125.3399999999999</v>
      </c>
      <c r="Q156" s="130">
        <f t="shared" si="32"/>
        <v>0</v>
      </c>
      <c r="R156" s="91"/>
      <c r="S156" s="132" t="str">
        <f t="shared" si="34"/>
        <v/>
      </c>
      <c r="T156" s="172">
        <f t="shared" si="33"/>
        <v>11</v>
      </c>
    </row>
    <row r="157" spans="1:20" ht="11.25" customHeight="1" x14ac:dyDescent="0.25">
      <c r="A157" s="26" t="s">
        <v>1066</v>
      </c>
      <c r="B157" s="26"/>
      <c r="C157" s="23"/>
      <c r="D157" s="23"/>
      <c r="E157" s="306" t="s">
        <v>153</v>
      </c>
      <c r="F157" s="307"/>
      <c r="G157" s="25">
        <f t="shared" ref="G157:K157" si="38">SUM(G158:G163)</f>
        <v>-146910.56</v>
      </c>
      <c r="H157" s="25">
        <f t="shared" si="38"/>
        <v>-132575.58000000002</v>
      </c>
      <c r="I157" s="25">
        <f t="shared" si="38"/>
        <v>0</v>
      </c>
      <c r="J157" s="139">
        <f t="shared" si="38"/>
        <v>0</v>
      </c>
      <c r="K157" s="153">
        <f t="shared" si="38"/>
        <v>0</v>
      </c>
      <c r="N157" s="91">
        <f t="shared" si="29"/>
        <v>0</v>
      </c>
      <c r="O157" s="130" t="str">
        <f t="shared" si="30"/>
        <v/>
      </c>
      <c r="P157" s="91">
        <f t="shared" si="31"/>
        <v>-132575.58000000002</v>
      </c>
      <c r="Q157" s="130">
        <f t="shared" si="32"/>
        <v>0</v>
      </c>
      <c r="R157" s="91"/>
      <c r="S157" s="132" t="str">
        <f t="shared" si="34"/>
        <v/>
      </c>
      <c r="T157" s="172">
        <f t="shared" si="33"/>
        <v>7</v>
      </c>
    </row>
    <row r="158" spans="1:20" ht="11.25" customHeight="1" x14ac:dyDescent="0.25">
      <c r="A158" s="42" t="s">
        <v>1067</v>
      </c>
      <c r="B158" s="14"/>
      <c r="C158" s="13"/>
      <c r="D158" s="13"/>
      <c r="E158" s="302" t="s">
        <v>154</v>
      </c>
      <c r="F158" s="303"/>
      <c r="G158" s="11">
        <v>-44576.63</v>
      </c>
      <c r="H158" s="11">
        <v>-41481.120000000003</v>
      </c>
      <c r="I158" s="11">
        <v>0</v>
      </c>
      <c r="J158" s="140">
        <v>0</v>
      </c>
      <c r="K158" s="155">
        <v>0</v>
      </c>
      <c r="N158" s="91">
        <f t="shared" si="29"/>
        <v>0</v>
      </c>
      <c r="O158" s="130" t="str">
        <f t="shared" si="30"/>
        <v/>
      </c>
      <c r="P158" s="91">
        <f t="shared" si="31"/>
        <v>-41481.120000000003</v>
      </c>
      <c r="Q158" s="130">
        <f t="shared" si="32"/>
        <v>0</v>
      </c>
      <c r="R158" s="91"/>
      <c r="S158" s="132" t="str">
        <f t="shared" si="34"/>
        <v/>
      </c>
      <c r="T158" s="172">
        <f t="shared" si="33"/>
        <v>11</v>
      </c>
    </row>
    <row r="159" spans="1:20" ht="11.25" customHeight="1" x14ac:dyDescent="0.25">
      <c r="A159" s="42" t="s">
        <v>1068</v>
      </c>
      <c r="B159" s="14"/>
      <c r="C159" s="13"/>
      <c r="D159" s="13"/>
      <c r="E159" s="302" t="s">
        <v>155</v>
      </c>
      <c r="F159" s="303"/>
      <c r="G159" s="11">
        <v>-32148.21</v>
      </c>
      <c r="H159" s="11">
        <v>-32824.01</v>
      </c>
      <c r="I159" s="11">
        <v>0</v>
      </c>
      <c r="J159" s="140">
        <v>0</v>
      </c>
      <c r="K159" s="155">
        <v>0</v>
      </c>
      <c r="N159" s="91">
        <f t="shared" si="29"/>
        <v>0</v>
      </c>
      <c r="O159" s="130" t="str">
        <f t="shared" si="30"/>
        <v/>
      </c>
      <c r="P159" s="91">
        <f t="shared" si="31"/>
        <v>-32824.01</v>
      </c>
      <c r="Q159" s="130">
        <f t="shared" si="32"/>
        <v>0</v>
      </c>
      <c r="R159" s="91"/>
      <c r="S159" s="132" t="str">
        <f t="shared" si="34"/>
        <v/>
      </c>
      <c r="T159" s="172">
        <f t="shared" si="33"/>
        <v>11</v>
      </c>
    </row>
    <row r="160" spans="1:20" ht="11.25" customHeight="1" x14ac:dyDescent="0.25">
      <c r="A160" s="42" t="s">
        <v>1069</v>
      </c>
      <c r="B160" s="14"/>
      <c r="C160" s="13"/>
      <c r="D160" s="13"/>
      <c r="E160" s="302" t="s">
        <v>156</v>
      </c>
      <c r="F160" s="303"/>
      <c r="G160" s="11">
        <v>-1080.23</v>
      </c>
      <c r="H160" s="11">
        <v>-1574.46</v>
      </c>
      <c r="I160" s="11">
        <v>0</v>
      </c>
      <c r="J160" s="140">
        <v>0</v>
      </c>
      <c r="K160" s="155">
        <v>0</v>
      </c>
      <c r="N160" s="91">
        <f t="shared" si="29"/>
        <v>0</v>
      </c>
      <c r="O160" s="130" t="str">
        <f t="shared" si="30"/>
        <v/>
      </c>
      <c r="P160" s="91">
        <f t="shared" si="31"/>
        <v>-1574.46</v>
      </c>
      <c r="Q160" s="130">
        <f t="shared" si="32"/>
        <v>0</v>
      </c>
      <c r="R160" s="91"/>
      <c r="S160" s="132" t="str">
        <f t="shared" si="34"/>
        <v/>
      </c>
      <c r="T160" s="172">
        <f t="shared" si="33"/>
        <v>11</v>
      </c>
    </row>
    <row r="161" spans="1:20" ht="11.25" customHeight="1" x14ac:dyDescent="0.25">
      <c r="A161" s="42" t="s">
        <v>1070</v>
      </c>
      <c r="B161" s="14"/>
      <c r="C161" s="13"/>
      <c r="D161" s="13"/>
      <c r="E161" s="302" t="s">
        <v>157</v>
      </c>
      <c r="F161" s="303"/>
      <c r="G161" s="11">
        <v>-3705.97</v>
      </c>
      <c r="H161" s="11">
        <v>-3379.38</v>
      </c>
      <c r="I161" s="11">
        <v>0</v>
      </c>
      <c r="J161" s="140">
        <v>0</v>
      </c>
      <c r="K161" s="155">
        <v>0</v>
      </c>
      <c r="N161" s="91">
        <f t="shared" si="29"/>
        <v>0</v>
      </c>
      <c r="O161" s="130" t="str">
        <f t="shared" si="30"/>
        <v/>
      </c>
      <c r="P161" s="91">
        <f t="shared" si="31"/>
        <v>-3379.38</v>
      </c>
      <c r="Q161" s="130">
        <f t="shared" si="32"/>
        <v>0</v>
      </c>
      <c r="R161" s="91"/>
      <c r="S161" s="132" t="str">
        <f t="shared" si="34"/>
        <v/>
      </c>
      <c r="T161" s="172">
        <f t="shared" si="33"/>
        <v>11</v>
      </c>
    </row>
    <row r="162" spans="1:20" ht="11.25" customHeight="1" x14ac:dyDescent="0.25">
      <c r="A162" s="42" t="s">
        <v>1071</v>
      </c>
      <c r="B162" s="14"/>
      <c r="C162" s="13"/>
      <c r="D162" s="13"/>
      <c r="E162" s="302" t="s">
        <v>158</v>
      </c>
      <c r="F162" s="303"/>
      <c r="G162" s="11">
        <v>-3281.94</v>
      </c>
      <c r="H162" s="11">
        <v>-2850</v>
      </c>
      <c r="I162" s="11">
        <v>0</v>
      </c>
      <c r="J162" s="140">
        <v>0</v>
      </c>
      <c r="K162" s="155">
        <v>0</v>
      </c>
      <c r="N162" s="91">
        <f t="shared" si="29"/>
        <v>0</v>
      </c>
      <c r="O162" s="130" t="str">
        <f t="shared" si="30"/>
        <v/>
      </c>
      <c r="P162" s="91">
        <f t="shared" si="31"/>
        <v>-2850</v>
      </c>
      <c r="Q162" s="130">
        <f t="shared" si="32"/>
        <v>0</v>
      </c>
      <c r="R162" s="91"/>
      <c r="S162" s="132" t="str">
        <f t="shared" si="34"/>
        <v/>
      </c>
      <c r="T162" s="172">
        <f t="shared" si="33"/>
        <v>11</v>
      </c>
    </row>
    <row r="163" spans="1:20" ht="11.25" customHeight="1" x14ac:dyDescent="0.25">
      <c r="A163" s="42" t="s">
        <v>1072</v>
      </c>
      <c r="B163" s="14"/>
      <c r="C163" s="13"/>
      <c r="D163" s="13"/>
      <c r="E163" s="302" t="s">
        <v>159</v>
      </c>
      <c r="F163" s="303"/>
      <c r="G163" s="11">
        <v>-62117.58</v>
      </c>
      <c r="H163" s="11">
        <v>-50466.61</v>
      </c>
      <c r="I163" s="11">
        <v>0</v>
      </c>
      <c r="J163" s="140">
        <v>0</v>
      </c>
      <c r="K163" s="155">
        <v>0</v>
      </c>
      <c r="N163" s="91">
        <f t="shared" si="29"/>
        <v>0</v>
      </c>
      <c r="O163" s="130" t="str">
        <f t="shared" si="30"/>
        <v/>
      </c>
      <c r="P163" s="91">
        <f t="shared" si="31"/>
        <v>-50466.61</v>
      </c>
      <c r="Q163" s="130">
        <f t="shared" si="32"/>
        <v>0</v>
      </c>
      <c r="R163" s="91"/>
      <c r="S163" s="132" t="str">
        <f t="shared" si="34"/>
        <v/>
      </c>
      <c r="T163" s="172">
        <f t="shared" si="33"/>
        <v>11</v>
      </c>
    </row>
    <row r="164" spans="1:20" ht="11.25" customHeight="1" x14ac:dyDescent="0.25">
      <c r="A164" s="26" t="s">
        <v>1073</v>
      </c>
      <c r="B164" s="26"/>
      <c r="C164" s="23"/>
      <c r="D164" s="23"/>
      <c r="E164" s="306" t="s">
        <v>160</v>
      </c>
      <c r="F164" s="307"/>
      <c r="G164" s="25">
        <f t="shared" ref="G164:K164" si="39">SUM(G165)</f>
        <v>-18074.64</v>
      </c>
      <c r="H164" s="25">
        <f t="shared" si="39"/>
        <v>-11176.91</v>
      </c>
      <c r="I164" s="25">
        <f t="shared" si="39"/>
        <v>0</v>
      </c>
      <c r="J164" s="139">
        <f t="shared" si="39"/>
        <v>0</v>
      </c>
      <c r="K164" s="153">
        <f t="shared" si="39"/>
        <v>0</v>
      </c>
      <c r="N164" s="91">
        <f t="shared" si="29"/>
        <v>0</v>
      </c>
      <c r="O164" s="130" t="str">
        <f t="shared" si="30"/>
        <v/>
      </c>
      <c r="P164" s="91">
        <f t="shared" si="31"/>
        <v>-11176.91</v>
      </c>
      <c r="Q164" s="130">
        <f t="shared" si="32"/>
        <v>0</v>
      </c>
      <c r="R164" s="91"/>
      <c r="S164" s="132" t="str">
        <f t="shared" si="34"/>
        <v/>
      </c>
      <c r="T164" s="172">
        <f t="shared" si="33"/>
        <v>7</v>
      </c>
    </row>
    <row r="165" spans="1:20" ht="11.25" customHeight="1" x14ac:dyDescent="0.25">
      <c r="A165" s="42" t="s">
        <v>1074</v>
      </c>
      <c r="B165" s="14"/>
      <c r="C165" s="13"/>
      <c r="D165" s="13"/>
      <c r="E165" s="302" t="s">
        <v>161</v>
      </c>
      <c r="F165" s="303"/>
      <c r="G165" s="11">
        <v>-18074.64</v>
      </c>
      <c r="H165" s="11">
        <v>-11176.91</v>
      </c>
      <c r="I165" s="11">
        <v>0</v>
      </c>
      <c r="J165" s="140">
        <v>0</v>
      </c>
      <c r="K165" s="154"/>
      <c r="N165" s="91">
        <f t="shared" si="29"/>
        <v>0</v>
      </c>
      <c r="O165" s="130" t="str">
        <f t="shared" si="30"/>
        <v/>
      </c>
      <c r="P165" s="91">
        <f t="shared" si="31"/>
        <v>-11176.91</v>
      </c>
      <c r="Q165" s="130">
        <f t="shared" si="32"/>
        <v>0</v>
      </c>
      <c r="R165" s="91"/>
      <c r="S165" s="132" t="str">
        <f t="shared" si="34"/>
        <v/>
      </c>
      <c r="T165" s="172">
        <f t="shared" si="33"/>
        <v>11</v>
      </c>
    </row>
    <row r="166" spans="1:20" ht="11.25" customHeight="1" x14ac:dyDescent="0.25">
      <c r="A166" s="26" t="s">
        <v>1075</v>
      </c>
      <c r="B166" s="26"/>
      <c r="C166" s="23"/>
      <c r="D166" s="23"/>
      <c r="E166" s="306" t="s">
        <v>162</v>
      </c>
      <c r="F166" s="307"/>
      <c r="G166" s="25">
        <f t="shared" ref="G166:K166" si="40">SUM(G167:G168)</f>
        <v>-15072.37</v>
      </c>
      <c r="H166" s="25">
        <f t="shared" si="40"/>
        <v>-16283.37</v>
      </c>
      <c r="I166" s="25">
        <f t="shared" si="40"/>
        <v>0</v>
      </c>
      <c r="J166" s="139">
        <f t="shared" si="40"/>
        <v>0</v>
      </c>
      <c r="K166" s="153">
        <f t="shared" si="40"/>
        <v>0</v>
      </c>
      <c r="N166" s="91">
        <f t="shared" si="29"/>
        <v>0</v>
      </c>
      <c r="O166" s="130" t="str">
        <f t="shared" si="30"/>
        <v/>
      </c>
      <c r="P166" s="91">
        <f t="shared" si="31"/>
        <v>-16283.37</v>
      </c>
      <c r="Q166" s="130">
        <f t="shared" si="32"/>
        <v>0</v>
      </c>
      <c r="R166" s="91"/>
      <c r="S166" s="132" t="str">
        <f t="shared" si="34"/>
        <v/>
      </c>
      <c r="T166" s="172">
        <f t="shared" si="33"/>
        <v>7</v>
      </c>
    </row>
    <row r="167" spans="1:20" ht="11.25" customHeight="1" x14ac:dyDescent="0.25">
      <c r="A167" s="42" t="s">
        <v>1076</v>
      </c>
      <c r="B167" s="14"/>
      <c r="C167" s="13"/>
      <c r="D167" s="13"/>
      <c r="E167" s="302" t="s">
        <v>163</v>
      </c>
      <c r="F167" s="303"/>
      <c r="G167" s="11">
        <v>0</v>
      </c>
      <c r="H167" s="11">
        <v>0</v>
      </c>
      <c r="I167" s="11">
        <v>0</v>
      </c>
      <c r="J167" s="140">
        <v>0</v>
      </c>
      <c r="K167" s="154"/>
      <c r="N167" s="91">
        <f t="shared" si="29"/>
        <v>0</v>
      </c>
      <c r="O167" s="130" t="str">
        <f t="shared" si="30"/>
        <v/>
      </c>
      <c r="P167" s="91">
        <f t="shared" si="31"/>
        <v>0</v>
      </c>
      <c r="Q167" s="130" t="str">
        <f t="shared" si="32"/>
        <v/>
      </c>
      <c r="R167" s="91"/>
      <c r="S167" s="132" t="str">
        <f t="shared" si="34"/>
        <v/>
      </c>
      <c r="T167" s="172">
        <f t="shared" si="33"/>
        <v>11</v>
      </c>
    </row>
    <row r="168" spans="1:20" ht="11.25" customHeight="1" x14ac:dyDescent="0.25">
      <c r="A168" s="42" t="s">
        <v>1077</v>
      </c>
      <c r="B168" s="14"/>
      <c r="C168" s="13"/>
      <c r="D168" s="13"/>
      <c r="E168" s="302" t="s">
        <v>164</v>
      </c>
      <c r="F168" s="303"/>
      <c r="G168" s="11">
        <v>-15072.37</v>
      </c>
      <c r="H168" s="11">
        <v>-16283.37</v>
      </c>
      <c r="I168" s="11">
        <v>0</v>
      </c>
      <c r="J168" s="140">
        <v>0</v>
      </c>
      <c r="K168" s="154"/>
      <c r="N168" s="91">
        <f t="shared" si="29"/>
        <v>0</v>
      </c>
      <c r="O168" s="130" t="str">
        <f t="shared" si="30"/>
        <v/>
      </c>
      <c r="P168" s="91">
        <f t="shared" si="31"/>
        <v>-16283.37</v>
      </c>
      <c r="Q168" s="130">
        <f t="shared" si="32"/>
        <v>0</v>
      </c>
      <c r="R168" s="91"/>
      <c r="S168" s="132" t="str">
        <f t="shared" si="34"/>
        <v/>
      </c>
      <c r="T168" s="172">
        <f t="shared" si="33"/>
        <v>11</v>
      </c>
    </row>
    <row r="169" spans="1:20" ht="11.25" customHeight="1" x14ac:dyDescent="0.25">
      <c r="A169" s="38" t="s">
        <v>165</v>
      </c>
      <c r="B169" s="38"/>
      <c r="C169" s="22"/>
      <c r="D169" s="22"/>
      <c r="E169" s="304" t="s">
        <v>166</v>
      </c>
      <c r="F169" s="305"/>
      <c r="G169" s="37">
        <f t="shared" ref="G169:J169" si="41">G170+G172+G177</f>
        <v>-102050762.17</v>
      </c>
      <c r="H169" s="37">
        <f t="shared" si="41"/>
        <v>-101811485.70999999</v>
      </c>
      <c r="I169" s="37">
        <f t="shared" si="41"/>
        <v>-117000250.22578469</v>
      </c>
      <c r="J169" s="37">
        <f t="shared" si="41"/>
        <v>0</v>
      </c>
      <c r="K169" s="152">
        <f>K170+K172+K177</f>
        <v>-107540000</v>
      </c>
      <c r="N169" s="190">
        <f t="shared" si="29"/>
        <v>-9460250.2257846892</v>
      </c>
      <c r="O169" s="191">
        <f t="shared" si="30"/>
        <v>0.91914333339006971</v>
      </c>
      <c r="P169" s="190">
        <f t="shared" si="31"/>
        <v>5728514.2900000066</v>
      </c>
      <c r="Q169" s="191">
        <f t="shared" si="32"/>
        <v>1.0562658942657719</v>
      </c>
      <c r="R169" s="190">
        <f t="shared" ref="R169:R182" si="42">-K169+J169</f>
        <v>107540000</v>
      </c>
      <c r="S169" s="192" t="str">
        <f t="shared" si="34"/>
        <v/>
      </c>
      <c r="T169" s="172">
        <f t="shared" si="33"/>
        <v>4</v>
      </c>
    </row>
    <row r="170" spans="1:20" ht="11.25" customHeight="1" x14ac:dyDescent="0.25">
      <c r="A170" s="26" t="s">
        <v>1078</v>
      </c>
      <c r="B170" s="26"/>
      <c r="C170" s="23"/>
      <c r="D170" s="23"/>
      <c r="E170" s="306" t="s">
        <v>167</v>
      </c>
      <c r="F170" s="307"/>
      <c r="G170" s="25">
        <f t="shared" ref="G170:K170" si="43">SUM(G171)</f>
        <v>547527.25</v>
      </c>
      <c r="H170" s="25">
        <f t="shared" si="43"/>
        <v>523390.37</v>
      </c>
      <c r="I170" s="25">
        <f t="shared" si="43"/>
        <v>0</v>
      </c>
      <c r="J170" s="139">
        <f t="shared" si="43"/>
        <v>0</v>
      </c>
      <c r="K170" s="153">
        <f t="shared" si="43"/>
        <v>0</v>
      </c>
      <c r="N170" s="91">
        <f t="shared" si="29"/>
        <v>0</v>
      </c>
      <c r="O170" s="130" t="str">
        <f t="shared" si="30"/>
        <v/>
      </c>
      <c r="P170" s="91">
        <f t="shared" si="31"/>
        <v>523390.37</v>
      </c>
      <c r="Q170" s="130">
        <f t="shared" si="32"/>
        <v>0</v>
      </c>
      <c r="R170" s="91"/>
      <c r="S170" s="132" t="str">
        <f t="shared" si="34"/>
        <v/>
      </c>
      <c r="T170" s="172">
        <f t="shared" si="33"/>
        <v>7</v>
      </c>
    </row>
    <row r="171" spans="1:20" ht="11.25" customHeight="1" x14ac:dyDescent="0.25">
      <c r="A171" s="42" t="s">
        <v>1079</v>
      </c>
      <c r="B171" s="14"/>
      <c r="C171" s="13"/>
      <c r="D171" s="13"/>
      <c r="E171" s="302" t="s">
        <v>168</v>
      </c>
      <c r="F171" s="303"/>
      <c r="G171" s="11">
        <v>547527.25</v>
      </c>
      <c r="H171" s="11">
        <v>523390.37</v>
      </c>
      <c r="I171" s="11">
        <v>0</v>
      </c>
      <c r="J171" s="140">
        <v>0</v>
      </c>
      <c r="K171" s="154"/>
      <c r="N171" s="91">
        <f t="shared" si="29"/>
        <v>0</v>
      </c>
      <c r="O171" s="130" t="str">
        <f t="shared" si="30"/>
        <v/>
      </c>
      <c r="P171" s="91">
        <f t="shared" si="31"/>
        <v>523390.37</v>
      </c>
      <c r="Q171" s="130">
        <f t="shared" si="32"/>
        <v>0</v>
      </c>
      <c r="R171" s="91"/>
      <c r="S171" s="132" t="str">
        <f t="shared" si="34"/>
        <v/>
      </c>
      <c r="T171" s="172">
        <f t="shared" si="33"/>
        <v>11</v>
      </c>
    </row>
    <row r="172" spans="1:20" ht="11.25" customHeight="1" x14ac:dyDescent="0.25">
      <c r="A172" s="26" t="s">
        <v>1080</v>
      </c>
      <c r="B172" s="26"/>
      <c r="C172" s="23"/>
      <c r="D172" s="23"/>
      <c r="E172" s="306" t="s">
        <v>169</v>
      </c>
      <c r="F172" s="307"/>
      <c r="G172" s="25">
        <f t="shared" ref="G172:K172" si="44">SUM(G173:G176)</f>
        <v>-102050762.17</v>
      </c>
      <c r="H172" s="25">
        <f t="shared" si="44"/>
        <v>-101811485.70999999</v>
      </c>
      <c r="I172" s="25">
        <f t="shared" si="44"/>
        <v>-117000250.22578469</v>
      </c>
      <c r="J172" s="139">
        <f t="shared" si="44"/>
        <v>0</v>
      </c>
      <c r="K172" s="153">
        <f t="shared" si="44"/>
        <v>-107540000</v>
      </c>
      <c r="N172" s="91">
        <f t="shared" si="29"/>
        <v>-9460250.2257846892</v>
      </c>
      <c r="O172" s="130">
        <f t="shared" si="30"/>
        <v>0.91914333339006971</v>
      </c>
      <c r="P172" s="91">
        <f t="shared" si="31"/>
        <v>5728514.2900000066</v>
      </c>
      <c r="Q172" s="130">
        <f t="shared" si="32"/>
        <v>1.0562658942657719</v>
      </c>
      <c r="R172" s="91"/>
      <c r="S172" s="132" t="str">
        <f t="shared" si="34"/>
        <v/>
      </c>
      <c r="T172" s="172">
        <f t="shared" si="33"/>
        <v>7</v>
      </c>
    </row>
    <row r="173" spans="1:20" ht="11.25" customHeight="1" x14ac:dyDescent="0.25">
      <c r="A173" s="42" t="s">
        <v>1081</v>
      </c>
      <c r="B173" s="20" t="s">
        <v>916</v>
      </c>
      <c r="C173" s="20" t="s">
        <v>919</v>
      </c>
      <c r="D173" s="20" t="s">
        <v>1089</v>
      </c>
      <c r="E173" s="302" t="s">
        <v>170</v>
      </c>
      <c r="F173" s="303"/>
      <c r="G173" s="11">
        <v>-31318503.25</v>
      </c>
      <c r="H173" s="11">
        <v>-32261471.149999999</v>
      </c>
      <c r="I173" s="11">
        <v>-42400497.133564502</v>
      </c>
      <c r="J173" s="140">
        <v>0</v>
      </c>
      <c r="K173" s="155">
        <f>-43000000+4000000</f>
        <v>-39000000</v>
      </c>
      <c r="L173" s="109" t="s">
        <v>1743</v>
      </c>
      <c r="M173" s="109"/>
      <c r="N173" s="91">
        <f t="shared" si="29"/>
        <v>-3400497.133564502</v>
      </c>
      <c r="O173" s="130">
        <f t="shared" si="30"/>
        <v>0.91980053623303759</v>
      </c>
      <c r="P173" s="91">
        <f t="shared" si="31"/>
        <v>6738528.8500000015</v>
      </c>
      <c r="Q173" s="130">
        <f t="shared" si="32"/>
        <v>1.2088723362511633</v>
      </c>
      <c r="R173" s="91"/>
      <c r="S173" s="132" t="str">
        <f t="shared" si="34"/>
        <v/>
      </c>
      <c r="T173" s="172">
        <f t="shared" si="33"/>
        <v>11</v>
      </c>
    </row>
    <row r="174" spans="1:20" ht="11.25" customHeight="1" x14ac:dyDescent="0.25">
      <c r="A174" s="42" t="s">
        <v>1082</v>
      </c>
      <c r="B174" s="20" t="s">
        <v>916</v>
      </c>
      <c r="C174" s="20" t="s">
        <v>919</v>
      </c>
      <c r="D174" s="20" t="s">
        <v>1649</v>
      </c>
      <c r="E174" s="302" t="s">
        <v>171</v>
      </c>
      <c r="F174" s="303"/>
      <c r="G174" s="11">
        <v>-16128681</v>
      </c>
      <c r="H174" s="11">
        <v>-18042620</v>
      </c>
      <c r="I174" s="11">
        <v>-17750079.3416158</v>
      </c>
      <c r="J174" s="140">
        <v>0</v>
      </c>
      <c r="K174" s="155">
        <v>-17350000</v>
      </c>
      <c r="L174" s="109" t="s">
        <v>1745</v>
      </c>
      <c r="M174" s="109"/>
      <c r="N174" s="91">
        <f t="shared" si="29"/>
        <v>-400079.34161579981</v>
      </c>
      <c r="O174" s="130">
        <f t="shared" si="30"/>
        <v>0.97746041953301033</v>
      </c>
      <c r="P174" s="91">
        <f t="shared" si="31"/>
        <v>-692620</v>
      </c>
      <c r="Q174" s="130">
        <f t="shared" si="32"/>
        <v>0.9616120053517726</v>
      </c>
      <c r="R174" s="91"/>
      <c r="S174" s="132" t="str">
        <f t="shared" si="34"/>
        <v/>
      </c>
      <c r="T174" s="172">
        <f t="shared" si="33"/>
        <v>11</v>
      </c>
    </row>
    <row r="175" spans="1:20" ht="11.25" customHeight="1" x14ac:dyDescent="0.25">
      <c r="A175" s="42" t="s">
        <v>1083</v>
      </c>
      <c r="B175" s="20" t="s">
        <v>916</v>
      </c>
      <c r="C175" s="20" t="s">
        <v>919</v>
      </c>
      <c r="D175" s="20" t="s">
        <v>1089</v>
      </c>
      <c r="E175" s="302" t="s">
        <v>172</v>
      </c>
      <c r="F175" s="303"/>
      <c r="G175" s="11">
        <v>-53936823.649999999</v>
      </c>
      <c r="H175" s="11">
        <v>-50947252.649999999</v>
      </c>
      <c r="I175" s="11">
        <v>-55999977.909222402</v>
      </c>
      <c r="J175" s="140">
        <v>0</v>
      </c>
      <c r="K175" s="155">
        <f>-54600000+2000000+2160000</f>
        <v>-50440000</v>
      </c>
      <c r="L175" s="109" t="s">
        <v>1744</v>
      </c>
      <c r="M175" s="109"/>
      <c r="N175" s="91">
        <f t="shared" si="29"/>
        <v>-5559977.9092224017</v>
      </c>
      <c r="O175" s="130">
        <f t="shared" si="30"/>
        <v>0.9007146410265503</v>
      </c>
      <c r="P175" s="91">
        <f t="shared" si="31"/>
        <v>-507252.64999999851</v>
      </c>
      <c r="Q175" s="130">
        <f t="shared" si="32"/>
        <v>0.99004357205510674</v>
      </c>
      <c r="R175" s="91"/>
      <c r="S175" s="132" t="str">
        <f t="shared" si="34"/>
        <v/>
      </c>
      <c r="T175" s="172">
        <f t="shared" si="33"/>
        <v>11</v>
      </c>
    </row>
    <row r="176" spans="1:20" ht="11.25" customHeight="1" x14ac:dyDescent="0.25">
      <c r="A176" s="42" t="s">
        <v>1084</v>
      </c>
      <c r="B176" s="20" t="s">
        <v>916</v>
      </c>
      <c r="C176" s="20" t="s">
        <v>919</v>
      </c>
      <c r="D176" s="20" t="s">
        <v>1089</v>
      </c>
      <c r="E176" s="302" t="s">
        <v>173</v>
      </c>
      <c r="F176" s="303"/>
      <c r="G176" s="11">
        <v>-666754.27</v>
      </c>
      <c r="H176" s="11">
        <v>-560141.91</v>
      </c>
      <c r="I176" s="11">
        <v>-849695.84138200001</v>
      </c>
      <c r="J176" s="140">
        <v>0</v>
      </c>
      <c r="K176" s="155">
        <v>-750000</v>
      </c>
      <c r="L176" s="109" t="s">
        <v>1701</v>
      </c>
      <c r="M176" s="109"/>
      <c r="N176" s="91">
        <f t="shared" si="29"/>
        <v>-99695.841382000013</v>
      </c>
      <c r="O176" s="130">
        <f t="shared" si="30"/>
        <v>0.88266878978735697</v>
      </c>
      <c r="P176" s="91">
        <f t="shared" si="31"/>
        <v>189858.08999999997</v>
      </c>
      <c r="Q176" s="130">
        <f t="shared" si="32"/>
        <v>1.3389464109193328</v>
      </c>
      <c r="R176" s="91"/>
      <c r="S176" s="132" t="str">
        <f t="shared" si="34"/>
        <v/>
      </c>
      <c r="T176" s="172">
        <f t="shared" si="33"/>
        <v>11</v>
      </c>
    </row>
    <row r="177" spans="1:20" ht="11.25" customHeight="1" x14ac:dyDescent="0.25">
      <c r="A177" s="26" t="s">
        <v>1085</v>
      </c>
      <c r="B177" s="26"/>
      <c r="C177" s="23"/>
      <c r="D177" s="23"/>
      <c r="E177" s="306" t="s">
        <v>174</v>
      </c>
      <c r="F177" s="307"/>
      <c r="G177" s="25">
        <f t="shared" ref="G177:K177" si="45">SUM(G178:G180)</f>
        <v>-547527.25</v>
      </c>
      <c r="H177" s="25">
        <f t="shared" si="45"/>
        <v>-523390.37</v>
      </c>
      <c r="I177" s="25">
        <f t="shared" si="45"/>
        <v>0</v>
      </c>
      <c r="J177" s="139">
        <f t="shared" si="45"/>
        <v>0</v>
      </c>
      <c r="K177" s="153">
        <f t="shared" si="45"/>
        <v>0</v>
      </c>
      <c r="N177" s="91">
        <f t="shared" si="29"/>
        <v>0</v>
      </c>
      <c r="O177" s="130" t="str">
        <f t="shared" si="30"/>
        <v/>
      </c>
      <c r="P177" s="91">
        <f t="shared" si="31"/>
        <v>-523390.37</v>
      </c>
      <c r="Q177" s="130">
        <f t="shared" si="32"/>
        <v>0</v>
      </c>
      <c r="R177" s="91"/>
      <c r="S177" s="132" t="str">
        <f t="shared" si="34"/>
        <v/>
      </c>
      <c r="T177" s="172">
        <f t="shared" si="33"/>
        <v>7</v>
      </c>
    </row>
    <row r="178" spans="1:20" ht="11.25" customHeight="1" x14ac:dyDescent="0.25">
      <c r="A178" s="42" t="s">
        <v>1086</v>
      </c>
      <c r="B178" s="14"/>
      <c r="C178" s="13"/>
      <c r="D178" s="13"/>
      <c r="E178" s="302" t="s">
        <v>175</v>
      </c>
      <c r="F178" s="303"/>
      <c r="G178" s="11">
        <v>-121143.55</v>
      </c>
      <c r="H178" s="11">
        <v>-118334.28</v>
      </c>
      <c r="I178" s="11">
        <v>0</v>
      </c>
      <c r="J178" s="140">
        <v>0</v>
      </c>
      <c r="K178" s="154"/>
      <c r="N178" s="91">
        <f t="shared" si="29"/>
        <v>0</v>
      </c>
      <c r="O178" s="130" t="str">
        <f t="shared" si="30"/>
        <v/>
      </c>
      <c r="P178" s="91">
        <f t="shared" si="31"/>
        <v>-118334.28</v>
      </c>
      <c r="Q178" s="130">
        <f t="shared" si="32"/>
        <v>0</v>
      </c>
      <c r="R178" s="91"/>
      <c r="S178" s="132" t="str">
        <f t="shared" si="34"/>
        <v/>
      </c>
      <c r="T178" s="172">
        <f t="shared" si="33"/>
        <v>11</v>
      </c>
    </row>
    <row r="179" spans="1:20" ht="11.25" customHeight="1" x14ac:dyDescent="0.25">
      <c r="A179" s="42" t="s">
        <v>1087</v>
      </c>
      <c r="B179" s="14"/>
      <c r="C179" s="13"/>
      <c r="D179" s="13"/>
      <c r="E179" s="302" t="s">
        <v>176</v>
      </c>
      <c r="F179" s="303"/>
      <c r="G179" s="11">
        <v>-96453.02</v>
      </c>
      <c r="H179" s="11">
        <v>-91146.48</v>
      </c>
      <c r="I179" s="11">
        <v>0</v>
      </c>
      <c r="J179" s="140">
        <v>0</v>
      </c>
      <c r="K179" s="154"/>
      <c r="N179" s="91">
        <f t="shared" si="29"/>
        <v>0</v>
      </c>
      <c r="O179" s="130" t="str">
        <f t="shared" si="30"/>
        <v/>
      </c>
      <c r="P179" s="91">
        <f t="shared" si="31"/>
        <v>-91146.48</v>
      </c>
      <c r="Q179" s="130">
        <f t="shared" si="32"/>
        <v>0</v>
      </c>
      <c r="R179" s="91"/>
      <c r="S179" s="132" t="str">
        <f t="shared" si="34"/>
        <v/>
      </c>
      <c r="T179" s="172">
        <f t="shared" si="33"/>
        <v>11</v>
      </c>
    </row>
    <row r="180" spans="1:20" ht="11.25" customHeight="1" x14ac:dyDescent="0.25">
      <c r="A180" s="42" t="s">
        <v>1088</v>
      </c>
      <c r="B180" s="14"/>
      <c r="C180" s="13"/>
      <c r="D180" s="13"/>
      <c r="E180" s="302" t="s">
        <v>177</v>
      </c>
      <c r="F180" s="303"/>
      <c r="G180" s="11">
        <v>-329930.68</v>
      </c>
      <c r="H180" s="11">
        <v>-313909.61</v>
      </c>
      <c r="I180" s="11">
        <v>0</v>
      </c>
      <c r="J180" s="140">
        <v>0</v>
      </c>
      <c r="K180" s="154"/>
      <c r="N180" s="91">
        <f t="shared" si="29"/>
        <v>0</v>
      </c>
      <c r="O180" s="130" t="str">
        <f t="shared" si="30"/>
        <v/>
      </c>
      <c r="P180" s="91">
        <f t="shared" si="31"/>
        <v>-313909.61</v>
      </c>
      <c r="Q180" s="130">
        <f t="shared" si="32"/>
        <v>0</v>
      </c>
      <c r="R180" s="91"/>
      <c r="S180" s="132" t="str">
        <f t="shared" si="34"/>
        <v/>
      </c>
      <c r="T180" s="172">
        <f t="shared" si="33"/>
        <v>11</v>
      </c>
    </row>
    <row r="181" spans="1:20" ht="11.25" customHeight="1" x14ac:dyDescent="0.25">
      <c r="A181" s="38" t="s">
        <v>178</v>
      </c>
      <c r="B181" s="38"/>
      <c r="C181" s="22"/>
      <c r="D181" s="22"/>
      <c r="E181" s="304" t="s">
        <v>179</v>
      </c>
      <c r="F181" s="305"/>
      <c r="G181" s="37">
        <v>0</v>
      </c>
      <c r="H181" s="37">
        <v>0</v>
      </c>
      <c r="I181" s="37">
        <v>0</v>
      </c>
      <c r="J181" s="142">
        <v>0</v>
      </c>
      <c r="K181" s="160">
        <f t="shared" ref="K181" si="46">(J181/8)*12</f>
        <v>0</v>
      </c>
      <c r="N181" s="190">
        <f t="shared" si="29"/>
        <v>0</v>
      </c>
      <c r="O181" s="191" t="str">
        <f t="shared" si="30"/>
        <v/>
      </c>
      <c r="P181" s="190">
        <f t="shared" si="31"/>
        <v>0</v>
      </c>
      <c r="Q181" s="191" t="str">
        <f t="shared" si="32"/>
        <v/>
      </c>
      <c r="R181" s="190">
        <f t="shared" si="42"/>
        <v>0</v>
      </c>
      <c r="S181" s="192" t="str">
        <f t="shared" si="34"/>
        <v/>
      </c>
      <c r="T181" s="172">
        <f t="shared" si="33"/>
        <v>4</v>
      </c>
    </row>
    <row r="182" spans="1:20" ht="11.25" customHeight="1" x14ac:dyDescent="0.25">
      <c r="A182" s="38" t="s">
        <v>180</v>
      </c>
      <c r="B182" s="38"/>
      <c r="C182" s="22"/>
      <c r="D182" s="22"/>
      <c r="E182" s="304" t="s">
        <v>181</v>
      </c>
      <c r="F182" s="305"/>
      <c r="G182" s="37">
        <f t="shared" ref="G182:J182" si="47">G183+G187+G189</f>
        <v>-288522961.61999989</v>
      </c>
      <c r="H182" s="37">
        <f t="shared" si="47"/>
        <v>-345840895.69999999</v>
      </c>
      <c r="I182" s="37">
        <f t="shared" si="47"/>
        <v>-360124000</v>
      </c>
      <c r="J182" s="37">
        <f t="shared" si="47"/>
        <v>0</v>
      </c>
      <c r="K182" s="152">
        <f>K183+K187+K189</f>
        <v>-378457113.11259997</v>
      </c>
      <c r="N182" s="190">
        <f t="shared" si="29"/>
        <v>18333113.112599969</v>
      </c>
      <c r="O182" s="191">
        <f t="shared" si="30"/>
        <v>1.0509077792999078</v>
      </c>
      <c r="P182" s="190">
        <f t="shared" si="31"/>
        <v>32616217.412599981</v>
      </c>
      <c r="Q182" s="191">
        <f t="shared" si="32"/>
        <v>1.0943098916817893</v>
      </c>
      <c r="R182" s="190">
        <f t="shared" si="42"/>
        <v>378457113.11259997</v>
      </c>
      <c r="S182" s="192" t="str">
        <f t="shared" si="34"/>
        <v/>
      </c>
      <c r="T182" s="172">
        <f t="shared" si="33"/>
        <v>4</v>
      </c>
    </row>
    <row r="183" spans="1:20" ht="11.25" customHeight="1" x14ac:dyDescent="0.25">
      <c r="A183" s="26" t="s">
        <v>1090</v>
      </c>
      <c r="B183" s="26"/>
      <c r="C183" s="23"/>
      <c r="D183" s="23"/>
      <c r="E183" s="306" t="s">
        <v>182</v>
      </c>
      <c r="F183" s="307"/>
      <c r="G183" s="25">
        <f t="shared" ref="G183:K183" si="48">SUM(G184:G186)</f>
        <v>-2119604.73</v>
      </c>
      <c r="H183" s="25">
        <f t="shared" si="48"/>
        <v>-3512081.7199999997</v>
      </c>
      <c r="I183" s="25">
        <f t="shared" si="48"/>
        <v>-3573999.9999999879</v>
      </c>
      <c r="J183" s="139">
        <f t="shared" si="48"/>
        <v>0</v>
      </c>
      <c r="K183" s="139">
        <f t="shared" si="48"/>
        <v>-3801000</v>
      </c>
      <c r="L183" s="185"/>
      <c r="N183" s="91">
        <f t="shared" si="29"/>
        <v>227000.00000001211</v>
      </c>
      <c r="O183" s="130">
        <f t="shared" si="30"/>
        <v>1.0635142697258011</v>
      </c>
      <c r="P183" s="91">
        <f t="shared" si="31"/>
        <v>288918.28000000026</v>
      </c>
      <c r="Q183" s="130">
        <f t="shared" si="32"/>
        <v>1.0822641108704043</v>
      </c>
      <c r="R183" s="91"/>
      <c r="S183" s="132" t="str">
        <f t="shared" si="34"/>
        <v/>
      </c>
      <c r="T183" s="172">
        <f t="shared" si="33"/>
        <v>7</v>
      </c>
    </row>
    <row r="184" spans="1:20" ht="11.25" customHeight="1" x14ac:dyDescent="0.25">
      <c r="A184" s="42" t="s">
        <v>1091</v>
      </c>
      <c r="B184" s="27" t="s">
        <v>916</v>
      </c>
      <c r="C184" s="28" t="s">
        <v>923</v>
      </c>
      <c r="D184" s="28" t="s">
        <v>917</v>
      </c>
      <c r="E184" s="302" t="s">
        <v>183</v>
      </c>
      <c r="F184" s="303"/>
      <c r="G184" s="11">
        <v>-1432866.01</v>
      </c>
      <c r="H184" s="11">
        <v>-2494116.37</v>
      </c>
      <c r="I184" s="11">
        <v>-2509000</v>
      </c>
      <c r="J184" s="140">
        <v>0</v>
      </c>
      <c r="K184" s="155">
        <v>-2716000</v>
      </c>
      <c r="N184" s="91">
        <f t="shared" si="29"/>
        <v>207000</v>
      </c>
      <c r="O184" s="130">
        <f t="shared" si="30"/>
        <v>1.0825029892387406</v>
      </c>
      <c r="P184" s="91">
        <f t="shared" si="31"/>
        <v>221883.62999999989</v>
      </c>
      <c r="Q184" s="130">
        <f t="shared" si="32"/>
        <v>1.0889628217307277</v>
      </c>
      <c r="R184" s="91"/>
      <c r="S184" s="132" t="str">
        <f t="shared" si="34"/>
        <v/>
      </c>
      <c r="T184" s="172">
        <f t="shared" si="33"/>
        <v>11</v>
      </c>
    </row>
    <row r="185" spans="1:20" ht="11.25" customHeight="1" x14ac:dyDescent="0.25">
      <c r="A185" s="42" t="s">
        <v>1092</v>
      </c>
      <c r="B185" s="27" t="s">
        <v>916</v>
      </c>
      <c r="C185" s="28" t="s">
        <v>919</v>
      </c>
      <c r="D185" s="28" t="s">
        <v>917</v>
      </c>
      <c r="E185" s="302" t="s">
        <v>184</v>
      </c>
      <c r="F185" s="303"/>
      <c r="G185" s="11">
        <v>-178312.9</v>
      </c>
      <c r="H185" s="11">
        <v>-224594.59</v>
      </c>
      <c r="I185" s="11">
        <v>-311999.99999999499</v>
      </c>
      <c r="J185" s="140">
        <v>0</v>
      </c>
      <c r="K185" s="155">
        <v>-230000</v>
      </c>
      <c r="N185" s="91">
        <f t="shared" si="29"/>
        <v>-81999.999999994994</v>
      </c>
      <c r="O185" s="130">
        <f t="shared" si="30"/>
        <v>0.73717948717949899</v>
      </c>
      <c r="P185" s="91">
        <f t="shared" si="31"/>
        <v>5405.4100000000035</v>
      </c>
      <c r="Q185" s="130">
        <f t="shared" si="32"/>
        <v>1.0240674096379614</v>
      </c>
      <c r="R185" s="91"/>
      <c r="S185" s="132" t="str">
        <f t="shared" si="34"/>
        <v/>
      </c>
      <c r="T185" s="172">
        <f t="shared" si="33"/>
        <v>11</v>
      </c>
    </row>
    <row r="186" spans="1:20" ht="11.25" customHeight="1" x14ac:dyDescent="0.25">
      <c r="A186" s="42" t="s">
        <v>1093</v>
      </c>
      <c r="B186" s="27" t="s">
        <v>916</v>
      </c>
      <c r="C186" s="28" t="s">
        <v>923</v>
      </c>
      <c r="D186" s="28" t="s">
        <v>917</v>
      </c>
      <c r="E186" s="302" t="s">
        <v>185</v>
      </c>
      <c r="F186" s="303"/>
      <c r="G186" s="11">
        <v>-508425.82</v>
      </c>
      <c r="H186" s="11">
        <v>-793370.76</v>
      </c>
      <c r="I186" s="11">
        <v>-752999.99999999302</v>
      </c>
      <c r="J186" s="140">
        <v>0</v>
      </c>
      <c r="K186" s="155">
        <v>-855000</v>
      </c>
      <c r="N186" s="91">
        <f t="shared" si="29"/>
        <v>102000.00000000698</v>
      </c>
      <c r="O186" s="130">
        <f t="shared" si="30"/>
        <v>1.1354581673306878</v>
      </c>
      <c r="P186" s="91">
        <f t="shared" si="31"/>
        <v>61629.239999999991</v>
      </c>
      <c r="Q186" s="130">
        <f t="shared" si="32"/>
        <v>1.0776802512862964</v>
      </c>
      <c r="R186" s="91"/>
      <c r="S186" s="132" t="str">
        <f t="shared" si="34"/>
        <v/>
      </c>
      <c r="T186" s="172">
        <f t="shared" si="33"/>
        <v>11</v>
      </c>
    </row>
    <row r="187" spans="1:20" ht="11.25" customHeight="1" x14ac:dyDescent="0.25">
      <c r="A187" s="26" t="s">
        <v>1094</v>
      </c>
      <c r="B187" s="26"/>
      <c r="C187" s="23"/>
      <c r="D187" s="23"/>
      <c r="E187" s="306" t="s">
        <v>186</v>
      </c>
      <c r="F187" s="307"/>
      <c r="G187" s="25">
        <f t="shared" ref="G187:K187" si="49">SUM(G188)</f>
        <v>29310037.140000001</v>
      </c>
      <c r="H187" s="25">
        <f t="shared" si="49"/>
        <v>0</v>
      </c>
      <c r="I187" s="25">
        <f t="shared" si="49"/>
        <v>0</v>
      </c>
      <c r="J187" s="139">
        <f t="shared" si="49"/>
        <v>0</v>
      </c>
      <c r="K187" s="153">
        <f t="shared" si="49"/>
        <v>0</v>
      </c>
      <c r="N187" s="91">
        <f t="shared" si="29"/>
        <v>0</v>
      </c>
      <c r="O187" s="130" t="str">
        <f t="shared" si="30"/>
        <v/>
      </c>
      <c r="P187" s="91">
        <f t="shared" si="31"/>
        <v>0</v>
      </c>
      <c r="Q187" s="130" t="str">
        <f t="shared" si="32"/>
        <v/>
      </c>
      <c r="R187" s="91"/>
      <c r="S187" s="132" t="str">
        <f t="shared" si="34"/>
        <v/>
      </c>
      <c r="T187" s="172">
        <f t="shared" si="33"/>
        <v>7</v>
      </c>
    </row>
    <row r="188" spans="1:20" ht="11.25" customHeight="1" x14ac:dyDescent="0.25">
      <c r="A188" s="42" t="s">
        <v>1095</v>
      </c>
      <c r="B188" s="20" t="s">
        <v>922</v>
      </c>
      <c r="C188" s="20" t="s">
        <v>923</v>
      </c>
      <c r="D188" s="20" t="s">
        <v>922</v>
      </c>
      <c r="E188" s="302" t="s">
        <v>187</v>
      </c>
      <c r="F188" s="303"/>
      <c r="G188" s="11">
        <v>29310037.140000001</v>
      </c>
      <c r="H188" s="11">
        <v>0</v>
      </c>
      <c r="I188" s="11">
        <v>0</v>
      </c>
      <c r="J188" s="140">
        <v>0</v>
      </c>
      <c r="K188" s="154"/>
      <c r="N188" s="91">
        <f t="shared" si="29"/>
        <v>0</v>
      </c>
      <c r="O188" s="130" t="str">
        <f t="shared" si="30"/>
        <v/>
      </c>
      <c r="P188" s="91">
        <f t="shared" si="31"/>
        <v>0</v>
      </c>
      <c r="Q188" s="130" t="str">
        <f t="shared" si="32"/>
        <v/>
      </c>
      <c r="R188" s="91"/>
      <c r="S188" s="132" t="str">
        <f t="shared" si="34"/>
        <v/>
      </c>
      <c r="T188" s="172">
        <f t="shared" si="33"/>
        <v>11</v>
      </c>
    </row>
    <row r="189" spans="1:20" ht="11.25" customHeight="1" x14ac:dyDescent="0.25">
      <c r="A189" s="26" t="s">
        <v>1096</v>
      </c>
      <c r="B189" s="26"/>
      <c r="C189" s="23"/>
      <c r="D189" s="23"/>
      <c r="E189" s="306" t="s">
        <v>188</v>
      </c>
      <c r="F189" s="307"/>
      <c r="G189" s="25">
        <f t="shared" ref="G189:K189" si="50">SUM(G190:G207)</f>
        <v>-315713394.02999991</v>
      </c>
      <c r="H189" s="25">
        <f t="shared" si="50"/>
        <v>-342328813.97999996</v>
      </c>
      <c r="I189" s="25">
        <f t="shared" si="50"/>
        <v>-356550000</v>
      </c>
      <c r="J189" s="25">
        <f t="shared" si="50"/>
        <v>0</v>
      </c>
      <c r="K189" s="153">
        <f t="shared" si="50"/>
        <v>-374656113.11259997</v>
      </c>
      <c r="L189" s="338">
        <f>+K189/I189</f>
        <v>1.0507814138622913</v>
      </c>
      <c r="M189" s="201"/>
      <c r="N189" s="91">
        <f t="shared" si="29"/>
        <v>18106113.112599969</v>
      </c>
      <c r="O189" s="130">
        <f t="shared" si="30"/>
        <v>1.0507814138622913</v>
      </c>
      <c r="P189" s="91">
        <f t="shared" si="31"/>
        <v>32327299.132600009</v>
      </c>
      <c r="Q189" s="130">
        <f t="shared" si="32"/>
        <v>1.0944334739362276</v>
      </c>
      <c r="R189" s="91"/>
      <c r="S189" s="132" t="str">
        <f t="shared" si="34"/>
        <v/>
      </c>
      <c r="T189" s="172">
        <f t="shared" si="33"/>
        <v>7</v>
      </c>
    </row>
    <row r="190" spans="1:20" ht="11.25" customHeight="1" x14ac:dyDescent="0.25">
      <c r="A190" s="42" t="s">
        <v>1097</v>
      </c>
      <c r="B190" s="20" t="s">
        <v>922</v>
      </c>
      <c r="C190" s="20" t="s">
        <v>923</v>
      </c>
      <c r="D190" s="20" t="s">
        <v>1114</v>
      </c>
      <c r="E190" s="302" t="s">
        <v>189</v>
      </c>
      <c r="F190" s="303"/>
      <c r="G190" s="11">
        <v>-25469376.829999998</v>
      </c>
      <c r="H190" s="11">
        <v>-30117002.609999999</v>
      </c>
      <c r="I190" s="11">
        <v>-31100000</v>
      </c>
      <c r="J190" s="140">
        <v>0</v>
      </c>
      <c r="K190" s="155">
        <v>-35614923.314850003</v>
      </c>
      <c r="N190" s="91">
        <f t="shared" si="29"/>
        <v>4514923.3148500025</v>
      </c>
      <c r="O190" s="130">
        <f t="shared" si="30"/>
        <v>1.1451743831141481</v>
      </c>
      <c r="P190" s="91">
        <f t="shared" si="31"/>
        <v>5497920.7048500031</v>
      </c>
      <c r="Q190" s="130">
        <f t="shared" si="32"/>
        <v>1.1825520546000312</v>
      </c>
      <c r="R190" s="91"/>
      <c r="S190" s="132" t="str">
        <f t="shared" si="34"/>
        <v/>
      </c>
      <c r="T190" s="172">
        <f t="shared" si="33"/>
        <v>11</v>
      </c>
    </row>
    <row r="191" spans="1:20" ht="11.25" customHeight="1" x14ac:dyDescent="0.25">
      <c r="A191" s="42" t="s">
        <v>1098</v>
      </c>
      <c r="B191" s="20" t="s">
        <v>922</v>
      </c>
      <c r="C191" s="20" t="s">
        <v>923</v>
      </c>
      <c r="D191" s="20" t="s">
        <v>1114</v>
      </c>
      <c r="E191" s="302" t="s">
        <v>190</v>
      </c>
      <c r="F191" s="303"/>
      <c r="G191" s="11">
        <v>-1028481.45</v>
      </c>
      <c r="H191" s="11">
        <v>-1330787.06</v>
      </c>
      <c r="I191" s="11">
        <v>-1300000</v>
      </c>
      <c r="J191" s="140">
        <v>0</v>
      </c>
      <c r="K191" s="155">
        <v>-1834965.2211000002</v>
      </c>
      <c r="N191" s="91">
        <f t="shared" si="29"/>
        <v>534965.2211000002</v>
      </c>
      <c r="O191" s="130">
        <f t="shared" si="30"/>
        <v>1.4115117085384616</v>
      </c>
      <c r="P191" s="91">
        <f t="shared" si="31"/>
        <v>504178.16110000014</v>
      </c>
      <c r="Q191" s="130">
        <f t="shared" si="32"/>
        <v>1.3788571261731386</v>
      </c>
      <c r="R191" s="91"/>
      <c r="S191" s="132" t="str">
        <f t="shared" si="34"/>
        <v/>
      </c>
      <c r="T191" s="172">
        <f t="shared" si="33"/>
        <v>11</v>
      </c>
    </row>
    <row r="192" spans="1:20" ht="11.25" customHeight="1" x14ac:dyDescent="0.25">
      <c r="A192" s="42" t="s">
        <v>1099</v>
      </c>
      <c r="B192" s="20" t="s">
        <v>922</v>
      </c>
      <c r="C192" s="20" t="s">
        <v>923</v>
      </c>
      <c r="D192" s="20" t="s">
        <v>1114</v>
      </c>
      <c r="E192" s="302" t="s">
        <v>191</v>
      </c>
      <c r="F192" s="303"/>
      <c r="G192" s="11">
        <v>-5784589.7999999998</v>
      </c>
      <c r="H192" s="11">
        <v>-4321242.3</v>
      </c>
      <c r="I192" s="11">
        <v>-4999999.9999999702</v>
      </c>
      <c r="J192" s="140">
        <v>0</v>
      </c>
      <c r="K192" s="155">
        <v>-1397800.0464999997</v>
      </c>
      <c r="N192" s="91">
        <f t="shared" si="29"/>
        <v>-3602199.9534999705</v>
      </c>
      <c r="O192" s="130">
        <f t="shared" si="30"/>
        <v>0.27956000930000163</v>
      </c>
      <c r="P192" s="91">
        <f t="shared" si="31"/>
        <v>-2923442.2535000001</v>
      </c>
      <c r="Q192" s="130">
        <f t="shared" si="32"/>
        <v>0.32347180497145456</v>
      </c>
      <c r="R192" s="91"/>
      <c r="S192" s="132" t="str">
        <f t="shared" si="34"/>
        <v/>
      </c>
      <c r="T192" s="172">
        <f t="shared" si="33"/>
        <v>11</v>
      </c>
    </row>
    <row r="193" spans="1:20" ht="11.25" customHeight="1" x14ac:dyDescent="0.25">
      <c r="A193" s="42" t="s">
        <v>1100</v>
      </c>
      <c r="B193" s="20" t="s">
        <v>922</v>
      </c>
      <c r="C193" s="20" t="s">
        <v>923</v>
      </c>
      <c r="D193" s="20" t="s">
        <v>1114</v>
      </c>
      <c r="E193" s="302" t="s">
        <v>192</v>
      </c>
      <c r="F193" s="303"/>
      <c r="G193" s="11">
        <v>-134088181.5</v>
      </c>
      <c r="H193" s="11">
        <v>-148055292.44999999</v>
      </c>
      <c r="I193" s="11">
        <v>-260800000</v>
      </c>
      <c r="J193" s="140">
        <v>0</v>
      </c>
      <c r="K193" s="155">
        <v>-270888676.72404999</v>
      </c>
      <c r="N193" s="91">
        <f t="shared" si="29"/>
        <v>10088676.724049985</v>
      </c>
      <c r="O193" s="130">
        <f t="shared" si="30"/>
        <v>1.0386835763958973</v>
      </c>
      <c r="P193" s="91">
        <f t="shared" si="31"/>
        <v>122833384.27405</v>
      </c>
      <c r="Q193" s="130">
        <f t="shared" si="32"/>
        <v>1.8296453456098658</v>
      </c>
      <c r="R193" s="91"/>
      <c r="S193" s="132" t="str">
        <f t="shared" si="34"/>
        <v/>
      </c>
      <c r="T193" s="172">
        <f t="shared" si="33"/>
        <v>11</v>
      </c>
    </row>
    <row r="194" spans="1:20" ht="11.25" customHeight="1" x14ac:dyDescent="0.25">
      <c r="A194" s="42" t="s">
        <v>1101</v>
      </c>
      <c r="B194" s="20" t="s">
        <v>922</v>
      </c>
      <c r="C194" s="20" t="s">
        <v>923</v>
      </c>
      <c r="D194" s="20" t="s">
        <v>1114</v>
      </c>
      <c r="E194" s="302" t="s">
        <v>193</v>
      </c>
      <c r="F194" s="303"/>
      <c r="G194" s="11">
        <v>-4851313.87</v>
      </c>
      <c r="H194" s="11">
        <v>-5663212.2999999998</v>
      </c>
      <c r="I194" s="11">
        <v>-5999999.9999999898</v>
      </c>
      <c r="J194" s="140">
        <v>0</v>
      </c>
      <c r="K194" s="155">
        <v>-6555351.7545999987</v>
      </c>
      <c r="N194" s="91">
        <f t="shared" si="29"/>
        <v>555351.75460000895</v>
      </c>
      <c r="O194" s="130">
        <f t="shared" si="30"/>
        <v>1.0925586257666684</v>
      </c>
      <c r="P194" s="91">
        <f t="shared" si="31"/>
        <v>892139.45459999889</v>
      </c>
      <c r="Q194" s="130">
        <f t="shared" si="32"/>
        <v>1.1575324051687059</v>
      </c>
      <c r="R194" s="91"/>
      <c r="S194" s="132" t="str">
        <f t="shared" si="34"/>
        <v/>
      </c>
      <c r="T194" s="172">
        <f t="shared" si="33"/>
        <v>11</v>
      </c>
    </row>
    <row r="195" spans="1:20" ht="11.25" customHeight="1" x14ac:dyDescent="0.25">
      <c r="A195" s="42" t="s">
        <v>1102</v>
      </c>
      <c r="B195" s="20" t="s">
        <v>922</v>
      </c>
      <c r="C195" s="20" t="s">
        <v>923</v>
      </c>
      <c r="D195" s="20" t="s">
        <v>1114</v>
      </c>
      <c r="E195" s="302" t="s">
        <v>194</v>
      </c>
      <c r="F195" s="303"/>
      <c r="G195" s="11">
        <v>-18328123.760000002</v>
      </c>
      <c r="H195" s="11">
        <v>-20542578.649999999</v>
      </c>
      <c r="I195" s="11">
        <v>-38900000</v>
      </c>
      <c r="J195" s="140">
        <v>0</v>
      </c>
      <c r="K195" s="155">
        <v>-41849039.342</v>
      </c>
      <c r="N195" s="91">
        <f t="shared" si="29"/>
        <v>2949039.3420000002</v>
      </c>
      <c r="O195" s="130">
        <f t="shared" si="30"/>
        <v>1.0758107800000001</v>
      </c>
      <c r="P195" s="91">
        <f t="shared" si="31"/>
        <v>21306460.692000002</v>
      </c>
      <c r="Q195" s="130">
        <f t="shared" si="32"/>
        <v>2.0371853044846442</v>
      </c>
      <c r="R195" s="91"/>
      <c r="S195" s="132" t="str">
        <f t="shared" si="34"/>
        <v/>
      </c>
      <c r="T195" s="172">
        <f t="shared" si="33"/>
        <v>11</v>
      </c>
    </row>
    <row r="196" spans="1:20" ht="11.25" customHeight="1" x14ac:dyDescent="0.25">
      <c r="A196" s="42" t="s">
        <v>1103</v>
      </c>
      <c r="B196" s="20" t="s">
        <v>922</v>
      </c>
      <c r="C196" s="20" t="s">
        <v>923</v>
      </c>
      <c r="D196" s="20" t="s">
        <v>1114</v>
      </c>
      <c r="E196" s="302" t="s">
        <v>195</v>
      </c>
      <c r="F196" s="303"/>
      <c r="G196" s="11">
        <v>-761043.77</v>
      </c>
      <c r="H196" s="11">
        <v>-466724.64</v>
      </c>
      <c r="I196" s="11">
        <v>-499999.999999983</v>
      </c>
      <c r="J196" s="140">
        <v>0</v>
      </c>
      <c r="K196" s="155">
        <v>-2475710.6390499999</v>
      </c>
      <c r="N196" s="91">
        <f t="shared" si="29"/>
        <v>1975710.6390500169</v>
      </c>
      <c r="O196" s="130">
        <f t="shared" si="30"/>
        <v>4.9514212781001685</v>
      </c>
      <c r="P196" s="91">
        <f t="shared" si="31"/>
        <v>2008985.9990499998</v>
      </c>
      <c r="Q196" s="130">
        <f t="shared" si="32"/>
        <v>5.3044352641206167</v>
      </c>
      <c r="R196" s="91"/>
      <c r="S196" s="132" t="str">
        <f t="shared" si="34"/>
        <v/>
      </c>
      <c r="T196" s="172">
        <f t="shared" si="33"/>
        <v>11</v>
      </c>
    </row>
    <row r="197" spans="1:20" ht="11.25" customHeight="1" x14ac:dyDescent="0.25">
      <c r="A197" s="42" t="s">
        <v>1104</v>
      </c>
      <c r="B197" s="20" t="s">
        <v>922</v>
      </c>
      <c r="C197" s="20" t="s">
        <v>923</v>
      </c>
      <c r="D197" s="20" t="s">
        <v>1114</v>
      </c>
      <c r="E197" s="302" t="s">
        <v>196</v>
      </c>
      <c r="F197" s="303"/>
      <c r="G197" s="11">
        <v>-171073.09</v>
      </c>
      <c r="H197" s="11">
        <v>-164147.85</v>
      </c>
      <c r="I197" s="11">
        <v>-199999.99999999499</v>
      </c>
      <c r="J197" s="140">
        <v>0</v>
      </c>
      <c r="K197" s="155">
        <v>-336585.15769999992</v>
      </c>
      <c r="N197" s="91">
        <f t="shared" si="29"/>
        <v>136585.15770000493</v>
      </c>
      <c r="O197" s="130">
        <f t="shared" si="30"/>
        <v>1.6829257885000417</v>
      </c>
      <c r="P197" s="91">
        <f t="shared" si="31"/>
        <v>172437.30769999992</v>
      </c>
      <c r="Q197" s="130">
        <f t="shared" si="32"/>
        <v>2.0504999468466991</v>
      </c>
      <c r="R197" s="91"/>
      <c r="S197" s="132" t="str">
        <f t="shared" si="34"/>
        <v/>
      </c>
      <c r="T197" s="172">
        <f t="shared" si="33"/>
        <v>11</v>
      </c>
    </row>
    <row r="198" spans="1:20" ht="11.25" customHeight="1" x14ac:dyDescent="0.25">
      <c r="A198" s="42" t="s">
        <v>1105</v>
      </c>
      <c r="B198" s="20" t="s">
        <v>922</v>
      </c>
      <c r="C198" s="20" t="s">
        <v>923</v>
      </c>
      <c r="D198" s="20" t="s">
        <v>1114</v>
      </c>
      <c r="E198" s="302" t="s">
        <v>197</v>
      </c>
      <c r="F198" s="303"/>
      <c r="G198" s="11">
        <v>-619828.5</v>
      </c>
      <c r="H198" s="11">
        <v>-603607.69999999995</v>
      </c>
      <c r="I198" s="11">
        <v>-1250000</v>
      </c>
      <c r="J198" s="140">
        <v>0</v>
      </c>
      <c r="K198" s="155">
        <v>-888810.43349999993</v>
      </c>
      <c r="N198" s="91">
        <f t="shared" si="29"/>
        <v>-361189.56650000007</v>
      </c>
      <c r="O198" s="130">
        <f t="shared" si="30"/>
        <v>0.71104834679999995</v>
      </c>
      <c r="P198" s="91">
        <f t="shared" si="31"/>
        <v>285202.73349999997</v>
      </c>
      <c r="Q198" s="130">
        <f t="shared" si="32"/>
        <v>1.4724968443908186</v>
      </c>
      <c r="R198" s="91"/>
      <c r="S198" s="132" t="str">
        <f t="shared" si="34"/>
        <v/>
      </c>
      <c r="T198" s="172">
        <f t="shared" si="33"/>
        <v>11</v>
      </c>
    </row>
    <row r="199" spans="1:20" ht="11.25" customHeight="1" x14ac:dyDescent="0.25">
      <c r="A199" s="42" t="s">
        <v>1106</v>
      </c>
      <c r="B199" s="20" t="s">
        <v>922</v>
      </c>
      <c r="C199" s="20" t="s">
        <v>923</v>
      </c>
      <c r="D199" s="20" t="s">
        <v>1114</v>
      </c>
      <c r="E199" s="302" t="s">
        <v>198</v>
      </c>
      <c r="F199" s="303"/>
      <c r="G199" s="11">
        <v>-1504122.23</v>
      </c>
      <c r="H199" s="11">
        <v>-1627417.53</v>
      </c>
      <c r="I199" s="11">
        <v>-1600000</v>
      </c>
      <c r="J199" s="140">
        <v>0</v>
      </c>
      <c r="K199" s="155">
        <v>-1593740.0544999999</v>
      </c>
      <c r="N199" s="91">
        <f t="shared" si="29"/>
        <v>-6259.9455000001471</v>
      </c>
      <c r="O199" s="130">
        <f t="shared" si="30"/>
        <v>0.99608753406249995</v>
      </c>
      <c r="P199" s="91">
        <f t="shared" si="31"/>
        <v>-33677.475500000175</v>
      </c>
      <c r="Q199" s="130">
        <f t="shared" si="32"/>
        <v>0.97930618610209996</v>
      </c>
      <c r="R199" s="91"/>
      <c r="S199" s="132" t="str">
        <f t="shared" si="34"/>
        <v/>
      </c>
      <c r="T199" s="172">
        <f t="shared" si="33"/>
        <v>11</v>
      </c>
    </row>
    <row r="200" spans="1:20" ht="11.25" customHeight="1" x14ac:dyDescent="0.25">
      <c r="A200" s="42" t="s">
        <v>1107</v>
      </c>
      <c r="B200" s="20" t="s">
        <v>922</v>
      </c>
      <c r="C200" s="20" t="s">
        <v>923</v>
      </c>
      <c r="D200" s="20" t="s">
        <v>1114</v>
      </c>
      <c r="E200" s="302" t="s">
        <v>199</v>
      </c>
      <c r="F200" s="303"/>
      <c r="G200" s="11">
        <v>-8154610.9400000004</v>
      </c>
      <c r="H200" s="11">
        <v>-9577668.4800000004</v>
      </c>
      <c r="I200" s="11">
        <v>-9700000</v>
      </c>
      <c r="J200" s="140">
        <v>0</v>
      </c>
      <c r="K200" s="155">
        <v>-11220510.42475</v>
      </c>
      <c r="N200" s="91">
        <f t="shared" si="29"/>
        <v>1520510.4247500002</v>
      </c>
      <c r="O200" s="130">
        <f t="shared" si="30"/>
        <v>1.1567536520360826</v>
      </c>
      <c r="P200" s="91">
        <f t="shared" si="31"/>
        <v>1642841.9447499998</v>
      </c>
      <c r="Q200" s="130">
        <f t="shared" si="32"/>
        <v>1.1715283785589956</v>
      </c>
      <c r="R200" s="91"/>
      <c r="S200" s="132" t="str">
        <f t="shared" si="34"/>
        <v/>
      </c>
      <c r="T200" s="172">
        <f t="shared" si="33"/>
        <v>11</v>
      </c>
    </row>
    <row r="201" spans="1:20" ht="11.25" customHeight="1" x14ac:dyDescent="0.25">
      <c r="A201" s="42" t="s">
        <v>1108</v>
      </c>
      <c r="B201" s="20" t="s">
        <v>922</v>
      </c>
      <c r="C201" s="20" t="s">
        <v>923</v>
      </c>
      <c r="D201" s="20" t="s">
        <v>1114</v>
      </c>
      <c r="E201" s="310" t="s">
        <v>1671</v>
      </c>
      <c r="F201" s="311"/>
      <c r="G201" s="11">
        <v>-89240.29</v>
      </c>
      <c r="H201" s="11">
        <v>-147297.37</v>
      </c>
      <c r="I201" s="11">
        <v>-199999.999999997</v>
      </c>
      <c r="J201" s="140">
        <v>0</v>
      </c>
      <c r="K201" s="155">
        <v>0</v>
      </c>
      <c r="N201" s="91">
        <f t="shared" si="29"/>
        <v>-199999.999999997</v>
      </c>
      <c r="O201" s="130">
        <f t="shared" si="30"/>
        <v>0</v>
      </c>
      <c r="P201" s="91">
        <f t="shared" si="31"/>
        <v>-147297.37</v>
      </c>
      <c r="Q201" s="130">
        <f t="shared" si="32"/>
        <v>0</v>
      </c>
      <c r="R201" s="91"/>
      <c r="S201" s="132" t="str">
        <f t="shared" si="34"/>
        <v/>
      </c>
      <c r="T201" s="172">
        <f t="shared" si="33"/>
        <v>11</v>
      </c>
    </row>
    <row r="202" spans="1:20" ht="11.25" customHeight="1" x14ac:dyDescent="0.25">
      <c r="A202" s="42" t="s">
        <v>1109</v>
      </c>
      <c r="B202" s="20"/>
      <c r="C202" s="20"/>
      <c r="D202" s="20"/>
      <c r="E202" s="302" t="s">
        <v>200</v>
      </c>
      <c r="F202" s="303"/>
      <c r="G202" s="11">
        <v>-98741401.409999996</v>
      </c>
      <c r="H202" s="11">
        <v>-102111102.02</v>
      </c>
      <c r="I202" s="11">
        <v>0</v>
      </c>
      <c r="J202" s="140">
        <v>0</v>
      </c>
      <c r="K202" s="154"/>
      <c r="N202" s="91">
        <f t="shared" si="29"/>
        <v>0</v>
      </c>
      <c r="O202" s="130" t="str">
        <f t="shared" si="30"/>
        <v/>
      </c>
      <c r="P202" s="91">
        <f t="shared" si="31"/>
        <v>-102111102.02</v>
      </c>
      <c r="Q202" s="130">
        <f t="shared" si="32"/>
        <v>0</v>
      </c>
      <c r="R202" s="91"/>
      <c r="S202" s="132" t="str">
        <f t="shared" si="34"/>
        <v/>
      </c>
      <c r="T202" s="172">
        <f t="shared" si="33"/>
        <v>11</v>
      </c>
    </row>
    <row r="203" spans="1:20" ht="11.25" customHeight="1" x14ac:dyDescent="0.25">
      <c r="A203" s="42" t="s">
        <v>1110</v>
      </c>
      <c r="B203" s="20"/>
      <c r="C203" s="20"/>
      <c r="D203" s="20"/>
      <c r="E203" s="302" t="s">
        <v>201</v>
      </c>
      <c r="F203" s="303"/>
      <c r="G203" s="11">
        <v>-15049250.57</v>
      </c>
      <c r="H203" s="11">
        <v>-16839624.149999999</v>
      </c>
      <c r="I203" s="11">
        <v>0</v>
      </c>
      <c r="J203" s="140">
        <v>0</v>
      </c>
      <c r="K203" s="154"/>
      <c r="N203" s="91">
        <f t="shared" ref="N203:N266" si="51">-K203+I203</f>
        <v>0</v>
      </c>
      <c r="O203" s="130" t="str">
        <f t="shared" ref="O203:O266" si="52">IF(I203=0,"",K203/I203)</f>
        <v/>
      </c>
      <c r="P203" s="91">
        <f t="shared" ref="P203:P266" si="53">-K203+H203</f>
        <v>-16839624.149999999</v>
      </c>
      <c r="Q203" s="130">
        <f t="shared" ref="Q203:Q266" si="54">IF(H203=0,"",K203/H203)</f>
        <v>0</v>
      </c>
      <c r="R203" s="91"/>
      <c r="S203" s="132" t="str">
        <f t="shared" si="34"/>
        <v/>
      </c>
      <c r="T203" s="172">
        <f t="shared" ref="T203:T266" si="55">LEN(A203)</f>
        <v>11</v>
      </c>
    </row>
    <row r="204" spans="1:20" ht="11.25" customHeight="1" x14ac:dyDescent="0.25">
      <c r="A204" s="86" t="s">
        <v>1634</v>
      </c>
      <c r="B204" s="21" t="s">
        <v>922</v>
      </c>
      <c r="C204" s="21" t="s">
        <v>923</v>
      </c>
      <c r="D204" s="21" t="s">
        <v>1114</v>
      </c>
      <c r="E204" s="314" t="s">
        <v>1635</v>
      </c>
      <c r="F204" s="315"/>
      <c r="G204" s="19"/>
      <c r="H204" s="19"/>
      <c r="I204" s="19"/>
      <c r="J204" s="141">
        <v>0</v>
      </c>
      <c r="K204" s="157">
        <v>0</v>
      </c>
      <c r="N204" s="91">
        <f t="shared" si="51"/>
        <v>0</v>
      </c>
      <c r="O204" s="130" t="str">
        <f t="shared" si="52"/>
        <v/>
      </c>
      <c r="P204" s="91">
        <f t="shared" si="53"/>
        <v>0</v>
      </c>
      <c r="Q204" s="130" t="str">
        <f t="shared" si="54"/>
        <v/>
      </c>
      <c r="R204" s="91"/>
      <c r="S204" s="132" t="str">
        <f t="shared" si="34"/>
        <v/>
      </c>
      <c r="T204" s="172">
        <f t="shared" si="55"/>
        <v>11</v>
      </c>
    </row>
    <row r="205" spans="1:20" ht="11.25" customHeight="1" x14ac:dyDescent="0.25">
      <c r="A205" s="42" t="s">
        <v>1111</v>
      </c>
      <c r="B205" s="20" t="s">
        <v>922</v>
      </c>
      <c r="C205" s="20" t="s">
        <v>923</v>
      </c>
      <c r="D205" s="20" t="s">
        <v>1114</v>
      </c>
      <c r="E205" s="302" t="s">
        <v>202</v>
      </c>
      <c r="F205" s="303"/>
      <c r="G205" s="11">
        <v>0</v>
      </c>
      <c r="H205" s="11">
        <v>-4491</v>
      </c>
      <c r="I205" s="11">
        <v>0</v>
      </c>
      <c r="J205" s="140">
        <v>0</v>
      </c>
      <c r="K205" s="155">
        <v>0</v>
      </c>
      <c r="N205" s="91">
        <f t="shared" si="51"/>
        <v>0</v>
      </c>
      <c r="O205" s="130" t="str">
        <f t="shared" si="52"/>
        <v/>
      </c>
      <c r="P205" s="91">
        <f t="shared" si="53"/>
        <v>-4491</v>
      </c>
      <c r="Q205" s="130">
        <f t="shared" si="54"/>
        <v>0</v>
      </c>
      <c r="R205" s="91"/>
      <c r="S205" s="132" t="str">
        <f t="shared" ref="S205:S268" si="56">IF(J205=0,"",K205/J205)</f>
        <v/>
      </c>
      <c r="T205" s="172">
        <f t="shared" si="55"/>
        <v>11</v>
      </c>
    </row>
    <row r="206" spans="1:20" ht="11.25" customHeight="1" x14ac:dyDescent="0.25">
      <c r="A206" s="42" t="s">
        <v>1112</v>
      </c>
      <c r="B206" s="20"/>
      <c r="C206" s="20"/>
      <c r="D206" s="20"/>
      <c r="E206" s="302" t="s">
        <v>203</v>
      </c>
      <c r="F206" s="303"/>
      <c r="G206" s="11">
        <v>-370431.95</v>
      </c>
      <c r="H206" s="11">
        <v>-116446.44</v>
      </c>
      <c r="I206" s="11">
        <v>0</v>
      </c>
      <c r="J206" s="140">
        <v>0</v>
      </c>
      <c r="K206" s="154"/>
      <c r="N206" s="91">
        <f t="shared" si="51"/>
        <v>0</v>
      </c>
      <c r="O206" s="130" t="str">
        <f t="shared" si="52"/>
        <v/>
      </c>
      <c r="P206" s="91">
        <f t="shared" si="53"/>
        <v>-116446.44</v>
      </c>
      <c r="Q206" s="130">
        <f t="shared" si="54"/>
        <v>0</v>
      </c>
      <c r="R206" s="91"/>
      <c r="S206" s="132" t="str">
        <f t="shared" si="56"/>
        <v/>
      </c>
      <c r="T206" s="172">
        <f t="shared" si="55"/>
        <v>11</v>
      </c>
    </row>
    <row r="207" spans="1:20" ht="11.25" customHeight="1" x14ac:dyDescent="0.25">
      <c r="A207" s="42" t="s">
        <v>1113</v>
      </c>
      <c r="B207" s="20"/>
      <c r="C207" s="20"/>
      <c r="D207" s="20"/>
      <c r="E207" s="302" t="s">
        <v>204</v>
      </c>
      <c r="F207" s="303"/>
      <c r="G207" s="11">
        <v>-702324.07</v>
      </c>
      <c r="H207" s="11">
        <v>-640171.43000000005</v>
      </c>
      <c r="I207" s="11">
        <v>0</v>
      </c>
      <c r="J207" s="140">
        <v>0</v>
      </c>
      <c r="K207" s="154"/>
      <c r="N207" s="91">
        <f t="shared" si="51"/>
        <v>0</v>
      </c>
      <c r="O207" s="130" t="str">
        <f t="shared" si="52"/>
        <v/>
      </c>
      <c r="P207" s="91">
        <f t="shared" si="53"/>
        <v>-640171.43000000005</v>
      </c>
      <c r="Q207" s="130">
        <f t="shared" si="54"/>
        <v>0</v>
      </c>
      <c r="R207" s="91"/>
      <c r="S207" s="132" t="str">
        <f t="shared" si="56"/>
        <v/>
      </c>
      <c r="T207" s="172">
        <f t="shared" si="55"/>
        <v>11</v>
      </c>
    </row>
    <row r="208" spans="1:20" ht="11.25" customHeight="1" x14ac:dyDescent="0.25">
      <c r="A208" s="38" t="s">
        <v>205</v>
      </c>
      <c r="B208" s="38"/>
      <c r="C208" s="22"/>
      <c r="D208" s="22"/>
      <c r="E208" s="304" t="s">
        <v>206</v>
      </c>
      <c r="F208" s="305"/>
      <c r="G208" s="37">
        <f t="shared" ref="G208:K208" si="57">G209+G214+G218</f>
        <v>114817954.06</v>
      </c>
      <c r="H208" s="37">
        <f t="shared" si="57"/>
        <v>115074071.73</v>
      </c>
      <c r="I208" s="37">
        <f t="shared" si="57"/>
        <v>119426999.99999997</v>
      </c>
      <c r="J208" s="37">
        <f t="shared" si="57"/>
        <v>0</v>
      </c>
      <c r="K208" s="152">
        <f t="shared" si="57"/>
        <v>123569000</v>
      </c>
      <c r="N208" s="190">
        <f t="shared" si="51"/>
        <v>-4142000.0000000298</v>
      </c>
      <c r="O208" s="191">
        <f t="shared" si="52"/>
        <v>1.0346822745275359</v>
      </c>
      <c r="P208" s="190">
        <f t="shared" si="53"/>
        <v>-8494928.2699999958</v>
      </c>
      <c r="Q208" s="191">
        <f t="shared" si="54"/>
        <v>1.0738213929714051</v>
      </c>
      <c r="R208" s="190">
        <f t="shared" ref="R208:R256" si="58">-K208+J208</f>
        <v>-123569000</v>
      </c>
      <c r="S208" s="192" t="str">
        <f t="shared" si="56"/>
        <v/>
      </c>
      <c r="T208" s="172">
        <f t="shared" si="55"/>
        <v>4</v>
      </c>
    </row>
    <row r="209" spans="1:20" ht="11.25" customHeight="1" x14ac:dyDescent="0.25">
      <c r="A209" s="26" t="s">
        <v>1115</v>
      </c>
      <c r="B209" s="26"/>
      <c r="C209" s="23"/>
      <c r="D209" s="23"/>
      <c r="E209" s="306" t="s">
        <v>207</v>
      </c>
      <c r="F209" s="307"/>
      <c r="G209" s="25">
        <f t="shared" ref="G209:K209" si="59">SUM(G210:G213)</f>
        <v>108276423.91</v>
      </c>
      <c r="H209" s="25">
        <f t="shared" si="59"/>
        <v>107306478.59</v>
      </c>
      <c r="I209" s="25">
        <f t="shared" si="59"/>
        <v>111027000</v>
      </c>
      <c r="J209" s="25">
        <f t="shared" si="59"/>
        <v>0</v>
      </c>
      <c r="K209" s="153">
        <f t="shared" si="59"/>
        <v>114318000</v>
      </c>
      <c r="N209" s="91">
        <f t="shared" si="51"/>
        <v>-3291000</v>
      </c>
      <c r="O209" s="130">
        <f t="shared" si="52"/>
        <v>1.0296414385689967</v>
      </c>
      <c r="P209" s="91">
        <f t="shared" si="53"/>
        <v>-7011521.4099999964</v>
      </c>
      <c r="Q209" s="130">
        <f t="shared" si="54"/>
        <v>1.0653410819377442</v>
      </c>
      <c r="R209" s="91"/>
      <c r="S209" s="132" t="str">
        <f t="shared" si="56"/>
        <v/>
      </c>
      <c r="T209" s="172">
        <f t="shared" si="55"/>
        <v>7</v>
      </c>
    </row>
    <row r="210" spans="1:20" ht="11.25" customHeight="1" x14ac:dyDescent="0.25">
      <c r="A210" s="42" t="s">
        <v>1116</v>
      </c>
      <c r="B210" s="14"/>
      <c r="C210" s="13"/>
      <c r="D210" s="13"/>
      <c r="E210" s="302" t="s">
        <v>208</v>
      </c>
      <c r="F210" s="303"/>
      <c r="G210" s="11">
        <v>-93545.5</v>
      </c>
      <c r="H210" s="11">
        <v>-66040.5</v>
      </c>
      <c r="I210" s="11">
        <v>0</v>
      </c>
      <c r="J210" s="140">
        <v>0</v>
      </c>
      <c r="K210" s="154"/>
      <c r="N210" s="91">
        <f t="shared" si="51"/>
        <v>0</v>
      </c>
      <c r="O210" s="130" t="str">
        <f t="shared" si="52"/>
        <v/>
      </c>
      <c r="P210" s="91">
        <f t="shared" si="53"/>
        <v>-66040.5</v>
      </c>
      <c r="Q210" s="130">
        <f t="shared" si="54"/>
        <v>0</v>
      </c>
      <c r="R210" s="91"/>
      <c r="S210" s="132" t="str">
        <f t="shared" si="56"/>
        <v/>
      </c>
      <c r="T210" s="172">
        <f t="shared" si="55"/>
        <v>11</v>
      </c>
    </row>
    <row r="211" spans="1:20" ht="11.25" customHeight="1" x14ac:dyDescent="0.25">
      <c r="A211" s="42" t="s">
        <v>1117</v>
      </c>
      <c r="B211" s="27" t="s">
        <v>916</v>
      </c>
      <c r="C211" s="28" t="s">
        <v>923</v>
      </c>
      <c r="D211" s="28" t="s">
        <v>917</v>
      </c>
      <c r="E211" s="302" t="s">
        <v>209</v>
      </c>
      <c r="F211" s="303"/>
      <c r="G211" s="11">
        <v>575917.91</v>
      </c>
      <c r="H211" s="11">
        <v>854733.09</v>
      </c>
      <c r="I211" s="11">
        <v>826999.99999999499</v>
      </c>
      <c r="J211" s="140">
        <v>0</v>
      </c>
      <c r="K211" s="155">
        <v>990000</v>
      </c>
      <c r="N211" s="91">
        <f t="shared" si="51"/>
        <v>-163000.00000000501</v>
      </c>
      <c r="O211" s="130">
        <f t="shared" si="52"/>
        <v>1.1970979443772745</v>
      </c>
      <c r="P211" s="91">
        <f t="shared" si="53"/>
        <v>-135266.91000000003</v>
      </c>
      <c r="Q211" s="130">
        <f t="shared" si="54"/>
        <v>1.1582563160155646</v>
      </c>
      <c r="R211" s="91"/>
      <c r="S211" s="132" t="str">
        <f t="shared" si="56"/>
        <v/>
      </c>
      <c r="T211" s="172">
        <f t="shared" si="55"/>
        <v>11</v>
      </c>
    </row>
    <row r="212" spans="1:20" ht="11.25" customHeight="1" x14ac:dyDescent="0.25">
      <c r="A212" s="42" t="s">
        <v>1118</v>
      </c>
      <c r="B212" s="20" t="s">
        <v>922</v>
      </c>
      <c r="C212" s="20" t="s">
        <v>919</v>
      </c>
      <c r="D212" s="20" t="s">
        <v>924</v>
      </c>
      <c r="E212" s="302" t="s">
        <v>210</v>
      </c>
      <c r="F212" s="303"/>
      <c r="G212" s="11">
        <v>65260193.5</v>
      </c>
      <c r="H212" s="11">
        <v>63683711</v>
      </c>
      <c r="I212" s="11">
        <v>67400000</v>
      </c>
      <c r="J212" s="140">
        <v>0</v>
      </c>
      <c r="K212" s="155">
        <v>70359000</v>
      </c>
      <c r="N212" s="91">
        <f t="shared" si="51"/>
        <v>-2959000</v>
      </c>
      <c r="O212" s="130">
        <f t="shared" si="52"/>
        <v>1.0439020771513352</v>
      </c>
      <c r="P212" s="91">
        <f t="shared" si="53"/>
        <v>-6675289</v>
      </c>
      <c r="Q212" s="130">
        <f t="shared" si="54"/>
        <v>1.1048194097859656</v>
      </c>
      <c r="R212" s="91"/>
      <c r="S212" s="132" t="str">
        <f t="shared" si="56"/>
        <v/>
      </c>
      <c r="T212" s="172">
        <f t="shared" si="55"/>
        <v>11</v>
      </c>
    </row>
    <row r="213" spans="1:20" ht="11.25" customHeight="1" x14ac:dyDescent="0.25">
      <c r="A213" s="42" t="s">
        <v>1119</v>
      </c>
      <c r="B213" s="20" t="s">
        <v>922</v>
      </c>
      <c r="C213" s="20" t="s">
        <v>919</v>
      </c>
      <c r="D213" s="20" t="s">
        <v>924</v>
      </c>
      <c r="E213" s="302" t="s">
        <v>211</v>
      </c>
      <c r="F213" s="303"/>
      <c r="G213" s="11">
        <v>42533858</v>
      </c>
      <c r="H213" s="11">
        <v>42834075</v>
      </c>
      <c r="I213" s="11">
        <v>42800000</v>
      </c>
      <c r="J213" s="140">
        <v>0</v>
      </c>
      <c r="K213" s="155">
        <v>42969000</v>
      </c>
      <c r="N213" s="91">
        <f t="shared" si="51"/>
        <v>-169000</v>
      </c>
      <c r="O213" s="130">
        <f t="shared" si="52"/>
        <v>1.0039485981308411</v>
      </c>
      <c r="P213" s="91">
        <f t="shared" si="53"/>
        <v>-134925</v>
      </c>
      <c r="Q213" s="130">
        <f t="shared" si="54"/>
        <v>1.003149945458143</v>
      </c>
      <c r="R213" s="91"/>
      <c r="S213" s="132" t="str">
        <f t="shared" si="56"/>
        <v/>
      </c>
      <c r="T213" s="172">
        <f t="shared" si="55"/>
        <v>11</v>
      </c>
    </row>
    <row r="214" spans="1:20" ht="11.25" customHeight="1" x14ac:dyDescent="0.25">
      <c r="A214" s="26" t="s">
        <v>1120</v>
      </c>
      <c r="B214" s="26"/>
      <c r="C214" s="23"/>
      <c r="D214" s="23"/>
      <c r="E214" s="306" t="s">
        <v>212</v>
      </c>
      <c r="F214" s="307"/>
      <c r="G214" s="25">
        <f t="shared" ref="G214:K214" si="60">SUM(G215:G217)</f>
        <v>6447984.6499999994</v>
      </c>
      <c r="H214" s="25">
        <f t="shared" si="60"/>
        <v>7701552.6399999997</v>
      </c>
      <c r="I214" s="25">
        <f t="shared" si="60"/>
        <v>8399999.9999999683</v>
      </c>
      <c r="J214" s="25">
        <f t="shared" si="60"/>
        <v>0</v>
      </c>
      <c r="K214" s="153">
        <f t="shared" si="60"/>
        <v>9251000</v>
      </c>
      <c r="N214" s="91">
        <f t="shared" si="51"/>
        <v>-851000.00000003166</v>
      </c>
      <c r="O214" s="130">
        <f t="shared" si="52"/>
        <v>1.1013095238095281</v>
      </c>
      <c r="P214" s="91">
        <f t="shared" si="53"/>
        <v>-1549447.3600000003</v>
      </c>
      <c r="Q214" s="130">
        <f t="shared" si="54"/>
        <v>1.2011863623384909</v>
      </c>
      <c r="R214" s="91"/>
      <c r="S214" s="132" t="str">
        <f t="shared" si="56"/>
        <v/>
      </c>
      <c r="T214" s="172">
        <f t="shared" si="55"/>
        <v>7</v>
      </c>
    </row>
    <row r="215" spans="1:20" ht="11.25" customHeight="1" x14ac:dyDescent="0.25">
      <c r="A215" s="42" t="s">
        <v>1121</v>
      </c>
      <c r="B215" s="20" t="s">
        <v>922</v>
      </c>
      <c r="C215" s="20" t="s">
        <v>923</v>
      </c>
      <c r="D215" s="20" t="s">
        <v>1114</v>
      </c>
      <c r="E215" s="302" t="s">
        <v>213</v>
      </c>
      <c r="F215" s="303"/>
      <c r="G215" s="11">
        <v>176965.55</v>
      </c>
      <c r="H215" s="11">
        <v>135876.81</v>
      </c>
      <c r="I215" s="11">
        <v>199999.999999997</v>
      </c>
      <c r="J215" s="140">
        <v>0</v>
      </c>
      <c r="K215" s="155">
        <v>151000</v>
      </c>
      <c r="N215" s="91">
        <f t="shared" si="51"/>
        <v>48999.999999997002</v>
      </c>
      <c r="O215" s="130">
        <f t="shared" si="52"/>
        <v>0.75500000000001133</v>
      </c>
      <c r="P215" s="91">
        <f t="shared" si="53"/>
        <v>-15123.190000000002</v>
      </c>
      <c r="Q215" s="130">
        <f t="shared" si="54"/>
        <v>1.1113007436662665</v>
      </c>
      <c r="R215" s="91"/>
      <c r="S215" s="132" t="str">
        <f t="shared" si="56"/>
        <v/>
      </c>
      <c r="T215" s="172">
        <f t="shared" si="55"/>
        <v>11</v>
      </c>
    </row>
    <row r="216" spans="1:20" ht="11.25" customHeight="1" x14ac:dyDescent="0.25">
      <c r="A216" s="42" t="s">
        <v>1122</v>
      </c>
      <c r="B216" s="20" t="s">
        <v>922</v>
      </c>
      <c r="C216" s="20" t="s">
        <v>923</v>
      </c>
      <c r="D216" s="20" t="s">
        <v>1114</v>
      </c>
      <c r="E216" s="302" t="s">
        <v>214</v>
      </c>
      <c r="F216" s="303"/>
      <c r="G216" s="11">
        <v>5733879.0999999996</v>
      </c>
      <c r="H216" s="11">
        <v>6800817.8300000001</v>
      </c>
      <c r="I216" s="11">
        <v>7299999.9999999804</v>
      </c>
      <c r="J216" s="140">
        <v>0</v>
      </c>
      <c r="K216" s="155">
        <v>8500000</v>
      </c>
      <c r="N216" s="91">
        <f t="shared" si="51"/>
        <v>-1200000.0000000196</v>
      </c>
      <c r="O216" s="130">
        <f t="shared" si="52"/>
        <v>1.1643835616438387</v>
      </c>
      <c r="P216" s="91">
        <f t="shared" si="53"/>
        <v>-1699182.17</v>
      </c>
      <c r="Q216" s="130">
        <f t="shared" si="54"/>
        <v>1.2498496816815927</v>
      </c>
      <c r="R216" s="91"/>
      <c r="S216" s="132" t="str">
        <f t="shared" si="56"/>
        <v/>
      </c>
      <c r="T216" s="172">
        <f t="shared" si="55"/>
        <v>11</v>
      </c>
    </row>
    <row r="217" spans="1:20" ht="11.25" customHeight="1" x14ac:dyDescent="0.25">
      <c r="A217" s="42" t="s">
        <v>1123</v>
      </c>
      <c r="B217" s="20" t="s">
        <v>922</v>
      </c>
      <c r="C217" s="20" t="s">
        <v>923</v>
      </c>
      <c r="D217" s="20" t="s">
        <v>1114</v>
      </c>
      <c r="E217" s="302" t="s">
        <v>215</v>
      </c>
      <c r="F217" s="303"/>
      <c r="G217" s="11">
        <v>537140</v>
      </c>
      <c r="H217" s="11">
        <v>764858</v>
      </c>
      <c r="I217" s="11">
        <v>899999.99999998999</v>
      </c>
      <c r="J217" s="140">
        <v>0</v>
      </c>
      <c r="K217" s="155">
        <v>600000</v>
      </c>
      <c r="N217" s="91">
        <f t="shared" si="51"/>
        <v>299999.99999998999</v>
      </c>
      <c r="O217" s="130">
        <f t="shared" si="52"/>
        <v>0.66666666666667407</v>
      </c>
      <c r="P217" s="91">
        <f t="shared" si="53"/>
        <v>164858</v>
      </c>
      <c r="Q217" s="130">
        <f t="shared" si="54"/>
        <v>0.78445933755023811</v>
      </c>
      <c r="R217" s="91"/>
      <c r="S217" s="132" t="str">
        <f t="shared" si="56"/>
        <v/>
      </c>
      <c r="T217" s="172">
        <f t="shared" si="55"/>
        <v>11</v>
      </c>
    </row>
    <row r="218" spans="1:20" ht="11.25" customHeight="1" x14ac:dyDescent="0.25">
      <c r="A218" s="26" t="s">
        <v>1124</v>
      </c>
      <c r="B218" s="26"/>
      <c r="C218" s="23"/>
      <c r="D218" s="23"/>
      <c r="E218" s="306" t="s">
        <v>216</v>
      </c>
      <c r="F218" s="307"/>
      <c r="G218" s="25">
        <f t="shared" ref="G218:K218" si="61">SUM(G219)</f>
        <v>93545.5</v>
      </c>
      <c r="H218" s="25">
        <f t="shared" si="61"/>
        <v>66040.5</v>
      </c>
      <c r="I218" s="25">
        <f t="shared" si="61"/>
        <v>0</v>
      </c>
      <c r="J218" s="139">
        <f t="shared" si="61"/>
        <v>0</v>
      </c>
      <c r="K218" s="153">
        <f t="shared" si="61"/>
        <v>0</v>
      </c>
      <c r="N218" s="91">
        <f t="shared" si="51"/>
        <v>0</v>
      </c>
      <c r="O218" s="130" t="str">
        <f t="shared" si="52"/>
        <v/>
      </c>
      <c r="P218" s="91">
        <f t="shared" si="53"/>
        <v>66040.5</v>
      </c>
      <c r="Q218" s="130">
        <f t="shared" si="54"/>
        <v>0</v>
      </c>
      <c r="R218" s="91"/>
      <c r="S218" s="132" t="str">
        <f t="shared" si="56"/>
        <v/>
      </c>
      <c r="T218" s="172">
        <f t="shared" si="55"/>
        <v>7</v>
      </c>
    </row>
    <row r="219" spans="1:20" ht="11.25" customHeight="1" x14ac:dyDescent="0.25">
      <c r="A219" s="42" t="s">
        <v>1125</v>
      </c>
      <c r="B219" s="14"/>
      <c r="C219" s="13"/>
      <c r="D219" s="13"/>
      <c r="E219" s="302" t="s">
        <v>217</v>
      </c>
      <c r="F219" s="303"/>
      <c r="G219" s="11">
        <v>93545.5</v>
      </c>
      <c r="H219" s="11">
        <v>66040.5</v>
      </c>
      <c r="I219" s="11">
        <v>0</v>
      </c>
      <c r="J219" s="140">
        <v>0</v>
      </c>
      <c r="K219" s="154"/>
      <c r="N219" s="91">
        <f t="shared" si="51"/>
        <v>0</v>
      </c>
      <c r="O219" s="130" t="str">
        <f t="shared" si="52"/>
        <v/>
      </c>
      <c r="P219" s="91">
        <f t="shared" si="53"/>
        <v>66040.5</v>
      </c>
      <c r="Q219" s="130">
        <f t="shared" si="54"/>
        <v>0</v>
      </c>
      <c r="R219" s="91"/>
      <c r="S219" s="132" t="str">
        <f t="shared" si="56"/>
        <v/>
      </c>
      <c r="T219" s="172">
        <f t="shared" si="55"/>
        <v>11</v>
      </c>
    </row>
    <row r="220" spans="1:20" ht="11.25" customHeight="1" x14ac:dyDescent="0.25">
      <c r="A220" s="41" t="s">
        <v>218</v>
      </c>
      <c r="B220" s="41"/>
      <c r="C220" s="40"/>
      <c r="D220" s="40"/>
      <c r="E220" s="312" t="s">
        <v>219</v>
      </c>
      <c r="F220" s="313"/>
      <c r="G220" s="43">
        <f t="shared" ref="G220:K220" si="62">G221+G241+G252+G256</f>
        <v>-244066496.75000012</v>
      </c>
      <c r="H220" s="43">
        <f t="shared" si="62"/>
        <v>-264441054.20000011</v>
      </c>
      <c r="I220" s="43">
        <f t="shared" si="62"/>
        <v>-309736158.94191051</v>
      </c>
      <c r="J220" s="43">
        <f t="shared" ref="J220" si="63">J221+J241+J252+J256</f>
        <v>0</v>
      </c>
      <c r="K220" s="151">
        <f t="shared" si="62"/>
        <v>-373924390.90999997</v>
      </c>
      <c r="N220" s="91">
        <f t="shared" si="51"/>
        <v>64188231.968089461</v>
      </c>
      <c r="O220" s="130">
        <f t="shared" si="52"/>
        <v>1.2072351907099346</v>
      </c>
      <c r="P220" s="91">
        <f t="shared" si="53"/>
        <v>109483336.70999986</v>
      </c>
      <c r="Q220" s="130">
        <f t="shared" si="54"/>
        <v>1.4140179256251044</v>
      </c>
      <c r="R220" s="91"/>
      <c r="S220" s="132" t="str">
        <f t="shared" si="56"/>
        <v/>
      </c>
      <c r="T220" s="172">
        <f t="shared" si="55"/>
        <v>3</v>
      </c>
    </row>
    <row r="221" spans="1:20" ht="11.25" customHeight="1" x14ac:dyDescent="0.25">
      <c r="A221" s="38" t="s">
        <v>220</v>
      </c>
      <c r="B221" s="38"/>
      <c r="C221" s="22"/>
      <c r="D221" s="22"/>
      <c r="E221" s="304" t="s">
        <v>221</v>
      </c>
      <c r="F221" s="305"/>
      <c r="G221" s="37">
        <f t="shared" ref="G221:K221" si="64">G222+G224+G238</f>
        <v>-62962947.829999901</v>
      </c>
      <c r="H221" s="37">
        <f t="shared" si="64"/>
        <v>-78213494.379999995</v>
      </c>
      <c r="I221" s="37">
        <f t="shared" si="64"/>
        <v>-90109751.188178301</v>
      </c>
      <c r="J221" s="37">
        <f t="shared" si="64"/>
        <v>0</v>
      </c>
      <c r="K221" s="152">
        <f t="shared" si="64"/>
        <v>-86605000</v>
      </c>
      <c r="N221" s="190">
        <f t="shared" si="51"/>
        <v>-3504751.1881783009</v>
      </c>
      <c r="O221" s="191">
        <f t="shared" si="52"/>
        <v>0.96110575002189003</v>
      </c>
      <c r="P221" s="190">
        <f t="shared" si="53"/>
        <v>8391505.6200000048</v>
      </c>
      <c r="Q221" s="191">
        <f t="shared" si="54"/>
        <v>1.107289741834445</v>
      </c>
      <c r="R221" s="190">
        <f t="shared" si="58"/>
        <v>86605000</v>
      </c>
      <c r="S221" s="192" t="str">
        <f t="shared" si="56"/>
        <v/>
      </c>
      <c r="T221" s="172">
        <f t="shared" si="55"/>
        <v>4</v>
      </c>
    </row>
    <row r="222" spans="1:20" ht="11.25" customHeight="1" x14ac:dyDescent="0.25">
      <c r="A222" s="26" t="s">
        <v>1126</v>
      </c>
      <c r="B222" s="26"/>
      <c r="C222" s="23"/>
      <c r="D222" s="23"/>
      <c r="E222" s="306" t="s">
        <v>222</v>
      </c>
      <c r="F222" s="307"/>
      <c r="G222" s="25">
        <f t="shared" ref="G222:K222" si="65">SUM(G223)</f>
        <v>112842.45</v>
      </c>
      <c r="H222" s="25">
        <f t="shared" si="65"/>
        <v>172754.55</v>
      </c>
      <c r="I222" s="25">
        <f t="shared" si="65"/>
        <v>0</v>
      </c>
      <c r="J222" s="139">
        <f t="shared" si="65"/>
        <v>0</v>
      </c>
      <c r="K222" s="153">
        <f t="shared" si="65"/>
        <v>0</v>
      </c>
      <c r="N222" s="91">
        <f t="shared" si="51"/>
        <v>0</v>
      </c>
      <c r="O222" s="130" t="str">
        <f t="shared" si="52"/>
        <v/>
      </c>
      <c r="P222" s="91">
        <f t="shared" si="53"/>
        <v>172754.55</v>
      </c>
      <c r="Q222" s="130">
        <f t="shared" si="54"/>
        <v>0</v>
      </c>
      <c r="R222" s="91"/>
      <c r="S222" s="132" t="str">
        <f t="shared" si="56"/>
        <v/>
      </c>
      <c r="T222" s="172">
        <f t="shared" si="55"/>
        <v>7</v>
      </c>
    </row>
    <row r="223" spans="1:20" ht="11.25" customHeight="1" x14ac:dyDescent="0.25">
      <c r="A223" s="42" t="s">
        <v>1127</v>
      </c>
      <c r="B223" s="14"/>
      <c r="C223" s="13"/>
      <c r="D223" s="13"/>
      <c r="E223" s="302" t="s">
        <v>223</v>
      </c>
      <c r="F223" s="303"/>
      <c r="G223" s="11">
        <v>112842.45</v>
      </c>
      <c r="H223" s="11">
        <v>172754.55</v>
      </c>
      <c r="I223" s="11">
        <v>0</v>
      </c>
      <c r="J223" s="140">
        <v>0</v>
      </c>
      <c r="K223" s="154"/>
      <c r="N223" s="91">
        <f t="shared" si="51"/>
        <v>0</v>
      </c>
      <c r="O223" s="130" t="str">
        <f t="shared" si="52"/>
        <v/>
      </c>
      <c r="P223" s="91">
        <f t="shared" si="53"/>
        <v>172754.55</v>
      </c>
      <c r="Q223" s="130">
        <f t="shared" si="54"/>
        <v>0</v>
      </c>
      <c r="R223" s="91"/>
      <c r="S223" s="132" t="str">
        <f t="shared" si="56"/>
        <v/>
      </c>
      <c r="T223" s="172">
        <f t="shared" si="55"/>
        <v>11</v>
      </c>
    </row>
    <row r="224" spans="1:20" ht="11.25" customHeight="1" x14ac:dyDescent="0.25">
      <c r="A224" s="26" t="s">
        <v>1128</v>
      </c>
      <c r="B224" s="26"/>
      <c r="C224" s="23"/>
      <c r="D224" s="23"/>
      <c r="E224" s="306" t="s">
        <v>224</v>
      </c>
      <c r="F224" s="307"/>
      <c r="G224" s="25">
        <f t="shared" ref="G224:K224" si="66">SUM(G225:G237)</f>
        <v>-62962947.829999901</v>
      </c>
      <c r="H224" s="25">
        <f t="shared" si="66"/>
        <v>-78213494.379999995</v>
      </c>
      <c r="I224" s="25">
        <f t="shared" si="66"/>
        <v>-90109751.188178301</v>
      </c>
      <c r="J224" s="25">
        <f t="shared" si="66"/>
        <v>0</v>
      </c>
      <c r="K224" s="153">
        <f t="shared" si="66"/>
        <v>-86605000</v>
      </c>
      <c r="N224" s="91">
        <f t="shared" si="51"/>
        <v>-3504751.1881783009</v>
      </c>
      <c r="O224" s="130">
        <f t="shared" si="52"/>
        <v>0.96110575002189003</v>
      </c>
      <c r="P224" s="91">
        <f t="shared" si="53"/>
        <v>8391505.6200000048</v>
      </c>
      <c r="Q224" s="130">
        <f t="shared" si="54"/>
        <v>1.107289741834445</v>
      </c>
      <c r="R224" s="91"/>
      <c r="S224" s="132" t="str">
        <f t="shared" si="56"/>
        <v/>
      </c>
      <c r="T224" s="172">
        <f t="shared" si="55"/>
        <v>7</v>
      </c>
    </row>
    <row r="225" spans="1:20" ht="11.25" customHeight="1" x14ac:dyDescent="0.25">
      <c r="A225" s="57" t="s">
        <v>1129</v>
      </c>
      <c r="B225" s="175" t="s">
        <v>916</v>
      </c>
      <c r="C225" s="175" t="s">
        <v>920</v>
      </c>
      <c r="D225" s="175" t="s">
        <v>1053</v>
      </c>
      <c r="E225" s="308" t="s">
        <v>225</v>
      </c>
      <c r="F225" s="309"/>
      <c r="G225" s="56">
        <v>-29564770.009999901</v>
      </c>
      <c r="H225" s="56">
        <v>-37610420.93</v>
      </c>
      <c r="I225" s="56">
        <v>-28699999.999999601</v>
      </c>
      <c r="J225" s="176">
        <v>0</v>
      </c>
      <c r="K225" s="168">
        <v>-28700000</v>
      </c>
      <c r="L225" s="183" t="s">
        <v>1727</v>
      </c>
      <c r="M225" s="183"/>
      <c r="N225" s="102">
        <f t="shared" si="51"/>
        <v>3.986060619354248E-7</v>
      </c>
      <c r="O225" s="177">
        <f t="shared" si="52"/>
        <v>1.000000000000014</v>
      </c>
      <c r="P225" s="102">
        <f t="shared" si="53"/>
        <v>-8910420.9299999997</v>
      </c>
      <c r="Q225" s="177">
        <f t="shared" si="54"/>
        <v>0.76308638112336069</v>
      </c>
      <c r="R225" s="102"/>
      <c r="S225" s="132" t="str">
        <f t="shared" si="56"/>
        <v/>
      </c>
      <c r="T225" s="172">
        <f t="shared" si="55"/>
        <v>11</v>
      </c>
    </row>
    <row r="226" spans="1:20" ht="11.25" customHeight="1" x14ac:dyDescent="0.25">
      <c r="A226" s="42" t="s">
        <v>1130</v>
      </c>
      <c r="B226" s="20" t="s">
        <v>1654</v>
      </c>
      <c r="C226" s="20" t="s">
        <v>919</v>
      </c>
      <c r="D226" s="20" t="s">
        <v>1655</v>
      </c>
      <c r="E226" s="302" t="s">
        <v>226</v>
      </c>
      <c r="F226" s="303"/>
      <c r="G226" s="11">
        <v>-226902.8</v>
      </c>
      <c r="H226" s="11">
        <v>-244271.09</v>
      </c>
      <c r="I226" s="11">
        <v>-400210.84328072501</v>
      </c>
      <c r="J226" s="140">
        <v>0</v>
      </c>
      <c r="K226" s="155">
        <v>-500000</v>
      </c>
      <c r="N226" s="91">
        <f t="shared" si="51"/>
        <v>99789.156719274994</v>
      </c>
      <c r="O226" s="130">
        <f t="shared" si="52"/>
        <v>1.2493414618685845</v>
      </c>
      <c r="P226" s="91">
        <f t="shared" si="53"/>
        <v>255728.91</v>
      </c>
      <c r="Q226" s="130">
        <f t="shared" si="54"/>
        <v>2.0469061647860172</v>
      </c>
      <c r="R226" s="91"/>
      <c r="S226" s="132" t="str">
        <f t="shared" si="56"/>
        <v/>
      </c>
      <c r="T226" s="172">
        <f t="shared" si="55"/>
        <v>11</v>
      </c>
    </row>
    <row r="227" spans="1:20" ht="11.25" customHeight="1" x14ac:dyDescent="0.25">
      <c r="A227" s="57" t="s">
        <v>1131</v>
      </c>
      <c r="B227" s="175" t="s">
        <v>916</v>
      </c>
      <c r="C227" s="175" t="s">
        <v>920</v>
      </c>
      <c r="D227" s="175" t="s">
        <v>1053</v>
      </c>
      <c r="E227" s="308" t="s">
        <v>227</v>
      </c>
      <c r="F227" s="309"/>
      <c r="G227" s="56">
        <v>-7028569.2800000003</v>
      </c>
      <c r="H227" s="56">
        <v>-9425105.4800000004</v>
      </c>
      <c r="I227" s="56">
        <v>-499575.24436860101</v>
      </c>
      <c r="J227" s="176">
        <v>0</v>
      </c>
      <c r="K227" s="168">
        <v>-500000</v>
      </c>
      <c r="L227" s="183" t="s">
        <v>1728</v>
      </c>
      <c r="M227" s="183"/>
      <c r="N227" s="102">
        <f t="shared" si="51"/>
        <v>424.75563139899168</v>
      </c>
      <c r="O227" s="177">
        <f t="shared" si="52"/>
        <v>1.0008502335457712</v>
      </c>
      <c r="P227" s="102">
        <f t="shared" si="53"/>
        <v>-8925105.4800000004</v>
      </c>
      <c r="Q227" s="177">
        <f t="shared" si="54"/>
        <v>5.3049804170467486E-2</v>
      </c>
      <c r="R227" s="102"/>
      <c r="S227" s="132" t="str">
        <f t="shared" si="56"/>
        <v/>
      </c>
      <c r="T227" s="172">
        <f t="shared" si="55"/>
        <v>11</v>
      </c>
    </row>
    <row r="228" spans="1:20" ht="11.25" customHeight="1" x14ac:dyDescent="0.25">
      <c r="A228" s="42" t="s">
        <v>1132</v>
      </c>
      <c r="B228" s="20" t="s">
        <v>916</v>
      </c>
      <c r="C228" s="20" t="s">
        <v>923</v>
      </c>
      <c r="D228" s="20" t="s">
        <v>1648</v>
      </c>
      <c r="E228" s="302" t="s">
        <v>228</v>
      </c>
      <c r="F228" s="303"/>
      <c r="G228" s="11">
        <v>-13436472.689999999</v>
      </c>
      <c r="H228" s="11">
        <v>-13023648.689999999</v>
      </c>
      <c r="I228" s="11">
        <v>-36555337.381816</v>
      </c>
      <c r="J228" s="140">
        <v>0</v>
      </c>
      <c r="K228" s="158">
        <f>-10570000-10000000+6000000-1900000-2160000</f>
        <v>-18630000</v>
      </c>
      <c r="N228" s="91">
        <f t="shared" si="51"/>
        <v>-17925337.381816</v>
      </c>
      <c r="O228" s="130">
        <f t="shared" si="52"/>
        <v>0.50963830002201715</v>
      </c>
      <c r="P228" s="91">
        <f t="shared" si="53"/>
        <v>5606351.3100000005</v>
      </c>
      <c r="Q228" s="130">
        <f t="shared" si="54"/>
        <v>1.43047470362931</v>
      </c>
      <c r="R228" s="91"/>
      <c r="S228" s="132" t="str">
        <f t="shared" si="56"/>
        <v/>
      </c>
      <c r="T228" s="172">
        <f t="shared" si="55"/>
        <v>11</v>
      </c>
    </row>
    <row r="229" spans="1:20" ht="11.25" customHeight="1" x14ac:dyDescent="0.25">
      <c r="A229" s="42" t="s">
        <v>1133</v>
      </c>
      <c r="B229" s="178" t="s">
        <v>916</v>
      </c>
      <c r="C229" s="178" t="s">
        <v>919</v>
      </c>
      <c r="D229" s="178" t="s">
        <v>1089</v>
      </c>
      <c r="E229" s="310" t="s">
        <v>229</v>
      </c>
      <c r="F229" s="311"/>
      <c r="G229" s="59">
        <v>-9711805.3400000092</v>
      </c>
      <c r="H229" s="59">
        <v>-14402956</v>
      </c>
      <c r="I229" s="59">
        <v>-9700115.1786342803</v>
      </c>
      <c r="J229" s="179">
        <v>0</v>
      </c>
      <c r="K229" s="156">
        <f>-12000000+1000000</f>
        <v>-11000000</v>
      </c>
      <c r="L229" s="109" t="s">
        <v>1746</v>
      </c>
      <c r="M229" s="109"/>
      <c r="N229" s="180">
        <f t="shared" si="51"/>
        <v>1299884.8213657197</v>
      </c>
      <c r="O229" s="181">
        <f t="shared" si="52"/>
        <v>1.1340071532582292</v>
      </c>
      <c r="P229" s="180">
        <f t="shared" si="53"/>
        <v>-3402956</v>
      </c>
      <c r="Q229" s="181">
        <f t="shared" si="54"/>
        <v>0.76373211165819022</v>
      </c>
      <c r="R229" s="180"/>
      <c r="S229" s="132" t="str">
        <f t="shared" si="56"/>
        <v/>
      </c>
      <c r="T229" s="172">
        <f t="shared" si="55"/>
        <v>11</v>
      </c>
    </row>
    <row r="230" spans="1:20" ht="11.25" customHeight="1" x14ac:dyDescent="0.25">
      <c r="A230" s="42" t="s">
        <v>1134</v>
      </c>
      <c r="B230" s="20" t="s">
        <v>916</v>
      </c>
      <c r="C230" s="20" t="s">
        <v>920</v>
      </c>
      <c r="D230" s="20" t="s">
        <v>1053</v>
      </c>
      <c r="E230" s="302" t="s">
        <v>230</v>
      </c>
      <c r="F230" s="303"/>
      <c r="G230" s="11">
        <v>-106009.19</v>
      </c>
      <c r="H230" s="11">
        <v>-107921.86</v>
      </c>
      <c r="I230" s="11">
        <v>-79999.999999987995</v>
      </c>
      <c r="J230" s="140">
        <v>0</v>
      </c>
      <c r="K230" s="155">
        <v>-700000</v>
      </c>
      <c r="L230" s="108" t="s">
        <v>1700</v>
      </c>
      <c r="N230" s="91">
        <f t="shared" si="51"/>
        <v>620000.00000001199</v>
      </c>
      <c r="O230" s="130">
        <f t="shared" si="52"/>
        <v>8.7500000000013127</v>
      </c>
      <c r="P230" s="91">
        <f t="shared" si="53"/>
        <v>592078.14</v>
      </c>
      <c r="Q230" s="130">
        <f t="shared" si="54"/>
        <v>6.4861743487371326</v>
      </c>
      <c r="R230" s="91"/>
      <c r="S230" s="132" t="str">
        <f t="shared" si="56"/>
        <v/>
      </c>
      <c r="T230" s="172">
        <f t="shared" si="55"/>
        <v>11</v>
      </c>
    </row>
    <row r="231" spans="1:20" ht="11.25" customHeight="1" x14ac:dyDescent="0.25">
      <c r="A231" s="42" t="s">
        <v>1135</v>
      </c>
      <c r="B231" s="20" t="s">
        <v>916</v>
      </c>
      <c r="C231" s="20" t="s">
        <v>919</v>
      </c>
      <c r="D231" s="20" t="s">
        <v>918</v>
      </c>
      <c r="E231" s="302" t="s">
        <v>231</v>
      </c>
      <c r="F231" s="303"/>
      <c r="G231" s="11">
        <v>-2636079.87</v>
      </c>
      <c r="H231" s="11">
        <v>-2840011.66</v>
      </c>
      <c r="I231" s="11">
        <v>-2599999.99999998</v>
      </c>
      <c r="J231" s="140">
        <v>0</v>
      </c>
      <c r="K231" s="155">
        <f>-3300000+400000</f>
        <v>-2900000</v>
      </c>
      <c r="L231" s="109" t="s">
        <v>1694</v>
      </c>
      <c r="M231" s="109"/>
      <c r="N231" s="91">
        <f t="shared" si="51"/>
        <v>300000.00000002002</v>
      </c>
      <c r="O231" s="130">
        <f t="shared" si="52"/>
        <v>1.1153846153846241</v>
      </c>
      <c r="P231" s="91">
        <f t="shared" si="53"/>
        <v>59988.339999999851</v>
      </c>
      <c r="Q231" s="130">
        <f t="shared" si="54"/>
        <v>1.0211225682080474</v>
      </c>
      <c r="R231" s="91"/>
      <c r="S231" s="132" t="str">
        <f t="shared" si="56"/>
        <v/>
      </c>
      <c r="T231" s="172">
        <f t="shared" si="55"/>
        <v>11</v>
      </c>
    </row>
    <row r="232" spans="1:20" ht="11.25" customHeight="1" x14ac:dyDescent="0.25">
      <c r="A232" s="42" t="s">
        <v>1136</v>
      </c>
      <c r="B232" s="20" t="s">
        <v>916</v>
      </c>
      <c r="C232" s="20" t="s">
        <v>919</v>
      </c>
      <c r="D232" s="20" t="s">
        <v>1649</v>
      </c>
      <c r="E232" s="302" t="s">
        <v>232</v>
      </c>
      <c r="F232" s="303"/>
      <c r="G232" s="11">
        <v>-207846.65</v>
      </c>
      <c r="H232" s="11">
        <v>-499596.47</v>
      </c>
      <c r="I232" s="11">
        <v>-349999.99999999499</v>
      </c>
      <c r="J232" s="140">
        <v>0</v>
      </c>
      <c r="K232" s="155">
        <v>-1500000</v>
      </c>
      <c r="L232" s="108" t="s">
        <v>1702</v>
      </c>
      <c r="N232" s="91">
        <f t="shared" si="51"/>
        <v>1150000.0000000051</v>
      </c>
      <c r="O232" s="130">
        <f t="shared" si="52"/>
        <v>4.2857142857143469</v>
      </c>
      <c r="P232" s="91">
        <f t="shared" si="53"/>
        <v>1000403.53</v>
      </c>
      <c r="Q232" s="130">
        <f t="shared" si="54"/>
        <v>3.0024231356158304</v>
      </c>
      <c r="R232" s="91"/>
      <c r="S232" s="132" t="str">
        <f t="shared" si="56"/>
        <v/>
      </c>
      <c r="T232" s="172">
        <f t="shared" si="55"/>
        <v>11</v>
      </c>
    </row>
    <row r="233" spans="1:20" ht="11.25" customHeight="1" x14ac:dyDescent="0.25">
      <c r="A233" s="42" t="s">
        <v>1137</v>
      </c>
      <c r="B233" s="20" t="s">
        <v>1241</v>
      </c>
      <c r="C233" s="20" t="s">
        <v>920</v>
      </c>
      <c r="D233" s="20" t="s">
        <v>1242</v>
      </c>
      <c r="E233" s="302" t="s">
        <v>233</v>
      </c>
      <c r="F233" s="303"/>
      <c r="G233" s="11">
        <v>-44492</v>
      </c>
      <c r="H233" s="11">
        <v>-59562.2</v>
      </c>
      <c r="I233" s="11">
        <v>-1075000</v>
      </c>
      <c r="J233" s="140">
        <v>0</v>
      </c>
      <c r="K233" s="155">
        <v>-1275000</v>
      </c>
      <c r="N233" s="91">
        <f t="shared" si="51"/>
        <v>200000</v>
      </c>
      <c r="O233" s="130">
        <f t="shared" si="52"/>
        <v>1.1860465116279071</v>
      </c>
      <c r="P233" s="91">
        <f t="shared" si="53"/>
        <v>1215437.8</v>
      </c>
      <c r="Q233" s="130">
        <f t="shared" si="54"/>
        <v>21.406193861207278</v>
      </c>
      <c r="R233" s="91"/>
      <c r="S233" s="132" t="str">
        <f t="shared" si="56"/>
        <v/>
      </c>
      <c r="T233" s="172">
        <f t="shared" si="55"/>
        <v>11</v>
      </c>
    </row>
    <row r="234" spans="1:20" ht="11.25" customHeight="1" x14ac:dyDescent="0.25">
      <c r="A234" s="42" t="s">
        <v>1138</v>
      </c>
      <c r="B234" s="20"/>
      <c r="C234" s="20"/>
      <c r="D234" s="20"/>
      <c r="E234" s="302"/>
      <c r="F234" s="303"/>
      <c r="G234" s="11">
        <v>0</v>
      </c>
      <c r="H234" s="11">
        <v>0</v>
      </c>
      <c r="I234" s="11">
        <v>-50000</v>
      </c>
      <c r="J234" s="140">
        <v>0</v>
      </c>
      <c r="K234" s="154"/>
      <c r="N234" s="91">
        <f t="shared" si="51"/>
        <v>-50000</v>
      </c>
      <c r="O234" s="130">
        <f t="shared" si="52"/>
        <v>0</v>
      </c>
      <c r="P234" s="91">
        <f t="shared" si="53"/>
        <v>0</v>
      </c>
      <c r="Q234" s="130" t="str">
        <f t="shared" si="54"/>
        <v/>
      </c>
      <c r="R234" s="91"/>
      <c r="S234" s="132" t="str">
        <f t="shared" si="56"/>
        <v/>
      </c>
      <c r="T234" s="172">
        <f t="shared" si="55"/>
        <v>11</v>
      </c>
    </row>
    <row r="235" spans="1:20" ht="11.25" customHeight="1" x14ac:dyDescent="0.25">
      <c r="A235" s="57" t="s">
        <v>1139</v>
      </c>
      <c r="B235" s="175" t="s">
        <v>916</v>
      </c>
      <c r="C235" s="175" t="s">
        <v>919</v>
      </c>
      <c r="D235" s="175" t="s">
        <v>1649</v>
      </c>
      <c r="E235" s="308" t="s">
        <v>1679</v>
      </c>
      <c r="F235" s="309"/>
      <c r="G235" s="56">
        <v>0</v>
      </c>
      <c r="H235" s="56">
        <v>0</v>
      </c>
      <c r="I235" s="56">
        <v>-299999.99999957101</v>
      </c>
      <c r="J235" s="176">
        <v>0</v>
      </c>
      <c r="K235" s="168">
        <v>-300000</v>
      </c>
      <c r="L235" s="183" t="s">
        <v>1726</v>
      </c>
      <c r="M235" s="183"/>
      <c r="N235" s="102">
        <f t="shared" si="51"/>
        <v>4.2899046093225479E-7</v>
      </c>
      <c r="O235" s="177">
        <f t="shared" si="52"/>
        <v>1.00000000000143</v>
      </c>
      <c r="P235" s="102">
        <f t="shared" si="53"/>
        <v>300000</v>
      </c>
      <c r="Q235" s="177" t="str">
        <f t="shared" si="54"/>
        <v/>
      </c>
      <c r="R235" s="102"/>
      <c r="S235" s="132" t="str">
        <f t="shared" si="56"/>
        <v/>
      </c>
      <c r="T235" s="172">
        <f t="shared" si="55"/>
        <v>11</v>
      </c>
    </row>
    <row r="236" spans="1:20" ht="11.25" customHeight="1" x14ac:dyDescent="0.25">
      <c r="A236" s="57" t="s">
        <v>1140</v>
      </c>
      <c r="B236" s="175" t="s">
        <v>916</v>
      </c>
      <c r="C236" s="175" t="s">
        <v>919</v>
      </c>
      <c r="D236" s="175" t="s">
        <v>1649</v>
      </c>
      <c r="E236" s="308" t="s">
        <v>1680</v>
      </c>
      <c r="F236" s="309"/>
      <c r="G236" s="56">
        <v>0</v>
      </c>
      <c r="H236" s="56">
        <v>0</v>
      </c>
      <c r="I236" s="56">
        <v>-7399631.9180194195</v>
      </c>
      <c r="J236" s="176">
        <v>0</v>
      </c>
      <c r="K236" s="168">
        <v>-18100000</v>
      </c>
      <c r="L236" s="184"/>
      <c r="M236" s="184"/>
      <c r="N236" s="102">
        <f t="shared" si="51"/>
        <v>10700368.08198058</v>
      </c>
      <c r="O236" s="177">
        <f t="shared" si="52"/>
        <v>2.4460676153260112</v>
      </c>
      <c r="P236" s="102">
        <f t="shared" si="53"/>
        <v>18100000</v>
      </c>
      <c r="Q236" s="177" t="str">
        <f t="shared" si="54"/>
        <v/>
      </c>
      <c r="R236" s="102"/>
      <c r="S236" s="132" t="str">
        <f t="shared" si="56"/>
        <v/>
      </c>
      <c r="T236" s="172">
        <f t="shared" si="55"/>
        <v>11</v>
      </c>
    </row>
    <row r="237" spans="1:20" ht="11.25" customHeight="1" x14ac:dyDescent="0.25">
      <c r="A237" s="57" t="s">
        <v>1141</v>
      </c>
      <c r="B237" s="175" t="s">
        <v>916</v>
      </c>
      <c r="C237" s="175" t="s">
        <v>919</v>
      </c>
      <c r="D237" s="175" t="s">
        <v>1649</v>
      </c>
      <c r="E237" s="308" t="s">
        <v>1681</v>
      </c>
      <c r="F237" s="309"/>
      <c r="G237" s="56">
        <v>0</v>
      </c>
      <c r="H237" s="56">
        <v>0</v>
      </c>
      <c r="I237" s="56">
        <v>-2399880.6220601299</v>
      </c>
      <c r="J237" s="176">
        <v>0</v>
      </c>
      <c r="K237" s="168">
        <f>-3500000+1000000</f>
        <v>-2500000</v>
      </c>
      <c r="L237" s="184"/>
      <c r="M237" s="184"/>
      <c r="N237" s="102">
        <f t="shared" si="51"/>
        <v>100119.37793987012</v>
      </c>
      <c r="O237" s="177">
        <f t="shared" si="52"/>
        <v>1.04171848258599</v>
      </c>
      <c r="P237" s="102">
        <f t="shared" si="53"/>
        <v>2500000</v>
      </c>
      <c r="Q237" s="177" t="str">
        <f t="shared" si="54"/>
        <v/>
      </c>
      <c r="R237" s="102"/>
      <c r="S237" s="132" t="str">
        <f t="shared" si="56"/>
        <v/>
      </c>
      <c r="T237" s="172">
        <f t="shared" si="55"/>
        <v>11</v>
      </c>
    </row>
    <row r="238" spans="1:20" ht="11.25" customHeight="1" x14ac:dyDescent="0.25">
      <c r="A238" s="26" t="s">
        <v>1142</v>
      </c>
      <c r="B238" s="26"/>
      <c r="C238" s="23"/>
      <c r="D238" s="23"/>
      <c r="E238" s="306" t="s">
        <v>234</v>
      </c>
      <c r="F238" s="307"/>
      <c r="G238" s="25">
        <f t="shared" ref="G238:K238" si="67">SUM(G239:G240)</f>
        <v>-112842.45</v>
      </c>
      <c r="H238" s="25">
        <f t="shared" si="67"/>
        <v>-172754.55</v>
      </c>
      <c r="I238" s="25">
        <f t="shared" si="67"/>
        <v>0</v>
      </c>
      <c r="J238" s="139">
        <f t="shared" si="67"/>
        <v>0</v>
      </c>
      <c r="K238" s="153">
        <f t="shared" si="67"/>
        <v>0</v>
      </c>
      <c r="N238" s="91">
        <f t="shared" si="51"/>
        <v>0</v>
      </c>
      <c r="O238" s="130" t="str">
        <f t="shared" si="52"/>
        <v/>
      </c>
      <c r="P238" s="91">
        <f t="shared" si="53"/>
        <v>-172754.55</v>
      </c>
      <c r="Q238" s="130">
        <f t="shared" si="54"/>
        <v>0</v>
      </c>
      <c r="R238" s="91"/>
      <c r="S238" s="132" t="str">
        <f t="shared" si="56"/>
        <v/>
      </c>
      <c r="T238" s="172">
        <f t="shared" si="55"/>
        <v>7</v>
      </c>
    </row>
    <row r="239" spans="1:20" ht="11.25" customHeight="1" x14ac:dyDescent="0.25">
      <c r="A239" s="42" t="s">
        <v>1143</v>
      </c>
      <c r="B239" s="14"/>
      <c r="C239" s="13"/>
      <c r="D239" s="13"/>
      <c r="E239" s="302" t="s">
        <v>235</v>
      </c>
      <c r="F239" s="303"/>
      <c r="G239" s="11">
        <v>-112842.45</v>
      </c>
      <c r="H239" s="11">
        <v>-172754.55</v>
      </c>
      <c r="I239" s="11">
        <v>0</v>
      </c>
      <c r="J239" s="140">
        <v>0</v>
      </c>
      <c r="K239" s="154"/>
      <c r="N239" s="91">
        <f t="shared" si="51"/>
        <v>0</v>
      </c>
      <c r="O239" s="130" t="str">
        <f t="shared" si="52"/>
        <v/>
      </c>
      <c r="P239" s="91">
        <f t="shared" si="53"/>
        <v>-172754.55</v>
      </c>
      <c r="Q239" s="130">
        <f t="shared" si="54"/>
        <v>0</v>
      </c>
      <c r="R239" s="91"/>
      <c r="S239" s="132" t="str">
        <f t="shared" si="56"/>
        <v/>
      </c>
      <c r="T239" s="172">
        <f t="shared" si="55"/>
        <v>11</v>
      </c>
    </row>
    <row r="240" spans="1:20" ht="11.25" customHeight="1" x14ac:dyDescent="0.25">
      <c r="A240" s="42" t="s">
        <v>1144</v>
      </c>
      <c r="B240" s="14"/>
      <c r="C240" s="13"/>
      <c r="D240" s="13"/>
      <c r="E240" s="302" t="s">
        <v>236</v>
      </c>
      <c r="F240" s="303"/>
      <c r="G240" s="11">
        <v>0</v>
      </c>
      <c r="H240" s="11">
        <v>0</v>
      </c>
      <c r="I240" s="11">
        <v>0</v>
      </c>
      <c r="J240" s="140">
        <v>0</v>
      </c>
      <c r="K240" s="154"/>
      <c r="N240" s="91">
        <f t="shared" si="51"/>
        <v>0</v>
      </c>
      <c r="O240" s="130" t="str">
        <f t="shared" si="52"/>
        <v/>
      </c>
      <c r="P240" s="91">
        <f t="shared" si="53"/>
        <v>0</v>
      </c>
      <c r="Q240" s="130" t="str">
        <f t="shared" si="54"/>
        <v/>
      </c>
      <c r="R240" s="91"/>
      <c r="S240" s="132" t="str">
        <f t="shared" si="56"/>
        <v/>
      </c>
      <c r="T240" s="172">
        <f t="shared" si="55"/>
        <v>11</v>
      </c>
    </row>
    <row r="241" spans="1:20" ht="11.25" customHeight="1" x14ac:dyDescent="0.25">
      <c r="A241" s="38" t="s">
        <v>237</v>
      </c>
      <c r="B241" s="38"/>
      <c r="C241" s="22"/>
      <c r="D241" s="22"/>
      <c r="E241" s="304" t="s">
        <v>238</v>
      </c>
      <c r="F241" s="305"/>
      <c r="G241" s="37">
        <f t="shared" ref="G241:K241" si="68">G242+G245+G247+G250</f>
        <v>-8016651.9100000001</v>
      </c>
      <c r="H241" s="37">
        <f t="shared" si="68"/>
        <v>-8743402.8499999996</v>
      </c>
      <c r="I241" s="37">
        <f t="shared" si="68"/>
        <v>-7769999.9999999888</v>
      </c>
      <c r="J241" s="37">
        <f t="shared" si="68"/>
        <v>0</v>
      </c>
      <c r="K241" s="152">
        <f t="shared" si="68"/>
        <v>-9544503</v>
      </c>
      <c r="N241" s="190">
        <f t="shared" si="51"/>
        <v>1774503.0000000112</v>
      </c>
      <c r="O241" s="191">
        <f t="shared" si="52"/>
        <v>1.2283787644787663</v>
      </c>
      <c r="P241" s="190">
        <f t="shared" si="53"/>
        <v>801100.15000000037</v>
      </c>
      <c r="Q241" s="191">
        <f t="shared" si="54"/>
        <v>1.0916233832231579</v>
      </c>
      <c r="R241" s="190">
        <f t="shared" si="58"/>
        <v>9544503</v>
      </c>
      <c r="S241" s="192" t="str">
        <f t="shared" si="56"/>
        <v/>
      </c>
      <c r="T241" s="172">
        <f t="shared" si="55"/>
        <v>4</v>
      </c>
    </row>
    <row r="242" spans="1:20" ht="11.25" customHeight="1" x14ac:dyDescent="0.25">
      <c r="A242" s="26" t="s">
        <v>1145</v>
      </c>
      <c r="B242" s="26"/>
      <c r="C242" s="23"/>
      <c r="D242" s="23"/>
      <c r="E242" s="306" t="s">
        <v>239</v>
      </c>
      <c r="F242" s="307"/>
      <c r="G242" s="25">
        <f t="shared" ref="G242:K242" si="69">SUM(G243:G244)</f>
        <v>-3533255.17</v>
      </c>
      <c r="H242" s="25">
        <f t="shared" si="69"/>
        <v>-3883922.14</v>
      </c>
      <c r="I242" s="25">
        <f t="shared" si="69"/>
        <v>-3800000</v>
      </c>
      <c r="J242" s="139">
        <f t="shared" si="69"/>
        <v>0</v>
      </c>
      <c r="K242" s="153">
        <f t="shared" si="69"/>
        <v>-3890000</v>
      </c>
      <c r="N242" s="91">
        <f t="shared" si="51"/>
        <v>90000</v>
      </c>
      <c r="O242" s="130">
        <f t="shared" si="52"/>
        <v>1.0236842105263158</v>
      </c>
      <c r="P242" s="91">
        <f t="shared" si="53"/>
        <v>6077.8599999998696</v>
      </c>
      <c r="Q242" s="130">
        <f t="shared" si="54"/>
        <v>1.0015648768901428</v>
      </c>
      <c r="R242" s="91"/>
      <c r="S242" s="132" t="str">
        <f t="shared" si="56"/>
        <v/>
      </c>
      <c r="T242" s="172">
        <f t="shared" si="55"/>
        <v>7</v>
      </c>
    </row>
    <row r="243" spans="1:20" ht="11.25" customHeight="1" x14ac:dyDescent="0.25">
      <c r="A243" s="42" t="s">
        <v>1146</v>
      </c>
      <c r="B243" s="20" t="s">
        <v>1432</v>
      </c>
      <c r="C243" s="20" t="s">
        <v>920</v>
      </c>
      <c r="D243" s="20" t="s">
        <v>1244</v>
      </c>
      <c r="E243" s="302" t="s">
        <v>240</v>
      </c>
      <c r="F243" s="303"/>
      <c r="G243" s="11">
        <v>-2809390</v>
      </c>
      <c r="H243" s="11">
        <v>-3252904</v>
      </c>
      <c r="I243" s="11">
        <v>-3800000</v>
      </c>
      <c r="J243" s="140">
        <v>0</v>
      </c>
      <c r="K243" s="155">
        <v>-3890000</v>
      </c>
      <c r="N243" s="91">
        <f t="shared" si="51"/>
        <v>90000</v>
      </c>
      <c r="O243" s="130">
        <f t="shared" si="52"/>
        <v>1.0236842105263158</v>
      </c>
      <c r="P243" s="91">
        <f t="shared" si="53"/>
        <v>637096</v>
      </c>
      <c r="Q243" s="130">
        <f t="shared" si="54"/>
        <v>1.1958545349017371</v>
      </c>
      <c r="R243" s="91"/>
      <c r="S243" s="132" t="str">
        <f t="shared" si="56"/>
        <v/>
      </c>
      <c r="T243" s="172">
        <f t="shared" si="55"/>
        <v>11</v>
      </c>
    </row>
    <row r="244" spans="1:20" ht="11.25" customHeight="1" x14ac:dyDescent="0.25">
      <c r="A244" s="42" t="s">
        <v>1147</v>
      </c>
      <c r="B244" s="20" t="s">
        <v>1432</v>
      </c>
      <c r="C244" s="20" t="s">
        <v>920</v>
      </c>
      <c r="D244" s="20" t="s">
        <v>1244</v>
      </c>
      <c r="E244" s="302" t="s">
        <v>241</v>
      </c>
      <c r="F244" s="303"/>
      <c r="G244" s="11">
        <v>-723865.17</v>
      </c>
      <c r="H244" s="11">
        <v>-631018.14</v>
      </c>
      <c r="I244" s="11">
        <v>0</v>
      </c>
      <c r="J244" s="140">
        <v>0</v>
      </c>
      <c r="K244" s="155">
        <v>0</v>
      </c>
      <c r="N244" s="91">
        <f t="shared" si="51"/>
        <v>0</v>
      </c>
      <c r="O244" s="130" t="str">
        <f t="shared" si="52"/>
        <v/>
      </c>
      <c r="P244" s="91">
        <f t="shared" si="53"/>
        <v>-631018.14</v>
      </c>
      <c r="Q244" s="130">
        <f t="shared" si="54"/>
        <v>0</v>
      </c>
      <c r="R244" s="91"/>
      <c r="S244" s="132" t="str">
        <f t="shared" si="56"/>
        <v/>
      </c>
      <c r="T244" s="172">
        <f t="shared" si="55"/>
        <v>11</v>
      </c>
    </row>
    <row r="245" spans="1:20" ht="11.25" customHeight="1" x14ac:dyDescent="0.25">
      <c r="A245" s="26" t="s">
        <v>1148</v>
      </c>
      <c r="B245" s="26"/>
      <c r="C245" s="23"/>
      <c r="D245" s="23"/>
      <c r="E245" s="306" t="s">
        <v>242</v>
      </c>
      <c r="F245" s="307"/>
      <c r="G245" s="25">
        <f t="shared" ref="G245:K245" si="70">SUM(G246)</f>
        <v>-681989</v>
      </c>
      <c r="H245" s="25">
        <f t="shared" si="70"/>
        <v>-675840</v>
      </c>
      <c r="I245" s="25">
        <f t="shared" si="70"/>
        <v>-669999.99999999302</v>
      </c>
      <c r="J245" s="139">
        <f t="shared" si="70"/>
        <v>0</v>
      </c>
      <c r="K245" s="153">
        <f t="shared" si="70"/>
        <v>-646503</v>
      </c>
      <c r="N245" s="91">
        <f t="shared" si="51"/>
        <v>-23496.999999993015</v>
      </c>
      <c r="O245" s="130">
        <f t="shared" si="52"/>
        <v>0.96492985074627868</v>
      </c>
      <c r="P245" s="91">
        <f t="shared" si="53"/>
        <v>-29337</v>
      </c>
      <c r="Q245" s="130">
        <f t="shared" si="54"/>
        <v>0.95659179687499996</v>
      </c>
      <c r="R245" s="91"/>
      <c r="S245" s="132" t="str">
        <f t="shared" si="56"/>
        <v/>
      </c>
      <c r="T245" s="172">
        <f t="shared" si="55"/>
        <v>7</v>
      </c>
    </row>
    <row r="246" spans="1:20" ht="11.25" customHeight="1" x14ac:dyDescent="0.25">
      <c r="A246" s="42" t="s">
        <v>1149</v>
      </c>
      <c r="B246" s="27" t="s">
        <v>916</v>
      </c>
      <c r="C246" s="28" t="s">
        <v>919</v>
      </c>
      <c r="D246" s="28" t="s">
        <v>917</v>
      </c>
      <c r="E246" s="302" t="s">
        <v>243</v>
      </c>
      <c r="F246" s="303"/>
      <c r="G246" s="11">
        <v>-681989</v>
      </c>
      <c r="H246" s="11">
        <v>-675840</v>
      </c>
      <c r="I246" s="11">
        <v>-669999.99999999302</v>
      </c>
      <c r="J246" s="140">
        <v>0</v>
      </c>
      <c r="K246" s="155">
        <v>-646503</v>
      </c>
      <c r="N246" s="91">
        <f t="shared" si="51"/>
        <v>-23496.999999993015</v>
      </c>
      <c r="O246" s="130">
        <f t="shared" si="52"/>
        <v>0.96492985074627868</v>
      </c>
      <c r="P246" s="91">
        <f t="shared" si="53"/>
        <v>-29337</v>
      </c>
      <c r="Q246" s="130">
        <f t="shared" si="54"/>
        <v>0.95659179687499996</v>
      </c>
      <c r="R246" s="91"/>
      <c r="S246" s="132" t="str">
        <f t="shared" si="56"/>
        <v/>
      </c>
      <c r="T246" s="172">
        <f t="shared" si="55"/>
        <v>11</v>
      </c>
    </row>
    <row r="247" spans="1:20" ht="11.25" customHeight="1" x14ac:dyDescent="0.25">
      <c r="A247" s="26" t="s">
        <v>1150</v>
      </c>
      <c r="B247" s="26"/>
      <c r="C247" s="23"/>
      <c r="D247" s="23"/>
      <c r="E247" s="306" t="s">
        <v>244</v>
      </c>
      <c r="F247" s="307"/>
      <c r="G247" s="25">
        <f t="shared" ref="G247:K247" si="71">SUM(G248:G249)</f>
        <v>-2851599.9299999997</v>
      </c>
      <c r="H247" s="25">
        <f t="shared" si="71"/>
        <v>-3318207.8899999997</v>
      </c>
      <c r="I247" s="25">
        <f t="shared" si="71"/>
        <v>-2300000</v>
      </c>
      <c r="J247" s="139">
        <f t="shared" si="71"/>
        <v>0</v>
      </c>
      <c r="K247" s="153">
        <f t="shared" si="71"/>
        <v>-4008000</v>
      </c>
      <c r="N247" s="91">
        <f t="shared" si="51"/>
        <v>1708000</v>
      </c>
      <c r="O247" s="130">
        <f t="shared" si="52"/>
        <v>1.742608695652174</v>
      </c>
      <c r="P247" s="91">
        <f t="shared" si="53"/>
        <v>689792.11000000034</v>
      </c>
      <c r="Q247" s="130">
        <f t="shared" si="54"/>
        <v>1.2078809203241332</v>
      </c>
      <c r="R247" s="91"/>
      <c r="S247" s="132" t="str">
        <f t="shared" si="56"/>
        <v/>
      </c>
      <c r="T247" s="172">
        <f t="shared" si="55"/>
        <v>7</v>
      </c>
    </row>
    <row r="248" spans="1:20" ht="11.25" customHeight="1" x14ac:dyDescent="0.25">
      <c r="A248" s="42" t="s">
        <v>1151</v>
      </c>
      <c r="B248" s="20" t="s">
        <v>1243</v>
      </c>
      <c r="C248" s="20" t="s">
        <v>920</v>
      </c>
      <c r="D248" s="20" t="s">
        <v>1245</v>
      </c>
      <c r="E248" s="302" t="s">
        <v>245</v>
      </c>
      <c r="F248" s="303"/>
      <c r="G248" s="11">
        <v>-1629143</v>
      </c>
      <c r="H248" s="11">
        <v>-1949869</v>
      </c>
      <c r="I248" s="11">
        <v>-2300000</v>
      </c>
      <c r="J248" s="140">
        <v>0</v>
      </c>
      <c r="K248" s="155">
        <f>-2808000-1200000</f>
        <v>-4008000</v>
      </c>
      <c r="N248" s="91">
        <f t="shared" si="51"/>
        <v>1708000</v>
      </c>
      <c r="O248" s="130">
        <f t="shared" si="52"/>
        <v>1.742608695652174</v>
      </c>
      <c r="P248" s="91">
        <f t="shared" si="53"/>
        <v>2058131</v>
      </c>
      <c r="Q248" s="130">
        <f t="shared" si="54"/>
        <v>2.0555227043457793</v>
      </c>
      <c r="R248" s="91"/>
      <c r="S248" s="132" t="str">
        <f t="shared" si="56"/>
        <v/>
      </c>
      <c r="T248" s="172">
        <f t="shared" si="55"/>
        <v>11</v>
      </c>
    </row>
    <row r="249" spans="1:20" ht="11.25" customHeight="1" x14ac:dyDescent="0.25">
      <c r="A249" s="42" t="s">
        <v>1152</v>
      </c>
      <c r="B249" s="20" t="s">
        <v>1243</v>
      </c>
      <c r="C249" s="20" t="s">
        <v>920</v>
      </c>
      <c r="D249" s="20" t="s">
        <v>1245</v>
      </c>
      <c r="E249" s="302" t="s">
        <v>246</v>
      </c>
      <c r="F249" s="303"/>
      <c r="G249" s="11">
        <v>-1222456.93</v>
      </c>
      <c r="H249" s="11">
        <v>-1368338.89</v>
      </c>
      <c r="I249" s="11">
        <v>0</v>
      </c>
      <c r="J249" s="140">
        <v>0</v>
      </c>
      <c r="K249" s="155">
        <v>0</v>
      </c>
      <c r="N249" s="91">
        <f t="shared" si="51"/>
        <v>0</v>
      </c>
      <c r="O249" s="130" t="str">
        <f t="shared" si="52"/>
        <v/>
      </c>
      <c r="P249" s="91">
        <f t="shared" si="53"/>
        <v>-1368338.89</v>
      </c>
      <c r="Q249" s="130">
        <f t="shared" si="54"/>
        <v>0</v>
      </c>
      <c r="R249" s="91"/>
      <c r="S249" s="132" t="str">
        <f t="shared" si="56"/>
        <v/>
      </c>
      <c r="T249" s="172">
        <f t="shared" si="55"/>
        <v>11</v>
      </c>
    </row>
    <row r="250" spans="1:20" ht="11.25" customHeight="1" x14ac:dyDescent="0.25">
      <c r="A250" s="26" t="s">
        <v>1153</v>
      </c>
      <c r="B250" s="26"/>
      <c r="C250" s="23"/>
      <c r="D250" s="23"/>
      <c r="E250" s="306" t="s">
        <v>247</v>
      </c>
      <c r="F250" s="307"/>
      <c r="G250" s="25">
        <f t="shared" ref="G250:K250" si="72">SUM(G251)</f>
        <v>-949807.81</v>
      </c>
      <c r="H250" s="25">
        <f t="shared" si="72"/>
        <v>-865432.82</v>
      </c>
      <c r="I250" s="25">
        <f t="shared" si="72"/>
        <v>-999999.99999999604</v>
      </c>
      <c r="J250" s="139">
        <f t="shared" si="72"/>
        <v>0</v>
      </c>
      <c r="K250" s="153">
        <f t="shared" si="72"/>
        <v>-1000000</v>
      </c>
      <c r="N250" s="91">
        <f t="shared" si="51"/>
        <v>3.9581209421157837E-9</v>
      </c>
      <c r="O250" s="130">
        <f t="shared" si="52"/>
        <v>1.000000000000004</v>
      </c>
      <c r="P250" s="91">
        <f t="shared" si="53"/>
        <v>134567.18000000005</v>
      </c>
      <c r="Q250" s="130">
        <f t="shared" si="54"/>
        <v>1.1554911911013499</v>
      </c>
      <c r="R250" s="91"/>
      <c r="S250" s="132" t="str">
        <f t="shared" si="56"/>
        <v/>
      </c>
      <c r="T250" s="172">
        <f t="shared" si="55"/>
        <v>7</v>
      </c>
    </row>
    <row r="251" spans="1:20" ht="11.25" customHeight="1" x14ac:dyDescent="0.25">
      <c r="A251" s="42" t="s">
        <v>1154</v>
      </c>
      <c r="B251" s="20" t="s">
        <v>916</v>
      </c>
      <c r="C251" s="20" t="s">
        <v>920</v>
      </c>
      <c r="D251" s="20" t="s">
        <v>917</v>
      </c>
      <c r="E251" s="302" t="s">
        <v>248</v>
      </c>
      <c r="F251" s="303"/>
      <c r="G251" s="11">
        <v>-949807.81</v>
      </c>
      <c r="H251" s="11">
        <v>-865432.82</v>
      </c>
      <c r="I251" s="11">
        <v>-999999.99999999604</v>
      </c>
      <c r="J251" s="140">
        <v>0</v>
      </c>
      <c r="K251" s="155">
        <v>-1000000</v>
      </c>
      <c r="N251" s="91">
        <f t="shared" si="51"/>
        <v>3.9581209421157837E-9</v>
      </c>
      <c r="O251" s="130">
        <f t="shared" si="52"/>
        <v>1.000000000000004</v>
      </c>
      <c r="P251" s="91">
        <f t="shared" si="53"/>
        <v>134567.18000000005</v>
      </c>
      <c r="Q251" s="130">
        <f t="shared" si="54"/>
        <v>1.1554911911013499</v>
      </c>
      <c r="R251" s="91"/>
      <c r="S251" s="132" t="str">
        <f t="shared" si="56"/>
        <v/>
      </c>
      <c r="T251" s="172">
        <f t="shared" si="55"/>
        <v>11</v>
      </c>
    </row>
    <row r="252" spans="1:20" ht="11.25" customHeight="1" x14ac:dyDescent="0.25">
      <c r="A252" s="38" t="s">
        <v>249</v>
      </c>
      <c r="B252" s="38"/>
      <c r="C252" s="22"/>
      <c r="D252" s="22"/>
      <c r="E252" s="304" t="s">
        <v>250</v>
      </c>
      <c r="F252" s="305"/>
      <c r="G252" s="37">
        <f t="shared" ref="G252:K252" si="73">G253</f>
        <v>-252410.87</v>
      </c>
      <c r="H252" s="37">
        <f t="shared" si="73"/>
        <v>-205714.66</v>
      </c>
      <c r="I252" s="37">
        <f t="shared" si="73"/>
        <v>-399999.99999998801</v>
      </c>
      <c r="J252" s="37">
        <f t="shared" si="73"/>
        <v>0</v>
      </c>
      <c r="K252" s="152">
        <f t="shared" si="73"/>
        <v>-250000</v>
      </c>
      <c r="N252" s="190">
        <f t="shared" si="51"/>
        <v>-149999.99999998801</v>
      </c>
      <c r="O252" s="191">
        <f t="shared" si="52"/>
        <v>0.62500000000001876</v>
      </c>
      <c r="P252" s="190">
        <f t="shared" si="53"/>
        <v>44285.34</v>
      </c>
      <c r="Q252" s="191">
        <f t="shared" si="54"/>
        <v>1.2152755666513995</v>
      </c>
      <c r="R252" s="190">
        <f t="shared" si="58"/>
        <v>250000</v>
      </c>
      <c r="S252" s="192" t="str">
        <f t="shared" si="56"/>
        <v/>
      </c>
      <c r="T252" s="172">
        <f t="shared" si="55"/>
        <v>4</v>
      </c>
    </row>
    <row r="253" spans="1:20" ht="11.25" customHeight="1" x14ac:dyDescent="0.25">
      <c r="A253" s="26" t="s">
        <v>1155</v>
      </c>
      <c r="B253" s="26"/>
      <c r="C253" s="23"/>
      <c r="D253" s="23"/>
      <c r="E253" s="306" t="s">
        <v>251</v>
      </c>
      <c r="F253" s="307"/>
      <c r="G253" s="25">
        <f t="shared" ref="G253:K253" si="74">SUM(G254:G255)</f>
        <v>-252410.87</v>
      </c>
      <c r="H253" s="25">
        <f t="shared" si="74"/>
        <v>-205714.66</v>
      </c>
      <c r="I253" s="25">
        <f t="shared" si="74"/>
        <v>-399999.99999998801</v>
      </c>
      <c r="J253" s="139">
        <f t="shared" si="74"/>
        <v>0</v>
      </c>
      <c r="K253" s="153">
        <f t="shared" si="74"/>
        <v>-250000</v>
      </c>
      <c r="N253" s="91">
        <f t="shared" si="51"/>
        <v>-149999.99999998801</v>
      </c>
      <c r="O253" s="130">
        <f t="shared" si="52"/>
        <v>0.62500000000001876</v>
      </c>
      <c r="P253" s="91">
        <f t="shared" si="53"/>
        <v>44285.34</v>
      </c>
      <c r="Q253" s="130">
        <f t="shared" si="54"/>
        <v>1.2152755666513995</v>
      </c>
      <c r="R253" s="91"/>
      <c r="S253" s="132" t="str">
        <f t="shared" si="56"/>
        <v/>
      </c>
      <c r="T253" s="172">
        <f t="shared" si="55"/>
        <v>7</v>
      </c>
    </row>
    <row r="254" spans="1:20" ht="11.25" customHeight="1" x14ac:dyDescent="0.25">
      <c r="A254" s="42" t="s">
        <v>1156</v>
      </c>
      <c r="B254" s="27" t="s">
        <v>916</v>
      </c>
      <c r="C254" s="28" t="s">
        <v>920</v>
      </c>
      <c r="D254" s="28" t="s">
        <v>917</v>
      </c>
      <c r="E254" s="302" t="s">
        <v>252</v>
      </c>
      <c r="F254" s="303"/>
      <c r="G254" s="11">
        <v>-224401.22</v>
      </c>
      <c r="H254" s="11">
        <v>-172962.25</v>
      </c>
      <c r="I254" s="11">
        <v>-249999.99999999299</v>
      </c>
      <c r="J254" s="140">
        <v>0</v>
      </c>
      <c r="K254" s="155">
        <v>-200000</v>
      </c>
      <c r="N254" s="91">
        <f t="shared" si="51"/>
        <v>-49999.999999992986</v>
      </c>
      <c r="O254" s="130">
        <f t="shared" si="52"/>
        <v>0.80000000000002247</v>
      </c>
      <c r="P254" s="91">
        <f t="shared" si="53"/>
        <v>27037.75</v>
      </c>
      <c r="Q254" s="130">
        <f t="shared" si="54"/>
        <v>1.1563216829105774</v>
      </c>
      <c r="R254" s="91"/>
      <c r="S254" s="132" t="str">
        <f t="shared" si="56"/>
        <v/>
      </c>
      <c r="T254" s="172">
        <f t="shared" si="55"/>
        <v>11</v>
      </c>
    </row>
    <row r="255" spans="1:20" ht="11.25" customHeight="1" x14ac:dyDescent="0.25">
      <c r="A255" s="42" t="s">
        <v>1157</v>
      </c>
      <c r="B255" s="27" t="s">
        <v>916</v>
      </c>
      <c r="C255" s="28" t="s">
        <v>920</v>
      </c>
      <c r="D255" s="28" t="s">
        <v>917</v>
      </c>
      <c r="E255" s="302" t="s">
        <v>253</v>
      </c>
      <c r="F255" s="303"/>
      <c r="G255" s="11">
        <v>-28009.65</v>
      </c>
      <c r="H255" s="11">
        <v>-32752.41</v>
      </c>
      <c r="I255" s="11">
        <v>-149999.99999999499</v>
      </c>
      <c r="J255" s="140">
        <v>0</v>
      </c>
      <c r="K255" s="155">
        <v>-50000</v>
      </c>
      <c r="N255" s="91">
        <f t="shared" si="51"/>
        <v>-99999.999999994994</v>
      </c>
      <c r="O255" s="130">
        <f t="shared" si="52"/>
        <v>0.33333333333334447</v>
      </c>
      <c r="P255" s="91">
        <f t="shared" si="53"/>
        <v>17247.59</v>
      </c>
      <c r="Q255" s="130">
        <f t="shared" si="54"/>
        <v>1.5266052177534417</v>
      </c>
      <c r="R255" s="91"/>
      <c r="S255" s="132" t="str">
        <f t="shared" si="56"/>
        <v/>
      </c>
      <c r="T255" s="172">
        <f t="shared" si="55"/>
        <v>11</v>
      </c>
    </row>
    <row r="256" spans="1:20" ht="11.25" customHeight="1" x14ac:dyDescent="0.25">
      <c r="A256" s="38" t="s">
        <v>254</v>
      </c>
      <c r="B256" s="38"/>
      <c r="C256" s="22"/>
      <c r="D256" s="22"/>
      <c r="E256" s="304" t="s">
        <v>255</v>
      </c>
      <c r="F256" s="305"/>
      <c r="G256" s="37">
        <f t="shared" ref="G256:J256" si="75">G257+G259+G261+G265+G271+G273+G282+G286+G299+G301+G303+G320+G323</f>
        <v>-172834486.14000019</v>
      </c>
      <c r="H256" s="37">
        <f t="shared" si="75"/>
        <v>-177278442.31000012</v>
      </c>
      <c r="I256" s="37">
        <f t="shared" si="75"/>
        <v>-211456407.7537322</v>
      </c>
      <c r="J256" s="37">
        <f t="shared" si="75"/>
        <v>0</v>
      </c>
      <c r="K256" s="152">
        <f>K257+K259+K261+K265+K271+K273+K282+K286+K299+K301+K303+K320+K323</f>
        <v>-277524887.90999997</v>
      </c>
      <c r="N256" s="190">
        <f t="shared" si="51"/>
        <v>66068480.156267762</v>
      </c>
      <c r="O256" s="191">
        <f t="shared" si="52"/>
        <v>1.3124449188279643</v>
      </c>
      <c r="P256" s="190">
        <f t="shared" si="53"/>
        <v>100246445.59999985</v>
      </c>
      <c r="Q256" s="191">
        <f t="shared" si="54"/>
        <v>1.5654745399031804</v>
      </c>
      <c r="R256" s="190">
        <f t="shared" si="58"/>
        <v>277524887.90999997</v>
      </c>
      <c r="S256" s="192" t="str">
        <f t="shared" si="56"/>
        <v/>
      </c>
      <c r="T256" s="172">
        <f t="shared" si="55"/>
        <v>4</v>
      </c>
    </row>
    <row r="257" spans="1:20" ht="11.25" customHeight="1" x14ac:dyDescent="0.25">
      <c r="A257" s="26" t="s">
        <v>1158</v>
      </c>
      <c r="B257" s="26"/>
      <c r="C257" s="23"/>
      <c r="D257" s="23"/>
      <c r="E257" s="306" t="s">
        <v>256</v>
      </c>
      <c r="F257" s="307"/>
      <c r="G257" s="25">
        <f t="shared" ref="G257:K257" si="76">SUM(G258)</f>
        <v>58793.79</v>
      </c>
      <c r="H257" s="25">
        <f t="shared" si="76"/>
        <v>37323.39</v>
      </c>
      <c r="I257" s="25">
        <f t="shared" si="76"/>
        <v>0</v>
      </c>
      <c r="J257" s="139">
        <f t="shared" si="76"/>
        <v>0</v>
      </c>
      <c r="K257" s="153">
        <f t="shared" si="76"/>
        <v>0</v>
      </c>
      <c r="N257" s="91">
        <f t="shared" si="51"/>
        <v>0</v>
      </c>
      <c r="O257" s="130" t="str">
        <f t="shared" si="52"/>
        <v/>
      </c>
      <c r="P257" s="91">
        <f t="shared" si="53"/>
        <v>37323.39</v>
      </c>
      <c r="Q257" s="130">
        <f t="shared" si="54"/>
        <v>0</v>
      </c>
      <c r="R257" s="91"/>
      <c r="S257" s="132" t="str">
        <f t="shared" si="56"/>
        <v/>
      </c>
      <c r="T257" s="172">
        <f t="shared" si="55"/>
        <v>7</v>
      </c>
    </row>
    <row r="258" spans="1:20" ht="11.25" customHeight="1" x14ac:dyDescent="0.25">
      <c r="A258" s="42" t="s">
        <v>1159</v>
      </c>
      <c r="B258" s="14"/>
      <c r="C258" s="13"/>
      <c r="D258" s="13"/>
      <c r="E258" s="302" t="s">
        <v>257</v>
      </c>
      <c r="F258" s="303"/>
      <c r="G258" s="11">
        <v>58793.79</v>
      </c>
      <c r="H258" s="11">
        <v>37323.39</v>
      </c>
      <c r="I258" s="11">
        <v>0</v>
      </c>
      <c r="J258" s="140">
        <v>0</v>
      </c>
      <c r="K258" s="154"/>
      <c r="N258" s="91">
        <f t="shared" si="51"/>
        <v>0</v>
      </c>
      <c r="O258" s="130" t="str">
        <f t="shared" si="52"/>
        <v/>
      </c>
      <c r="P258" s="91">
        <f t="shared" si="53"/>
        <v>37323.39</v>
      </c>
      <c r="Q258" s="130">
        <f t="shared" si="54"/>
        <v>0</v>
      </c>
      <c r="R258" s="91"/>
      <c r="S258" s="132" t="str">
        <f t="shared" si="56"/>
        <v/>
      </c>
      <c r="T258" s="172">
        <f t="shared" si="55"/>
        <v>11</v>
      </c>
    </row>
    <row r="259" spans="1:20" ht="11.25" customHeight="1" x14ac:dyDescent="0.25">
      <c r="A259" s="26" t="s">
        <v>1160</v>
      </c>
      <c r="B259" s="26"/>
      <c r="C259" s="23"/>
      <c r="D259" s="23"/>
      <c r="E259" s="306" t="s">
        <v>258</v>
      </c>
      <c r="F259" s="307"/>
      <c r="G259" s="25">
        <f t="shared" ref="G259:K259" si="77">SUM(G260)</f>
        <v>-359369.19</v>
      </c>
      <c r="H259" s="25">
        <f t="shared" si="77"/>
        <v>-585354.77</v>
      </c>
      <c r="I259" s="25">
        <f t="shared" si="77"/>
        <v>-549999.99999997998</v>
      </c>
      <c r="J259" s="139">
        <f t="shared" si="77"/>
        <v>0</v>
      </c>
      <c r="K259" s="153">
        <f t="shared" si="77"/>
        <v>-500000</v>
      </c>
      <c r="N259" s="91">
        <f t="shared" si="51"/>
        <v>-49999.999999979977</v>
      </c>
      <c r="O259" s="130">
        <f t="shared" si="52"/>
        <v>0.90909090909094215</v>
      </c>
      <c r="P259" s="91">
        <f t="shared" si="53"/>
        <v>-85354.770000000019</v>
      </c>
      <c r="Q259" s="130">
        <f t="shared" si="54"/>
        <v>0.85418284026283753</v>
      </c>
      <c r="R259" s="91"/>
      <c r="S259" s="132" t="str">
        <f t="shared" si="56"/>
        <v/>
      </c>
      <c r="T259" s="172">
        <f t="shared" si="55"/>
        <v>7</v>
      </c>
    </row>
    <row r="260" spans="1:20" ht="11.25" customHeight="1" x14ac:dyDescent="0.25">
      <c r="A260" s="42" t="s">
        <v>1161</v>
      </c>
      <c r="B260" s="27" t="s">
        <v>916</v>
      </c>
      <c r="C260" s="28" t="s">
        <v>919</v>
      </c>
      <c r="D260" s="28" t="s">
        <v>917</v>
      </c>
      <c r="E260" s="302" t="s">
        <v>259</v>
      </c>
      <c r="F260" s="303"/>
      <c r="G260" s="11">
        <v>-359369.19</v>
      </c>
      <c r="H260" s="11">
        <v>-585354.77</v>
      </c>
      <c r="I260" s="11">
        <v>-549999.99999997998</v>
      </c>
      <c r="J260" s="140">
        <v>0</v>
      </c>
      <c r="K260" s="155">
        <v>-500000</v>
      </c>
      <c r="N260" s="91">
        <f t="shared" si="51"/>
        <v>-49999.999999979977</v>
      </c>
      <c r="O260" s="130">
        <f t="shared" si="52"/>
        <v>0.90909090909094215</v>
      </c>
      <c r="P260" s="91">
        <f t="shared" si="53"/>
        <v>-85354.770000000019</v>
      </c>
      <c r="Q260" s="130">
        <f t="shared" si="54"/>
        <v>0.85418284026283753</v>
      </c>
      <c r="R260" s="91"/>
      <c r="S260" s="132" t="str">
        <f t="shared" si="56"/>
        <v/>
      </c>
      <c r="T260" s="172">
        <f t="shared" si="55"/>
        <v>11</v>
      </c>
    </row>
    <row r="261" spans="1:20" ht="11.25" customHeight="1" x14ac:dyDescent="0.25">
      <c r="A261" s="26" t="s">
        <v>1162</v>
      </c>
      <c r="B261" s="26"/>
      <c r="C261" s="23"/>
      <c r="D261" s="23"/>
      <c r="E261" s="300" t="s">
        <v>260</v>
      </c>
      <c r="F261" s="301"/>
      <c r="G261" s="25">
        <f t="shared" ref="G261:K261" si="78">SUM(G262:G264)</f>
        <v>-3231328.17</v>
      </c>
      <c r="H261" s="25">
        <f t="shared" si="78"/>
        <v>-3211542.7900000103</v>
      </c>
      <c r="I261" s="25">
        <f t="shared" si="78"/>
        <v>-3259659.4972865591</v>
      </c>
      <c r="J261" s="139">
        <f t="shared" si="78"/>
        <v>0</v>
      </c>
      <c r="K261" s="153">
        <f t="shared" si="78"/>
        <v>-3400000</v>
      </c>
      <c r="N261" s="91">
        <f t="shared" si="51"/>
        <v>140340.50271344092</v>
      </c>
      <c r="O261" s="130">
        <f t="shared" si="52"/>
        <v>1.043053730866756</v>
      </c>
      <c r="P261" s="91">
        <f t="shared" si="53"/>
        <v>188457.20999998972</v>
      </c>
      <c r="Q261" s="130">
        <f t="shared" si="54"/>
        <v>1.058681207856486</v>
      </c>
      <c r="R261" s="91"/>
      <c r="S261" s="132" t="str">
        <f t="shared" si="56"/>
        <v/>
      </c>
      <c r="T261" s="172">
        <f t="shared" si="55"/>
        <v>7</v>
      </c>
    </row>
    <row r="262" spans="1:20" ht="11.25" customHeight="1" x14ac:dyDescent="0.25">
      <c r="A262" s="42" t="s">
        <v>1163</v>
      </c>
      <c r="B262" s="28" t="s">
        <v>916</v>
      </c>
      <c r="C262" s="28" t="s">
        <v>923</v>
      </c>
      <c r="D262" s="28" t="s">
        <v>917</v>
      </c>
      <c r="E262" s="290" t="s">
        <v>261</v>
      </c>
      <c r="F262" s="291"/>
      <c r="G262" s="11">
        <v>-1480879.39</v>
      </c>
      <c r="H262" s="11">
        <v>-1395701.8</v>
      </c>
      <c r="I262" s="11">
        <v>-1399539.0652282301</v>
      </c>
      <c r="J262" s="140">
        <v>0</v>
      </c>
      <c r="K262" s="155">
        <v>-1400000</v>
      </c>
      <c r="N262" s="91">
        <f t="shared" si="51"/>
        <v>460.93477176991291</v>
      </c>
      <c r="O262" s="130">
        <f t="shared" si="52"/>
        <v>1.0003293475567934</v>
      </c>
      <c r="P262" s="91">
        <f t="shared" si="53"/>
        <v>4298.1999999999534</v>
      </c>
      <c r="Q262" s="130">
        <f t="shared" si="54"/>
        <v>1.0030795976619074</v>
      </c>
      <c r="R262" s="91"/>
      <c r="S262" s="132" t="str">
        <f t="shared" si="56"/>
        <v/>
      </c>
      <c r="T262" s="172">
        <f t="shared" si="55"/>
        <v>11</v>
      </c>
    </row>
    <row r="263" spans="1:20" ht="11.25" customHeight="1" x14ac:dyDescent="0.25">
      <c r="A263" s="42" t="s">
        <v>1164</v>
      </c>
      <c r="B263" s="20" t="s">
        <v>1654</v>
      </c>
      <c r="C263" s="20" t="s">
        <v>919</v>
      </c>
      <c r="D263" s="20" t="s">
        <v>1655</v>
      </c>
      <c r="E263" s="290" t="s">
        <v>262</v>
      </c>
      <c r="F263" s="291"/>
      <c r="G263" s="11">
        <v>-1654199.78</v>
      </c>
      <c r="H263" s="11">
        <v>-1790278.99000001</v>
      </c>
      <c r="I263" s="11">
        <v>-1800120.4320583299</v>
      </c>
      <c r="J263" s="140">
        <v>0</v>
      </c>
      <c r="K263" s="155">
        <v>-2000000</v>
      </c>
      <c r="N263" s="91">
        <f t="shared" si="51"/>
        <v>199879.56794167007</v>
      </c>
      <c r="O263" s="130">
        <f t="shared" si="52"/>
        <v>1.1110367753079275</v>
      </c>
      <c r="P263" s="91">
        <f t="shared" si="53"/>
        <v>209721.00999999</v>
      </c>
      <c r="Q263" s="130">
        <f t="shared" si="54"/>
        <v>1.1171443172664328</v>
      </c>
      <c r="R263" s="91"/>
      <c r="S263" s="132" t="str">
        <f t="shared" si="56"/>
        <v/>
      </c>
      <c r="T263" s="172">
        <f t="shared" si="55"/>
        <v>11</v>
      </c>
    </row>
    <row r="264" spans="1:20" ht="11.25" customHeight="1" x14ac:dyDescent="0.25">
      <c r="A264" s="42" t="s">
        <v>1165</v>
      </c>
      <c r="B264" s="27" t="s">
        <v>916</v>
      </c>
      <c r="C264" s="28" t="s">
        <v>919</v>
      </c>
      <c r="D264" s="28" t="s">
        <v>917</v>
      </c>
      <c r="E264" s="290" t="s">
        <v>1682</v>
      </c>
      <c r="F264" s="291"/>
      <c r="G264" s="11">
        <v>-96249</v>
      </c>
      <c r="H264" s="11">
        <v>-25562</v>
      </c>
      <c r="I264" s="11">
        <v>-59999.999999999003</v>
      </c>
      <c r="J264" s="140">
        <v>0</v>
      </c>
      <c r="K264" s="155">
        <v>0</v>
      </c>
      <c r="L264" s="112" t="s">
        <v>1713</v>
      </c>
      <c r="M264" s="112"/>
      <c r="N264" s="91">
        <f t="shared" si="51"/>
        <v>-59999.999999999003</v>
      </c>
      <c r="O264" s="130">
        <f t="shared" si="52"/>
        <v>0</v>
      </c>
      <c r="P264" s="91">
        <f t="shared" si="53"/>
        <v>-25562</v>
      </c>
      <c r="Q264" s="130">
        <f t="shared" si="54"/>
        <v>0</v>
      </c>
      <c r="R264" s="91"/>
      <c r="S264" s="132" t="str">
        <f t="shared" si="56"/>
        <v/>
      </c>
      <c r="T264" s="172">
        <f t="shared" si="55"/>
        <v>11</v>
      </c>
    </row>
    <row r="265" spans="1:20" ht="11.25" customHeight="1" x14ac:dyDescent="0.25">
      <c r="A265" s="26" t="s">
        <v>1166</v>
      </c>
      <c r="B265" s="26"/>
      <c r="C265" s="23"/>
      <c r="D265" s="23"/>
      <c r="E265" s="300" t="s">
        <v>263</v>
      </c>
      <c r="F265" s="301"/>
      <c r="G265" s="25">
        <f t="shared" ref="G265:K265" si="79">SUM(G266:G270)</f>
        <v>-3712037.9300000099</v>
      </c>
      <c r="H265" s="25">
        <f t="shared" si="79"/>
        <v>-3736828.1300000101</v>
      </c>
      <c r="I265" s="25">
        <f t="shared" si="79"/>
        <v>-3930999.9999984959</v>
      </c>
      <c r="J265" s="25">
        <f t="shared" si="79"/>
        <v>0</v>
      </c>
      <c r="K265" s="153">
        <f t="shared" si="79"/>
        <v>-5479759</v>
      </c>
      <c r="N265" s="91">
        <f t="shared" si="51"/>
        <v>1548759.0000015041</v>
      </c>
      <c r="O265" s="130">
        <f t="shared" si="52"/>
        <v>1.393986008649732</v>
      </c>
      <c r="P265" s="91">
        <f t="shared" si="53"/>
        <v>1742930.8699999899</v>
      </c>
      <c r="Q265" s="130">
        <f t="shared" si="54"/>
        <v>1.4664198644854414</v>
      </c>
      <c r="R265" s="91"/>
      <c r="S265" s="132" t="str">
        <f t="shared" si="56"/>
        <v/>
      </c>
      <c r="T265" s="172">
        <f t="shared" si="55"/>
        <v>7</v>
      </c>
    </row>
    <row r="266" spans="1:20" ht="11.25" customHeight="1" x14ac:dyDescent="0.25">
      <c r="A266" s="42" t="s">
        <v>1167</v>
      </c>
      <c r="B266" s="20" t="s">
        <v>1654</v>
      </c>
      <c r="C266" s="20" t="s">
        <v>919</v>
      </c>
      <c r="D266" s="20" t="s">
        <v>1656</v>
      </c>
      <c r="E266" s="290" t="s">
        <v>264</v>
      </c>
      <c r="F266" s="291"/>
      <c r="G266" s="11">
        <v>-36300</v>
      </c>
      <c r="H266" s="11">
        <v>-36300</v>
      </c>
      <c r="I266" s="11">
        <v>-36000</v>
      </c>
      <c r="J266" s="140">
        <v>0</v>
      </c>
      <c r="K266" s="155">
        <f>-845659+15000*12-707000-12100</f>
        <v>-1384759</v>
      </c>
      <c r="N266" s="91">
        <f t="shared" si="51"/>
        <v>1348759</v>
      </c>
      <c r="O266" s="130">
        <f t="shared" si="52"/>
        <v>38.46552777777778</v>
      </c>
      <c r="P266" s="91">
        <f t="shared" si="53"/>
        <v>1348459</v>
      </c>
      <c r="Q266" s="130">
        <f t="shared" si="54"/>
        <v>38.147630853994492</v>
      </c>
      <c r="R266" s="91"/>
      <c r="S266" s="132" t="str">
        <f t="shared" si="56"/>
        <v/>
      </c>
      <c r="T266" s="172">
        <f t="shared" si="55"/>
        <v>11</v>
      </c>
    </row>
    <row r="267" spans="1:20" ht="11.25" customHeight="1" x14ac:dyDescent="0.25">
      <c r="A267" s="42" t="s">
        <v>1168</v>
      </c>
      <c r="B267" s="27" t="s">
        <v>916</v>
      </c>
      <c r="C267" s="28" t="s">
        <v>920</v>
      </c>
      <c r="D267" s="28" t="s">
        <v>917</v>
      </c>
      <c r="E267" s="290" t="s">
        <v>265</v>
      </c>
      <c r="F267" s="291"/>
      <c r="G267" s="11">
        <v>-725692</v>
      </c>
      <c r="H267" s="11">
        <v>-724692</v>
      </c>
      <c r="I267" s="11">
        <v>-724999.99999999604</v>
      </c>
      <c r="J267" s="140">
        <v>0</v>
      </c>
      <c r="K267" s="155">
        <v>-725000</v>
      </c>
      <c r="N267" s="91">
        <f t="shared" ref="N267:N330" si="80">-K267+I267</f>
        <v>3.9581209421157837E-9</v>
      </c>
      <c r="O267" s="130">
        <f t="shared" ref="O267:O330" si="81">IF(I267=0,"",K267/I267)</f>
        <v>1.0000000000000056</v>
      </c>
      <c r="P267" s="91">
        <f t="shared" ref="P267:P330" si="82">-K267+H267</f>
        <v>308</v>
      </c>
      <c r="Q267" s="130">
        <f t="shared" ref="Q267:Q330" si="83">IF(H267=0,"",K267/H267)</f>
        <v>1.0004250081413897</v>
      </c>
      <c r="R267" s="91"/>
      <c r="S267" s="132" t="str">
        <f t="shared" si="56"/>
        <v/>
      </c>
      <c r="T267" s="172">
        <f t="shared" ref="T267:T333" si="84">LEN(A267)</f>
        <v>11</v>
      </c>
    </row>
    <row r="268" spans="1:20" ht="11.25" customHeight="1" x14ac:dyDescent="0.25">
      <c r="A268" s="42" t="s">
        <v>1169</v>
      </c>
      <c r="B268" s="28" t="s">
        <v>916</v>
      </c>
      <c r="C268" s="28" t="s">
        <v>923</v>
      </c>
      <c r="D268" s="28" t="s">
        <v>1246</v>
      </c>
      <c r="E268" s="290" t="s">
        <v>266</v>
      </c>
      <c r="F268" s="291"/>
      <c r="G268" s="11">
        <v>-1198125</v>
      </c>
      <c r="H268" s="11">
        <v>-1265220</v>
      </c>
      <c r="I268" s="11">
        <v>-1369999.9999987299</v>
      </c>
      <c r="J268" s="140">
        <v>0</v>
      </c>
      <c r="K268" s="155">
        <v>-1400000</v>
      </c>
      <c r="N268" s="91">
        <f t="shared" si="80"/>
        <v>30000.000001270091</v>
      </c>
      <c r="O268" s="130">
        <f t="shared" si="81"/>
        <v>1.0218978102199254</v>
      </c>
      <c r="P268" s="91">
        <f t="shared" si="82"/>
        <v>134780</v>
      </c>
      <c r="Q268" s="130">
        <f t="shared" si="83"/>
        <v>1.1065269281231722</v>
      </c>
      <c r="R268" s="91"/>
      <c r="S268" s="132" t="str">
        <f t="shared" si="56"/>
        <v/>
      </c>
      <c r="T268" s="172">
        <f t="shared" si="84"/>
        <v>11</v>
      </c>
    </row>
    <row r="269" spans="1:20" ht="11.25" customHeight="1" x14ac:dyDescent="0.25">
      <c r="A269" s="42" t="s">
        <v>1170</v>
      </c>
      <c r="B269" s="28" t="s">
        <v>916</v>
      </c>
      <c r="C269" s="28" t="s">
        <v>919</v>
      </c>
      <c r="D269" s="28" t="s">
        <v>1649</v>
      </c>
      <c r="E269" s="290" t="s">
        <v>267</v>
      </c>
      <c r="F269" s="291"/>
      <c r="G269" s="11">
        <v>-1674285.9300000099</v>
      </c>
      <c r="H269" s="11">
        <v>-1710616.1300000099</v>
      </c>
      <c r="I269" s="11">
        <v>-1799999.99999977</v>
      </c>
      <c r="J269" s="140">
        <v>0</v>
      </c>
      <c r="K269" s="155">
        <v>-1920000</v>
      </c>
      <c r="N269" s="91">
        <f t="shared" si="80"/>
        <v>120000.00000023004</v>
      </c>
      <c r="O269" s="130">
        <f t="shared" si="81"/>
        <v>1.066666666666803</v>
      </c>
      <c r="P269" s="91">
        <f t="shared" si="82"/>
        <v>209383.8699999901</v>
      </c>
      <c r="Q269" s="130">
        <f t="shared" si="83"/>
        <v>1.1224026047269815</v>
      </c>
      <c r="R269" s="91"/>
      <c r="S269" s="132" t="str">
        <f t="shared" ref="S269:S332" si="85">IF(J269=0,"",K269/J269)</f>
        <v/>
      </c>
      <c r="T269" s="172">
        <f t="shared" si="84"/>
        <v>11</v>
      </c>
    </row>
    <row r="270" spans="1:20" ht="11.25" customHeight="1" x14ac:dyDescent="0.25">
      <c r="A270" s="42" t="s">
        <v>1171</v>
      </c>
      <c r="B270" s="27" t="s">
        <v>916</v>
      </c>
      <c r="C270" s="28" t="s">
        <v>920</v>
      </c>
      <c r="D270" s="28" t="s">
        <v>917</v>
      </c>
      <c r="E270" s="290" t="s">
        <v>268</v>
      </c>
      <c r="F270" s="291"/>
      <c r="G270" s="11">
        <v>-77635</v>
      </c>
      <c r="H270" s="11">
        <v>0</v>
      </c>
      <c r="I270" s="11">
        <v>0</v>
      </c>
      <c r="J270" s="140">
        <v>0</v>
      </c>
      <c r="K270" s="155">
        <v>-50000</v>
      </c>
      <c r="N270" s="91">
        <f t="shared" si="80"/>
        <v>50000</v>
      </c>
      <c r="O270" s="130" t="str">
        <f t="shared" si="81"/>
        <v/>
      </c>
      <c r="P270" s="91">
        <f t="shared" si="82"/>
        <v>50000</v>
      </c>
      <c r="Q270" s="130" t="str">
        <f t="shared" si="83"/>
        <v/>
      </c>
      <c r="R270" s="91"/>
      <c r="S270" s="132" t="str">
        <f t="shared" si="85"/>
        <v/>
      </c>
      <c r="T270" s="172">
        <f t="shared" si="84"/>
        <v>11</v>
      </c>
    </row>
    <row r="271" spans="1:20" ht="11.25" customHeight="1" x14ac:dyDescent="0.25">
      <c r="A271" s="26" t="s">
        <v>1172</v>
      </c>
      <c r="B271" s="26"/>
      <c r="C271" s="23"/>
      <c r="D271" s="23"/>
      <c r="E271" s="300" t="s">
        <v>269</v>
      </c>
      <c r="F271" s="301"/>
      <c r="G271" s="25">
        <f t="shared" ref="G271:K271" si="86">SUM(G272)</f>
        <v>-932233</v>
      </c>
      <c r="H271" s="25">
        <f t="shared" si="86"/>
        <v>-731444.5</v>
      </c>
      <c r="I271" s="25">
        <f t="shared" si="86"/>
        <v>-500000</v>
      </c>
      <c r="J271" s="25">
        <f t="shared" si="86"/>
        <v>0</v>
      </c>
      <c r="K271" s="153">
        <f t="shared" si="86"/>
        <v>-500000</v>
      </c>
      <c r="N271" s="91">
        <f t="shared" si="80"/>
        <v>0</v>
      </c>
      <c r="O271" s="130">
        <f t="shared" si="81"/>
        <v>1</v>
      </c>
      <c r="P271" s="91">
        <f t="shared" si="82"/>
        <v>-231444.5</v>
      </c>
      <c r="Q271" s="130">
        <f t="shared" si="83"/>
        <v>0.68357886346811003</v>
      </c>
      <c r="R271" s="91"/>
      <c r="S271" s="132" t="str">
        <f t="shared" si="85"/>
        <v/>
      </c>
      <c r="T271" s="172">
        <f t="shared" si="84"/>
        <v>7</v>
      </c>
    </row>
    <row r="272" spans="1:20" ht="11.25" customHeight="1" x14ac:dyDescent="0.25">
      <c r="A272" s="42" t="s">
        <v>1173</v>
      </c>
      <c r="B272" s="20" t="s">
        <v>916</v>
      </c>
      <c r="C272" s="20" t="s">
        <v>923</v>
      </c>
      <c r="D272" s="20" t="s">
        <v>1247</v>
      </c>
      <c r="E272" s="290" t="s">
        <v>270</v>
      </c>
      <c r="F272" s="291"/>
      <c r="G272" s="11">
        <v>-932233</v>
      </c>
      <c r="H272" s="11">
        <v>-731444.5</v>
      </c>
      <c r="I272" s="11">
        <v>-500000</v>
      </c>
      <c r="J272" s="140">
        <v>0</v>
      </c>
      <c r="K272" s="155">
        <v>-500000</v>
      </c>
      <c r="N272" s="91">
        <f t="shared" si="80"/>
        <v>0</v>
      </c>
      <c r="O272" s="130">
        <f t="shared" si="81"/>
        <v>1</v>
      </c>
      <c r="P272" s="91">
        <f t="shared" si="82"/>
        <v>-231444.5</v>
      </c>
      <c r="Q272" s="130">
        <f t="shared" si="83"/>
        <v>0.68357886346811003</v>
      </c>
      <c r="R272" s="91"/>
      <c r="S272" s="132" t="str">
        <f t="shared" si="85"/>
        <v/>
      </c>
      <c r="T272" s="172">
        <f t="shared" si="84"/>
        <v>11</v>
      </c>
    </row>
    <row r="273" spans="1:20" ht="11.25" customHeight="1" x14ac:dyDescent="0.25">
      <c r="A273" s="26" t="s">
        <v>1174</v>
      </c>
      <c r="B273" s="26"/>
      <c r="C273" s="23"/>
      <c r="D273" s="23"/>
      <c r="E273" s="300" t="s">
        <v>271</v>
      </c>
      <c r="F273" s="301"/>
      <c r="G273" s="25">
        <f t="shared" ref="G273:K273" si="87">SUM(G274:G281)</f>
        <v>-52028389.000000209</v>
      </c>
      <c r="H273" s="25">
        <f t="shared" si="87"/>
        <v>-56183852.050000109</v>
      </c>
      <c r="I273" s="25">
        <f t="shared" si="87"/>
        <v>-60624639.099692844</v>
      </c>
      <c r="J273" s="25">
        <f t="shared" si="87"/>
        <v>0</v>
      </c>
      <c r="K273" s="153">
        <f t="shared" si="87"/>
        <v>-106435000</v>
      </c>
      <c r="N273" s="91">
        <f t="shared" si="80"/>
        <v>45810360.900307156</v>
      </c>
      <c r="O273" s="130">
        <f t="shared" si="81"/>
        <v>1.7556393172910327</v>
      </c>
      <c r="P273" s="91">
        <f t="shared" si="82"/>
        <v>50251147.949999891</v>
      </c>
      <c r="Q273" s="130">
        <f t="shared" si="83"/>
        <v>1.8944055296400737</v>
      </c>
      <c r="R273" s="91"/>
      <c r="S273" s="132" t="str">
        <f t="shared" si="85"/>
        <v/>
      </c>
      <c r="T273" s="172">
        <f t="shared" si="84"/>
        <v>7</v>
      </c>
    </row>
    <row r="274" spans="1:20" ht="11.25" customHeight="1" x14ac:dyDescent="0.25">
      <c r="A274" s="42" t="s">
        <v>1175</v>
      </c>
      <c r="B274" s="28" t="s">
        <v>916</v>
      </c>
      <c r="C274" s="28" t="s">
        <v>923</v>
      </c>
      <c r="D274" s="28" t="s">
        <v>1248</v>
      </c>
      <c r="E274" s="290" t="s">
        <v>272</v>
      </c>
      <c r="F274" s="291"/>
      <c r="G274" s="11">
        <v>-40931802.000000201</v>
      </c>
      <c r="H274" s="11">
        <v>-44541352.250000097</v>
      </c>
      <c r="I274" s="11">
        <v>-49000339.038001701</v>
      </c>
      <c r="J274" s="140">
        <v>0</v>
      </c>
      <c r="K274" s="155">
        <v>-55700000</v>
      </c>
      <c r="L274" s="109" t="s">
        <v>1747</v>
      </c>
      <c r="M274" s="109"/>
      <c r="N274" s="91">
        <f t="shared" si="80"/>
        <v>6699660.9619982988</v>
      </c>
      <c r="O274" s="130">
        <f t="shared" si="81"/>
        <v>1.1367268287021943</v>
      </c>
      <c r="P274" s="91">
        <f t="shared" si="82"/>
        <v>11158647.749999903</v>
      </c>
      <c r="Q274" s="130">
        <f t="shared" si="83"/>
        <v>1.2505233268933786</v>
      </c>
      <c r="R274" s="91"/>
      <c r="S274" s="132" t="str">
        <f t="shared" si="85"/>
        <v/>
      </c>
      <c r="T274" s="172">
        <f t="shared" si="84"/>
        <v>11</v>
      </c>
    </row>
    <row r="275" spans="1:20" ht="11.25" customHeight="1" x14ac:dyDescent="0.25">
      <c r="A275" s="42" t="s">
        <v>1176</v>
      </c>
      <c r="B275" s="28" t="s">
        <v>916</v>
      </c>
      <c r="C275" s="28" t="s">
        <v>923</v>
      </c>
      <c r="D275" s="28" t="s">
        <v>1248</v>
      </c>
      <c r="E275" s="290" t="s">
        <v>273</v>
      </c>
      <c r="F275" s="291"/>
      <c r="G275" s="11">
        <v>-1306156</v>
      </c>
      <c r="H275" s="11">
        <v>-2720491</v>
      </c>
      <c r="I275" s="11">
        <v>-1500000</v>
      </c>
      <c r="J275" s="140">
        <v>0</v>
      </c>
      <c r="K275" s="155">
        <v>-2200000</v>
      </c>
      <c r="L275" s="109" t="s">
        <v>1748</v>
      </c>
      <c r="M275" s="109"/>
      <c r="N275" s="91">
        <f t="shared" si="80"/>
        <v>700000</v>
      </c>
      <c r="O275" s="130">
        <f t="shared" si="81"/>
        <v>1.4666666666666666</v>
      </c>
      <c r="P275" s="91">
        <f t="shared" si="82"/>
        <v>-520491</v>
      </c>
      <c r="Q275" s="130">
        <f t="shared" si="83"/>
        <v>0.80867755122145235</v>
      </c>
      <c r="R275" s="91"/>
      <c r="S275" s="132" t="str">
        <f t="shared" si="85"/>
        <v/>
      </c>
      <c r="T275" s="172">
        <f t="shared" si="84"/>
        <v>11</v>
      </c>
    </row>
    <row r="276" spans="1:20" ht="11.25" customHeight="1" x14ac:dyDescent="0.25">
      <c r="A276" s="42" t="s">
        <v>1177</v>
      </c>
      <c r="B276" s="20" t="s">
        <v>916</v>
      </c>
      <c r="C276" s="20" t="s">
        <v>919</v>
      </c>
      <c r="D276" s="20" t="s">
        <v>1649</v>
      </c>
      <c r="E276" s="290" t="s">
        <v>274</v>
      </c>
      <c r="F276" s="291"/>
      <c r="G276" s="11">
        <v>-357833.4</v>
      </c>
      <c r="H276" s="11">
        <v>-398469.6</v>
      </c>
      <c r="I276" s="11">
        <v>-399762.74951735197</v>
      </c>
      <c r="J276" s="140">
        <v>0</v>
      </c>
      <c r="K276" s="155">
        <v>-460000</v>
      </c>
      <c r="N276" s="91">
        <f t="shared" si="80"/>
        <v>60237.250482648029</v>
      </c>
      <c r="O276" s="130">
        <f t="shared" si="81"/>
        <v>1.1506824999462173</v>
      </c>
      <c r="P276" s="91">
        <f t="shared" si="82"/>
        <v>61530.400000000023</v>
      </c>
      <c r="Q276" s="130">
        <f t="shared" si="83"/>
        <v>1.154416798671718</v>
      </c>
      <c r="R276" s="91"/>
      <c r="S276" s="132" t="str">
        <f t="shared" si="85"/>
        <v/>
      </c>
      <c r="T276" s="172">
        <f t="shared" si="84"/>
        <v>11</v>
      </c>
    </row>
    <row r="277" spans="1:20" ht="11.25" customHeight="1" x14ac:dyDescent="0.25">
      <c r="A277" s="42" t="s">
        <v>1178</v>
      </c>
      <c r="B277" s="20" t="s">
        <v>916</v>
      </c>
      <c r="C277" s="20" t="s">
        <v>919</v>
      </c>
      <c r="D277" s="20" t="s">
        <v>1649</v>
      </c>
      <c r="E277" s="290" t="s">
        <v>275</v>
      </c>
      <c r="F277" s="291"/>
      <c r="G277" s="11">
        <v>-8676197.0000000093</v>
      </c>
      <c r="H277" s="11">
        <v>-8191317.0000000102</v>
      </c>
      <c r="I277" s="11">
        <v>-8499537.3121738005</v>
      </c>
      <c r="J277" s="140">
        <v>0</v>
      </c>
      <c r="K277" s="155">
        <f>-9000000+500000</f>
        <v>-8500000</v>
      </c>
      <c r="L277" s="109" t="s">
        <v>1703</v>
      </c>
      <c r="M277" s="109"/>
      <c r="N277" s="91">
        <f t="shared" si="80"/>
        <v>462.68782619945705</v>
      </c>
      <c r="O277" s="130">
        <f t="shared" si="81"/>
        <v>1.0000544368251125</v>
      </c>
      <c r="P277" s="91">
        <f t="shared" si="82"/>
        <v>308682.99999998976</v>
      </c>
      <c r="Q277" s="130">
        <f t="shared" si="83"/>
        <v>1.0376841721544887</v>
      </c>
      <c r="R277" s="91"/>
      <c r="S277" s="132" t="str">
        <f t="shared" si="85"/>
        <v/>
      </c>
      <c r="T277" s="172">
        <f t="shared" si="84"/>
        <v>11</v>
      </c>
    </row>
    <row r="278" spans="1:20" ht="11.25" customHeight="1" x14ac:dyDescent="0.25">
      <c r="A278" s="42" t="s">
        <v>1179</v>
      </c>
      <c r="B278" s="20" t="s">
        <v>916</v>
      </c>
      <c r="C278" s="20" t="s">
        <v>919</v>
      </c>
      <c r="D278" s="20" t="s">
        <v>1649</v>
      </c>
      <c r="E278" s="290" t="s">
        <v>276</v>
      </c>
      <c r="F278" s="291"/>
      <c r="G278" s="11">
        <v>-67561.2</v>
      </c>
      <c r="H278" s="11">
        <v>-79893.2</v>
      </c>
      <c r="I278" s="11">
        <v>-74999.999999991996</v>
      </c>
      <c r="J278" s="140">
        <v>0</v>
      </c>
      <c r="K278" s="155">
        <v>-75000</v>
      </c>
      <c r="N278" s="91">
        <f t="shared" si="80"/>
        <v>8.0035533756017685E-9</v>
      </c>
      <c r="O278" s="130">
        <f t="shared" si="81"/>
        <v>1.0000000000001068</v>
      </c>
      <c r="P278" s="91">
        <f t="shared" si="82"/>
        <v>-4893.1999999999971</v>
      </c>
      <c r="Q278" s="130">
        <f t="shared" si="83"/>
        <v>0.93875323556948531</v>
      </c>
      <c r="R278" s="91"/>
      <c r="S278" s="132" t="str">
        <f t="shared" si="85"/>
        <v/>
      </c>
      <c r="T278" s="172">
        <f t="shared" si="84"/>
        <v>11</v>
      </c>
    </row>
    <row r="279" spans="1:20" ht="11.25" customHeight="1" x14ac:dyDescent="0.25">
      <c r="A279" s="42" t="s">
        <v>1180</v>
      </c>
      <c r="B279" s="20" t="s">
        <v>916</v>
      </c>
      <c r="C279" s="20" t="s">
        <v>919</v>
      </c>
      <c r="D279" s="20" t="s">
        <v>1649</v>
      </c>
      <c r="E279" s="290" t="s">
        <v>277</v>
      </c>
      <c r="F279" s="291"/>
      <c r="G279" s="11">
        <v>-274789.40000000002</v>
      </c>
      <c r="H279" s="11">
        <v>-214710</v>
      </c>
      <c r="I279" s="11">
        <v>-1100000</v>
      </c>
      <c r="J279" s="140">
        <v>0</v>
      </c>
      <c r="K279" s="155">
        <f>-1500000+500000</f>
        <v>-1000000</v>
      </c>
      <c r="L279" s="109" t="s">
        <v>1702</v>
      </c>
      <c r="M279" s="109"/>
      <c r="N279" s="91">
        <f t="shared" si="80"/>
        <v>-100000</v>
      </c>
      <c r="O279" s="130">
        <f t="shared" si="81"/>
        <v>0.90909090909090906</v>
      </c>
      <c r="P279" s="91">
        <f t="shared" si="82"/>
        <v>785290</v>
      </c>
      <c r="Q279" s="130">
        <f t="shared" si="83"/>
        <v>4.6574449257137536</v>
      </c>
      <c r="R279" s="91"/>
      <c r="S279" s="132" t="str">
        <f t="shared" si="85"/>
        <v/>
      </c>
      <c r="T279" s="172">
        <f t="shared" si="84"/>
        <v>11</v>
      </c>
    </row>
    <row r="280" spans="1:20" ht="11.25" customHeight="1" x14ac:dyDescent="0.25">
      <c r="A280" s="42" t="s">
        <v>1181</v>
      </c>
      <c r="B280" s="15" t="s">
        <v>916</v>
      </c>
      <c r="C280" s="16" t="s">
        <v>919</v>
      </c>
      <c r="D280" s="16" t="s">
        <v>1036</v>
      </c>
      <c r="E280" s="290" t="s">
        <v>278</v>
      </c>
      <c r="F280" s="291"/>
      <c r="G280" s="11">
        <v>0</v>
      </c>
      <c r="H280" s="11">
        <v>0</v>
      </c>
      <c r="I280" s="11"/>
      <c r="J280" s="140">
        <v>0</v>
      </c>
      <c r="K280" s="155">
        <v>-38500000</v>
      </c>
      <c r="L280" s="109" t="s">
        <v>1736</v>
      </c>
      <c r="M280" s="109"/>
      <c r="N280" s="91">
        <f t="shared" si="80"/>
        <v>38500000</v>
      </c>
      <c r="O280" s="130" t="str">
        <f t="shared" si="81"/>
        <v/>
      </c>
      <c r="P280" s="91">
        <f t="shared" si="82"/>
        <v>38500000</v>
      </c>
      <c r="Q280" s="130" t="str">
        <f t="shared" si="83"/>
        <v/>
      </c>
      <c r="R280" s="91"/>
      <c r="S280" s="132" t="str">
        <f t="shared" si="85"/>
        <v/>
      </c>
      <c r="T280" s="172">
        <f t="shared" si="84"/>
        <v>11</v>
      </c>
    </row>
    <row r="281" spans="1:20" ht="11.25" customHeight="1" x14ac:dyDescent="0.25">
      <c r="A281" s="42" t="s">
        <v>1182</v>
      </c>
      <c r="B281" s="28" t="s">
        <v>916</v>
      </c>
      <c r="C281" s="28" t="s">
        <v>923</v>
      </c>
      <c r="D281" s="28" t="s">
        <v>1248</v>
      </c>
      <c r="E281" s="290" t="s">
        <v>1687</v>
      </c>
      <c r="F281" s="291"/>
      <c r="G281" s="11">
        <v>-414050</v>
      </c>
      <c r="H281" s="11">
        <v>-37619</v>
      </c>
      <c r="I281" s="11">
        <v>-50000</v>
      </c>
      <c r="J281" s="140">
        <v>0</v>
      </c>
      <c r="K281" s="155">
        <v>0</v>
      </c>
      <c r="N281" s="91">
        <f t="shared" si="80"/>
        <v>-50000</v>
      </c>
      <c r="O281" s="130">
        <f t="shared" si="81"/>
        <v>0</v>
      </c>
      <c r="P281" s="91">
        <f t="shared" si="82"/>
        <v>-37619</v>
      </c>
      <c r="Q281" s="130">
        <f t="shared" si="83"/>
        <v>0</v>
      </c>
      <c r="R281" s="91"/>
      <c r="S281" s="132" t="str">
        <f t="shared" si="85"/>
        <v/>
      </c>
      <c r="T281" s="172">
        <f t="shared" si="84"/>
        <v>11</v>
      </c>
    </row>
    <row r="282" spans="1:20" ht="11.25" customHeight="1" x14ac:dyDescent="0.25">
      <c r="A282" s="26" t="s">
        <v>1183</v>
      </c>
      <c r="B282" s="26"/>
      <c r="C282" s="23"/>
      <c r="D282" s="23"/>
      <c r="E282" s="300" t="s">
        <v>279</v>
      </c>
      <c r="F282" s="301"/>
      <c r="G282" s="25">
        <f t="shared" ref="G282:K282" si="88">SUM(G283:G285)</f>
        <v>-1945289.45</v>
      </c>
      <c r="H282" s="25">
        <f t="shared" si="88"/>
        <v>-2134764.4300000002</v>
      </c>
      <c r="I282" s="25">
        <f t="shared" si="88"/>
        <v>-1880431.7495488459</v>
      </c>
      <c r="J282" s="25">
        <f t="shared" si="88"/>
        <v>0</v>
      </c>
      <c r="K282" s="153">
        <f t="shared" si="88"/>
        <v>-2050000</v>
      </c>
      <c r="N282" s="91">
        <f t="shared" si="80"/>
        <v>169568.25045115408</v>
      </c>
      <c r="O282" s="130">
        <f t="shared" si="81"/>
        <v>1.0901751688099486</v>
      </c>
      <c r="P282" s="91">
        <f t="shared" si="82"/>
        <v>-84764.430000000168</v>
      </c>
      <c r="Q282" s="130">
        <f t="shared" si="83"/>
        <v>0.96029330974003524</v>
      </c>
      <c r="R282" s="91"/>
      <c r="S282" s="132" t="str">
        <f t="shared" si="85"/>
        <v/>
      </c>
      <c r="T282" s="172">
        <f t="shared" si="84"/>
        <v>7</v>
      </c>
    </row>
    <row r="283" spans="1:20" ht="11.25" customHeight="1" x14ac:dyDescent="0.25">
      <c r="A283" s="42" t="s">
        <v>1184</v>
      </c>
      <c r="B283" s="27" t="s">
        <v>922</v>
      </c>
      <c r="C283" s="28" t="s">
        <v>920</v>
      </c>
      <c r="D283" s="34" t="s">
        <v>1249</v>
      </c>
      <c r="E283" s="290" t="s">
        <v>280</v>
      </c>
      <c r="F283" s="291"/>
      <c r="G283" s="11">
        <v>-53458.44</v>
      </c>
      <c r="H283" s="11">
        <v>-47522.25</v>
      </c>
      <c r="I283" s="11">
        <v>-80431.749548852007</v>
      </c>
      <c r="J283" s="140">
        <v>0</v>
      </c>
      <c r="K283" s="155">
        <v>-80000</v>
      </c>
      <c r="N283" s="91">
        <f t="shared" si="80"/>
        <v>-431.74954885200714</v>
      </c>
      <c r="O283" s="130">
        <f t="shared" si="81"/>
        <v>0.99463210049173711</v>
      </c>
      <c r="P283" s="91">
        <f t="shared" si="82"/>
        <v>32477.75</v>
      </c>
      <c r="Q283" s="130">
        <f t="shared" si="83"/>
        <v>1.6834219760217581</v>
      </c>
      <c r="R283" s="91"/>
      <c r="S283" s="132" t="str">
        <f t="shared" si="85"/>
        <v/>
      </c>
      <c r="T283" s="172">
        <f t="shared" si="84"/>
        <v>11</v>
      </c>
    </row>
    <row r="284" spans="1:20" ht="11.25" customHeight="1" x14ac:dyDescent="0.25">
      <c r="A284" s="42" t="s">
        <v>1185</v>
      </c>
      <c r="B284" s="27" t="s">
        <v>922</v>
      </c>
      <c r="C284" s="28" t="s">
        <v>920</v>
      </c>
      <c r="D284" s="28" t="s">
        <v>1249</v>
      </c>
      <c r="E284" s="290" t="s">
        <v>281</v>
      </c>
      <c r="F284" s="291"/>
      <c r="G284" s="11">
        <v>-1595647</v>
      </c>
      <c r="H284" s="11">
        <v>-1772250</v>
      </c>
      <c r="I284" s="11">
        <v>-1500000</v>
      </c>
      <c r="J284" s="140">
        <v>0</v>
      </c>
      <c r="K284" s="155">
        <f>-1800000+150000</f>
        <v>-1650000</v>
      </c>
      <c r="N284" s="91">
        <f t="shared" si="80"/>
        <v>150000</v>
      </c>
      <c r="O284" s="130">
        <f t="shared" si="81"/>
        <v>1.1000000000000001</v>
      </c>
      <c r="P284" s="91">
        <f t="shared" si="82"/>
        <v>-122250</v>
      </c>
      <c r="Q284" s="130">
        <f t="shared" si="83"/>
        <v>0.93101988997037666</v>
      </c>
      <c r="R284" s="91"/>
      <c r="S284" s="132" t="str">
        <f t="shared" si="85"/>
        <v/>
      </c>
      <c r="T284" s="172">
        <f t="shared" si="84"/>
        <v>11</v>
      </c>
    </row>
    <row r="285" spans="1:20" ht="11.25" customHeight="1" x14ac:dyDescent="0.25">
      <c r="A285" s="42" t="s">
        <v>1186</v>
      </c>
      <c r="B285" s="27" t="s">
        <v>916</v>
      </c>
      <c r="C285" s="28" t="s">
        <v>919</v>
      </c>
      <c r="D285" s="28" t="s">
        <v>917</v>
      </c>
      <c r="E285" s="290" t="s">
        <v>282</v>
      </c>
      <c r="F285" s="291"/>
      <c r="G285" s="11">
        <v>-296184.01</v>
      </c>
      <c r="H285" s="11">
        <v>-314992.18</v>
      </c>
      <c r="I285" s="11">
        <v>-299999.999999994</v>
      </c>
      <c r="J285" s="140">
        <v>0</v>
      </c>
      <c r="K285" s="155">
        <v>-320000</v>
      </c>
      <c r="N285" s="91">
        <f t="shared" si="80"/>
        <v>20000.000000005995</v>
      </c>
      <c r="O285" s="130">
        <f t="shared" si="81"/>
        <v>1.066666666666688</v>
      </c>
      <c r="P285" s="91">
        <f t="shared" si="82"/>
        <v>5007.820000000007</v>
      </c>
      <c r="Q285" s="130">
        <f t="shared" si="83"/>
        <v>1.0158982359498576</v>
      </c>
      <c r="R285" s="91"/>
      <c r="S285" s="132" t="str">
        <f t="shared" si="85"/>
        <v/>
      </c>
      <c r="T285" s="172">
        <f t="shared" si="84"/>
        <v>11</v>
      </c>
    </row>
    <row r="286" spans="1:20" ht="11.25" customHeight="1" x14ac:dyDescent="0.25">
      <c r="A286" s="26" t="s">
        <v>1187</v>
      </c>
      <c r="B286" s="26"/>
      <c r="C286" s="23"/>
      <c r="D286" s="23"/>
      <c r="E286" s="300" t="s">
        <v>283</v>
      </c>
      <c r="F286" s="301"/>
      <c r="G286" s="25">
        <f t="shared" ref="G286:K286" si="89">SUM(G287:G298)</f>
        <v>-56736405.790000007</v>
      </c>
      <c r="H286" s="25">
        <f t="shared" si="89"/>
        <v>-60648869.470000006</v>
      </c>
      <c r="I286" s="25">
        <f t="shared" si="89"/>
        <v>-62579832.941814192</v>
      </c>
      <c r="J286" s="25">
        <f t="shared" si="89"/>
        <v>0</v>
      </c>
      <c r="K286" s="153">
        <f t="shared" si="89"/>
        <v>-69438498.909999996</v>
      </c>
      <c r="N286" s="91">
        <f t="shared" si="80"/>
        <v>6858665.9681858048</v>
      </c>
      <c r="O286" s="130">
        <f t="shared" si="81"/>
        <v>1.1095986621530756</v>
      </c>
      <c r="P286" s="91">
        <f t="shared" si="82"/>
        <v>8789629.4399999902</v>
      </c>
      <c r="Q286" s="130">
        <f t="shared" si="83"/>
        <v>1.1449265174571437</v>
      </c>
      <c r="R286" s="91"/>
      <c r="S286" s="132" t="str">
        <f t="shared" si="85"/>
        <v/>
      </c>
      <c r="T286" s="172">
        <f t="shared" si="84"/>
        <v>7</v>
      </c>
    </row>
    <row r="287" spans="1:20" ht="11.25" customHeight="1" x14ac:dyDescent="0.25">
      <c r="A287" s="42" t="s">
        <v>1188</v>
      </c>
      <c r="B287" s="20" t="s">
        <v>916</v>
      </c>
      <c r="C287" s="20" t="s">
        <v>919</v>
      </c>
      <c r="D287" s="20" t="s">
        <v>1089</v>
      </c>
      <c r="E287" s="290" t="s">
        <v>284</v>
      </c>
      <c r="F287" s="291"/>
      <c r="G287" s="11">
        <v>-851633.2</v>
      </c>
      <c r="H287" s="11">
        <v>-1306703.8</v>
      </c>
      <c r="I287" s="11">
        <v>-999832.94181564497</v>
      </c>
      <c r="J287" s="140">
        <v>0</v>
      </c>
      <c r="K287" s="155">
        <v>-1200000</v>
      </c>
      <c r="N287" s="91">
        <f t="shared" si="80"/>
        <v>200167.05818435503</v>
      </c>
      <c r="O287" s="130">
        <f t="shared" si="81"/>
        <v>1.2002005033169461</v>
      </c>
      <c r="P287" s="91">
        <f t="shared" si="82"/>
        <v>-106703.80000000005</v>
      </c>
      <c r="Q287" s="130">
        <f t="shared" si="83"/>
        <v>0.91834124917980642</v>
      </c>
      <c r="R287" s="91"/>
      <c r="S287" s="132" t="str">
        <f t="shared" si="85"/>
        <v/>
      </c>
      <c r="T287" s="172">
        <f t="shared" si="84"/>
        <v>11</v>
      </c>
    </row>
    <row r="288" spans="1:20" ht="11.25" customHeight="1" x14ac:dyDescent="0.25">
      <c r="A288" s="57" t="s">
        <v>1189</v>
      </c>
      <c r="B288" s="175" t="s">
        <v>916</v>
      </c>
      <c r="C288" s="175" t="s">
        <v>920</v>
      </c>
      <c r="D288" s="175" t="s">
        <v>1250</v>
      </c>
      <c r="E288" s="288" t="s">
        <v>285</v>
      </c>
      <c r="F288" s="289"/>
      <c r="G288" s="56">
        <v>-20860103.920000002</v>
      </c>
      <c r="H288" s="56">
        <v>-20423598.649999999</v>
      </c>
      <c r="I288" s="56">
        <v>-19999999.9999994</v>
      </c>
      <c r="J288" s="176">
        <v>0</v>
      </c>
      <c r="K288" s="168">
        <f>-20000000+2000000-2000000</f>
        <v>-20000000</v>
      </c>
      <c r="L288" s="183" t="s">
        <v>1730</v>
      </c>
      <c r="M288" s="183"/>
      <c r="N288" s="102">
        <f t="shared" si="80"/>
        <v>5.9977173805236816E-7</v>
      </c>
      <c r="O288" s="177">
        <f t="shared" si="81"/>
        <v>1.00000000000003</v>
      </c>
      <c r="P288" s="102">
        <f t="shared" si="82"/>
        <v>-423598.64999999851</v>
      </c>
      <c r="Q288" s="177">
        <f t="shared" si="83"/>
        <v>0.97925935300339451</v>
      </c>
      <c r="R288" s="102"/>
      <c r="S288" s="132" t="str">
        <f t="shared" si="85"/>
        <v/>
      </c>
      <c r="T288" s="172">
        <f t="shared" si="84"/>
        <v>11</v>
      </c>
    </row>
    <row r="289" spans="1:20" ht="11.25" customHeight="1" x14ac:dyDescent="0.25">
      <c r="A289" s="42" t="s">
        <v>1190</v>
      </c>
      <c r="B289" s="20" t="s">
        <v>1241</v>
      </c>
      <c r="C289" s="20" t="s">
        <v>920</v>
      </c>
      <c r="D289" s="20" t="s">
        <v>1242</v>
      </c>
      <c r="E289" s="290" t="s">
        <v>286</v>
      </c>
      <c r="F289" s="291"/>
      <c r="G289" s="11">
        <v>-611961.19999999995</v>
      </c>
      <c r="H289" s="11">
        <v>-635809.1</v>
      </c>
      <c r="I289" s="11">
        <v>-1530000</v>
      </c>
      <c r="J289" s="140">
        <v>0</v>
      </c>
      <c r="K289" s="155">
        <v>-1490000</v>
      </c>
      <c r="L289" s="109"/>
      <c r="M289" s="109"/>
      <c r="N289" s="91">
        <f t="shared" si="80"/>
        <v>-40000</v>
      </c>
      <c r="O289" s="130">
        <f t="shared" si="81"/>
        <v>0.97385620915032678</v>
      </c>
      <c r="P289" s="91">
        <f t="shared" si="82"/>
        <v>854190.9</v>
      </c>
      <c r="Q289" s="130">
        <f t="shared" si="83"/>
        <v>2.3434707052793047</v>
      </c>
      <c r="R289" s="91"/>
      <c r="S289" s="132" t="str">
        <f t="shared" si="85"/>
        <v/>
      </c>
      <c r="T289" s="172">
        <f t="shared" si="84"/>
        <v>11</v>
      </c>
    </row>
    <row r="290" spans="1:20" ht="11.25" customHeight="1" x14ac:dyDescent="0.25">
      <c r="A290" s="42" t="s">
        <v>1191</v>
      </c>
      <c r="B290" s="20" t="s">
        <v>916</v>
      </c>
      <c r="C290" s="20" t="s">
        <v>919</v>
      </c>
      <c r="D290" s="20" t="s">
        <v>1649</v>
      </c>
      <c r="E290" s="290" t="s">
        <v>287</v>
      </c>
      <c r="F290" s="291"/>
      <c r="G290" s="11">
        <v>-98868.22</v>
      </c>
      <c r="H290" s="11">
        <v>-278119</v>
      </c>
      <c r="I290" s="11">
        <v>-249999.999999989</v>
      </c>
      <c r="J290" s="140">
        <v>0</v>
      </c>
      <c r="K290" s="155">
        <v>-350000</v>
      </c>
      <c r="N290" s="91">
        <f t="shared" si="80"/>
        <v>100000.000000011</v>
      </c>
      <c r="O290" s="130">
        <f t="shared" si="81"/>
        <v>1.4000000000000616</v>
      </c>
      <c r="P290" s="91">
        <f t="shared" si="82"/>
        <v>71881</v>
      </c>
      <c r="Q290" s="130">
        <f t="shared" si="83"/>
        <v>1.2584541149651767</v>
      </c>
      <c r="R290" s="91"/>
      <c r="S290" s="132" t="str">
        <f t="shared" si="85"/>
        <v/>
      </c>
      <c r="T290" s="172">
        <f t="shared" si="84"/>
        <v>11</v>
      </c>
    </row>
    <row r="291" spans="1:20" ht="11.25" customHeight="1" x14ac:dyDescent="0.25">
      <c r="A291" s="42" t="s">
        <v>1192</v>
      </c>
      <c r="B291" s="20" t="s">
        <v>916</v>
      </c>
      <c r="C291" s="20" t="s">
        <v>919</v>
      </c>
      <c r="D291" s="20" t="s">
        <v>918</v>
      </c>
      <c r="E291" s="290" t="s">
        <v>288</v>
      </c>
      <c r="F291" s="291"/>
      <c r="G291" s="11">
        <v>-280905.43000000098</v>
      </c>
      <c r="H291" s="11">
        <v>-356938.50000000099</v>
      </c>
      <c r="I291" s="11">
        <v>-329999.99999998399</v>
      </c>
      <c r="J291" s="140">
        <v>0</v>
      </c>
      <c r="K291" s="155">
        <v>-400000</v>
      </c>
      <c r="N291" s="91">
        <f t="shared" si="80"/>
        <v>70000.000000016007</v>
      </c>
      <c r="O291" s="130">
        <f t="shared" si="81"/>
        <v>1.212121212121271</v>
      </c>
      <c r="P291" s="91">
        <f t="shared" si="82"/>
        <v>43061.49999999901</v>
      </c>
      <c r="Q291" s="130">
        <f t="shared" si="83"/>
        <v>1.120641230912325</v>
      </c>
      <c r="R291" s="91"/>
      <c r="S291" s="132" t="str">
        <f t="shared" si="85"/>
        <v/>
      </c>
      <c r="T291" s="172">
        <f t="shared" si="84"/>
        <v>11</v>
      </c>
    </row>
    <row r="292" spans="1:20" ht="11.25" customHeight="1" x14ac:dyDescent="0.25">
      <c r="A292" s="42" t="s">
        <v>1193</v>
      </c>
      <c r="B292" s="20" t="s">
        <v>1654</v>
      </c>
      <c r="C292" s="20" t="s">
        <v>919</v>
      </c>
      <c r="D292" s="20" t="s">
        <v>1655</v>
      </c>
      <c r="E292" s="290" t="s">
        <v>289</v>
      </c>
      <c r="F292" s="291"/>
      <c r="G292" s="11">
        <v>-813867.3</v>
      </c>
      <c r="H292" s="11">
        <v>-745230.6</v>
      </c>
      <c r="I292" s="11">
        <v>-619999.99999999604</v>
      </c>
      <c r="J292" s="140">
        <v>0</v>
      </c>
      <c r="K292" s="155">
        <v>-848476</v>
      </c>
      <c r="N292" s="91">
        <f t="shared" si="80"/>
        <v>228476.00000000396</v>
      </c>
      <c r="O292" s="130">
        <f t="shared" si="81"/>
        <v>1.3685096774193635</v>
      </c>
      <c r="P292" s="91">
        <f t="shared" si="82"/>
        <v>103245.40000000002</v>
      </c>
      <c r="Q292" s="130">
        <f t="shared" si="83"/>
        <v>1.1385415467373454</v>
      </c>
      <c r="R292" s="91"/>
      <c r="S292" s="132" t="str">
        <f t="shared" si="85"/>
        <v/>
      </c>
      <c r="T292" s="172">
        <f t="shared" si="84"/>
        <v>11</v>
      </c>
    </row>
    <row r="293" spans="1:20" ht="11.25" customHeight="1" x14ac:dyDescent="0.25">
      <c r="A293" s="42" t="s">
        <v>1194</v>
      </c>
      <c r="B293" s="20" t="s">
        <v>916</v>
      </c>
      <c r="C293" s="20" t="s">
        <v>920</v>
      </c>
      <c r="D293" s="20" t="s">
        <v>1250</v>
      </c>
      <c r="E293" s="290" t="s">
        <v>290</v>
      </c>
      <c r="F293" s="291"/>
      <c r="G293" s="11">
        <v>-3273622.94</v>
      </c>
      <c r="H293" s="11">
        <v>-4100118.37</v>
      </c>
      <c r="I293" s="11">
        <v>-3969999.9999998002</v>
      </c>
      <c r="J293" s="140">
        <v>0</v>
      </c>
      <c r="K293" s="155">
        <v>-4290000</v>
      </c>
      <c r="N293" s="91">
        <f t="shared" si="80"/>
        <v>320000.00000019977</v>
      </c>
      <c r="O293" s="130">
        <f t="shared" si="81"/>
        <v>1.0806045340050923</v>
      </c>
      <c r="P293" s="91">
        <f t="shared" si="82"/>
        <v>189881.62999999989</v>
      </c>
      <c r="Q293" s="130">
        <f t="shared" si="83"/>
        <v>1.04631125564309</v>
      </c>
      <c r="R293" s="91"/>
      <c r="S293" s="132" t="str">
        <f t="shared" si="85"/>
        <v/>
      </c>
      <c r="T293" s="172">
        <f t="shared" si="84"/>
        <v>11</v>
      </c>
    </row>
    <row r="294" spans="1:20" ht="11.25" customHeight="1" x14ac:dyDescent="0.25">
      <c r="A294" s="42" t="s">
        <v>1691</v>
      </c>
      <c r="B294" s="20" t="s">
        <v>916</v>
      </c>
      <c r="C294" s="20" t="s">
        <v>923</v>
      </c>
      <c r="D294" s="20" t="s">
        <v>1248</v>
      </c>
      <c r="E294" s="290" t="s">
        <v>1692</v>
      </c>
      <c r="F294" s="291"/>
      <c r="G294" s="88">
        <v>0</v>
      </c>
      <c r="H294" s="88">
        <v>0</v>
      </c>
      <c r="I294" s="88">
        <v>0</v>
      </c>
      <c r="J294" s="140">
        <v>0</v>
      </c>
      <c r="K294" s="155">
        <v>-1488022.91</v>
      </c>
      <c r="N294" s="91">
        <f t="shared" si="80"/>
        <v>1488022.91</v>
      </c>
      <c r="O294" s="130" t="str">
        <f t="shared" si="81"/>
        <v/>
      </c>
      <c r="P294" s="91">
        <f t="shared" si="82"/>
        <v>1488022.91</v>
      </c>
      <c r="Q294" s="130" t="str">
        <f t="shared" si="83"/>
        <v/>
      </c>
      <c r="R294" s="91"/>
      <c r="S294" s="132" t="str">
        <f t="shared" si="85"/>
        <v/>
      </c>
      <c r="T294" s="172">
        <f t="shared" si="84"/>
        <v>11</v>
      </c>
    </row>
    <row r="295" spans="1:20" ht="11.25" customHeight="1" x14ac:dyDescent="0.25">
      <c r="A295" s="57" t="s">
        <v>1195</v>
      </c>
      <c r="B295" s="175" t="s">
        <v>916</v>
      </c>
      <c r="C295" s="175" t="s">
        <v>920</v>
      </c>
      <c r="D295" s="175" t="s">
        <v>1250</v>
      </c>
      <c r="E295" s="288" t="s">
        <v>291</v>
      </c>
      <c r="F295" s="289"/>
      <c r="G295" s="56">
        <v>-29732296.989999998</v>
      </c>
      <c r="H295" s="56">
        <v>-32725622.690000001</v>
      </c>
      <c r="I295" s="56">
        <v>-34379999.999999397</v>
      </c>
      <c r="J295" s="176">
        <v>0</v>
      </c>
      <c r="K295" s="168">
        <f>-35572000+3000000</f>
        <v>-32572000</v>
      </c>
      <c r="L295" s="183" t="s">
        <v>1729</v>
      </c>
      <c r="M295" s="183"/>
      <c r="N295" s="102">
        <f t="shared" si="80"/>
        <v>-1807999.9999993965</v>
      </c>
      <c r="O295" s="177">
        <f t="shared" si="81"/>
        <v>0.94741128563119759</v>
      </c>
      <c r="P295" s="102">
        <f t="shared" si="82"/>
        <v>-153622.69000000134</v>
      </c>
      <c r="Q295" s="177">
        <f t="shared" si="83"/>
        <v>0.99530573668665612</v>
      </c>
      <c r="R295" s="102"/>
      <c r="S295" s="132" t="str">
        <f t="shared" si="85"/>
        <v/>
      </c>
      <c r="T295" s="172">
        <f t="shared" si="84"/>
        <v>11</v>
      </c>
    </row>
    <row r="296" spans="1:20" ht="11.25" customHeight="1" x14ac:dyDescent="0.25">
      <c r="A296" s="42" t="s">
        <v>1196</v>
      </c>
      <c r="B296" s="20" t="s">
        <v>916</v>
      </c>
      <c r="C296" s="20" t="s">
        <v>920</v>
      </c>
      <c r="D296" s="20" t="s">
        <v>1250</v>
      </c>
      <c r="E296" s="290" t="s">
        <v>292</v>
      </c>
      <c r="F296" s="291"/>
      <c r="G296" s="11">
        <v>-213146.59</v>
      </c>
      <c r="H296" s="11">
        <v>-76728.759999999995</v>
      </c>
      <c r="I296" s="11">
        <v>-499999.99999997998</v>
      </c>
      <c r="J296" s="140">
        <v>0</v>
      </c>
      <c r="K296" s="155">
        <v>-100000</v>
      </c>
      <c r="N296" s="91">
        <f t="shared" si="80"/>
        <v>-399999.99999997998</v>
      </c>
      <c r="O296" s="130">
        <f t="shared" si="81"/>
        <v>0.200000000000008</v>
      </c>
      <c r="P296" s="91">
        <f t="shared" si="82"/>
        <v>23271.240000000005</v>
      </c>
      <c r="Q296" s="130">
        <f t="shared" si="83"/>
        <v>1.303292272675852</v>
      </c>
      <c r="R296" s="91"/>
      <c r="S296" s="132" t="str">
        <f t="shared" si="85"/>
        <v/>
      </c>
      <c r="T296" s="172">
        <f t="shared" si="84"/>
        <v>11</v>
      </c>
    </row>
    <row r="297" spans="1:20" ht="11.25" customHeight="1" x14ac:dyDescent="0.25">
      <c r="A297" s="57" t="s">
        <v>1650</v>
      </c>
      <c r="B297" s="175" t="s">
        <v>916</v>
      </c>
      <c r="C297" s="175" t="s">
        <v>919</v>
      </c>
      <c r="D297" s="175" t="s">
        <v>1649</v>
      </c>
      <c r="E297" s="288" t="s">
        <v>1652</v>
      </c>
      <c r="F297" s="289"/>
      <c r="G297" s="56"/>
      <c r="H297" s="56"/>
      <c r="I297" s="56"/>
      <c r="J297" s="176">
        <v>0</v>
      </c>
      <c r="K297" s="182">
        <v>-4500000</v>
      </c>
      <c r="L297" s="183" t="s">
        <v>1724</v>
      </c>
      <c r="M297" s="183"/>
      <c r="N297" s="102">
        <f t="shared" si="80"/>
        <v>4500000</v>
      </c>
      <c r="O297" s="177" t="str">
        <f t="shared" si="81"/>
        <v/>
      </c>
      <c r="P297" s="102">
        <f t="shared" si="82"/>
        <v>4500000</v>
      </c>
      <c r="Q297" s="177" t="str">
        <f t="shared" si="83"/>
        <v/>
      </c>
      <c r="R297" s="102"/>
      <c r="S297" s="132" t="str">
        <f t="shared" si="85"/>
        <v/>
      </c>
      <c r="T297" s="172">
        <f t="shared" si="84"/>
        <v>11</v>
      </c>
    </row>
    <row r="298" spans="1:20" ht="11.25" customHeight="1" x14ac:dyDescent="0.25">
      <c r="A298" s="57" t="s">
        <v>1651</v>
      </c>
      <c r="B298" s="175" t="s">
        <v>916</v>
      </c>
      <c r="C298" s="175" t="s">
        <v>919</v>
      </c>
      <c r="D298" s="175" t="s">
        <v>1649</v>
      </c>
      <c r="E298" s="288" t="s">
        <v>1653</v>
      </c>
      <c r="F298" s="289"/>
      <c r="G298" s="56"/>
      <c r="H298" s="56"/>
      <c r="I298" s="56"/>
      <c r="J298" s="176">
        <v>0</v>
      </c>
      <c r="K298" s="182">
        <v>-2200000</v>
      </c>
      <c r="L298" s="183" t="s">
        <v>1723</v>
      </c>
      <c r="M298" s="183"/>
      <c r="N298" s="102">
        <f t="shared" si="80"/>
        <v>2200000</v>
      </c>
      <c r="O298" s="177" t="str">
        <f t="shared" si="81"/>
        <v/>
      </c>
      <c r="P298" s="102">
        <f t="shared" si="82"/>
        <v>2200000</v>
      </c>
      <c r="Q298" s="177" t="str">
        <f t="shared" si="83"/>
        <v/>
      </c>
      <c r="R298" s="102"/>
      <c r="S298" s="132" t="str">
        <f t="shared" si="85"/>
        <v/>
      </c>
      <c r="T298" s="172">
        <f t="shared" si="84"/>
        <v>11</v>
      </c>
    </row>
    <row r="299" spans="1:20" ht="11.25" customHeight="1" x14ac:dyDescent="0.25">
      <c r="A299" s="26" t="s">
        <v>1197</v>
      </c>
      <c r="B299" s="26"/>
      <c r="C299" s="23"/>
      <c r="D299" s="23"/>
      <c r="E299" s="300" t="s">
        <v>293</v>
      </c>
      <c r="F299" s="301"/>
      <c r="G299" s="25">
        <f t="shared" ref="G299:K299" si="90">SUM(G300)</f>
        <v>-618885.15</v>
      </c>
      <c r="H299" s="25">
        <f t="shared" si="90"/>
        <v>-685165.27</v>
      </c>
      <c r="I299" s="25">
        <f t="shared" si="90"/>
        <v>-649999.99999999104</v>
      </c>
      <c r="J299" s="25">
        <f t="shared" si="90"/>
        <v>0</v>
      </c>
      <c r="K299" s="153">
        <f t="shared" si="90"/>
        <v>-900000</v>
      </c>
      <c r="N299" s="91">
        <f t="shared" si="80"/>
        <v>250000.00000000896</v>
      </c>
      <c r="O299" s="130">
        <f t="shared" si="81"/>
        <v>1.3846153846154037</v>
      </c>
      <c r="P299" s="91">
        <f t="shared" si="82"/>
        <v>214834.72999999998</v>
      </c>
      <c r="Q299" s="130">
        <f t="shared" si="83"/>
        <v>1.3135516924259747</v>
      </c>
      <c r="R299" s="91"/>
      <c r="S299" s="132" t="str">
        <f t="shared" si="85"/>
        <v/>
      </c>
      <c r="T299" s="172">
        <f t="shared" si="84"/>
        <v>7</v>
      </c>
    </row>
    <row r="300" spans="1:20" ht="11.25" customHeight="1" x14ac:dyDescent="0.25">
      <c r="A300" s="42" t="s">
        <v>1198</v>
      </c>
      <c r="B300" s="27" t="s">
        <v>916</v>
      </c>
      <c r="C300" s="28" t="s">
        <v>923</v>
      </c>
      <c r="D300" s="28" t="s">
        <v>1643</v>
      </c>
      <c r="E300" s="290" t="s">
        <v>294</v>
      </c>
      <c r="F300" s="291"/>
      <c r="G300" s="11">
        <v>-618885.15</v>
      </c>
      <c r="H300" s="11">
        <v>-685165.27</v>
      </c>
      <c r="I300" s="11">
        <v>-649999.99999999104</v>
      </c>
      <c r="J300" s="140">
        <v>0</v>
      </c>
      <c r="K300" s="155">
        <v>-900000</v>
      </c>
      <c r="N300" s="91">
        <f t="shared" si="80"/>
        <v>250000.00000000896</v>
      </c>
      <c r="O300" s="130">
        <f t="shared" si="81"/>
        <v>1.3846153846154037</v>
      </c>
      <c r="P300" s="91">
        <f t="shared" si="82"/>
        <v>214834.72999999998</v>
      </c>
      <c r="Q300" s="130">
        <f t="shared" si="83"/>
        <v>1.3135516924259747</v>
      </c>
      <c r="R300" s="91"/>
      <c r="S300" s="132" t="str">
        <f t="shared" si="85"/>
        <v/>
      </c>
      <c r="T300" s="172">
        <f t="shared" si="84"/>
        <v>11</v>
      </c>
    </row>
    <row r="301" spans="1:20" ht="11.25" customHeight="1" x14ac:dyDescent="0.25">
      <c r="A301" s="26" t="s">
        <v>1199</v>
      </c>
      <c r="B301" s="26"/>
      <c r="C301" s="23"/>
      <c r="D301" s="23"/>
      <c r="E301" s="300" t="s">
        <v>295</v>
      </c>
      <c r="F301" s="301"/>
      <c r="G301" s="25">
        <f t="shared" ref="G301:K301" si="91">SUM(G302)</f>
        <v>0</v>
      </c>
      <c r="H301" s="25">
        <f t="shared" si="91"/>
        <v>-9644.5</v>
      </c>
      <c r="I301" s="25">
        <f t="shared" si="91"/>
        <v>0</v>
      </c>
      <c r="J301" s="25">
        <f t="shared" si="91"/>
        <v>0</v>
      </c>
      <c r="K301" s="153">
        <f t="shared" si="91"/>
        <v>0</v>
      </c>
      <c r="N301" s="91">
        <f t="shared" si="80"/>
        <v>0</v>
      </c>
      <c r="O301" s="130" t="str">
        <f t="shared" si="81"/>
        <v/>
      </c>
      <c r="P301" s="91">
        <f t="shared" si="82"/>
        <v>-9644.5</v>
      </c>
      <c r="Q301" s="130">
        <f t="shared" si="83"/>
        <v>0</v>
      </c>
      <c r="R301" s="91"/>
      <c r="S301" s="132" t="str">
        <f t="shared" si="85"/>
        <v/>
      </c>
      <c r="T301" s="172">
        <f t="shared" si="84"/>
        <v>7</v>
      </c>
    </row>
    <row r="302" spans="1:20" ht="11.25" customHeight="1" x14ac:dyDescent="0.25">
      <c r="A302" s="42" t="s">
        <v>1200</v>
      </c>
      <c r="B302" s="28" t="s">
        <v>916</v>
      </c>
      <c r="C302" s="28" t="s">
        <v>923</v>
      </c>
      <c r="D302" s="28" t="s">
        <v>917</v>
      </c>
      <c r="E302" s="290" t="s">
        <v>296</v>
      </c>
      <c r="F302" s="291"/>
      <c r="G302" s="11">
        <v>0</v>
      </c>
      <c r="H302" s="11">
        <v>-9644.5</v>
      </c>
      <c r="I302" s="11">
        <v>0</v>
      </c>
      <c r="J302" s="140">
        <v>0</v>
      </c>
      <c r="K302" s="155">
        <v>0</v>
      </c>
      <c r="N302" s="91">
        <f t="shared" si="80"/>
        <v>0</v>
      </c>
      <c r="O302" s="130" t="str">
        <f t="shared" si="81"/>
        <v/>
      </c>
      <c r="P302" s="91">
        <f t="shared" si="82"/>
        <v>-9644.5</v>
      </c>
      <c r="Q302" s="130">
        <f t="shared" si="83"/>
        <v>0</v>
      </c>
      <c r="R302" s="91"/>
      <c r="S302" s="132" t="str">
        <f t="shared" si="85"/>
        <v/>
      </c>
      <c r="T302" s="172">
        <f t="shared" si="84"/>
        <v>11</v>
      </c>
    </row>
    <row r="303" spans="1:20" ht="11.25" customHeight="1" x14ac:dyDescent="0.25">
      <c r="A303" s="26" t="s">
        <v>1201</v>
      </c>
      <c r="B303" s="26"/>
      <c r="C303" s="23"/>
      <c r="D303" s="23"/>
      <c r="E303" s="300" t="s">
        <v>297</v>
      </c>
      <c r="F303" s="301"/>
      <c r="G303" s="25">
        <f t="shared" ref="G303:K303" si="92">SUM(G304:G319)</f>
        <v>-53116619.75999999</v>
      </c>
      <c r="H303" s="25">
        <f t="shared" si="92"/>
        <v>-49278988.899999999</v>
      </c>
      <c r="I303" s="25">
        <f t="shared" si="92"/>
        <v>-76980844.465391278</v>
      </c>
      <c r="J303" s="25">
        <f t="shared" si="92"/>
        <v>0</v>
      </c>
      <c r="K303" s="153">
        <f t="shared" si="92"/>
        <v>-88321630</v>
      </c>
      <c r="N303" s="91">
        <f t="shared" si="80"/>
        <v>11340785.534608722</v>
      </c>
      <c r="O303" s="130">
        <f t="shared" si="81"/>
        <v>1.147319578180352</v>
      </c>
      <c r="P303" s="91">
        <f t="shared" si="82"/>
        <v>39042641.100000001</v>
      </c>
      <c r="Q303" s="130">
        <f t="shared" si="83"/>
        <v>1.7922776414757162</v>
      </c>
      <c r="R303" s="91"/>
      <c r="S303" s="132" t="str">
        <f t="shared" si="85"/>
        <v/>
      </c>
      <c r="T303" s="172">
        <f t="shared" si="84"/>
        <v>7</v>
      </c>
    </row>
    <row r="304" spans="1:20" ht="11.25" customHeight="1" x14ac:dyDescent="0.25">
      <c r="A304" s="42" t="s">
        <v>1202</v>
      </c>
      <c r="B304" s="28" t="s">
        <v>916</v>
      </c>
      <c r="C304" s="28" t="s">
        <v>923</v>
      </c>
      <c r="D304" s="28" t="s">
        <v>1660</v>
      </c>
      <c r="E304" s="290" t="s">
        <v>298</v>
      </c>
      <c r="F304" s="291"/>
      <c r="G304" s="11">
        <v>-1107335.27</v>
      </c>
      <c r="H304" s="11">
        <v>-1164135.1399999999</v>
      </c>
      <c r="I304" s="11">
        <v>-18900000</v>
      </c>
      <c r="J304" s="140">
        <v>0</v>
      </c>
      <c r="K304" s="158">
        <f>-700000-1000000-1500000-700000-2000000-100000-1400000-2560000</f>
        <v>-9960000</v>
      </c>
      <c r="N304" s="91">
        <f t="shared" si="80"/>
        <v>-8940000</v>
      </c>
      <c r="O304" s="130">
        <f t="shared" si="81"/>
        <v>0.526984126984127</v>
      </c>
      <c r="P304" s="91">
        <f t="shared" si="82"/>
        <v>8795864.8599999994</v>
      </c>
      <c r="Q304" s="130">
        <f t="shared" si="83"/>
        <v>8.5557077162020914</v>
      </c>
      <c r="R304" s="91"/>
      <c r="S304" s="132" t="str">
        <f t="shared" si="85"/>
        <v/>
      </c>
      <c r="T304" s="172">
        <f t="shared" si="84"/>
        <v>11</v>
      </c>
    </row>
    <row r="305" spans="1:20" ht="11.25" customHeight="1" x14ac:dyDescent="0.25">
      <c r="A305" s="42" t="s">
        <v>1203</v>
      </c>
      <c r="B305" s="28" t="s">
        <v>916</v>
      </c>
      <c r="C305" s="28" t="s">
        <v>923</v>
      </c>
      <c r="D305" s="28" t="s">
        <v>1248</v>
      </c>
      <c r="E305" s="290" t="s">
        <v>299</v>
      </c>
      <c r="F305" s="291"/>
      <c r="G305" s="11">
        <v>-315142</v>
      </c>
      <c r="H305" s="11">
        <v>-323739</v>
      </c>
      <c r="I305" s="11">
        <v>-1829999.99999999</v>
      </c>
      <c r="J305" s="140">
        <v>0</v>
      </c>
      <c r="K305" s="155">
        <v>-1830000</v>
      </c>
      <c r="L305" s="109" t="s">
        <v>1699</v>
      </c>
      <c r="M305" s="109"/>
      <c r="N305" s="91">
        <f t="shared" si="80"/>
        <v>1.0011717677116394E-8</v>
      </c>
      <c r="O305" s="130">
        <f t="shared" si="81"/>
        <v>1.0000000000000056</v>
      </c>
      <c r="P305" s="91">
        <f t="shared" si="82"/>
        <v>1506261</v>
      </c>
      <c r="Q305" s="130">
        <f t="shared" si="83"/>
        <v>5.6527017134172901</v>
      </c>
      <c r="R305" s="91"/>
      <c r="S305" s="132" t="str">
        <f t="shared" si="85"/>
        <v/>
      </c>
      <c r="T305" s="172">
        <f t="shared" si="84"/>
        <v>11</v>
      </c>
    </row>
    <row r="306" spans="1:20" ht="11.25" customHeight="1" x14ac:dyDescent="0.25">
      <c r="A306" s="42" t="s">
        <v>1204</v>
      </c>
      <c r="B306" s="27" t="s">
        <v>916</v>
      </c>
      <c r="C306" s="28" t="s">
        <v>923</v>
      </c>
      <c r="D306" s="28" t="s">
        <v>917</v>
      </c>
      <c r="E306" s="290" t="s">
        <v>300</v>
      </c>
      <c r="F306" s="291"/>
      <c r="G306" s="11">
        <v>-257925</v>
      </c>
      <c r="H306" s="11">
        <v>-732327.64</v>
      </c>
      <c r="I306" s="11">
        <v>-71999.999999975902</v>
      </c>
      <c r="J306" s="140">
        <v>0</v>
      </c>
      <c r="K306" s="161">
        <f>-76000-2370390-72000</f>
        <v>-2518390</v>
      </c>
      <c r="L306" s="111" t="s">
        <v>1704</v>
      </c>
      <c r="M306" s="111"/>
      <c r="N306" s="91">
        <f t="shared" si="80"/>
        <v>2446390.0000000242</v>
      </c>
      <c r="O306" s="130">
        <f t="shared" si="81"/>
        <v>34.977638888900593</v>
      </c>
      <c r="P306" s="91">
        <f t="shared" si="82"/>
        <v>1786062.3599999999</v>
      </c>
      <c r="Q306" s="130">
        <f t="shared" si="83"/>
        <v>3.4388842677029094</v>
      </c>
      <c r="R306" s="91"/>
      <c r="S306" s="132" t="str">
        <f t="shared" si="85"/>
        <v/>
      </c>
      <c r="T306" s="172">
        <f t="shared" si="84"/>
        <v>11</v>
      </c>
    </row>
    <row r="307" spans="1:20" ht="11.25" customHeight="1" x14ac:dyDescent="0.25">
      <c r="A307" s="42" t="s">
        <v>1205</v>
      </c>
      <c r="B307" s="28" t="s">
        <v>922</v>
      </c>
      <c r="C307" s="28" t="s">
        <v>923</v>
      </c>
      <c r="D307" s="28" t="s">
        <v>1659</v>
      </c>
      <c r="E307" s="290" t="s">
        <v>301</v>
      </c>
      <c r="F307" s="291"/>
      <c r="G307" s="11">
        <v>-450688.13</v>
      </c>
      <c r="H307" s="11">
        <v>-443528.7</v>
      </c>
      <c r="I307" s="11">
        <v>-664999.99999999197</v>
      </c>
      <c r="J307" s="140">
        <v>0</v>
      </c>
      <c r="K307" s="155">
        <f>-200000-300000</f>
        <v>-500000</v>
      </c>
      <c r="N307" s="91">
        <f t="shared" si="80"/>
        <v>-164999.99999999197</v>
      </c>
      <c r="O307" s="130">
        <f t="shared" si="81"/>
        <v>0.75187969924812936</v>
      </c>
      <c r="P307" s="91">
        <f t="shared" si="82"/>
        <v>56471.299999999988</v>
      </c>
      <c r="Q307" s="130">
        <f t="shared" si="83"/>
        <v>1.127322764006027</v>
      </c>
      <c r="R307" s="91"/>
      <c r="S307" s="132" t="str">
        <f t="shared" si="85"/>
        <v/>
      </c>
      <c r="T307" s="172">
        <f t="shared" si="84"/>
        <v>11</v>
      </c>
    </row>
    <row r="308" spans="1:20" ht="11.25" customHeight="1" x14ac:dyDescent="0.25">
      <c r="A308" s="42" t="s">
        <v>1206</v>
      </c>
      <c r="B308" s="27" t="s">
        <v>916</v>
      </c>
      <c r="C308" s="28" t="s">
        <v>920</v>
      </c>
      <c r="D308" s="28" t="s">
        <v>917</v>
      </c>
      <c r="E308" s="290" t="s">
        <v>302</v>
      </c>
      <c r="F308" s="291"/>
      <c r="G308" s="11">
        <v>-787238</v>
      </c>
      <c r="H308" s="11">
        <v>-788146</v>
      </c>
      <c r="I308" s="11">
        <v>-799999.99999999499</v>
      </c>
      <c r="J308" s="140">
        <v>0</v>
      </c>
      <c r="K308" s="155">
        <v>-800000</v>
      </c>
      <c r="N308" s="91">
        <f t="shared" si="80"/>
        <v>5.005858838558197E-9</v>
      </c>
      <c r="O308" s="130">
        <f t="shared" si="81"/>
        <v>1.0000000000000062</v>
      </c>
      <c r="P308" s="91">
        <f t="shared" si="82"/>
        <v>11854</v>
      </c>
      <c r="Q308" s="130">
        <f t="shared" si="83"/>
        <v>1.0150403605423362</v>
      </c>
      <c r="R308" s="91"/>
      <c r="S308" s="132" t="str">
        <f t="shared" si="85"/>
        <v/>
      </c>
      <c r="T308" s="172">
        <f t="shared" si="84"/>
        <v>11</v>
      </c>
    </row>
    <row r="309" spans="1:20" ht="11.25" customHeight="1" x14ac:dyDescent="0.25">
      <c r="A309" s="42" t="s">
        <v>1207</v>
      </c>
      <c r="B309" s="27" t="s">
        <v>916</v>
      </c>
      <c r="C309" s="28" t="s">
        <v>920</v>
      </c>
      <c r="D309" s="28" t="s">
        <v>917</v>
      </c>
      <c r="E309" s="290" t="s">
        <v>303</v>
      </c>
      <c r="F309" s="291"/>
      <c r="G309" s="11">
        <v>-4567571.8499999996</v>
      </c>
      <c r="H309" s="11">
        <v>-4032408.46</v>
      </c>
      <c r="I309" s="11">
        <v>-2465000</v>
      </c>
      <c r="J309" s="140">
        <v>0</v>
      </c>
      <c r="K309" s="158">
        <v>-4790000</v>
      </c>
      <c r="L309" s="108" t="s">
        <v>1731</v>
      </c>
      <c r="N309" s="91">
        <f t="shared" si="80"/>
        <v>2325000</v>
      </c>
      <c r="O309" s="130">
        <f t="shared" si="81"/>
        <v>1.9432048681541583</v>
      </c>
      <c r="P309" s="91">
        <f t="shared" si="82"/>
        <v>757591.54</v>
      </c>
      <c r="Q309" s="130">
        <f t="shared" si="83"/>
        <v>1.1878756945173159</v>
      </c>
      <c r="R309" s="91"/>
      <c r="S309" s="132" t="str">
        <f t="shared" si="85"/>
        <v/>
      </c>
      <c r="T309" s="172">
        <f t="shared" si="84"/>
        <v>11</v>
      </c>
    </row>
    <row r="310" spans="1:20" ht="11.25" customHeight="1" x14ac:dyDescent="0.25">
      <c r="A310" s="42" t="s">
        <v>1208</v>
      </c>
      <c r="B310" s="28" t="s">
        <v>1241</v>
      </c>
      <c r="C310" s="28" t="s">
        <v>920</v>
      </c>
      <c r="D310" s="28" t="s">
        <v>1251</v>
      </c>
      <c r="E310" s="290" t="s">
        <v>304</v>
      </c>
      <c r="F310" s="291"/>
      <c r="G310" s="11">
        <v>-491070.06</v>
      </c>
      <c r="H310" s="11">
        <v>-1564262.06</v>
      </c>
      <c r="I310" s="11">
        <v>-1759844.4653914999</v>
      </c>
      <c r="J310" s="140">
        <v>0</v>
      </c>
      <c r="K310" s="155">
        <v>-1948000</v>
      </c>
      <c r="L310" s="109" t="s">
        <v>1705</v>
      </c>
      <c r="M310" s="109"/>
      <c r="N310" s="91">
        <f t="shared" si="80"/>
        <v>188155.53460850008</v>
      </c>
      <c r="O310" s="130">
        <f t="shared" si="81"/>
        <v>1.1069160021289963</v>
      </c>
      <c r="P310" s="91">
        <f t="shared" si="82"/>
        <v>383737.93999999994</v>
      </c>
      <c r="Q310" s="130">
        <f t="shared" si="83"/>
        <v>1.2453156346450032</v>
      </c>
      <c r="R310" s="91"/>
      <c r="S310" s="132" t="str">
        <f t="shared" si="85"/>
        <v/>
      </c>
      <c r="T310" s="172">
        <f t="shared" si="84"/>
        <v>11</v>
      </c>
    </row>
    <row r="311" spans="1:20" ht="11.25" customHeight="1" x14ac:dyDescent="0.25">
      <c r="A311" s="42" t="s">
        <v>1209</v>
      </c>
      <c r="B311" s="20" t="s">
        <v>1654</v>
      </c>
      <c r="C311" s="20" t="s">
        <v>919</v>
      </c>
      <c r="D311" s="20" t="s">
        <v>1656</v>
      </c>
      <c r="E311" s="290" t="s">
        <v>305</v>
      </c>
      <c r="F311" s="291"/>
      <c r="G311" s="11">
        <v>-819305.52</v>
      </c>
      <c r="H311" s="11">
        <v>-195577.4</v>
      </c>
      <c r="I311" s="11">
        <v>0</v>
      </c>
      <c r="J311" s="140">
        <v>0</v>
      </c>
      <c r="K311" s="161">
        <f>-2000000+1500000</f>
        <v>-500000</v>
      </c>
      <c r="L311" s="109" t="s">
        <v>1711</v>
      </c>
      <c r="M311" s="109"/>
      <c r="N311" s="91">
        <f t="shared" si="80"/>
        <v>500000</v>
      </c>
      <c r="O311" s="130" t="str">
        <f t="shared" si="81"/>
        <v/>
      </c>
      <c r="P311" s="91">
        <f t="shared" si="82"/>
        <v>304422.59999999998</v>
      </c>
      <c r="Q311" s="130">
        <f t="shared" si="83"/>
        <v>2.5565326055055442</v>
      </c>
      <c r="R311" s="91"/>
      <c r="S311" s="132" t="str">
        <f t="shared" si="85"/>
        <v/>
      </c>
      <c r="T311" s="172">
        <f t="shared" si="84"/>
        <v>11</v>
      </c>
    </row>
    <row r="312" spans="1:20" ht="11.25" customHeight="1" x14ac:dyDescent="0.25">
      <c r="A312" s="42" t="s">
        <v>1210</v>
      </c>
      <c r="B312" s="20" t="s">
        <v>1654</v>
      </c>
      <c r="C312" s="20" t="s">
        <v>919</v>
      </c>
      <c r="D312" s="20" t="s">
        <v>1661</v>
      </c>
      <c r="E312" s="290" t="s">
        <v>306</v>
      </c>
      <c r="F312" s="291"/>
      <c r="G312" s="11">
        <v>-39504490.229999997</v>
      </c>
      <c r="H312" s="11">
        <v>-33494159.239999998</v>
      </c>
      <c r="I312" s="11">
        <v>-44565999.999999903</v>
      </c>
      <c r="J312" s="140">
        <v>0</v>
      </c>
      <c r="K312" s="155">
        <f>-54725240-1200000-729000+750000-2000000</f>
        <v>-57904240</v>
      </c>
      <c r="N312" s="91">
        <f t="shared" si="80"/>
        <v>13338240.000000097</v>
      </c>
      <c r="O312" s="130">
        <f t="shared" si="81"/>
        <v>1.2992918368262829</v>
      </c>
      <c r="P312" s="91">
        <f t="shared" si="82"/>
        <v>24410080.760000002</v>
      </c>
      <c r="Q312" s="130">
        <f t="shared" si="83"/>
        <v>1.7287861917981375</v>
      </c>
      <c r="R312" s="91"/>
      <c r="S312" s="132" t="str">
        <f t="shared" si="85"/>
        <v/>
      </c>
      <c r="T312" s="172">
        <f t="shared" si="84"/>
        <v>11</v>
      </c>
    </row>
    <row r="313" spans="1:20" ht="11.25" customHeight="1" x14ac:dyDescent="0.25">
      <c r="A313" s="42" t="s">
        <v>1211</v>
      </c>
      <c r="B313" s="28" t="s">
        <v>1241</v>
      </c>
      <c r="C313" s="28" t="s">
        <v>920</v>
      </c>
      <c r="D313" s="28" t="s">
        <v>1251</v>
      </c>
      <c r="E313" s="290" t="s">
        <v>307</v>
      </c>
      <c r="F313" s="291"/>
      <c r="G313" s="11">
        <v>-862223.17</v>
      </c>
      <c r="H313" s="11">
        <v>-1036340.97</v>
      </c>
      <c r="I313" s="11">
        <v>-1329999.9999999099</v>
      </c>
      <c r="J313" s="140">
        <v>0</v>
      </c>
      <c r="K313" s="155">
        <v>-1615000</v>
      </c>
      <c r="N313" s="91">
        <f t="shared" si="80"/>
        <v>285000.00000009011</v>
      </c>
      <c r="O313" s="130">
        <f t="shared" si="81"/>
        <v>1.2142857142857966</v>
      </c>
      <c r="P313" s="91">
        <f t="shared" si="82"/>
        <v>578659.03</v>
      </c>
      <c r="Q313" s="130">
        <f t="shared" si="83"/>
        <v>1.5583674164691184</v>
      </c>
      <c r="R313" s="91"/>
      <c r="S313" s="132" t="str">
        <f t="shared" si="85"/>
        <v/>
      </c>
      <c r="T313" s="172">
        <f t="shared" si="84"/>
        <v>11</v>
      </c>
    </row>
    <row r="314" spans="1:20" ht="11.25" customHeight="1" x14ac:dyDescent="0.25">
      <c r="A314" s="42" t="s">
        <v>1212</v>
      </c>
      <c r="B314" s="27" t="s">
        <v>916</v>
      </c>
      <c r="C314" s="28" t="s">
        <v>923</v>
      </c>
      <c r="D314" s="28" t="s">
        <v>917</v>
      </c>
      <c r="E314" s="290" t="s">
        <v>308</v>
      </c>
      <c r="F314" s="291"/>
      <c r="G314" s="11">
        <v>-231352</v>
      </c>
      <c r="H314" s="11">
        <v>-380303</v>
      </c>
      <c r="I314" s="11">
        <v>-392999.999999994</v>
      </c>
      <c r="J314" s="140">
        <v>0</v>
      </c>
      <c r="K314" s="155">
        <v>-400000</v>
      </c>
      <c r="N314" s="91">
        <f t="shared" si="80"/>
        <v>7000.0000000059954</v>
      </c>
      <c r="O314" s="130">
        <f t="shared" si="81"/>
        <v>1.0178117048346211</v>
      </c>
      <c r="P314" s="91">
        <f t="shared" si="82"/>
        <v>19697</v>
      </c>
      <c r="Q314" s="130">
        <f t="shared" si="83"/>
        <v>1.0517929124934591</v>
      </c>
      <c r="R314" s="91"/>
      <c r="S314" s="132" t="str">
        <f t="shared" si="85"/>
        <v/>
      </c>
      <c r="T314" s="172">
        <f t="shared" si="84"/>
        <v>11</v>
      </c>
    </row>
    <row r="315" spans="1:20" ht="11.25" customHeight="1" x14ac:dyDescent="0.25">
      <c r="A315" s="42" t="s">
        <v>1213</v>
      </c>
      <c r="B315" s="28" t="s">
        <v>922</v>
      </c>
      <c r="C315" s="28" t="s">
        <v>923</v>
      </c>
      <c r="D315" s="28" t="s">
        <v>1249</v>
      </c>
      <c r="E315" s="290" t="s">
        <v>309</v>
      </c>
      <c r="F315" s="291"/>
      <c r="G315" s="11">
        <v>-1876376.79</v>
      </c>
      <c r="H315" s="11">
        <v>-2206996.65</v>
      </c>
      <c r="I315" s="11">
        <v>-1500000</v>
      </c>
      <c r="J315" s="140">
        <v>0</v>
      </c>
      <c r="K315" s="155">
        <f>-2131000+100000</f>
        <v>-2031000</v>
      </c>
      <c r="N315" s="91">
        <f t="shared" si="80"/>
        <v>531000</v>
      </c>
      <c r="O315" s="130">
        <f t="shared" si="81"/>
        <v>1.3540000000000001</v>
      </c>
      <c r="P315" s="91">
        <f t="shared" si="82"/>
        <v>-175996.64999999991</v>
      </c>
      <c r="Q315" s="130">
        <f t="shared" si="83"/>
        <v>0.92025513495908573</v>
      </c>
      <c r="R315" s="91"/>
      <c r="S315" s="132" t="str">
        <f t="shared" si="85"/>
        <v/>
      </c>
      <c r="T315" s="172">
        <f t="shared" si="84"/>
        <v>11</v>
      </c>
    </row>
    <row r="316" spans="1:20" ht="11.25" customHeight="1" x14ac:dyDescent="0.25">
      <c r="A316" s="42" t="s">
        <v>1214</v>
      </c>
      <c r="B316" s="20" t="s">
        <v>1243</v>
      </c>
      <c r="C316" s="20" t="s">
        <v>920</v>
      </c>
      <c r="D316" s="20" t="s">
        <v>1245</v>
      </c>
      <c r="E316" s="290" t="s">
        <v>310</v>
      </c>
      <c r="F316" s="291"/>
      <c r="G316" s="11">
        <v>-750558.4</v>
      </c>
      <c r="H316" s="11">
        <v>-1098941.96</v>
      </c>
      <c r="I316" s="11">
        <v>-999999.99999999604</v>
      </c>
      <c r="J316" s="140">
        <v>0</v>
      </c>
      <c r="K316" s="155">
        <f>-2000000+500000</f>
        <v>-1500000</v>
      </c>
      <c r="L316" s="202" t="s">
        <v>1752</v>
      </c>
      <c r="M316" s="202"/>
      <c r="N316" s="91">
        <f t="shared" si="80"/>
        <v>500000.00000000396</v>
      </c>
      <c r="O316" s="130">
        <f t="shared" si="81"/>
        <v>1.500000000000006</v>
      </c>
      <c r="P316" s="91">
        <f t="shared" si="82"/>
        <v>401058.04000000004</v>
      </c>
      <c r="Q316" s="130">
        <f t="shared" si="83"/>
        <v>1.3649492462732062</v>
      </c>
      <c r="R316" s="91"/>
      <c r="S316" s="132" t="str">
        <f t="shared" si="85"/>
        <v/>
      </c>
      <c r="T316" s="172">
        <f t="shared" si="84"/>
        <v>11</v>
      </c>
    </row>
    <row r="317" spans="1:20" ht="11.25" customHeight="1" x14ac:dyDescent="0.25">
      <c r="A317" s="42" t="s">
        <v>1215</v>
      </c>
      <c r="B317" s="27" t="s">
        <v>922</v>
      </c>
      <c r="C317" s="28" t="s">
        <v>920</v>
      </c>
      <c r="D317" s="28" t="s">
        <v>1249</v>
      </c>
      <c r="E317" s="290" t="s">
        <v>311</v>
      </c>
      <c r="F317" s="291"/>
      <c r="G317" s="11">
        <v>-921882.94</v>
      </c>
      <c r="H317" s="11">
        <v>-1623854.33</v>
      </c>
      <c r="I317" s="11">
        <v>-1500000</v>
      </c>
      <c r="J317" s="140">
        <v>0</v>
      </c>
      <c r="K317" s="155">
        <f>-1800000+150000-200000</f>
        <v>-1850000</v>
      </c>
      <c r="N317" s="91">
        <f t="shared" si="80"/>
        <v>350000</v>
      </c>
      <c r="O317" s="130">
        <f t="shared" si="81"/>
        <v>1.2333333333333334</v>
      </c>
      <c r="P317" s="91">
        <f t="shared" si="82"/>
        <v>226145.66999999993</v>
      </c>
      <c r="Q317" s="130">
        <f t="shared" si="83"/>
        <v>1.1392647516603289</v>
      </c>
      <c r="R317" s="91"/>
      <c r="S317" s="132" t="str">
        <f t="shared" si="85"/>
        <v/>
      </c>
      <c r="T317" s="172">
        <f t="shared" si="84"/>
        <v>11</v>
      </c>
    </row>
    <row r="318" spans="1:20" ht="11.25" customHeight="1" x14ac:dyDescent="0.25">
      <c r="A318" s="42" t="s">
        <v>1216</v>
      </c>
      <c r="B318" s="27" t="s">
        <v>916</v>
      </c>
      <c r="C318" s="28" t="s">
        <v>923</v>
      </c>
      <c r="D318" s="28" t="s">
        <v>917</v>
      </c>
      <c r="E318" s="290" t="s">
        <v>1686</v>
      </c>
      <c r="F318" s="291"/>
      <c r="G318" s="11">
        <v>-173460.4</v>
      </c>
      <c r="H318" s="11">
        <v>-194268.35</v>
      </c>
      <c r="I318" s="11">
        <v>-199999.99999999299</v>
      </c>
      <c r="J318" s="140">
        <v>0</v>
      </c>
      <c r="K318" s="155">
        <v>-175000</v>
      </c>
      <c r="N318" s="91">
        <f t="shared" si="80"/>
        <v>-24999.999999992986</v>
      </c>
      <c r="O318" s="130">
        <f t="shared" si="81"/>
        <v>0.87500000000003064</v>
      </c>
      <c r="P318" s="91">
        <f t="shared" si="82"/>
        <v>-19268.350000000006</v>
      </c>
      <c r="Q318" s="130">
        <f t="shared" si="83"/>
        <v>0.90081580453017696</v>
      </c>
      <c r="R318" s="91"/>
      <c r="S318" s="132" t="str">
        <f t="shared" si="85"/>
        <v/>
      </c>
      <c r="T318" s="172">
        <f t="shared" si="84"/>
        <v>11</v>
      </c>
    </row>
    <row r="319" spans="1:20" ht="11.25" customHeight="1" x14ac:dyDescent="0.25">
      <c r="A319" s="42" t="s">
        <v>1217</v>
      </c>
      <c r="B319" s="14"/>
      <c r="C319" s="13"/>
      <c r="D319" s="13"/>
      <c r="E319" s="290" t="s">
        <v>312</v>
      </c>
      <c r="F319" s="291"/>
      <c r="G319" s="11">
        <v>0</v>
      </c>
      <c r="H319" s="11">
        <v>-9.0949470177292804E-13</v>
      </c>
      <c r="I319" s="11">
        <v>0</v>
      </c>
      <c r="J319" s="140">
        <v>0</v>
      </c>
      <c r="K319" s="154"/>
      <c r="N319" s="91">
        <f t="shared" si="80"/>
        <v>0</v>
      </c>
      <c r="O319" s="130" t="str">
        <f t="shared" si="81"/>
        <v/>
      </c>
      <c r="P319" s="91">
        <f t="shared" si="82"/>
        <v>-9.0949470177292804E-13</v>
      </c>
      <c r="Q319" s="130">
        <f t="shared" si="83"/>
        <v>0</v>
      </c>
      <c r="R319" s="91"/>
      <c r="S319" s="132" t="str">
        <f t="shared" si="85"/>
        <v/>
      </c>
      <c r="T319" s="172">
        <f t="shared" si="84"/>
        <v>11</v>
      </c>
    </row>
    <row r="320" spans="1:20" ht="11.25" customHeight="1" x14ac:dyDescent="0.25">
      <c r="A320" s="26" t="s">
        <v>1218</v>
      </c>
      <c r="B320" s="26"/>
      <c r="C320" s="23"/>
      <c r="D320" s="23"/>
      <c r="E320" s="300" t="s">
        <v>313</v>
      </c>
      <c r="F320" s="301"/>
      <c r="G320" s="25">
        <f t="shared" ref="G320:K320" si="93">SUM(G321:G322)</f>
        <v>-153928.70000000001</v>
      </c>
      <c r="H320" s="25">
        <f t="shared" si="93"/>
        <v>-71987.5</v>
      </c>
      <c r="I320" s="25">
        <f t="shared" si="93"/>
        <v>-499999.99999999203</v>
      </c>
      <c r="J320" s="25">
        <f t="shared" si="93"/>
        <v>0</v>
      </c>
      <c r="K320" s="153">
        <f t="shared" si="93"/>
        <v>-500000</v>
      </c>
      <c r="N320" s="91">
        <f t="shared" si="80"/>
        <v>7.9744495451450348E-9</v>
      </c>
      <c r="O320" s="130">
        <f t="shared" si="81"/>
        <v>1.000000000000016</v>
      </c>
      <c r="P320" s="91">
        <f t="shared" si="82"/>
        <v>428012.5</v>
      </c>
      <c r="Q320" s="130">
        <f t="shared" si="83"/>
        <v>6.9456502865080747</v>
      </c>
      <c r="R320" s="91"/>
      <c r="S320" s="132" t="str">
        <f t="shared" si="85"/>
        <v/>
      </c>
      <c r="T320" s="172">
        <f t="shared" si="84"/>
        <v>7</v>
      </c>
    </row>
    <row r="321" spans="1:20" ht="11.25" customHeight="1" x14ac:dyDescent="0.25">
      <c r="A321" s="42" t="s">
        <v>1219</v>
      </c>
      <c r="B321" s="27" t="s">
        <v>916</v>
      </c>
      <c r="C321" s="28" t="s">
        <v>920</v>
      </c>
      <c r="D321" s="28" t="s">
        <v>917</v>
      </c>
      <c r="E321" s="290" t="s">
        <v>314</v>
      </c>
      <c r="F321" s="291"/>
      <c r="G321" s="11">
        <v>-141228.70000000001</v>
      </c>
      <c r="H321" s="11">
        <v>-56987.5</v>
      </c>
      <c r="I321" s="11">
        <v>-499999.99999999203</v>
      </c>
      <c r="J321" s="140">
        <v>0</v>
      </c>
      <c r="K321" s="155">
        <v>-500000</v>
      </c>
      <c r="N321" s="91">
        <f t="shared" si="80"/>
        <v>7.9744495451450348E-9</v>
      </c>
      <c r="O321" s="130">
        <f t="shared" si="81"/>
        <v>1.000000000000016</v>
      </c>
      <c r="P321" s="91">
        <f t="shared" si="82"/>
        <v>443012.5</v>
      </c>
      <c r="Q321" s="130">
        <f t="shared" si="83"/>
        <v>8.7738539153323103</v>
      </c>
      <c r="R321" s="91"/>
      <c r="S321" s="132" t="str">
        <f t="shared" si="85"/>
        <v/>
      </c>
      <c r="T321" s="172">
        <f t="shared" si="84"/>
        <v>11</v>
      </c>
    </row>
    <row r="322" spans="1:20" ht="11.25" customHeight="1" x14ac:dyDescent="0.25">
      <c r="A322" s="42" t="s">
        <v>1220</v>
      </c>
      <c r="B322" s="27"/>
      <c r="C322" s="28"/>
      <c r="D322" s="28"/>
      <c r="E322" s="290" t="s">
        <v>315</v>
      </c>
      <c r="F322" s="291"/>
      <c r="G322" s="11">
        <v>-12700</v>
      </c>
      <c r="H322" s="11">
        <v>-15000</v>
      </c>
      <c r="I322" s="11">
        <v>0</v>
      </c>
      <c r="J322" s="140">
        <v>0</v>
      </c>
      <c r="K322" s="155">
        <v>0</v>
      </c>
      <c r="N322" s="91">
        <f t="shared" si="80"/>
        <v>0</v>
      </c>
      <c r="O322" s="130" t="str">
        <f t="shared" si="81"/>
        <v/>
      </c>
      <c r="P322" s="91">
        <f t="shared" si="82"/>
        <v>-15000</v>
      </c>
      <c r="Q322" s="130">
        <f t="shared" si="83"/>
        <v>0</v>
      </c>
      <c r="R322" s="91"/>
      <c r="S322" s="132" t="str">
        <f t="shared" si="85"/>
        <v/>
      </c>
      <c r="T322" s="172">
        <f t="shared" si="84"/>
        <v>11</v>
      </c>
    </row>
    <row r="323" spans="1:20" ht="11.25" customHeight="1" x14ac:dyDescent="0.25">
      <c r="A323" s="26" t="s">
        <v>1221</v>
      </c>
      <c r="B323" s="31"/>
      <c r="C323" s="32"/>
      <c r="D323" s="32"/>
      <c r="E323" s="300" t="s">
        <v>316</v>
      </c>
      <c r="F323" s="301"/>
      <c r="G323" s="25">
        <f t="shared" ref="G323:K323" si="94">SUM(G324:G328)</f>
        <v>-58793.79</v>
      </c>
      <c r="H323" s="25">
        <f t="shared" si="94"/>
        <v>-37323.39</v>
      </c>
      <c r="I323" s="25">
        <f t="shared" si="94"/>
        <v>0</v>
      </c>
      <c r="J323" s="139">
        <f t="shared" si="94"/>
        <v>0</v>
      </c>
      <c r="K323" s="153">
        <f t="shared" si="94"/>
        <v>0</v>
      </c>
      <c r="N323" s="91">
        <f t="shared" si="80"/>
        <v>0</v>
      </c>
      <c r="O323" s="130" t="str">
        <f t="shared" si="81"/>
        <v/>
      </c>
      <c r="P323" s="91">
        <f t="shared" si="82"/>
        <v>-37323.39</v>
      </c>
      <c r="Q323" s="130">
        <f t="shared" si="83"/>
        <v>0</v>
      </c>
      <c r="R323" s="91"/>
      <c r="S323" s="132" t="str">
        <f t="shared" si="85"/>
        <v/>
      </c>
      <c r="T323" s="172">
        <f t="shared" si="84"/>
        <v>7</v>
      </c>
    </row>
    <row r="324" spans="1:20" ht="11.25" customHeight="1" x14ac:dyDescent="0.25">
      <c r="A324" s="42" t="s">
        <v>1222</v>
      </c>
      <c r="B324" s="14"/>
      <c r="C324" s="13"/>
      <c r="D324" s="13"/>
      <c r="E324" s="302" t="s">
        <v>317</v>
      </c>
      <c r="F324" s="303"/>
      <c r="G324" s="11">
        <v>-3193.21</v>
      </c>
      <c r="H324" s="11">
        <v>-3498.2</v>
      </c>
      <c r="I324" s="11">
        <v>0</v>
      </c>
      <c r="J324" s="140">
        <v>0</v>
      </c>
      <c r="K324" s="154"/>
      <c r="N324" s="91">
        <f t="shared" si="80"/>
        <v>0</v>
      </c>
      <c r="O324" s="130" t="str">
        <f t="shared" si="81"/>
        <v/>
      </c>
      <c r="P324" s="91">
        <f t="shared" si="82"/>
        <v>-3498.2</v>
      </c>
      <c r="Q324" s="130">
        <f t="shared" si="83"/>
        <v>0</v>
      </c>
      <c r="R324" s="91"/>
      <c r="S324" s="132" t="str">
        <f t="shared" si="85"/>
        <v/>
      </c>
      <c r="T324" s="172">
        <f t="shared" si="84"/>
        <v>11</v>
      </c>
    </row>
    <row r="325" spans="1:20" ht="11.25" customHeight="1" x14ac:dyDescent="0.25">
      <c r="A325" s="42" t="s">
        <v>1223</v>
      </c>
      <c r="B325" s="14"/>
      <c r="C325" s="13"/>
      <c r="D325" s="13"/>
      <c r="E325" s="290" t="s">
        <v>318</v>
      </c>
      <c r="F325" s="291"/>
      <c r="G325" s="11">
        <v>-2040.79</v>
      </c>
      <c r="H325" s="11">
        <v>-3476.99</v>
      </c>
      <c r="I325" s="11">
        <v>0</v>
      </c>
      <c r="J325" s="140">
        <v>0</v>
      </c>
      <c r="K325" s="154"/>
      <c r="N325" s="91">
        <f t="shared" si="80"/>
        <v>0</v>
      </c>
      <c r="O325" s="130" t="str">
        <f t="shared" si="81"/>
        <v/>
      </c>
      <c r="P325" s="91">
        <f t="shared" si="82"/>
        <v>-3476.99</v>
      </c>
      <c r="Q325" s="130">
        <f t="shared" si="83"/>
        <v>0</v>
      </c>
      <c r="R325" s="91"/>
      <c r="S325" s="132" t="str">
        <f t="shared" si="85"/>
        <v/>
      </c>
      <c r="T325" s="172">
        <f t="shared" si="84"/>
        <v>11</v>
      </c>
    </row>
    <row r="326" spans="1:20" ht="11.25" customHeight="1" x14ac:dyDescent="0.25">
      <c r="A326" s="42" t="s">
        <v>1224</v>
      </c>
      <c r="B326" s="14"/>
      <c r="C326" s="13"/>
      <c r="D326" s="13"/>
      <c r="E326" s="290" t="s">
        <v>319</v>
      </c>
      <c r="F326" s="291"/>
      <c r="G326" s="11">
        <v>-42820.23</v>
      </c>
      <c r="H326" s="11">
        <v>-23594.41</v>
      </c>
      <c r="I326" s="11">
        <v>0</v>
      </c>
      <c r="J326" s="140">
        <v>0</v>
      </c>
      <c r="K326" s="154"/>
      <c r="N326" s="91">
        <f t="shared" si="80"/>
        <v>0</v>
      </c>
      <c r="O326" s="130" t="str">
        <f t="shared" si="81"/>
        <v/>
      </c>
      <c r="P326" s="91">
        <f t="shared" si="82"/>
        <v>-23594.41</v>
      </c>
      <c r="Q326" s="130">
        <f t="shared" si="83"/>
        <v>0</v>
      </c>
      <c r="R326" s="91"/>
      <c r="S326" s="132" t="str">
        <f t="shared" si="85"/>
        <v/>
      </c>
      <c r="T326" s="172">
        <f t="shared" si="84"/>
        <v>11</v>
      </c>
    </row>
    <row r="327" spans="1:20" ht="11.25" customHeight="1" x14ac:dyDescent="0.25">
      <c r="A327" s="42" t="s">
        <v>1225</v>
      </c>
      <c r="B327" s="14"/>
      <c r="C327" s="13"/>
      <c r="D327" s="13"/>
      <c r="E327" s="290" t="s">
        <v>320</v>
      </c>
      <c r="F327" s="291"/>
      <c r="G327" s="11">
        <v>-6980.64</v>
      </c>
      <c r="H327" s="11">
        <v>-5890.1</v>
      </c>
      <c r="I327" s="11">
        <v>0</v>
      </c>
      <c r="J327" s="140">
        <v>0</v>
      </c>
      <c r="K327" s="154"/>
      <c r="N327" s="91">
        <f t="shared" si="80"/>
        <v>0</v>
      </c>
      <c r="O327" s="130" t="str">
        <f t="shared" si="81"/>
        <v/>
      </c>
      <c r="P327" s="91">
        <f t="shared" si="82"/>
        <v>-5890.1</v>
      </c>
      <c r="Q327" s="130">
        <f t="shared" si="83"/>
        <v>0</v>
      </c>
      <c r="R327" s="91"/>
      <c r="S327" s="132" t="str">
        <f t="shared" si="85"/>
        <v/>
      </c>
      <c r="T327" s="172">
        <f t="shared" si="84"/>
        <v>11</v>
      </c>
    </row>
    <row r="328" spans="1:20" ht="11.25" customHeight="1" x14ac:dyDescent="0.25">
      <c r="A328" s="42" t="s">
        <v>1226</v>
      </c>
      <c r="B328" s="14"/>
      <c r="C328" s="13"/>
      <c r="D328" s="13"/>
      <c r="E328" s="290" t="s">
        <v>321</v>
      </c>
      <c r="F328" s="291"/>
      <c r="G328" s="11">
        <v>-3758.92</v>
      </c>
      <c r="H328" s="11">
        <v>-863.69</v>
      </c>
      <c r="I328" s="11">
        <v>0</v>
      </c>
      <c r="J328" s="140">
        <v>0</v>
      </c>
      <c r="K328" s="154"/>
      <c r="N328" s="91">
        <f t="shared" si="80"/>
        <v>0</v>
      </c>
      <c r="O328" s="130" t="str">
        <f t="shared" si="81"/>
        <v/>
      </c>
      <c r="P328" s="91">
        <f t="shared" si="82"/>
        <v>-863.69</v>
      </c>
      <c r="Q328" s="130">
        <f t="shared" si="83"/>
        <v>0</v>
      </c>
      <c r="R328" s="91"/>
      <c r="S328" s="132" t="str">
        <f t="shared" si="85"/>
        <v/>
      </c>
      <c r="T328" s="172">
        <f t="shared" si="84"/>
        <v>11</v>
      </c>
    </row>
    <row r="329" spans="1:20" ht="11.25" customHeight="1" x14ac:dyDescent="0.25">
      <c r="A329" s="41" t="s">
        <v>322</v>
      </c>
      <c r="B329" s="41"/>
      <c r="C329" s="40"/>
      <c r="D329" s="40"/>
      <c r="E329" s="298" t="s">
        <v>323</v>
      </c>
      <c r="F329" s="299"/>
      <c r="G329" s="43">
        <f t="shared" ref="G329:K329" si="95">G330+G356+G357+G358+G372+G376+G377+G384</f>
        <v>-2579569530.6000004</v>
      </c>
      <c r="H329" s="43">
        <f t="shared" si="95"/>
        <v>-2922902513.5</v>
      </c>
      <c r="I329" s="43">
        <f t="shared" si="95"/>
        <v>-3200975876.67694</v>
      </c>
      <c r="J329" s="43">
        <f t="shared" si="95"/>
        <v>-3262532953.5656986</v>
      </c>
      <c r="K329" s="151">
        <f t="shared" si="95"/>
        <v>-3441235992.7847033</v>
      </c>
      <c r="L329" s="108">
        <f>+K329-J329</f>
        <v>-178703039.21900463</v>
      </c>
      <c r="N329" s="91">
        <f t="shared" si="80"/>
        <v>240260116.10776329</v>
      </c>
      <c r="O329" s="130">
        <f t="shared" si="81"/>
        <v>1.0750583963654192</v>
      </c>
      <c r="P329" s="91">
        <f t="shared" si="82"/>
        <v>518333479.28470325</v>
      </c>
      <c r="Q329" s="130">
        <f t="shared" si="83"/>
        <v>1.1773351922928248</v>
      </c>
      <c r="R329" s="91">
        <f t="shared" ref="R329:R330" si="96">-K329+J329</f>
        <v>178703039.21900463</v>
      </c>
      <c r="S329" s="132">
        <f t="shared" si="85"/>
        <v>1.0547743246619765</v>
      </c>
      <c r="T329" s="172">
        <f t="shared" si="84"/>
        <v>3</v>
      </c>
    </row>
    <row r="330" spans="1:20" ht="11.25" customHeight="1" x14ac:dyDescent="0.25">
      <c r="A330" s="38" t="s">
        <v>324</v>
      </c>
      <c r="B330" s="38"/>
      <c r="C330" s="22"/>
      <c r="D330" s="22"/>
      <c r="E330" s="296" t="s">
        <v>325</v>
      </c>
      <c r="F330" s="297"/>
      <c r="G330" s="37">
        <f>G331+G333+G335+G337+G339+G341+G343+G345+G347+G349+G351</f>
        <v>-1899259935.8399999</v>
      </c>
      <c r="H330" s="37">
        <f>H331+H333+H335+H337+H339+H341+H343+H345+H347+H349+H351</f>
        <v>-2151128029.52</v>
      </c>
      <c r="I330" s="37">
        <f>I331+I333+I335+I337+I339+I341+I343+I345+I347+I349+I351</f>
        <v>-2356092810.0009398</v>
      </c>
      <c r="J330" s="37">
        <f>J331+J333+J335+J337+J339+J341+J343+J345+J347+J349+J351</f>
        <v>-2399016723.8812003</v>
      </c>
      <c r="K330" s="152">
        <f t="shared" ref="K330" si="97">K331+K333+K335+K337+K339+K341+K343+K345+K347+K349+K351</f>
        <v>-2532879589.599</v>
      </c>
      <c r="L330" s="108">
        <f>+K329-I329</f>
        <v>-240260116.10776329</v>
      </c>
      <c r="N330" s="190">
        <f t="shared" si="80"/>
        <v>176786779.59806013</v>
      </c>
      <c r="O330" s="191">
        <f t="shared" si="81"/>
        <v>1.0750338776331947</v>
      </c>
      <c r="P330" s="190">
        <f t="shared" si="82"/>
        <v>381751560.079</v>
      </c>
      <c r="Q330" s="191">
        <f t="shared" si="83"/>
        <v>1.1774657551016077</v>
      </c>
      <c r="R330" s="190">
        <f t="shared" si="96"/>
        <v>133862865.71779966</v>
      </c>
      <c r="S330" s="192">
        <f t="shared" si="85"/>
        <v>1.0557990548316114</v>
      </c>
      <c r="T330" s="172">
        <f t="shared" si="84"/>
        <v>4</v>
      </c>
    </row>
    <row r="331" spans="1:20" ht="11.25" customHeight="1" x14ac:dyDescent="0.25">
      <c r="A331" s="26" t="s">
        <v>1227</v>
      </c>
      <c r="B331" s="26"/>
      <c r="C331" s="23"/>
      <c r="D331" s="23"/>
      <c r="E331" s="300" t="s">
        <v>326</v>
      </c>
      <c r="F331" s="301"/>
      <c r="G331" s="25">
        <f t="shared" ref="G331:K331" si="98">SUM(G332)</f>
        <v>1356420.46</v>
      </c>
      <c r="H331" s="25">
        <f t="shared" si="98"/>
        <v>1474845.23</v>
      </c>
      <c r="I331" s="25">
        <f t="shared" si="98"/>
        <v>0</v>
      </c>
      <c r="J331" s="139">
        <f t="shared" si="98"/>
        <v>0</v>
      </c>
      <c r="K331" s="153">
        <f t="shared" si="98"/>
        <v>0</v>
      </c>
      <c r="N331" s="91">
        <f t="shared" ref="N331:N394" si="99">-K331+I331</f>
        <v>0</v>
      </c>
      <c r="O331" s="130" t="str">
        <f t="shared" ref="O331:O394" si="100">IF(I331=0,"",K331/I331)</f>
        <v/>
      </c>
      <c r="P331" s="91">
        <f t="shared" ref="P331:P394" si="101">-K331+H331</f>
        <v>1474845.23</v>
      </c>
      <c r="Q331" s="130">
        <f t="shared" ref="Q331:Q394" si="102">IF(H331=0,"",K331/H331)</f>
        <v>0</v>
      </c>
      <c r="R331" s="91"/>
      <c r="S331" s="132" t="str">
        <f t="shared" si="85"/>
        <v/>
      </c>
      <c r="T331" s="172">
        <f t="shared" si="84"/>
        <v>7</v>
      </c>
    </row>
    <row r="332" spans="1:20" ht="11.25" customHeight="1" x14ac:dyDescent="0.25">
      <c r="A332" s="42" t="s">
        <v>1228</v>
      </c>
      <c r="B332" s="14"/>
      <c r="C332" s="13"/>
      <c r="D332" s="13"/>
      <c r="E332" s="290" t="s">
        <v>327</v>
      </c>
      <c r="F332" s="291"/>
      <c r="G332" s="11">
        <v>1356420.46</v>
      </c>
      <c r="H332" s="11">
        <v>1474845.23</v>
      </c>
      <c r="I332" s="11">
        <v>0</v>
      </c>
      <c r="J332" s="140">
        <v>0</v>
      </c>
      <c r="K332" s="154"/>
      <c r="N332" s="91">
        <f t="shared" si="99"/>
        <v>0</v>
      </c>
      <c r="O332" s="130" t="str">
        <f t="shared" si="100"/>
        <v/>
      </c>
      <c r="P332" s="91">
        <f t="shared" si="101"/>
        <v>1474845.23</v>
      </c>
      <c r="Q332" s="130">
        <f t="shared" si="102"/>
        <v>0</v>
      </c>
      <c r="R332" s="91"/>
      <c r="S332" s="132" t="str">
        <f t="shared" si="85"/>
        <v/>
      </c>
      <c r="T332" s="172">
        <f t="shared" si="84"/>
        <v>11</v>
      </c>
    </row>
    <row r="333" spans="1:20" ht="11.25" customHeight="1" x14ac:dyDescent="0.25">
      <c r="A333" s="26" t="s">
        <v>1229</v>
      </c>
      <c r="B333" s="24"/>
      <c r="C333" s="23"/>
      <c r="D333" s="23"/>
      <c r="E333" s="300" t="s">
        <v>328</v>
      </c>
      <c r="F333" s="301"/>
      <c r="G333" s="25">
        <f t="shared" ref="G333:K333" si="103">SUM(G334)</f>
        <v>-1870912351</v>
      </c>
      <c r="H333" s="25">
        <f t="shared" si="103"/>
        <v>-2117619457.5999999</v>
      </c>
      <c r="I333" s="25">
        <f t="shared" si="103"/>
        <v>-2320703350.0009398</v>
      </c>
      <c r="J333" s="139">
        <f t="shared" si="103"/>
        <v>-2357948463.9796</v>
      </c>
      <c r="K333" s="153">
        <f t="shared" si="103"/>
        <v>-2493773864.599</v>
      </c>
      <c r="N333" s="91">
        <f t="shared" si="99"/>
        <v>173070514.59806013</v>
      </c>
      <c r="O333" s="130">
        <f t="shared" si="100"/>
        <v>1.0745767504485182</v>
      </c>
      <c r="P333" s="91">
        <f t="shared" si="101"/>
        <v>376154406.99900007</v>
      </c>
      <c r="Q333" s="130">
        <f t="shared" si="102"/>
        <v>1.1776307851956149</v>
      </c>
      <c r="R333" s="91"/>
      <c r="S333" s="132">
        <f t="shared" ref="S333:S396" si="104">IF(J333=0,"",K333/J333)</f>
        <v>1.0576032100337607</v>
      </c>
      <c r="T333" s="172">
        <f t="shared" si="84"/>
        <v>7</v>
      </c>
    </row>
    <row r="334" spans="1:20" ht="11.25" customHeight="1" x14ac:dyDescent="0.25">
      <c r="A334" s="42" t="s">
        <v>1230</v>
      </c>
      <c r="B334" s="20" t="s">
        <v>1432</v>
      </c>
      <c r="C334" s="20" t="s">
        <v>920</v>
      </c>
      <c r="D334" s="20" t="s">
        <v>1244</v>
      </c>
      <c r="E334" s="290" t="s">
        <v>329</v>
      </c>
      <c r="F334" s="291"/>
      <c r="G334" s="11">
        <v>-1870912351</v>
      </c>
      <c r="H334" s="11">
        <v>-2117619457.5999999</v>
      </c>
      <c r="I334" s="11">
        <v>-2320703350.0009398</v>
      </c>
      <c r="J334" s="213">
        <v>-2357948463.9796</v>
      </c>
      <c r="K334" s="155">
        <v>-2493773864.599</v>
      </c>
      <c r="N334" s="91">
        <f t="shared" si="99"/>
        <v>173070514.59806013</v>
      </c>
      <c r="O334" s="130">
        <f t="shared" si="100"/>
        <v>1.0745767504485182</v>
      </c>
      <c r="P334" s="91">
        <f t="shared" si="101"/>
        <v>376154406.99900007</v>
      </c>
      <c r="Q334" s="130">
        <f t="shared" si="102"/>
        <v>1.1776307851956149</v>
      </c>
      <c r="R334" s="91"/>
      <c r="S334" s="132">
        <f t="shared" si="104"/>
        <v>1.0576032100337607</v>
      </c>
      <c r="T334" s="172"/>
    </row>
    <row r="335" spans="1:20" ht="11.25" customHeight="1" x14ac:dyDescent="0.25">
      <c r="A335" s="26" t="s">
        <v>1231</v>
      </c>
      <c r="B335" s="24"/>
      <c r="C335" s="23"/>
      <c r="D335" s="23"/>
      <c r="E335" s="300" t="s">
        <v>330</v>
      </c>
      <c r="F335" s="301"/>
      <c r="G335" s="25">
        <f t="shared" ref="G335:K335" si="105">SUM(G336)</f>
        <v>-73805</v>
      </c>
      <c r="H335" s="25">
        <f t="shared" si="105"/>
        <v>-72519</v>
      </c>
      <c r="I335" s="25">
        <f t="shared" si="105"/>
        <v>0</v>
      </c>
      <c r="J335" s="139">
        <f t="shared" si="105"/>
        <v>0</v>
      </c>
      <c r="K335" s="153">
        <f t="shared" si="105"/>
        <v>0</v>
      </c>
      <c r="N335" s="91">
        <f t="shared" si="99"/>
        <v>0</v>
      </c>
      <c r="O335" s="130" t="str">
        <f t="shared" si="100"/>
        <v/>
      </c>
      <c r="P335" s="91">
        <f t="shared" si="101"/>
        <v>-72519</v>
      </c>
      <c r="Q335" s="130">
        <f t="shared" si="102"/>
        <v>0</v>
      </c>
      <c r="R335" s="91"/>
      <c r="S335" s="132" t="str">
        <f t="shared" si="104"/>
        <v/>
      </c>
      <c r="T335" s="172">
        <f t="shared" ref="T335:T398" si="106">LEN(A335)</f>
        <v>7</v>
      </c>
    </row>
    <row r="336" spans="1:20" ht="11.25" customHeight="1" x14ac:dyDescent="0.25">
      <c r="A336" s="42" t="s">
        <v>1232</v>
      </c>
      <c r="B336" s="20"/>
      <c r="C336" s="20"/>
      <c r="D336" s="20"/>
      <c r="E336" s="290" t="s">
        <v>331</v>
      </c>
      <c r="F336" s="291"/>
      <c r="G336" s="11">
        <v>-73805</v>
      </c>
      <c r="H336" s="11">
        <v>-72519</v>
      </c>
      <c r="I336" s="11">
        <v>0</v>
      </c>
      <c r="J336" s="140">
        <v>0</v>
      </c>
      <c r="K336" s="154"/>
      <c r="N336" s="91">
        <f t="shared" si="99"/>
        <v>0</v>
      </c>
      <c r="O336" s="130" t="str">
        <f t="shared" si="100"/>
        <v/>
      </c>
      <c r="P336" s="91">
        <f t="shared" si="101"/>
        <v>-72519</v>
      </c>
      <c r="Q336" s="130">
        <f t="shared" si="102"/>
        <v>0</v>
      </c>
      <c r="R336" s="91"/>
      <c r="S336" s="132" t="str">
        <f t="shared" si="104"/>
        <v/>
      </c>
      <c r="T336" s="172">
        <f t="shared" si="106"/>
        <v>11</v>
      </c>
    </row>
    <row r="337" spans="1:20" ht="11.25" customHeight="1" x14ac:dyDescent="0.25">
      <c r="A337" s="26" t="s">
        <v>1233</v>
      </c>
      <c r="B337" s="24"/>
      <c r="C337" s="23"/>
      <c r="D337" s="23"/>
      <c r="E337" s="300" t="s">
        <v>332</v>
      </c>
      <c r="F337" s="301"/>
      <c r="G337" s="25">
        <f t="shared" ref="G337:K337" si="107">SUM(G338)</f>
        <v>469089.16</v>
      </c>
      <c r="H337" s="25">
        <f t="shared" si="107"/>
        <v>578207.07999999996</v>
      </c>
      <c r="I337" s="25">
        <f t="shared" si="107"/>
        <v>0</v>
      </c>
      <c r="J337" s="139">
        <f t="shared" si="107"/>
        <v>0</v>
      </c>
      <c r="K337" s="153">
        <f t="shared" si="107"/>
        <v>0</v>
      </c>
      <c r="N337" s="91">
        <f t="shared" si="99"/>
        <v>0</v>
      </c>
      <c r="O337" s="130" t="str">
        <f t="shared" si="100"/>
        <v/>
      </c>
      <c r="P337" s="91">
        <f t="shared" si="101"/>
        <v>578207.07999999996</v>
      </c>
      <c r="Q337" s="130">
        <f t="shared" si="102"/>
        <v>0</v>
      </c>
      <c r="R337" s="91"/>
      <c r="S337" s="132" t="str">
        <f t="shared" si="104"/>
        <v/>
      </c>
      <c r="T337" s="172">
        <f t="shared" si="106"/>
        <v>7</v>
      </c>
    </row>
    <row r="338" spans="1:20" ht="11.25" customHeight="1" x14ac:dyDescent="0.25">
      <c r="A338" s="42" t="s">
        <v>1234</v>
      </c>
      <c r="B338" s="20"/>
      <c r="C338" s="20"/>
      <c r="D338" s="20"/>
      <c r="E338" s="290" t="s">
        <v>333</v>
      </c>
      <c r="F338" s="291"/>
      <c r="G338" s="11">
        <v>469089.16</v>
      </c>
      <c r="H338" s="11">
        <v>578207.07999999996</v>
      </c>
      <c r="I338" s="11">
        <v>0</v>
      </c>
      <c r="J338" s="140">
        <v>0</v>
      </c>
      <c r="K338" s="154"/>
      <c r="N338" s="91">
        <f t="shared" si="99"/>
        <v>0</v>
      </c>
      <c r="O338" s="130" t="str">
        <f t="shared" si="100"/>
        <v/>
      </c>
      <c r="P338" s="91">
        <f t="shared" si="101"/>
        <v>578207.07999999996</v>
      </c>
      <c r="Q338" s="130">
        <f t="shared" si="102"/>
        <v>0</v>
      </c>
      <c r="R338" s="91"/>
      <c r="S338" s="132" t="str">
        <f t="shared" si="104"/>
        <v/>
      </c>
      <c r="T338" s="172">
        <f t="shared" si="106"/>
        <v>11</v>
      </c>
    </row>
    <row r="339" spans="1:20" ht="11.25" customHeight="1" x14ac:dyDescent="0.25">
      <c r="A339" s="26" t="s">
        <v>1235</v>
      </c>
      <c r="B339" s="24"/>
      <c r="C339" s="23"/>
      <c r="D339" s="23"/>
      <c r="E339" s="300" t="s">
        <v>334</v>
      </c>
      <c r="F339" s="301"/>
      <c r="G339" s="25">
        <f t="shared" ref="G339:K339" si="108">SUM(G340)</f>
        <v>-10936</v>
      </c>
      <c r="H339" s="25">
        <f t="shared" si="108"/>
        <v>10973</v>
      </c>
      <c r="I339" s="25">
        <f t="shared" si="108"/>
        <v>0</v>
      </c>
      <c r="J339" s="139">
        <f t="shared" si="108"/>
        <v>0</v>
      </c>
      <c r="K339" s="153">
        <f t="shared" si="108"/>
        <v>0</v>
      </c>
      <c r="N339" s="91">
        <f t="shared" si="99"/>
        <v>0</v>
      </c>
      <c r="O339" s="130" t="str">
        <f t="shared" si="100"/>
        <v/>
      </c>
      <c r="P339" s="91">
        <f t="shared" si="101"/>
        <v>10973</v>
      </c>
      <c r="Q339" s="130">
        <f t="shared" si="102"/>
        <v>0</v>
      </c>
      <c r="R339" s="91"/>
      <c r="S339" s="132" t="str">
        <f t="shared" si="104"/>
        <v/>
      </c>
      <c r="T339" s="172">
        <f t="shared" si="106"/>
        <v>7</v>
      </c>
    </row>
    <row r="340" spans="1:20" ht="11.25" customHeight="1" x14ac:dyDescent="0.25">
      <c r="A340" s="42" t="s">
        <v>1236</v>
      </c>
      <c r="B340" s="20"/>
      <c r="C340" s="20"/>
      <c r="D340" s="20"/>
      <c r="E340" s="290" t="s">
        <v>335</v>
      </c>
      <c r="F340" s="291"/>
      <c r="G340" s="11">
        <v>-10936</v>
      </c>
      <c r="H340" s="11">
        <v>10973</v>
      </c>
      <c r="I340" s="11">
        <v>0</v>
      </c>
      <c r="J340" s="140">
        <v>0</v>
      </c>
      <c r="K340" s="154"/>
      <c r="N340" s="91">
        <f t="shared" si="99"/>
        <v>0</v>
      </c>
      <c r="O340" s="130" t="str">
        <f t="shared" si="100"/>
        <v/>
      </c>
      <c r="P340" s="91">
        <f t="shared" si="101"/>
        <v>10973</v>
      </c>
      <c r="Q340" s="130">
        <f t="shared" si="102"/>
        <v>0</v>
      </c>
      <c r="R340" s="91"/>
      <c r="S340" s="132" t="str">
        <f t="shared" si="104"/>
        <v/>
      </c>
      <c r="T340" s="172">
        <f t="shared" si="106"/>
        <v>11</v>
      </c>
    </row>
    <row r="341" spans="1:20" ht="11.25" customHeight="1" x14ac:dyDescent="0.25">
      <c r="A341" s="26" t="s">
        <v>1237</v>
      </c>
      <c r="B341" s="24"/>
      <c r="C341" s="23"/>
      <c r="D341" s="23"/>
      <c r="E341" s="300" t="s">
        <v>336</v>
      </c>
      <c r="F341" s="301"/>
      <c r="G341" s="25">
        <f t="shared" ref="G341:K341" si="109">SUM(G342)</f>
        <v>0</v>
      </c>
      <c r="H341" s="25">
        <f t="shared" si="109"/>
        <v>0</v>
      </c>
      <c r="I341" s="25">
        <f t="shared" si="109"/>
        <v>0</v>
      </c>
      <c r="J341" s="139">
        <f t="shared" si="109"/>
        <v>0</v>
      </c>
      <c r="K341" s="153">
        <f t="shared" si="109"/>
        <v>0</v>
      </c>
      <c r="N341" s="91">
        <f t="shared" si="99"/>
        <v>0</v>
      </c>
      <c r="O341" s="130" t="str">
        <f t="shared" si="100"/>
        <v/>
      </c>
      <c r="P341" s="91">
        <f t="shared" si="101"/>
        <v>0</v>
      </c>
      <c r="Q341" s="130" t="str">
        <f t="shared" si="102"/>
        <v/>
      </c>
      <c r="R341" s="91"/>
      <c r="S341" s="132" t="str">
        <f t="shared" si="104"/>
        <v/>
      </c>
      <c r="T341" s="172">
        <f t="shared" si="106"/>
        <v>7</v>
      </c>
    </row>
    <row r="342" spans="1:20" ht="11.25" customHeight="1" x14ac:dyDescent="0.25">
      <c r="A342" s="42" t="s">
        <v>1238</v>
      </c>
      <c r="B342" s="14"/>
      <c r="C342" s="13"/>
      <c r="D342" s="13"/>
      <c r="E342" s="290" t="s">
        <v>337</v>
      </c>
      <c r="F342" s="291"/>
      <c r="G342" s="11">
        <v>0</v>
      </c>
      <c r="H342" s="11">
        <v>0</v>
      </c>
      <c r="I342" s="11">
        <v>0</v>
      </c>
      <c r="J342" s="140">
        <v>0</v>
      </c>
      <c r="K342" s="154"/>
      <c r="N342" s="91">
        <f t="shared" si="99"/>
        <v>0</v>
      </c>
      <c r="O342" s="130" t="str">
        <f t="shared" si="100"/>
        <v/>
      </c>
      <c r="P342" s="91">
        <f t="shared" si="101"/>
        <v>0</v>
      </c>
      <c r="Q342" s="130" t="str">
        <f t="shared" si="102"/>
        <v/>
      </c>
      <c r="R342" s="91"/>
      <c r="S342" s="132" t="str">
        <f t="shared" si="104"/>
        <v/>
      </c>
      <c r="T342" s="172">
        <f t="shared" si="106"/>
        <v>11</v>
      </c>
    </row>
    <row r="343" spans="1:20" ht="11.25" customHeight="1" x14ac:dyDescent="0.25">
      <c r="A343" s="26" t="s">
        <v>1239</v>
      </c>
      <c r="B343" s="24"/>
      <c r="C343" s="23"/>
      <c r="D343" s="23"/>
      <c r="E343" s="300" t="s">
        <v>338</v>
      </c>
      <c r="F343" s="301"/>
      <c r="G343" s="25">
        <f t="shared" ref="G343:K343" si="110">SUM(G344)</f>
        <v>-22098666</v>
      </c>
      <c r="H343" s="25">
        <f t="shared" si="110"/>
        <v>-25376259</v>
      </c>
      <c r="I343" s="25">
        <f t="shared" si="110"/>
        <v>-25319560</v>
      </c>
      <c r="J343" s="139">
        <f t="shared" si="110"/>
        <v>-29440517.6072</v>
      </c>
      <c r="K343" s="153">
        <f t="shared" si="110"/>
        <v>-27239515</v>
      </c>
      <c r="N343" s="91">
        <f t="shared" si="99"/>
        <v>1919955</v>
      </c>
      <c r="O343" s="130">
        <f t="shared" si="100"/>
        <v>1.0758289243572954</v>
      </c>
      <c r="P343" s="91">
        <f t="shared" si="101"/>
        <v>1863256</v>
      </c>
      <c r="Q343" s="130">
        <f t="shared" si="102"/>
        <v>1.0734251648361566</v>
      </c>
      <c r="R343" s="91"/>
      <c r="S343" s="132">
        <f t="shared" si="104"/>
        <v>0.92523899760982053</v>
      </c>
      <c r="T343" s="172">
        <f t="shared" si="106"/>
        <v>7</v>
      </c>
    </row>
    <row r="344" spans="1:20" ht="11.25" customHeight="1" x14ac:dyDescent="0.25">
      <c r="A344" s="42" t="s">
        <v>1240</v>
      </c>
      <c r="B344" s="20" t="s">
        <v>1432</v>
      </c>
      <c r="C344" s="20" t="s">
        <v>920</v>
      </c>
      <c r="D344" s="20" t="s">
        <v>1244</v>
      </c>
      <c r="E344" s="290" t="s">
        <v>339</v>
      </c>
      <c r="F344" s="291"/>
      <c r="G344" s="11">
        <v>-22098666</v>
      </c>
      <c r="H344" s="11">
        <v>-25376259</v>
      </c>
      <c r="I344" s="11">
        <v>-25319560</v>
      </c>
      <c r="J344" s="213">
        <v>-29440517.6072</v>
      </c>
      <c r="K344" s="158">
        <v>-27239515</v>
      </c>
      <c r="N344" s="91">
        <f t="shared" si="99"/>
        <v>1919955</v>
      </c>
      <c r="O344" s="130">
        <f t="shared" si="100"/>
        <v>1.0758289243572954</v>
      </c>
      <c r="P344" s="91">
        <f t="shared" si="101"/>
        <v>1863256</v>
      </c>
      <c r="Q344" s="130">
        <f t="shared" si="102"/>
        <v>1.0734251648361566</v>
      </c>
      <c r="R344" s="91"/>
      <c r="S344" s="132">
        <f t="shared" si="104"/>
        <v>0.92523899760982053</v>
      </c>
      <c r="T344" s="172">
        <f t="shared" si="106"/>
        <v>11</v>
      </c>
    </row>
    <row r="345" spans="1:20" ht="11.25" customHeight="1" x14ac:dyDescent="0.25">
      <c r="A345" s="26" t="s">
        <v>1252</v>
      </c>
      <c r="B345" s="24"/>
      <c r="C345" s="23"/>
      <c r="D345" s="23"/>
      <c r="E345" s="300" t="s">
        <v>340</v>
      </c>
      <c r="F345" s="301"/>
      <c r="G345" s="25">
        <f t="shared" ref="G345:K345" si="111">SUM(G346)</f>
        <v>-51891</v>
      </c>
      <c r="H345" s="25">
        <f t="shared" si="111"/>
        <v>0</v>
      </c>
      <c r="I345" s="25">
        <f t="shared" si="111"/>
        <v>0</v>
      </c>
      <c r="J345" s="139">
        <f t="shared" si="111"/>
        <v>0</v>
      </c>
      <c r="K345" s="153">
        <f t="shared" si="111"/>
        <v>0</v>
      </c>
      <c r="N345" s="91">
        <f t="shared" si="99"/>
        <v>0</v>
      </c>
      <c r="O345" s="130" t="str">
        <f t="shared" si="100"/>
        <v/>
      </c>
      <c r="P345" s="91">
        <f t="shared" si="101"/>
        <v>0</v>
      </c>
      <c r="Q345" s="130" t="str">
        <f t="shared" si="102"/>
        <v/>
      </c>
      <c r="R345" s="91"/>
      <c r="S345" s="132" t="str">
        <f t="shared" si="104"/>
        <v/>
      </c>
      <c r="T345" s="172">
        <f t="shared" si="106"/>
        <v>7</v>
      </c>
    </row>
    <row r="346" spans="1:20" ht="11.25" customHeight="1" x14ac:dyDescent="0.25">
      <c r="A346" s="42" t="s">
        <v>1253</v>
      </c>
      <c r="B346" s="20"/>
      <c r="C346" s="20"/>
      <c r="D346" s="20"/>
      <c r="E346" s="290" t="s">
        <v>341</v>
      </c>
      <c r="F346" s="291"/>
      <c r="G346" s="11">
        <v>-51891</v>
      </c>
      <c r="H346" s="11">
        <v>0</v>
      </c>
      <c r="I346" s="11">
        <v>0</v>
      </c>
      <c r="J346" s="140">
        <v>0</v>
      </c>
      <c r="K346" s="154"/>
      <c r="N346" s="91">
        <f t="shared" si="99"/>
        <v>0</v>
      </c>
      <c r="O346" s="130" t="str">
        <f t="shared" si="100"/>
        <v/>
      </c>
      <c r="P346" s="91">
        <f t="shared" si="101"/>
        <v>0</v>
      </c>
      <c r="Q346" s="130" t="str">
        <f t="shared" si="102"/>
        <v/>
      </c>
      <c r="R346" s="91"/>
      <c r="S346" s="132" t="str">
        <f t="shared" si="104"/>
        <v/>
      </c>
      <c r="T346" s="172">
        <f t="shared" si="106"/>
        <v>11</v>
      </c>
    </row>
    <row r="347" spans="1:20" ht="11.25" customHeight="1" x14ac:dyDescent="0.25">
      <c r="A347" s="26" t="s">
        <v>1254</v>
      </c>
      <c r="B347" s="24"/>
      <c r="C347" s="23"/>
      <c r="D347" s="23"/>
      <c r="E347" s="300" t="s">
        <v>342</v>
      </c>
      <c r="F347" s="301"/>
      <c r="G347" s="25">
        <f t="shared" ref="G347:K347" si="112">SUM(G348)</f>
        <v>-4156376</v>
      </c>
      <c r="H347" s="25">
        <f t="shared" si="112"/>
        <v>-4835474</v>
      </c>
      <c r="I347" s="25">
        <f t="shared" si="112"/>
        <v>-4744030</v>
      </c>
      <c r="J347" s="139">
        <f t="shared" si="112"/>
        <v>-7097412.7507999996</v>
      </c>
      <c r="K347" s="153">
        <f t="shared" si="112"/>
        <v>-7360880</v>
      </c>
      <c r="N347" s="91">
        <f t="shared" si="99"/>
        <v>2616850</v>
      </c>
      <c r="O347" s="130">
        <f t="shared" si="100"/>
        <v>1.5516090749847704</v>
      </c>
      <c r="P347" s="91">
        <f t="shared" si="101"/>
        <v>2525406</v>
      </c>
      <c r="Q347" s="130">
        <f t="shared" si="102"/>
        <v>1.5222664830790116</v>
      </c>
      <c r="R347" s="91"/>
      <c r="S347" s="132">
        <f t="shared" si="104"/>
        <v>1.0371215904232571</v>
      </c>
      <c r="T347" s="172">
        <f t="shared" si="106"/>
        <v>7</v>
      </c>
    </row>
    <row r="348" spans="1:20" ht="11.25" customHeight="1" x14ac:dyDescent="0.25">
      <c r="A348" s="42" t="s">
        <v>1255</v>
      </c>
      <c r="B348" s="20" t="s">
        <v>1432</v>
      </c>
      <c r="C348" s="20" t="s">
        <v>920</v>
      </c>
      <c r="D348" s="20" t="s">
        <v>1244</v>
      </c>
      <c r="E348" s="290" t="s">
        <v>343</v>
      </c>
      <c r="F348" s="291"/>
      <c r="G348" s="88">
        <v>-4156376</v>
      </c>
      <c r="H348" s="88">
        <v>-4835474</v>
      </c>
      <c r="I348" s="88">
        <v>-4744030</v>
      </c>
      <c r="J348" s="213">
        <v>-7097412.7507999996</v>
      </c>
      <c r="K348" s="158">
        <v>-7360880</v>
      </c>
      <c r="N348" s="91">
        <f t="shared" si="99"/>
        <v>2616850</v>
      </c>
      <c r="O348" s="130">
        <f t="shared" si="100"/>
        <v>1.5516090749847704</v>
      </c>
      <c r="P348" s="91">
        <f t="shared" si="101"/>
        <v>2525406</v>
      </c>
      <c r="Q348" s="130">
        <f t="shared" si="102"/>
        <v>1.5222664830790116</v>
      </c>
      <c r="R348" s="91"/>
      <c r="S348" s="132">
        <f t="shared" si="104"/>
        <v>1.0371215904232571</v>
      </c>
      <c r="T348" s="172">
        <f t="shared" si="106"/>
        <v>11</v>
      </c>
    </row>
    <row r="349" spans="1:20" ht="11.25" customHeight="1" x14ac:dyDescent="0.25">
      <c r="A349" s="26" t="s">
        <v>1256</v>
      </c>
      <c r="B349" s="24"/>
      <c r="C349" s="23"/>
      <c r="D349" s="23"/>
      <c r="E349" s="300" t="s">
        <v>344</v>
      </c>
      <c r="F349" s="301"/>
      <c r="G349" s="25">
        <f t="shared" ref="G349:K349" si="113">SUM(G350)</f>
        <v>-2425000</v>
      </c>
      <c r="H349" s="25">
        <f t="shared" si="113"/>
        <v>-3813500</v>
      </c>
      <c r="I349" s="25">
        <f t="shared" si="113"/>
        <v>-5325870</v>
      </c>
      <c r="J349" s="139">
        <f t="shared" si="113"/>
        <v>-4530329.5436000004</v>
      </c>
      <c r="K349" s="153">
        <f t="shared" si="113"/>
        <v>-4505330</v>
      </c>
      <c r="N349" s="91">
        <f t="shared" si="99"/>
        <v>-820540</v>
      </c>
      <c r="O349" s="130">
        <f t="shared" si="100"/>
        <v>0.84593315270556735</v>
      </c>
      <c r="P349" s="91">
        <f t="shared" si="101"/>
        <v>691830</v>
      </c>
      <c r="Q349" s="130">
        <f t="shared" si="102"/>
        <v>1.1814160220270093</v>
      </c>
      <c r="R349" s="91"/>
      <c r="S349" s="132">
        <f t="shared" si="104"/>
        <v>0.99448173839024201</v>
      </c>
      <c r="T349" s="172">
        <f t="shared" si="106"/>
        <v>7</v>
      </c>
    </row>
    <row r="350" spans="1:20" ht="11.25" customHeight="1" x14ac:dyDescent="0.25">
      <c r="A350" s="42" t="s">
        <v>1257</v>
      </c>
      <c r="B350" s="20" t="s">
        <v>916</v>
      </c>
      <c r="C350" s="20" t="s">
        <v>920</v>
      </c>
      <c r="D350" s="20" t="s">
        <v>917</v>
      </c>
      <c r="E350" s="290" t="s">
        <v>345</v>
      </c>
      <c r="F350" s="291"/>
      <c r="G350" s="11">
        <v>-2425000</v>
      </c>
      <c r="H350" s="11">
        <v>-3813500</v>
      </c>
      <c r="I350" s="11">
        <v>-5325870</v>
      </c>
      <c r="J350" s="213">
        <v>-4530329.5436000004</v>
      </c>
      <c r="K350" s="158">
        <v>-4505330</v>
      </c>
      <c r="N350" s="91">
        <f t="shared" si="99"/>
        <v>-820540</v>
      </c>
      <c r="O350" s="130">
        <f t="shared" si="100"/>
        <v>0.84593315270556735</v>
      </c>
      <c r="P350" s="91">
        <f t="shared" si="101"/>
        <v>691830</v>
      </c>
      <c r="Q350" s="130">
        <f t="shared" si="102"/>
        <v>1.1814160220270093</v>
      </c>
      <c r="R350" s="91"/>
      <c r="S350" s="132">
        <f t="shared" si="104"/>
        <v>0.99448173839024201</v>
      </c>
      <c r="T350" s="172">
        <f t="shared" si="106"/>
        <v>11</v>
      </c>
    </row>
    <row r="351" spans="1:20" ht="11.25" customHeight="1" x14ac:dyDescent="0.25">
      <c r="A351" s="26" t="s">
        <v>1258</v>
      </c>
      <c r="B351" s="24"/>
      <c r="C351" s="23"/>
      <c r="D351" s="23"/>
      <c r="E351" s="300" t="s">
        <v>346</v>
      </c>
      <c r="F351" s="301"/>
      <c r="G351" s="25">
        <f t="shared" ref="G351:K351" si="114">SUM(G352:G355)</f>
        <v>-1356420.46</v>
      </c>
      <c r="H351" s="25">
        <f t="shared" si="114"/>
        <v>-1474845.23</v>
      </c>
      <c r="I351" s="25">
        <f t="shared" si="114"/>
        <v>0</v>
      </c>
      <c r="J351" s="139">
        <f t="shared" si="114"/>
        <v>0</v>
      </c>
      <c r="K351" s="153">
        <f t="shared" si="114"/>
        <v>0</v>
      </c>
      <c r="N351" s="91">
        <f t="shared" si="99"/>
        <v>0</v>
      </c>
      <c r="O351" s="130" t="str">
        <f t="shared" si="100"/>
        <v/>
      </c>
      <c r="P351" s="91">
        <f t="shared" si="101"/>
        <v>-1474845.23</v>
      </c>
      <c r="Q351" s="130">
        <f t="shared" si="102"/>
        <v>0</v>
      </c>
      <c r="R351" s="91"/>
      <c r="S351" s="132" t="str">
        <f t="shared" si="104"/>
        <v/>
      </c>
      <c r="T351" s="172">
        <f t="shared" si="106"/>
        <v>7</v>
      </c>
    </row>
    <row r="352" spans="1:20" ht="11.25" customHeight="1" x14ac:dyDescent="0.25">
      <c r="A352" s="42" t="s">
        <v>1259</v>
      </c>
      <c r="B352" s="14"/>
      <c r="C352" s="13"/>
      <c r="D352" s="13"/>
      <c r="E352" s="290" t="s">
        <v>347</v>
      </c>
      <c r="F352" s="291"/>
      <c r="G352" s="11">
        <v>-1208888.22</v>
      </c>
      <c r="H352" s="11">
        <v>-1442896.99</v>
      </c>
      <c r="I352" s="11">
        <v>0</v>
      </c>
      <c r="J352" s="140">
        <v>0</v>
      </c>
      <c r="K352" s="154"/>
      <c r="N352" s="91">
        <f t="shared" si="99"/>
        <v>0</v>
      </c>
      <c r="O352" s="130" t="str">
        <f t="shared" si="100"/>
        <v/>
      </c>
      <c r="P352" s="91">
        <f t="shared" si="101"/>
        <v>-1442896.99</v>
      </c>
      <c r="Q352" s="130">
        <f t="shared" si="102"/>
        <v>0</v>
      </c>
      <c r="R352" s="91"/>
      <c r="S352" s="132" t="str">
        <f t="shared" si="104"/>
        <v/>
      </c>
      <c r="T352" s="172">
        <f t="shared" si="106"/>
        <v>11</v>
      </c>
    </row>
    <row r="353" spans="1:20" ht="11.25" customHeight="1" x14ac:dyDescent="0.25">
      <c r="A353" s="42" t="s">
        <v>1260</v>
      </c>
      <c r="B353" s="14"/>
      <c r="C353" s="13"/>
      <c r="D353" s="13"/>
      <c r="E353" s="290" t="s">
        <v>348</v>
      </c>
      <c r="F353" s="291"/>
      <c r="G353" s="11">
        <v>-138766.16</v>
      </c>
      <c r="H353" s="11">
        <v>-25434.97</v>
      </c>
      <c r="I353" s="11">
        <v>0</v>
      </c>
      <c r="J353" s="140">
        <v>0</v>
      </c>
      <c r="K353" s="154"/>
      <c r="N353" s="91">
        <f t="shared" si="99"/>
        <v>0</v>
      </c>
      <c r="O353" s="130" t="str">
        <f t="shared" si="100"/>
        <v/>
      </c>
      <c r="P353" s="91">
        <f t="shared" si="101"/>
        <v>-25434.97</v>
      </c>
      <c r="Q353" s="130">
        <f t="shared" si="102"/>
        <v>0</v>
      </c>
      <c r="R353" s="91"/>
      <c r="S353" s="132" t="str">
        <f t="shared" si="104"/>
        <v/>
      </c>
      <c r="T353" s="172">
        <f t="shared" si="106"/>
        <v>11</v>
      </c>
    </row>
    <row r="354" spans="1:20" ht="11.25" customHeight="1" x14ac:dyDescent="0.25">
      <c r="A354" s="42" t="s">
        <v>1261</v>
      </c>
      <c r="B354" s="14"/>
      <c r="C354" s="13"/>
      <c r="D354" s="13"/>
      <c r="E354" s="290" t="s">
        <v>349</v>
      </c>
      <c r="F354" s="291"/>
      <c r="G354" s="11">
        <v>0</v>
      </c>
      <c r="H354" s="11">
        <v>0</v>
      </c>
      <c r="I354" s="11">
        <v>0</v>
      </c>
      <c r="J354" s="140">
        <v>0</v>
      </c>
      <c r="K354" s="154"/>
      <c r="N354" s="91">
        <f t="shared" si="99"/>
        <v>0</v>
      </c>
      <c r="O354" s="130" t="str">
        <f t="shared" si="100"/>
        <v/>
      </c>
      <c r="P354" s="91">
        <f t="shared" si="101"/>
        <v>0</v>
      </c>
      <c r="Q354" s="130" t="str">
        <f t="shared" si="102"/>
        <v/>
      </c>
      <c r="R354" s="91"/>
      <c r="S354" s="132" t="str">
        <f t="shared" si="104"/>
        <v/>
      </c>
      <c r="T354" s="172">
        <f t="shared" si="106"/>
        <v>11</v>
      </c>
    </row>
    <row r="355" spans="1:20" ht="11.25" customHeight="1" x14ac:dyDescent="0.25">
      <c r="A355" s="42" t="s">
        <v>1262</v>
      </c>
      <c r="B355" s="14"/>
      <c r="C355" s="13"/>
      <c r="D355" s="13"/>
      <c r="E355" s="290" t="s">
        <v>350</v>
      </c>
      <c r="F355" s="291"/>
      <c r="G355" s="11">
        <v>-8766.08</v>
      </c>
      <c r="H355" s="11">
        <v>-6513.27</v>
      </c>
      <c r="I355" s="11">
        <v>0</v>
      </c>
      <c r="J355" s="140">
        <v>0</v>
      </c>
      <c r="K355" s="154"/>
      <c r="N355" s="91">
        <f t="shared" si="99"/>
        <v>0</v>
      </c>
      <c r="O355" s="130" t="str">
        <f t="shared" si="100"/>
        <v/>
      </c>
      <c r="P355" s="91">
        <f t="shared" si="101"/>
        <v>-6513.27</v>
      </c>
      <c r="Q355" s="130">
        <f t="shared" si="102"/>
        <v>0</v>
      </c>
      <c r="R355" s="91"/>
      <c r="S355" s="132" t="str">
        <f t="shared" si="104"/>
        <v/>
      </c>
      <c r="T355" s="172">
        <f t="shared" si="106"/>
        <v>11</v>
      </c>
    </row>
    <row r="356" spans="1:20" ht="11.25" customHeight="1" x14ac:dyDescent="0.25">
      <c r="A356" s="38" t="s">
        <v>351</v>
      </c>
      <c r="B356" s="38"/>
      <c r="C356" s="22"/>
      <c r="D356" s="22"/>
      <c r="E356" s="296" t="s">
        <v>352</v>
      </c>
      <c r="F356" s="297"/>
      <c r="G356" s="37">
        <v>0</v>
      </c>
      <c r="H356" s="37">
        <v>0</v>
      </c>
      <c r="I356" s="37">
        <v>0</v>
      </c>
      <c r="J356" s="37">
        <v>0</v>
      </c>
      <c r="K356" s="160">
        <f t="shared" ref="K356:K376" si="115">(J356/8)*12</f>
        <v>0</v>
      </c>
      <c r="N356" s="190">
        <f t="shared" si="99"/>
        <v>0</v>
      </c>
      <c r="O356" s="191" t="str">
        <f t="shared" si="100"/>
        <v/>
      </c>
      <c r="P356" s="190">
        <f t="shared" si="101"/>
        <v>0</v>
      </c>
      <c r="Q356" s="191" t="str">
        <f t="shared" si="102"/>
        <v/>
      </c>
      <c r="R356" s="190">
        <f t="shared" ref="R356:R395" si="116">-K356+J356</f>
        <v>0</v>
      </c>
      <c r="S356" s="192" t="str">
        <f t="shared" si="104"/>
        <v/>
      </c>
      <c r="T356" s="172">
        <f t="shared" si="106"/>
        <v>4</v>
      </c>
    </row>
    <row r="357" spans="1:20" ht="11.25" customHeight="1" x14ac:dyDescent="0.25">
      <c r="A357" s="38" t="s">
        <v>353</v>
      </c>
      <c r="B357" s="38"/>
      <c r="C357" s="22"/>
      <c r="D357" s="22"/>
      <c r="E357" s="296" t="s">
        <v>354</v>
      </c>
      <c r="F357" s="297"/>
      <c r="G357" s="37">
        <v>0</v>
      </c>
      <c r="H357" s="37">
        <v>0</v>
      </c>
      <c r="I357" s="37">
        <v>0</v>
      </c>
      <c r="J357" s="37">
        <v>0</v>
      </c>
      <c r="K357" s="160">
        <f t="shared" si="115"/>
        <v>0</v>
      </c>
      <c r="N357" s="190">
        <f t="shared" si="99"/>
        <v>0</v>
      </c>
      <c r="O357" s="191" t="str">
        <f t="shared" si="100"/>
        <v/>
      </c>
      <c r="P357" s="190">
        <f t="shared" si="101"/>
        <v>0</v>
      </c>
      <c r="Q357" s="191" t="str">
        <f t="shared" si="102"/>
        <v/>
      </c>
      <c r="R357" s="190">
        <f t="shared" si="116"/>
        <v>0</v>
      </c>
      <c r="S357" s="192" t="str">
        <f t="shared" si="104"/>
        <v/>
      </c>
      <c r="T357" s="172">
        <f t="shared" si="106"/>
        <v>4</v>
      </c>
    </row>
    <row r="358" spans="1:20" ht="11.25" customHeight="1" x14ac:dyDescent="0.25">
      <c r="A358" s="38" t="s">
        <v>355</v>
      </c>
      <c r="B358" s="38"/>
      <c r="C358" s="22"/>
      <c r="D358" s="22"/>
      <c r="E358" s="296" t="s">
        <v>356</v>
      </c>
      <c r="F358" s="297"/>
      <c r="G358" s="37">
        <f t="shared" ref="G358:K358" si="117">G359+G361+G363+G365+G367+G369</f>
        <v>-634874411</v>
      </c>
      <c r="H358" s="37">
        <f t="shared" si="117"/>
        <v>-720337380.49000001</v>
      </c>
      <c r="I358" s="37">
        <f t="shared" si="117"/>
        <v>-788099470</v>
      </c>
      <c r="J358" s="37">
        <f t="shared" si="117"/>
        <v>-808374642.20889795</v>
      </c>
      <c r="K358" s="152">
        <f t="shared" si="117"/>
        <v>-847224961.18450296</v>
      </c>
      <c r="N358" s="190">
        <f t="shared" si="99"/>
        <v>59125491.184502959</v>
      </c>
      <c r="O358" s="191">
        <f t="shared" si="100"/>
        <v>1.0750228790085381</v>
      </c>
      <c r="P358" s="190">
        <f t="shared" si="101"/>
        <v>126887580.69450295</v>
      </c>
      <c r="Q358" s="191">
        <f t="shared" si="102"/>
        <v>1.1761502097922356</v>
      </c>
      <c r="R358" s="190">
        <f t="shared" si="116"/>
        <v>38850318.975605011</v>
      </c>
      <c r="S358" s="192">
        <f t="shared" si="104"/>
        <v>1.0480597942427361</v>
      </c>
      <c r="T358" s="172">
        <f t="shared" si="106"/>
        <v>4</v>
      </c>
    </row>
    <row r="359" spans="1:20" ht="11.25" customHeight="1" x14ac:dyDescent="0.25">
      <c r="A359" s="26" t="s">
        <v>1263</v>
      </c>
      <c r="B359" s="26"/>
      <c r="C359" s="23"/>
      <c r="D359" s="23"/>
      <c r="E359" s="300" t="s">
        <v>357</v>
      </c>
      <c r="F359" s="301"/>
      <c r="G359" s="25">
        <f t="shared" ref="G359:K359" si="118">SUM(G360)</f>
        <v>458723.12</v>
      </c>
      <c r="H359" s="25">
        <f t="shared" si="118"/>
        <v>490579.29</v>
      </c>
      <c r="I359" s="25">
        <f t="shared" si="118"/>
        <v>0</v>
      </c>
      <c r="J359" s="139">
        <f t="shared" si="118"/>
        <v>0</v>
      </c>
      <c r="K359" s="153">
        <f t="shared" si="118"/>
        <v>0</v>
      </c>
      <c r="N359" s="91">
        <f t="shared" si="99"/>
        <v>0</v>
      </c>
      <c r="O359" s="130" t="str">
        <f t="shared" si="100"/>
        <v/>
      </c>
      <c r="P359" s="91">
        <f t="shared" si="101"/>
        <v>490579.29</v>
      </c>
      <c r="Q359" s="130">
        <f t="shared" si="102"/>
        <v>0</v>
      </c>
      <c r="R359" s="91"/>
      <c r="S359" s="132" t="str">
        <f t="shared" si="104"/>
        <v/>
      </c>
      <c r="T359" s="172">
        <f t="shared" si="106"/>
        <v>7</v>
      </c>
    </row>
    <row r="360" spans="1:20" ht="11.25" customHeight="1" x14ac:dyDescent="0.25">
      <c r="A360" s="42" t="s">
        <v>1264</v>
      </c>
      <c r="B360" s="14"/>
      <c r="C360" s="13"/>
      <c r="D360" s="13"/>
      <c r="E360" s="290" t="s">
        <v>358</v>
      </c>
      <c r="F360" s="291"/>
      <c r="G360" s="11">
        <v>458723.12</v>
      </c>
      <c r="H360" s="11">
        <v>490579.29</v>
      </c>
      <c r="I360" s="11">
        <v>0</v>
      </c>
      <c r="J360" s="140">
        <v>0</v>
      </c>
      <c r="K360" s="154"/>
      <c r="N360" s="91">
        <f t="shared" si="99"/>
        <v>0</v>
      </c>
      <c r="O360" s="130" t="str">
        <f t="shared" si="100"/>
        <v/>
      </c>
      <c r="P360" s="91">
        <f t="shared" si="101"/>
        <v>490579.29</v>
      </c>
      <c r="Q360" s="130">
        <f t="shared" si="102"/>
        <v>0</v>
      </c>
      <c r="R360" s="91"/>
      <c r="S360" s="132" t="str">
        <f t="shared" si="104"/>
        <v/>
      </c>
      <c r="T360" s="172">
        <f t="shared" si="106"/>
        <v>11</v>
      </c>
    </row>
    <row r="361" spans="1:20" ht="11.25" customHeight="1" x14ac:dyDescent="0.25">
      <c r="A361" s="26" t="s">
        <v>1265</v>
      </c>
      <c r="B361" s="23"/>
      <c r="C361" s="23"/>
      <c r="D361" s="23"/>
      <c r="E361" s="300" t="s">
        <v>359</v>
      </c>
      <c r="F361" s="301"/>
      <c r="G361" s="25">
        <f t="shared" ref="G361:K361" si="119">SUM(G362)</f>
        <v>-170343141</v>
      </c>
      <c r="H361" s="25">
        <f t="shared" si="119"/>
        <v>-192976084</v>
      </c>
      <c r="I361" s="25">
        <f t="shared" si="119"/>
        <v>-211120160</v>
      </c>
      <c r="J361" s="25">
        <f t="shared" si="119"/>
        <v>-215352255.20390001</v>
      </c>
      <c r="K361" s="153">
        <f t="shared" si="119"/>
        <v>-227245848.94760001</v>
      </c>
      <c r="N361" s="91">
        <f t="shared" si="99"/>
        <v>16125688.947600007</v>
      </c>
      <c r="O361" s="130">
        <f t="shared" si="100"/>
        <v>1.0763815684281406</v>
      </c>
      <c r="P361" s="91">
        <f t="shared" si="101"/>
        <v>34269764.947600007</v>
      </c>
      <c r="Q361" s="130">
        <f t="shared" si="102"/>
        <v>1.1775855548379768</v>
      </c>
      <c r="R361" s="91"/>
      <c r="S361" s="132">
        <f t="shared" si="104"/>
        <v>1.0552285544093276</v>
      </c>
      <c r="T361" s="172">
        <f t="shared" si="106"/>
        <v>7</v>
      </c>
    </row>
    <row r="362" spans="1:20" ht="11.25" customHeight="1" x14ac:dyDescent="0.25">
      <c r="A362" s="42" t="s">
        <v>1266</v>
      </c>
      <c r="B362" s="20" t="s">
        <v>1432</v>
      </c>
      <c r="C362" s="20" t="s">
        <v>920</v>
      </c>
      <c r="D362" s="20" t="s">
        <v>1244</v>
      </c>
      <c r="E362" s="290" t="s">
        <v>360</v>
      </c>
      <c r="F362" s="291"/>
      <c r="G362" s="11">
        <v>-170343141</v>
      </c>
      <c r="H362" s="11">
        <v>-192976084</v>
      </c>
      <c r="I362" s="11">
        <v>-211120160</v>
      </c>
      <c r="J362" s="213">
        <v>-215352255.20390001</v>
      </c>
      <c r="K362" s="155">
        <v>-227245848.94760001</v>
      </c>
      <c r="N362" s="91">
        <f t="shared" si="99"/>
        <v>16125688.947600007</v>
      </c>
      <c r="O362" s="130">
        <f t="shared" si="100"/>
        <v>1.0763815684281406</v>
      </c>
      <c r="P362" s="91">
        <f t="shared" si="101"/>
        <v>34269764.947600007</v>
      </c>
      <c r="Q362" s="130">
        <f t="shared" si="102"/>
        <v>1.1775855548379768</v>
      </c>
      <c r="R362" s="91"/>
      <c r="S362" s="132">
        <f t="shared" si="104"/>
        <v>1.0552285544093276</v>
      </c>
      <c r="T362" s="172">
        <f t="shared" si="106"/>
        <v>11</v>
      </c>
    </row>
    <row r="363" spans="1:20" ht="11.25" customHeight="1" x14ac:dyDescent="0.25">
      <c r="A363" s="26" t="s">
        <v>1267</v>
      </c>
      <c r="B363" s="26"/>
      <c r="C363" s="23"/>
      <c r="D363" s="23"/>
      <c r="E363" s="300" t="s">
        <v>361</v>
      </c>
      <c r="F363" s="301"/>
      <c r="G363" s="25">
        <f t="shared" ref="G363:K363" si="120">SUM(G364)</f>
        <v>-464686669</v>
      </c>
      <c r="H363" s="25">
        <f t="shared" si="120"/>
        <v>-527557905.25</v>
      </c>
      <c r="I363" s="25">
        <f t="shared" si="120"/>
        <v>-576979310</v>
      </c>
      <c r="J363" s="25">
        <f t="shared" si="120"/>
        <v>-593022387.00499797</v>
      </c>
      <c r="K363" s="153">
        <f t="shared" si="120"/>
        <v>-619979112.23690295</v>
      </c>
      <c r="N363" s="91">
        <f t="shared" si="99"/>
        <v>42999802.236902952</v>
      </c>
      <c r="O363" s="130">
        <f t="shared" si="100"/>
        <v>1.0745257264717221</v>
      </c>
      <c r="P363" s="91">
        <f t="shared" si="101"/>
        <v>92421206.986902952</v>
      </c>
      <c r="Q363" s="130">
        <f t="shared" si="102"/>
        <v>1.1751868488125607</v>
      </c>
      <c r="R363" s="91"/>
      <c r="S363" s="132">
        <f t="shared" si="104"/>
        <v>1.0454565052224205</v>
      </c>
      <c r="T363" s="172">
        <f t="shared" si="106"/>
        <v>7</v>
      </c>
    </row>
    <row r="364" spans="1:20" ht="11.25" customHeight="1" x14ac:dyDescent="0.25">
      <c r="A364" s="42" t="s">
        <v>1268</v>
      </c>
      <c r="B364" s="20" t="s">
        <v>1432</v>
      </c>
      <c r="C364" s="20" t="s">
        <v>920</v>
      </c>
      <c r="D364" s="20" t="s">
        <v>1244</v>
      </c>
      <c r="E364" s="290" t="s">
        <v>362</v>
      </c>
      <c r="F364" s="291"/>
      <c r="G364" s="11">
        <v>-464686669</v>
      </c>
      <c r="H364" s="11">
        <v>-527557905.25</v>
      </c>
      <c r="I364" s="11">
        <v>-576979310</v>
      </c>
      <c r="J364" s="213">
        <v>-593022387.00499797</v>
      </c>
      <c r="K364" s="155">
        <v>-619979112.23690295</v>
      </c>
      <c r="N364" s="91">
        <f t="shared" si="99"/>
        <v>42999802.236902952</v>
      </c>
      <c r="O364" s="130">
        <f t="shared" si="100"/>
        <v>1.0745257264717221</v>
      </c>
      <c r="P364" s="91">
        <f t="shared" si="101"/>
        <v>92421206.986902952</v>
      </c>
      <c r="Q364" s="130">
        <f t="shared" si="102"/>
        <v>1.1751868488125607</v>
      </c>
      <c r="R364" s="91"/>
      <c r="S364" s="132">
        <f t="shared" si="104"/>
        <v>1.0454565052224205</v>
      </c>
      <c r="T364" s="172">
        <f t="shared" si="106"/>
        <v>11</v>
      </c>
    </row>
    <row r="365" spans="1:20" ht="11.25" customHeight="1" x14ac:dyDescent="0.25">
      <c r="A365" s="26" t="s">
        <v>1269</v>
      </c>
      <c r="B365" s="26"/>
      <c r="C365" s="23"/>
      <c r="D365" s="23"/>
      <c r="E365" s="300" t="s">
        <v>363</v>
      </c>
      <c r="F365" s="301"/>
      <c r="G365" s="25">
        <f t="shared" ref="G365:K365" si="121">SUM(G366)</f>
        <v>41132</v>
      </c>
      <c r="H365" s="25">
        <f t="shared" si="121"/>
        <v>52044.51</v>
      </c>
      <c r="I365" s="25">
        <f t="shared" si="121"/>
        <v>0</v>
      </c>
      <c r="J365" s="139">
        <f t="shared" si="121"/>
        <v>0</v>
      </c>
      <c r="K365" s="153">
        <f t="shared" si="121"/>
        <v>0</v>
      </c>
      <c r="N365" s="91">
        <f t="shared" si="99"/>
        <v>0</v>
      </c>
      <c r="O365" s="130" t="str">
        <f t="shared" si="100"/>
        <v/>
      </c>
      <c r="P365" s="91">
        <f t="shared" si="101"/>
        <v>52044.51</v>
      </c>
      <c r="Q365" s="130">
        <f t="shared" si="102"/>
        <v>0</v>
      </c>
      <c r="R365" s="91"/>
      <c r="S365" s="132" t="str">
        <f t="shared" si="104"/>
        <v/>
      </c>
      <c r="T365" s="172">
        <f t="shared" si="106"/>
        <v>7</v>
      </c>
    </row>
    <row r="366" spans="1:20" ht="11.25" customHeight="1" x14ac:dyDescent="0.25">
      <c r="A366" s="42" t="s">
        <v>1270</v>
      </c>
      <c r="B366" s="20"/>
      <c r="C366" s="20"/>
      <c r="D366" s="20"/>
      <c r="E366" s="290" t="s">
        <v>364</v>
      </c>
      <c r="F366" s="291"/>
      <c r="G366" s="11">
        <v>41132</v>
      </c>
      <c r="H366" s="11">
        <v>52044.51</v>
      </c>
      <c r="I366" s="11">
        <v>0</v>
      </c>
      <c r="J366" s="140">
        <v>0</v>
      </c>
      <c r="K366" s="154"/>
      <c r="N366" s="91">
        <f t="shared" si="99"/>
        <v>0</v>
      </c>
      <c r="O366" s="130" t="str">
        <f t="shared" si="100"/>
        <v/>
      </c>
      <c r="P366" s="91">
        <f t="shared" si="101"/>
        <v>52044.51</v>
      </c>
      <c r="Q366" s="130">
        <f t="shared" si="102"/>
        <v>0</v>
      </c>
      <c r="R366" s="91"/>
      <c r="S366" s="132" t="str">
        <f t="shared" si="104"/>
        <v/>
      </c>
      <c r="T366" s="172">
        <f t="shared" si="106"/>
        <v>11</v>
      </c>
    </row>
    <row r="367" spans="1:20" ht="11.25" customHeight="1" x14ac:dyDescent="0.25">
      <c r="A367" s="26" t="s">
        <v>1271</v>
      </c>
      <c r="B367" s="26"/>
      <c r="C367" s="23"/>
      <c r="D367" s="23"/>
      <c r="E367" s="300" t="s">
        <v>365</v>
      </c>
      <c r="F367" s="301"/>
      <c r="G367" s="25">
        <f t="shared" ref="G367:K367" si="122">SUM(G368)</f>
        <v>114267</v>
      </c>
      <c r="H367" s="25">
        <f t="shared" si="122"/>
        <v>144564.25</v>
      </c>
      <c r="I367" s="25">
        <f t="shared" si="122"/>
        <v>0</v>
      </c>
      <c r="J367" s="139">
        <f t="shared" si="122"/>
        <v>0</v>
      </c>
      <c r="K367" s="153">
        <f t="shared" si="122"/>
        <v>0</v>
      </c>
      <c r="N367" s="91">
        <f t="shared" si="99"/>
        <v>0</v>
      </c>
      <c r="O367" s="130" t="str">
        <f t="shared" si="100"/>
        <v/>
      </c>
      <c r="P367" s="91">
        <f t="shared" si="101"/>
        <v>144564.25</v>
      </c>
      <c r="Q367" s="130">
        <f t="shared" si="102"/>
        <v>0</v>
      </c>
      <c r="R367" s="91"/>
      <c r="S367" s="132" t="str">
        <f t="shared" si="104"/>
        <v/>
      </c>
      <c r="T367" s="172">
        <f t="shared" si="106"/>
        <v>7</v>
      </c>
    </row>
    <row r="368" spans="1:20" ht="11.25" customHeight="1" x14ac:dyDescent="0.25">
      <c r="A368" s="42" t="s">
        <v>1272</v>
      </c>
      <c r="B368" s="20"/>
      <c r="C368" s="20"/>
      <c r="D368" s="20"/>
      <c r="E368" s="290" t="s">
        <v>366</v>
      </c>
      <c r="F368" s="291"/>
      <c r="G368" s="11">
        <v>114267</v>
      </c>
      <c r="H368" s="11">
        <v>144564.25</v>
      </c>
      <c r="I368" s="11">
        <v>0</v>
      </c>
      <c r="J368" s="140">
        <v>0</v>
      </c>
      <c r="K368" s="154"/>
      <c r="N368" s="91">
        <f t="shared" si="99"/>
        <v>0</v>
      </c>
      <c r="O368" s="130" t="str">
        <f t="shared" si="100"/>
        <v/>
      </c>
      <c r="P368" s="91">
        <f t="shared" si="101"/>
        <v>144564.25</v>
      </c>
      <c r="Q368" s="130">
        <f t="shared" si="102"/>
        <v>0</v>
      </c>
      <c r="R368" s="91"/>
      <c r="S368" s="132" t="str">
        <f t="shared" si="104"/>
        <v/>
      </c>
      <c r="T368" s="172">
        <f t="shared" si="106"/>
        <v>11</v>
      </c>
    </row>
    <row r="369" spans="1:20" ht="11.25" customHeight="1" x14ac:dyDescent="0.25">
      <c r="A369" s="26" t="s">
        <v>1273</v>
      </c>
      <c r="B369" s="26"/>
      <c r="C369" s="23"/>
      <c r="D369" s="23"/>
      <c r="E369" s="300" t="s">
        <v>367</v>
      </c>
      <c r="F369" s="301"/>
      <c r="G369" s="25">
        <f t="shared" ref="G369:K369" si="123">SUM(G370:G371)</f>
        <v>-458723.12</v>
      </c>
      <c r="H369" s="25">
        <f t="shared" si="123"/>
        <v>-490579.29</v>
      </c>
      <c r="I369" s="25">
        <f t="shared" si="123"/>
        <v>0</v>
      </c>
      <c r="J369" s="139">
        <f t="shared" si="123"/>
        <v>0</v>
      </c>
      <c r="K369" s="153">
        <f t="shared" si="123"/>
        <v>0</v>
      </c>
      <c r="N369" s="91">
        <f t="shared" si="99"/>
        <v>0</v>
      </c>
      <c r="O369" s="130" t="str">
        <f t="shared" si="100"/>
        <v/>
      </c>
      <c r="P369" s="91">
        <f t="shared" si="101"/>
        <v>-490579.29</v>
      </c>
      <c r="Q369" s="130">
        <f t="shared" si="102"/>
        <v>0</v>
      </c>
      <c r="R369" s="91"/>
      <c r="S369" s="132" t="str">
        <f t="shared" si="104"/>
        <v/>
      </c>
      <c r="T369" s="172">
        <f t="shared" si="106"/>
        <v>7</v>
      </c>
    </row>
    <row r="370" spans="1:20" ht="11.25" customHeight="1" x14ac:dyDescent="0.25">
      <c r="A370" s="42" t="s">
        <v>1274</v>
      </c>
      <c r="B370" s="14"/>
      <c r="C370" s="13"/>
      <c r="D370" s="13"/>
      <c r="E370" s="290" t="s">
        <v>368</v>
      </c>
      <c r="F370" s="291"/>
      <c r="G370" s="11">
        <v>-121426.77</v>
      </c>
      <c r="H370" s="11">
        <v>-129860.17</v>
      </c>
      <c r="I370" s="11">
        <v>0</v>
      </c>
      <c r="J370" s="140">
        <v>0</v>
      </c>
      <c r="K370" s="154"/>
      <c r="N370" s="91">
        <f t="shared" si="99"/>
        <v>0</v>
      </c>
      <c r="O370" s="130" t="str">
        <f t="shared" si="100"/>
        <v/>
      </c>
      <c r="P370" s="91">
        <f t="shared" si="101"/>
        <v>-129860.17</v>
      </c>
      <c r="Q370" s="130">
        <f t="shared" si="102"/>
        <v>0</v>
      </c>
      <c r="R370" s="91"/>
      <c r="S370" s="132" t="str">
        <f t="shared" si="104"/>
        <v/>
      </c>
      <c r="T370" s="172">
        <f t="shared" si="106"/>
        <v>11</v>
      </c>
    </row>
    <row r="371" spans="1:20" ht="11.25" customHeight="1" x14ac:dyDescent="0.25">
      <c r="A371" s="42" t="s">
        <v>1275</v>
      </c>
      <c r="B371" s="14"/>
      <c r="C371" s="13"/>
      <c r="D371" s="13"/>
      <c r="E371" s="290" t="s">
        <v>369</v>
      </c>
      <c r="F371" s="291"/>
      <c r="G371" s="11">
        <v>-337296.35</v>
      </c>
      <c r="H371" s="11">
        <v>-360719.12</v>
      </c>
      <c r="I371" s="11">
        <v>0</v>
      </c>
      <c r="J371" s="140">
        <v>0</v>
      </c>
      <c r="K371" s="154"/>
      <c r="N371" s="91">
        <f t="shared" si="99"/>
        <v>0</v>
      </c>
      <c r="O371" s="130" t="str">
        <f t="shared" si="100"/>
        <v/>
      </c>
      <c r="P371" s="91">
        <f t="shared" si="101"/>
        <v>-360719.12</v>
      </c>
      <c r="Q371" s="130">
        <f t="shared" si="102"/>
        <v>0</v>
      </c>
      <c r="R371" s="91"/>
      <c r="S371" s="132" t="str">
        <f t="shared" si="104"/>
        <v/>
      </c>
      <c r="T371" s="172">
        <f t="shared" si="106"/>
        <v>11</v>
      </c>
    </row>
    <row r="372" spans="1:20" ht="11.25" customHeight="1" x14ac:dyDescent="0.25">
      <c r="A372" s="38" t="s">
        <v>370</v>
      </c>
      <c r="B372" s="38"/>
      <c r="C372" s="22"/>
      <c r="D372" s="22"/>
      <c r="E372" s="296" t="s">
        <v>371</v>
      </c>
      <c r="F372" s="297"/>
      <c r="G372" s="37">
        <f t="shared" ref="G372:K372" si="124">G373</f>
        <v>-7943191</v>
      </c>
      <c r="H372" s="37">
        <f t="shared" si="124"/>
        <v>-8999569</v>
      </c>
      <c r="I372" s="37">
        <f t="shared" si="124"/>
        <v>-9732146.6760000102</v>
      </c>
      <c r="J372" s="37">
        <f t="shared" si="124"/>
        <v>-7161253</v>
      </c>
      <c r="K372" s="152">
        <f t="shared" si="124"/>
        <v>-10473850.231799999</v>
      </c>
      <c r="N372" s="190">
        <f t="shared" si="99"/>
        <v>741703.55579998903</v>
      </c>
      <c r="O372" s="191">
        <f t="shared" si="100"/>
        <v>1.0762117116081973</v>
      </c>
      <c r="P372" s="190">
        <f t="shared" si="101"/>
        <v>1474281.2317999993</v>
      </c>
      <c r="Q372" s="191">
        <f t="shared" si="102"/>
        <v>1.1638168707634775</v>
      </c>
      <c r="R372" s="190">
        <f t="shared" si="116"/>
        <v>3312597.2317999993</v>
      </c>
      <c r="S372" s="192">
        <f t="shared" si="104"/>
        <v>1.4625722945132646</v>
      </c>
      <c r="T372" s="172">
        <f t="shared" si="106"/>
        <v>4</v>
      </c>
    </row>
    <row r="373" spans="1:20" ht="11.25" customHeight="1" x14ac:dyDescent="0.25">
      <c r="A373" s="26" t="s">
        <v>1276</v>
      </c>
      <c r="B373" s="26"/>
      <c r="C373" s="23"/>
      <c r="D373" s="23"/>
      <c r="E373" s="300" t="s">
        <v>372</v>
      </c>
      <c r="F373" s="301"/>
      <c r="G373" s="25">
        <f t="shared" ref="G373:K373" si="125">SUM(G374:G375)</f>
        <v>-7943191</v>
      </c>
      <c r="H373" s="25">
        <f t="shared" si="125"/>
        <v>-8999569</v>
      </c>
      <c r="I373" s="25">
        <f t="shared" si="125"/>
        <v>-9732146.6760000102</v>
      </c>
      <c r="J373" s="139">
        <f t="shared" si="125"/>
        <v>-7161253</v>
      </c>
      <c r="K373" s="153">
        <f t="shared" si="125"/>
        <v>-10473850.231799999</v>
      </c>
      <c r="N373" s="91">
        <f t="shared" si="99"/>
        <v>741703.55579998903</v>
      </c>
      <c r="O373" s="130">
        <f t="shared" si="100"/>
        <v>1.0762117116081973</v>
      </c>
      <c r="P373" s="91">
        <f t="shared" si="101"/>
        <v>1474281.2317999993</v>
      </c>
      <c r="Q373" s="130">
        <f t="shared" si="102"/>
        <v>1.1638168707634775</v>
      </c>
      <c r="R373" s="91"/>
      <c r="S373" s="132">
        <f t="shared" si="104"/>
        <v>1.4625722945132646</v>
      </c>
      <c r="T373" s="172">
        <f t="shared" si="106"/>
        <v>7</v>
      </c>
    </row>
    <row r="374" spans="1:20" ht="11.25" customHeight="1" x14ac:dyDescent="0.25">
      <c r="A374" s="42" t="s">
        <v>1277</v>
      </c>
      <c r="B374" s="20" t="s">
        <v>1432</v>
      </c>
      <c r="C374" s="20" t="s">
        <v>920</v>
      </c>
      <c r="D374" s="20" t="s">
        <v>1244</v>
      </c>
      <c r="E374" s="290" t="s">
        <v>373</v>
      </c>
      <c r="F374" s="291"/>
      <c r="G374" s="11">
        <v>-7943191</v>
      </c>
      <c r="H374" s="11">
        <v>-8999569</v>
      </c>
      <c r="I374" s="11">
        <v>-9732146.6760000102</v>
      </c>
      <c r="J374" s="213">
        <v>-7161253</v>
      </c>
      <c r="K374" s="155">
        <v>-10473850.231799999</v>
      </c>
      <c r="N374" s="91">
        <f t="shared" si="99"/>
        <v>741703.55579998903</v>
      </c>
      <c r="O374" s="130">
        <f t="shared" si="100"/>
        <v>1.0762117116081973</v>
      </c>
      <c r="P374" s="91">
        <f t="shared" si="101"/>
        <v>1474281.2317999993</v>
      </c>
      <c r="Q374" s="130">
        <f t="shared" si="102"/>
        <v>1.1638168707634775</v>
      </c>
      <c r="R374" s="91"/>
      <c r="S374" s="132">
        <f t="shared" si="104"/>
        <v>1.4625722945132646</v>
      </c>
      <c r="T374" s="172">
        <f t="shared" si="106"/>
        <v>11</v>
      </c>
    </row>
    <row r="375" spans="1:20" ht="11.25" customHeight="1" x14ac:dyDescent="0.25">
      <c r="A375" s="42" t="s">
        <v>1662</v>
      </c>
      <c r="B375" s="21" t="s">
        <v>1432</v>
      </c>
      <c r="C375" s="21" t="s">
        <v>920</v>
      </c>
      <c r="D375" s="21" t="s">
        <v>1245</v>
      </c>
      <c r="E375" s="292" t="s">
        <v>1663</v>
      </c>
      <c r="F375" s="293"/>
      <c r="G375" s="19"/>
      <c r="H375" s="19"/>
      <c r="I375" s="19"/>
      <c r="J375" s="141">
        <v>0</v>
      </c>
      <c r="K375" s="188"/>
      <c r="N375" s="91">
        <f t="shared" si="99"/>
        <v>0</v>
      </c>
      <c r="O375" s="130" t="str">
        <f t="shared" si="100"/>
        <v/>
      </c>
      <c r="P375" s="91">
        <f t="shared" si="101"/>
        <v>0</v>
      </c>
      <c r="Q375" s="130" t="str">
        <f t="shared" si="102"/>
        <v/>
      </c>
      <c r="R375" s="91"/>
      <c r="S375" s="132" t="str">
        <f t="shared" si="104"/>
        <v/>
      </c>
      <c r="T375" s="172">
        <f t="shared" si="106"/>
        <v>11</v>
      </c>
    </row>
    <row r="376" spans="1:20" ht="11.25" customHeight="1" x14ac:dyDescent="0.25">
      <c r="A376" s="38" t="s">
        <v>374</v>
      </c>
      <c r="B376" s="36"/>
      <c r="C376" s="22"/>
      <c r="D376" s="22"/>
      <c r="E376" s="296" t="s">
        <v>375</v>
      </c>
      <c r="F376" s="297"/>
      <c r="G376" s="37">
        <v>0</v>
      </c>
      <c r="H376" s="37">
        <v>0</v>
      </c>
      <c r="I376" s="37">
        <v>0</v>
      </c>
      <c r="J376" s="142">
        <v>0</v>
      </c>
      <c r="K376" s="160">
        <f t="shared" si="115"/>
        <v>0</v>
      </c>
      <c r="N376" s="190">
        <f t="shared" si="99"/>
        <v>0</v>
      </c>
      <c r="O376" s="191" t="str">
        <f t="shared" si="100"/>
        <v/>
      </c>
      <c r="P376" s="190">
        <f t="shared" si="101"/>
        <v>0</v>
      </c>
      <c r="Q376" s="191" t="str">
        <f t="shared" si="102"/>
        <v/>
      </c>
      <c r="R376" s="190">
        <f t="shared" si="116"/>
        <v>0</v>
      </c>
      <c r="S376" s="192" t="str">
        <f t="shared" si="104"/>
        <v/>
      </c>
      <c r="T376" s="172">
        <f t="shared" si="106"/>
        <v>4</v>
      </c>
    </row>
    <row r="377" spans="1:20" ht="11.25" customHeight="1" x14ac:dyDescent="0.25">
      <c r="A377" s="38" t="s">
        <v>376</v>
      </c>
      <c r="B377" s="36"/>
      <c r="C377" s="22"/>
      <c r="D377" s="22"/>
      <c r="E377" s="296" t="s">
        <v>377</v>
      </c>
      <c r="F377" s="297"/>
      <c r="G377" s="37">
        <f t="shared" ref="G377:K377" si="126">G378+G380+G382</f>
        <v>-37491992.759999998</v>
      </c>
      <c r="H377" s="37">
        <f t="shared" si="126"/>
        <v>-42437534.490000002</v>
      </c>
      <c r="I377" s="37">
        <f t="shared" si="126"/>
        <v>-47051450</v>
      </c>
      <c r="J377" s="37">
        <f t="shared" si="126"/>
        <v>-47980334.475600101</v>
      </c>
      <c r="K377" s="152">
        <f t="shared" si="126"/>
        <v>-50657591.769400097</v>
      </c>
      <c r="N377" s="190">
        <f t="shared" si="99"/>
        <v>3606141.7694000974</v>
      </c>
      <c r="O377" s="191">
        <f t="shared" si="100"/>
        <v>1.0766425215248434</v>
      </c>
      <c r="P377" s="190">
        <f t="shared" si="101"/>
        <v>8220057.2794000953</v>
      </c>
      <c r="Q377" s="191">
        <f t="shared" si="102"/>
        <v>1.1936978049782103</v>
      </c>
      <c r="R377" s="190">
        <f t="shared" si="116"/>
        <v>2677257.2937999964</v>
      </c>
      <c r="S377" s="192">
        <f t="shared" si="104"/>
        <v>1.0557990544055396</v>
      </c>
      <c r="T377" s="172">
        <f t="shared" si="106"/>
        <v>4</v>
      </c>
    </row>
    <row r="378" spans="1:20" ht="11.25" customHeight="1" x14ac:dyDescent="0.25">
      <c r="A378" s="26" t="s">
        <v>1278</v>
      </c>
      <c r="B378" s="26"/>
      <c r="C378" s="23"/>
      <c r="D378" s="23"/>
      <c r="E378" s="300" t="s">
        <v>378</v>
      </c>
      <c r="F378" s="301"/>
      <c r="G378" s="25">
        <f t="shared" ref="G378:K378" si="127">SUM(G379)</f>
        <v>27082.23</v>
      </c>
      <c r="H378" s="25">
        <f t="shared" si="127"/>
        <v>28780.69</v>
      </c>
      <c r="I378" s="25">
        <f t="shared" si="127"/>
        <v>0</v>
      </c>
      <c r="J378" s="139">
        <f t="shared" si="127"/>
        <v>0</v>
      </c>
      <c r="K378" s="153">
        <f t="shared" si="127"/>
        <v>0</v>
      </c>
      <c r="N378" s="91">
        <f t="shared" si="99"/>
        <v>0</v>
      </c>
      <c r="O378" s="130" t="str">
        <f t="shared" si="100"/>
        <v/>
      </c>
      <c r="P378" s="91">
        <f t="shared" si="101"/>
        <v>28780.69</v>
      </c>
      <c r="Q378" s="130">
        <f t="shared" si="102"/>
        <v>0</v>
      </c>
      <c r="R378" s="91"/>
      <c r="S378" s="132" t="str">
        <f t="shared" si="104"/>
        <v/>
      </c>
      <c r="T378" s="172">
        <f t="shared" si="106"/>
        <v>7</v>
      </c>
    </row>
    <row r="379" spans="1:20" ht="11.25" customHeight="1" x14ac:dyDescent="0.25">
      <c r="A379" s="42" t="s">
        <v>1279</v>
      </c>
      <c r="B379" s="14"/>
      <c r="C379" s="13"/>
      <c r="D379" s="13"/>
      <c r="E379" s="290" t="s">
        <v>379</v>
      </c>
      <c r="F379" s="291"/>
      <c r="G379" s="11">
        <v>27082.23</v>
      </c>
      <c r="H379" s="11">
        <v>28780.69</v>
      </c>
      <c r="I379" s="11">
        <v>0</v>
      </c>
      <c r="J379" s="140">
        <v>0</v>
      </c>
      <c r="K379" s="154"/>
      <c r="N379" s="91">
        <f t="shared" si="99"/>
        <v>0</v>
      </c>
      <c r="O379" s="130" t="str">
        <f t="shared" si="100"/>
        <v/>
      </c>
      <c r="P379" s="91">
        <f t="shared" si="101"/>
        <v>28780.69</v>
      </c>
      <c r="Q379" s="130">
        <f t="shared" si="102"/>
        <v>0</v>
      </c>
      <c r="R379" s="91"/>
      <c r="S379" s="132" t="str">
        <f t="shared" si="104"/>
        <v/>
      </c>
      <c r="T379" s="172">
        <f t="shared" si="106"/>
        <v>11</v>
      </c>
    </row>
    <row r="380" spans="1:20" ht="11.25" customHeight="1" x14ac:dyDescent="0.25">
      <c r="A380" s="26" t="s">
        <v>1280</v>
      </c>
      <c r="B380" s="26"/>
      <c r="C380" s="23"/>
      <c r="D380" s="23"/>
      <c r="E380" s="300" t="s">
        <v>380</v>
      </c>
      <c r="F380" s="301"/>
      <c r="G380" s="25">
        <f t="shared" ref="G380:K380" si="128">SUM(G381)</f>
        <v>-37491992.759999998</v>
      </c>
      <c r="H380" s="25">
        <f t="shared" si="128"/>
        <v>-42437534.490000002</v>
      </c>
      <c r="I380" s="25">
        <f t="shared" si="128"/>
        <v>-47051450</v>
      </c>
      <c r="J380" s="25">
        <f t="shared" si="128"/>
        <v>-47980334.475600101</v>
      </c>
      <c r="K380" s="153">
        <f t="shared" si="128"/>
        <v>-50657591.769400097</v>
      </c>
      <c r="N380" s="91">
        <f t="shared" si="99"/>
        <v>3606141.7694000974</v>
      </c>
      <c r="O380" s="130">
        <f t="shared" si="100"/>
        <v>1.0766425215248434</v>
      </c>
      <c r="P380" s="91">
        <f t="shared" si="101"/>
        <v>8220057.2794000953</v>
      </c>
      <c r="Q380" s="130">
        <f t="shared" si="102"/>
        <v>1.1936978049782103</v>
      </c>
      <c r="R380" s="91"/>
      <c r="S380" s="132">
        <f t="shared" si="104"/>
        <v>1.0557990544055396</v>
      </c>
      <c r="T380" s="172">
        <f t="shared" si="106"/>
        <v>7</v>
      </c>
    </row>
    <row r="381" spans="1:20" ht="11.25" customHeight="1" x14ac:dyDescent="0.25">
      <c r="A381" s="42" t="s">
        <v>1281</v>
      </c>
      <c r="B381" s="20" t="s">
        <v>1432</v>
      </c>
      <c r="C381" s="20" t="s">
        <v>920</v>
      </c>
      <c r="D381" s="20" t="s">
        <v>1244</v>
      </c>
      <c r="E381" s="290" t="s">
        <v>381</v>
      </c>
      <c r="F381" s="291"/>
      <c r="G381" s="11">
        <v>-37491992.759999998</v>
      </c>
      <c r="H381" s="11">
        <v>-42437534.490000002</v>
      </c>
      <c r="I381" s="11">
        <v>-47051450</v>
      </c>
      <c r="J381" s="213">
        <v>-47980334.475600101</v>
      </c>
      <c r="K381" s="155">
        <v>-50657591.769400097</v>
      </c>
      <c r="N381" s="91">
        <f t="shared" si="99"/>
        <v>3606141.7694000974</v>
      </c>
      <c r="O381" s="130">
        <f t="shared" si="100"/>
        <v>1.0766425215248434</v>
      </c>
      <c r="P381" s="91">
        <f t="shared" si="101"/>
        <v>8220057.2794000953</v>
      </c>
      <c r="Q381" s="130">
        <f t="shared" si="102"/>
        <v>1.1936978049782103</v>
      </c>
      <c r="R381" s="91"/>
      <c r="S381" s="132">
        <f t="shared" si="104"/>
        <v>1.0557990544055396</v>
      </c>
      <c r="T381" s="172">
        <f t="shared" si="106"/>
        <v>11</v>
      </c>
    </row>
    <row r="382" spans="1:20" ht="11.25" customHeight="1" x14ac:dyDescent="0.25">
      <c r="A382" s="26" t="s">
        <v>1282</v>
      </c>
      <c r="B382" s="26"/>
      <c r="C382" s="23"/>
      <c r="D382" s="23"/>
      <c r="E382" s="300" t="s">
        <v>382</v>
      </c>
      <c r="F382" s="301"/>
      <c r="G382" s="25">
        <f t="shared" ref="G382:K382" si="129">SUM(G383)</f>
        <v>-27082.23</v>
      </c>
      <c r="H382" s="25">
        <f t="shared" si="129"/>
        <v>-28780.69</v>
      </c>
      <c r="I382" s="25">
        <f t="shared" si="129"/>
        <v>0</v>
      </c>
      <c r="J382" s="139">
        <f t="shared" si="129"/>
        <v>0</v>
      </c>
      <c r="K382" s="153">
        <f t="shared" si="129"/>
        <v>0</v>
      </c>
      <c r="N382" s="91">
        <f t="shared" si="99"/>
        <v>0</v>
      </c>
      <c r="O382" s="130" t="str">
        <f t="shared" si="100"/>
        <v/>
      </c>
      <c r="P382" s="91">
        <f t="shared" si="101"/>
        <v>-28780.69</v>
      </c>
      <c r="Q382" s="130">
        <f t="shared" si="102"/>
        <v>0</v>
      </c>
      <c r="R382" s="91"/>
      <c r="S382" s="132" t="str">
        <f t="shared" si="104"/>
        <v/>
      </c>
      <c r="T382" s="172">
        <f t="shared" si="106"/>
        <v>7</v>
      </c>
    </row>
    <row r="383" spans="1:20" ht="11.25" customHeight="1" x14ac:dyDescent="0.25">
      <c r="A383" s="42" t="s">
        <v>1283</v>
      </c>
      <c r="B383" s="14"/>
      <c r="C383" s="13"/>
      <c r="D383" s="13"/>
      <c r="E383" s="290" t="s">
        <v>383</v>
      </c>
      <c r="F383" s="291"/>
      <c r="G383" s="11">
        <v>-27082.23</v>
      </c>
      <c r="H383" s="11">
        <v>-28780.69</v>
      </c>
      <c r="I383" s="11">
        <v>0</v>
      </c>
      <c r="J383" s="140">
        <v>0</v>
      </c>
      <c r="K383" s="154"/>
      <c r="N383" s="91">
        <f t="shared" si="99"/>
        <v>0</v>
      </c>
      <c r="O383" s="130" t="str">
        <f t="shared" si="100"/>
        <v/>
      </c>
      <c r="P383" s="91">
        <f t="shared" si="101"/>
        <v>-28780.69</v>
      </c>
      <c r="Q383" s="130">
        <f t="shared" si="102"/>
        <v>0</v>
      </c>
      <c r="R383" s="91"/>
      <c r="S383" s="132" t="str">
        <f t="shared" si="104"/>
        <v/>
      </c>
      <c r="T383" s="172">
        <f t="shared" si="106"/>
        <v>11</v>
      </c>
    </row>
    <row r="384" spans="1:20" ht="11.25" customHeight="1" x14ac:dyDescent="0.25">
      <c r="A384" s="38" t="s">
        <v>384</v>
      </c>
      <c r="B384" s="38"/>
      <c r="C384" s="22"/>
      <c r="D384" s="22"/>
      <c r="E384" s="296" t="s">
        <v>385</v>
      </c>
      <c r="F384" s="297"/>
      <c r="G384" s="37">
        <f t="shared" ref="G384:K384" si="130">G385</f>
        <v>0</v>
      </c>
      <c r="H384" s="37">
        <f t="shared" si="130"/>
        <v>0</v>
      </c>
      <c r="I384" s="37">
        <f t="shared" si="130"/>
        <v>0</v>
      </c>
      <c r="J384" s="37">
        <f t="shared" si="130"/>
        <v>0</v>
      </c>
      <c r="K384" s="152">
        <f t="shared" si="130"/>
        <v>0</v>
      </c>
      <c r="N384" s="190">
        <f t="shared" si="99"/>
        <v>0</v>
      </c>
      <c r="O384" s="191" t="str">
        <f t="shared" si="100"/>
        <v/>
      </c>
      <c r="P384" s="190">
        <f t="shared" si="101"/>
        <v>0</v>
      </c>
      <c r="Q384" s="191" t="str">
        <f t="shared" si="102"/>
        <v/>
      </c>
      <c r="R384" s="190">
        <f t="shared" si="116"/>
        <v>0</v>
      </c>
      <c r="S384" s="192" t="str">
        <f t="shared" si="104"/>
        <v/>
      </c>
      <c r="T384" s="172">
        <f t="shared" si="106"/>
        <v>4</v>
      </c>
    </row>
    <row r="385" spans="1:20" ht="11.25" customHeight="1" x14ac:dyDescent="0.25">
      <c r="A385" s="26" t="s">
        <v>1284</v>
      </c>
      <c r="B385" s="26"/>
      <c r="C385" s="23"/>
      <c r="D385" s="23"/>
      <c r="E385" s="300" t="s">
        <v>386</v>
      </c>
      <c r="F385" s="301"/>
      <c r="G385" s="25">
        <f t="shared" ref="G385:K385" si="131">SUM(G386:G387)</f>
        <v>0</v>
      </c>
      <c r="H385" s="25">
        <f t="shared" si="131"/>
        <v>0</v>
      </c>
      <c r="I385" s="25">
        <f t="shared" si="131"/>
        <v>0</v>
      </c>
      <c r="J385" s="139">
        <f t="shared" si="131"/>
        <v>0</v>
      </c>
      <c r="K385" s="153">
        <f t="shared" si="131"/>
        <v>0</v>
      </c>
      <c r="N385" s="91">
        <f t="shared" si="99"/>
        <v>0</v>
      </c>
      <c r="O385" s="130" t="str">
        <f t="shared" si="100"/>
        <v/>
      </c>
      <c r="P385" s="91">
        <f t="shared" si="101"/>
        <v>0</v>
      </c>
      <c r="Q385" s="130" t="str">
        <f t="shared" si="102"/>
        <v/>
      </c>
      <c r="R385" s="91"/>
      <c r="S385" s="132" t="str">
        <f t="shared" si="104"/>
        <v/>
      </c>
      <c r="T385" s="172">
        <f t="shared" si="106"/>
        <v>7</v>
      </c>
    </row>
    <row r="386" spans="1:20" ht="11.25" customHeight="1" x14ac:dyDescent="0.25">
      <c r="A386" s="42" t="s">
        <v>1657</v>
      </c>
      <c r="B386" s="21" t="s">
        <v>1432</v>
      </c>
      <c r="C386" s="21" t="s">
        <v>920</v>
      </c>
      <c r="D386" s="21" t="s">
        <v>1244</v>
      </c>
      <c r="E386" s="292" t="s">
        <v>1658</v>
      </c>
      <c r="F386" s="293"/>
      <c r="G386" s="19"/>
      <c r="H386" s="19"/>
      <c r="I386" s="19"/>
      <c r="J386" s="141">
        <v>0</v>
      </c>
      <c r="K386" s="188"/>
      <c r="N386" s="91">
        <f t="shared" si="99"/>
        <v>0</v>
      </c>
      <c r="O386" s="130" t="str">
        <f t="shared" si="100"/>
        <v/>
      </c>
      <c r="P386" s="91">
        <f t="shared" si="101"/>
        <v>0</v>
      </c>
      <c r="Q386" s="130" t="str">
        <f t="shared" si="102"/>
        <v/>
      </c>
      <c r="R386" s="91"/>
      <c r="S386" s="132" t="str">
        <f t="shared" si="104"/>
        <v/>
      </c>
      <c r="T386" s="172">
        <f t="shared" si="106"/>
        <v>11</v>
      </c>
    </row>
    <row r="387" spans="1:20" ht="11.25" customHeight="1" x14ac:dyDescent="0.25">
      <c r="A387" s="42" t="s">
        <v>1285</v>
      </c>
      <c r="B387" s="20" t="s">
        <v>1432</v>
      </c>
      <c r="C387" s="20" t="s">
        <v>920</v>
      </c>
      <c r="D387" s="20" t="s">
        <v>1244</v>
      </c>
      <c r="E387" s="290" t="s">
        <v>387</v>
      </c>
      <c r="F387" s="291"/>
      <c r="G387" s="11">
        <v>0</v>
      </c>
      <c r="H387" s="11">
        <v>0</v>
      </c>
      <c r="I387" s="11">
        <v>0</v>
      </c>
      <c r="J387" s="140">
        <v>0</v>
      </c>
      <c r="K387" s="154"/>
      <c r="N387" s="91">
        <f t="shared" si="99"/>
        <v>0</v>
      </c>
      <c r="O387" s="130" t="str">
        <f t="shared" si="100"/>
        <v/>
      </c>
      <c r="P387" s="91">
        <f t="shared" si="101"/>
        <v>0</v>
      </c>
      <c r="Q387" s="130" t="str">
        <f t="shared" si="102"/>
        <v/>
      </c>
      <c r="R387" s="91"/>
      <c r="S387" s="132" t="str">
        <f t="shared" si="104"/>
        <v/>
      </c>
      <c r="T387" s="172">
        <f t="shared" si="106"/>
        <v>11</v>
      </c>
    </row>
    <row r="388" spans="1:20" ht="11.25" customHeight="1" x14ac:dyDescent="0.25">
      <c r="A388" s="41" t="s">
        <v>388</v>
      </c>
      <c r="B388" s="41"/>
      <c r="C388" s="40"/>
      <c r="D388" s="40"/>
      <c r="E388" s="298" t="s">
        <v>389</v>
      </c>
      <c r="F388" s="299"/>
      <c r="G388" s="43">
        <f t="shared" ref="G388:K388" si="132">G389+G392+G395</f>
        <v>-201467.57</v>
      </c>
      <c r="H388" s="43">
        <f t="shared" si="132"/>
        <v>-215133.12</v>
      </c>
      <c r="I388" s="43">
        <f t="shared" si="132"/>
        <v>-230633.58489129998</v>
      </c>
      <c r="J388" s="43">
        <f t="shared" si="132"/>
        <v>-64514</v>
      </c>
      <c r="K388" s="151">
        <f t="shared" si="132"/>
        <v>-221000</v>
      </c>
      <c r="N388" s="91">
        <f t="shared" si="99"/>
        <v>-9633.5848912999791</v>
      </c>
      <c r="O388" s="130">
        <f t="shared" si="100"/>
        <v>0.95822991306387406</v>
      </c>
      <c r="P388" s="91">
        <f t="shared" si="101"/>
        <v>5866.8800000000047</v>
      </c>
      <c r="Q388" s="130">
        <f t="shared" si="102"/>
        <v>1.027270928809102</v>
      </c>
      <c r="R388" s="91"/>
      <c r="S388" s="132">
        <f t="shared" si="104"/>
        <v>3.4256130452304925</v>
      </c>
      <c r="T388" s="172">
        <f t="shared" si="106"/>
        <v>3</v>
      </c>
    </row>
    <row r="389" spans="1:20" ht="11.25" customHeight="1" x14ac:dyDescent="0.25">
      <c r="A389" s="38" t="s">
        <v>390</v>
      </c>
      <c r="B389" s="36"/>
      <c r="C389" s="22"/>
      <c r="D389" s="22"/>
      <c r="E389" s="296" t="s">
        <v>391</v>
      </c>
      <c r="F389" s="297"/>
      <c r="G389" s="37">
        <f t="shared" ref="G389:K389" si="133">G390</f>
        <v>-95037</v>
      </c>
      <c r="H389" s="37">
        <f t="shared" si="133"/>
        <v>-98598</v>
      </c>
      <c r="I389" s="37">
        <f t="shared" si="133"/>
        <v>-95633.584891323</v>
      </c>
      <c r="J389" s="37">
        <f t="shared" si="133"/>
        <v>0</v>
      </c>
      <c r="K389" s="152">
        <f t="shared" si="133"/>
        <v>-110000</v>
      </c>
      <c r="N389" s="190">
        <f t="shared" si="99"/>
        <v>14366.415108677</v>
      </c>
      <c r="O389" s="191">
        <f t="shared" si="100"/>
        <v>1.1502235341799938</v>
      </c>
      <c r="P389" s="190">
        <f t="shared" si="101"/>
        <v>11402</v>
      </c>
      <c r="Q389" s="191">
        <f t="shared" si="102"/>
        <v>1.1156412908983955</v>
      </c>
      <c r="R389" s="190">
        <f t="shared" si="116"/>
        <v>110000</v>
      </c>
      <c r="S389" s="192" t="str">
        <f t="shared" si="104"/>
        <v/>
      </c>
      <c r="T389" s="172">
        <f t="shared" si="106"/>
        <v>4</v>
      </c>
    </row>
    <row r="390" spans="1:20" ht="11.25" customHeight="1" x14ac:dyDescent="0.25">
      <c r="A390" s="26" t="s">
        <v>1286</v>
      </c>
      <c r="B390" s="26"/>
      <c r="C390" s="23"/>
      <c r="D390" s="23"/>
      <c r="E390" s="300" t="s">
        <v>392</v>
      </c>
      <c r="F390" s="301"/>
      <c r="G390" s="25">
        <f t="shared" ref="G390:K390" si="134">SUM(G391)</f>
        <v>-95037</v>
      </c>
      <c r="H390" s="25">
        <f t="shared" si="134"/>
        <v>-98598</v>
      </c>
      <c r="I390" s="25">
        <f t="shared" si="134"/>
        <v>-95633.584891323</v>
      </c>
      <c r="J390" s="139">
        <f t="shared" si="134"/>
        <v>0</v>
      </c>
      <c r="K390" s="153">
        <f t="shared" si="134"/>
        <v>-110000</v>
      </c>
      <c r="N390" s="91">
        <f t="shared" si="99"/>
        <v>14366.415108677</v>
      </c>
      <c r="O390" s="130">
        <f t="shared" si="100"/>
        <v>1.1502235341799938</v>
      </c>
      <c r="P390" s="91">
        <f t="shared" si="101"/>
        <v>11402</v>
      </c>
      <c r="Q390" s="130">
        <f t="shared" si="102"/>
        <v>1.1156412908983955</v>
      </c>
      <c r="R390" s="91"/>
      <c r="S390" s="132" t="str">
        <f t="shared" si="104"/>
        <v/>
      </c>
      <c r="T390" s="172">
        <f t="shared" si="106"/>
        <v>7</v>
      </c>
    </row>
    <row r="391" spans="1:20" ht="11.25" customHeight="1" x14ac:dyDescent="0.25">
      <c r="A391" s="42" t="s">
        <v>1287</v>
      </c>
      <c r="B391" s="27" t="s">
        <v>916</v>
      </c>
      <c r="C391" s="28" t="s">
        <v>923</v>
      </c>
      <c r="D391" s="28" t="s">
        <v>1643</v>
      </c>
      <c r="E391" s="290" t="s">
        <v>393</v>
      </c>
      <c r="F391" s="291"/>
      <c r="G391" s="11">
        <v>-95037</v>
      </c>
      <c r="H391" s="11">
        <v>-98598</v>
      </c>
      <c r="I391" s="11">
        <v>-95633.584891323</v>
      </c>
      <c r="J391" s="140">
        <v>0</v>
      </c>
      <c r="K391" s="155">
        <v>-110000</v>
      </c>
      <c r="N391" s="91">
        <f t="shared" si="99"/>
        <v>14366.415108677</v>
      </c>
      <c r="O391" s="130">
        <f t="shared" si="100"/>
        <v>1.1502235341799938</v>
      </c>
      <c r="P391" s="91">
        <f t="shared" si="101"/>
        <v>11402</v>
      </c>
      <c r="Q391" s="130">
        <f t="shared" si="102"/>
        <v>1.1156412908983955</v>
      </c>
      <c r="R391" s="91"/>
      <c r="S391" s="132" t="str">
        <f t="shared" si="104"/>
        <v/>
      </c>
      <c r="T391" s="172">
        <f t="shared" si="106"/>
        <v>11</v>
      </c>
    </row>
    <row r="392" spans="1:20" ht="11.25" customHeight="1" x14ac:dyDescent="0.25">
      <c r="A392" s="38" t="s">
        <v>394</v>
      </c>
      <c r="B392" s="38"/>
      <c r="C392" s="22"/>
      <c r="D392" s="22"/>
      <c r="E392" s="296" t="s">
        <v>395</v>
      </c>
      <c r="F392" s="297"/>
      <c r="G392" s="37">
        <f t="shared" ref="G392:K392" si="135">G393</f>
        <v>-87528</v>
      </c>
      <c r="H392" s="37">
        <f t="shared" si="135"/>
        <v>-84880</v>
      </c>
      <c r="I392" s="37">
        <f t="shared" si="135"/>
        <v>-110000.000000001</v>
      </c>
      <c r="J392" s="37">
        <f t="shared" si="135"/>
        <v>0</v>
      </c>
      <c r="K392" s="152">
        <f t="shared" si="135"/>
        <v>-86000</v>
      </c>
      <c r="N392" s="190">
        <f t="shared" si="99"/>
        <v>-24000.000000001004</v>
      </c>
      <c r="O392" s="191">
        <f t="shared" si="100"/>
        <v>0.78181818181817464</v>
      </c>
      <c r="P392" s="190">
        <f t="shared" si="101"/>
        <v>1120</v>
      </c>
      <c r="Q392" s="191">
        <f t="shared" si="102"/>
        <v>1.0131950989632421</v>
      </c>
      <c r="R392" s="190">
        <f t="shared" si="116"/>
        <v>86000</v>
      </c>
      <c r="S392" s="192" t="str">
        <f t="shared" si="104"/>
        <v/>
      </c>
      <c r="T392" s="172">
        <f t="shared" si="106"/>
        <v>4</v>
      </c>
    </row>
    <row r="393" spans="1:20" ht="11.25" customHeight="1" x14ac:dyDescent="0.25">
      <c r="A393" s="26" t="s">
        <v>1288</v>
      </c>
      <c r="B393" s="24"/>
      <c r="C393" s="23"/>
      <c r="D393" s="23"/>
      <c r="E393" s="300" t="s">
        <v>396</v>
      </c>
      <c r="F393" s="301"/>
      <c r="G393" s="25">
        <f t="shared" ref="G393:K393" si="136">SUM(G394)</f>
        <v>-87528</v>
      </c>
      <c r="H393" s="25">
        <f t="shared" si="136"/>
        <v>-84880</v>
      </c>
      <c r="I393" s="25">
        <f t="shared" si="136"/>
        <v>-110000.000000001</v>
      </c>
      <c r="J393" s="139">
        <f t="shared" si="136"/>
        <v>0</v>
      </c>
      <c r="K393" s="153">
        <f t="shared" si="136"/>
        <v>-86000</v>
      </c>
      <c r="N393" s="91">
        <f t="shared" si="99"/>
        <v>-24000.000000001004</v>
      </c>
      <c r="O393" s="130">
        <f t="shared" si="100"/>
        <v>0.78181818181817464</v>
      </c>
      <c r="P393" s="91">
        <f t="shared" si="101"/>
        <v>1120</v>
      </c>
      <c r="Q393" s="130">
        <f t="shared" si="102"/>
        <v>1.0131950989632421</v>
      </c>
      <c r="R393" s="91"/>
      <c r="S393" s="132" t="str">
        <f t="shared" si="104"/>
        <v/>
      </c>
      <c r="T393" s="172">
        <f t="shared" si="106"/>
        <v>7</v>
      </c>
    </row>
    <row r="394" spans="1:20" ht="11.25" customHeight="1" x14ac:dyDescent="0.25">
      <c r="A394" s="42" t="s">
        <v>1289</v>
      </c>
      <c r="B394" s="27" t="s">
        <v>916</v>
      </c>
      <c r="C394" s="28" t="s">
        <v>923</v>
      </c>
      <c r="D394" s="28" t="s">
        <v>1643</v>
      </c>
      <c r="E394" s="290" t="s">
        <v>397</v>
      </c>
      <c r="F394" s="291"/>
      <c r="G394" s="11">
        <v>-87528</v>
      </c>
      <c r="H394" s="11">
        <v>-84880</v>
      </c>
      <c r="I394" s="11">
        <v>-110000.000000001</v>
      </c>
      <c r="J394" s="140">
        <v>0</v>
      </c>
      <c r="K394" s="155">
        <v>-86000</v>
      </c>
      <c r="N394" s="91">
        <f t="shared" si="99"/>
        <v>-24000.000000001004</v>
      </c>
      <c r="O394" s="130">
        <f t="shared" si="100"/>
        <v>0.78181818181817464</v>
      </c>
      <c r="P394" s="91">
        <f t="shared" si="101"/>
        <v>1120</v>
      </c>
      <c r="Q394" s="130">
        <f t="shared" si="102"/>
        <v>1.0131950989632421</v>
      </c>
      <c r="R394" s="91"/>
      <c r="S394" s="132" t="str">
        <f t="shared" si="104"/>
        <v/>
      </c>
      <c r="T394" s="172">
        <f t="shared" si="106"/>
        <v>11</v>
      </c>
    </row>
    <row r="395" spans="1:20" ht="11.25" customHeight="1" x14ac:dyDescent="0.25">
      <c r="A395" s="38" t="s">
        <v>398</v>
      </c>
      <c r="B395" s="38"/>
      <c r="C395" s="22"/>
      <c r="D395" s="22"/>
      <c r="E395" s="296" t="s">
        <v>399</v>
      </c>
      <c r="F395" s="297"/>
      <c r="G395" s="37">
        <f t="shared" ref="G395:K395" si="137">G396</f>
        <v>-18902.57</v>
      </c>
      <c r="H395" s="37">
        <f t="shared" si="137"/>
        <v>-31655.120000000003</v>
      </c>
      <c r="I395" s="37">
        <f t="shared" si="137"/>
        <v>-24999.999999976</v>
      </c>
      <c r="J395" s="138">
        <v>-64514</v>
      </c>
      <c r="K395" s="152">
        <f t="shared" si="137"/>
        <v>-25000</v>
      </c>
      <c r="N395" s="190">
        <f t="shared" ref="N395:N458" si="138">-K395+I395</f>
        <v>2.399974619038403E-8</v>
      </c>
      <c r="O395" s="191">
        <f t="shared" ref="O395:O458" si="139">IF(I395=0,"",K395/I395)</f>
        <v>1.0000000000009599</v>
      </c>
      <c r="P395" s="190">
        <f t="shared" ref="P395:P458" si="140">-K395+H395</f>
        <v>-6655.1200000000026</v>
      </c>
      <c r="Q395" s="191">
        <f t="shared" ref="Q395:Q458" si="141">IF(H395=0,"",K395/H395)</f>
        <v>0.78976165625023687</v>
      </c>
      <c r="R395" s="190">
        <f t="shared" si="116"/>
        <v>-39514</v>
      </c>
      <c r="S395" s="192">
        <f t="shared" si="104"/>
        <v>0.38751278792200144</v>
      </c>
      <c r="T395" s="172">
        <f t="shared" si="106"/>
        <v>4</v>
      </c>
    </row>
    <row r="396" spans="1:20" ht="11.25" customHeight="1" x14ac:dyDescent="0.25">
      <c r="A396" s="26" t="s">
        <v>1290</v>
      </c>
      <c r="B396" s="26"/>
      <c r="C396" s="23"/>
      <c r="D396" s="23"/>
      <c r="E396" s="300" t="s">
        <v>400</v>
      </c>
      <c r="F396" s="301"/>
      <c r="G396" s="25">
        <f t="shared" ref="G396:K396" si="142">SUM(G397:G401)</f>
        <v>-18902.57</v>
      </c>
      <c r="H396" s="25">
        <f t="shared" si="142"/>
        <v>-31655.120000000003</v>
      </c>
      <c r="I396" s="25">
        <f t="shared" si="142"/>
        <v>-24999.999999976</v>
      </c>
      <c r="J396" s="139">
        <f t="shared" si="142"/>
        <v>0</v>
      </c>
      <c r="K396" s="153">
        <f t="shared" si="142"/>
        <v>-25000</v>
      </c>
      <c r="N396" s="91">
        <f t="shared" si="138"/>
        <v>2.399974619038403E-8</v>
      </c>
      <c r="O396" s="130">
        <f t="shared" si="139"/>
        <v>1.0000000000009599</v>
      </c>
      <c r="P396" s="91">
        <f t="shared" si="140"/>
        <v>-6655.1200000000026</v>
      </c>
      <c r="Q396" s="130">
        <f t="shared" si="141"/>
        <v>0.78976165625023687</v>
      </c>
      <c r="R396" s="91"/>
      <c r="S396" s="132" t="str">
        <f t="shared" si="104"/>
        <v/>
      </c>
      <c r="T396" s="172">
        <f t="shared" si="106"/>
        <v>7</v>
      </c>
    </row>
    <row r="397" spans="1:20" ht="11.25" customHeight="1" x14ac:dyDescent="0.25">
      <c r="A397" s="42" t="s">
        <v>1291</v>
      </c>
      <c r="B397" s="44"/>
      <c r="C397" s="34"/>
      <c r="D397" s="34"/>
      <c r="E397" s="290" t="s">
        <v>401</v>
      </c>
      <c r="F397" s="291"/>
      <c r="G397" s="11">
        <v>0</v>
      </c>
      <c r="H397" s="11">
        <v>0</v>
      </c>
      <c r="I397" s="11">
        <v>0</v>
      </c>
      <c r="J397" s="140">
        <v>0</v>
      </c>
      <c r="K397" s="154"/>
      <c r="N397" s="91">
        <f t="shared" si="138"/>
        <v>0</v>
      </c>
      <c r="O397" s="130" t="str">
        <f t="shared" si="139"/>
        <v/>
      </c>
      <c r="P397" s="91">
        <f t="shared" si="140"/>
        <v>0</v>
      </c>
      <c r="Q397" s="130" t="str">
        <f t="shared" si="141"/>
        <v/>
      </c>
      <c r="R397" s="91"/>
      <c r="S397" s="132" t="str">
        <f t="shared" ref="S397:S460" si="143">IF(J397=0,"",K397/J397)</f>
        <v/>
      </c>
      <c r="T397" s="172">
        <f t="shared" si="106"/>
        <v>11</v>
      </c>
    </row>
    <row r="398" spans="1:20" ht="11.25" customHeight="1" x14ac:dyDescent="0.25">
      <c r="A398" s="42" t="s">
        <v>1292</v>
      </c>
      <c r="B398" s="27" t="s">
        <v>916</v>
      </c>
      <c r="C398" s="28" t="s">
        <v>923</v>
      </c>
      <c r="D398" s="28" t="s">
        <v>917</v>
      </c>
      <c r="E398" s="290" t="s">
        <v>402</v>
      </c>
      <c r="F398" s="291"/>
      <c r="G398" s="11">
        <v>49432.43</v>
      </c>
      <c r="H398" s="11">
        <v>57303.88</v>
      </c>
      <c r="I398" s="11">
        <v>0</v>
      </c>
      <c r="J398" s="140">
        <v>0</v>
      </c>
      <c r="K398" s="155">
        <v>0</v>
      </c>
      <c r="N398" s="91">
        <f t="shared" si="138"/>
        <v>0</v>
      </c>
      <c r="O398" s="130" t="str">
        <f t="shared" si="139"/>
        <v/>
      </c>
      <c r="P398" s="91">
        <f t="shared" si="140"/>
        <v>57303.88</v>
      </c>
      <c r="Q398" s="130">
        <f t="shared" si="141"/>
        <v>0</v>
      </c>
      <c r="R398" s="91"/>
      <c r="S398" s="132" t="str">
        <f t="shared" si="143"/>
        <v/>
      </c>
      <c r="T398" s="172">
        <f t="shared" si="106"/>
        <v>11</v>
      </c>
    </row>
    <row r="399" spans="1:20" ht="11.25" customHeight="1" x14ac:dyDescent="0.25">
      <c r="A399" s="42" t="s">
        <v>1293</v>
      </c>
      <c r="B399" s="27" t="s">
        <v>916</v>
      </c>
      <c r="C399" s="28" t="s">
        <v>920</v>
      </c>
      <c r="D399" s="28" t="s">
        <v>917</v>
      </c>
      <c r="E399" s="290" t="s">
        <v>403</v>
      </c>
      <c r="F399" s="291"/>
      <c r="G399" s="11">
        <v>-48200</v>
      </c>
      <c r="H399" s="11">
        <v>-71620</v>
      </c>
      <c r="I399" s="11">
        <v>0</v>
      </c>
      <c r="J399" s="140">
        <v>0</v>
      </c>
      <c r="K399" s="154"/>
      <c r="N399" s="91">
        <f t="shared" si="138"/>
        <v>0</v>
      </c>
      <c r="O399" s="130" t="str">
        <f t="shared" si="139"/>
        <v/>
      </c>
      <c r="P399" s="91">
        <f t="shared" si="140"/>
        <v>-71620</v>
      </c>
      <c r="Q399" s="130">
        <f t="shared" si="141"/>
        <v>0</v>
      </c>
      <c r="R399" s="91"/>
      <c r="S399" s="132" t="str">
        <f t="shared" si="143"/>
        <v/>
      </c>
      <c r="T399" s="172">
        <f t="shared" ref="T399:T462" si="144">LEN(A399)</f>
        <v>11</v>
      </c>
    </row>
    <row r="400" spans="1:20" ht="11.25" customHeight="1" x14ac:dyDescent="0.25">
      <c r="A400" s="42" t="s">
        <v>1294</v>
      </c>
      <c r="B400" s="20" t="s">
        <v>916</v>
      </c>
      <c r="C400" s="20" t="s">
        <v>919</v>
      </c>
      <c r="D400" s="20" t="s">
        <v>918</v>
      </c>
      <c r="E400" s="290" t="s">
        <v>404</v>
      </c>
      <c r="F400" s="291"/>
      <c r="G400" s="11">
        <v>-20135</v>
      </c>
      <c r="H400" s="11">
        <v>-17099</v>
      </c>
      <c r="I400" s="11">
        <v>-24999.999999976</v>
      </c>
      <c r="J400" s="140">
        <v>0</v>
      </c>
      <c r="K400" s="155">
        <v>-25000</v>
      </c>
      <c r="N400" s="91">
        <f t="shared" si="138"/>
        <v>2.399974619038403E-8</v>
      </c>
      <c r="O400" s="130">
        <f t="shared" si="139"/>
        <v>1.0000000000009599</v>
      </c>
      <c r="P400" s="91">
        <f t="shared" si="140"/>
        <v>7901</v>
      </c>
      <c r="Q400" s="130">
        <f t="shared" si="141"/>
        <v>1.462073805485701</v>
      </c>
      <c r="R400" s="91"/>
      <c r="S400" s="132" t="str">
        <f t="shared" si="143"/>
        <v/>
      </c>
      <c r="T400" s="172">
        <f t="shared" si="144"/>
        <v>11</v>
      </c>
    </row>
    <row r="401" spans="1:20" ht="11.25" customHeight="1" x14ac:dyDescent="0.25">
      <c r="A401" s="42" t="s">
        <v>1295</v>
      </c>
      <c r="B401" s="27" t="s">
        <v>916</v>
      </c>
      <c r="C401" s="28" t="s">
        <v>919</v>
      </c>
      <c r="D401" s="28" t="s">
        <v>917</v>
      </c>
      <c r="E401" s="290" t="s">
        <v>405</v>
      </c>
      <c r="F401" s="291"/>
      <c r="G401" s="11">
        <v>0</v>
      </c>
      <c r="H401" s="11">
        <v>-240</v>
      </c>
      <c r="I401" s="11">
        <v>0</v>
      </c>
      <c r="J401" s="140">
        <v>0</v>
      </c>
      <c r="K401" s="155">
        <v>0</v>
      </c>
      <c r="N401" s="91">
        <f t="shared" si="138"/>
        <v>0</v>
      </c>
      <c r="O401" s="130" t="str">
        <f t="shared" si="139"/>
        <v/>
      </c>
      <c r="P401" s="91">
        <f t="shared" si="140"/>
        <v>-240</v>
      </c>
      <c r="Q401" s="130">
        <f t="shared" si="141"/>
        <v>0</v>
      </c>
      <c r="R401" s="91"/>
      <c r="S401" s="132" t="str">
        <f t="shared" si="143"/>
        <v/>
      </c>
      <c r="T401" s="172">
        <f t="shared" si="144"/>
        <v>11</v>
      </c>
    </row>
    <row r="402" spans="1:20" ht="11.25" customHeight="1" x14ac:dyDescent="0.25">
      <c r="A402" s="41" t="s">
        <v>406</v>
      </c>
      <c r="B402" s="41"/>
      <c r="C402" s="40"/>
      <c r="D402" s="40"/>
      <c r="E402" s="298" t="s">
        <v>407</v>
      </c>
      <c r="F402" s="299"/>
      <c r="G402" s="43">
        <f t="shared" ref="G402:K402" si="145">G403+G408+G418+G419+G424+G425+G426+G433+G434</f>
        <v>-63418481.770000003</v>
      </c>
      <c r="H402" s="43">
        <f t="shared" si="145"/>
        <v>-66223146.299999997</v>
      </c>
      <c r="I402" s="43">
        <f t="shared" si="145"/>
        <v>-73607999.999999925</v>
      </c>
      <c r="J402" s="137">
        <f t="shared" si="145"/>
        <v>-66417184</v>
      </c>
      <c r="K402" s="151">
        <f t="shared" si="145"/>
        <v>-66634456</v>
      </c>
      <c r="N402" s="91">
        <f t="shared" si="138"/>
        <v>-6973543.9999999255</v>
      </c>
      <c r="O402" s="130">
        <f t="shared" si="139"/>
        <v>0.90526105858059003</v>
      </c>
      <c r="P402" s="91">
        <f t="shared" si="140"/>
        <v>411309.70000000298</v>
      </c>
      <c r="Q402" s="130">
        <f t="shared" si="141"/>
        <v>1.0062109658477523</v>
      </c>
      <c r="R402" s="91">
        <f t="shared" ref="R402:R434" si="146">-K402+J402</f>
        <v>217272</v>
      </c>
      <c r="S402" s="132">
        <f t="shared" si="143"/>
        <v>1.003271322072312</v>
      </c>
      <c r="T402" s="172">
        <f t="shared" si="144"/>
        <v>3</v>
      </c>
    </row>
    <row r="403" spans="1:20" ht="11.25" customHeight="1" x14ac:dyDescent="0.25">
      <c r="A403" s="38" t="s">
        <v>408</v>
      </c>
      <c r="B403" s="38"/>
      <c r="C403" s="22"/>
      <c r="D403" s="22"/>
      <c r="E403" s="296" t="s">
        <v>409</v>
      </c>
      <c r="F403" s="297"/>
      <c r="G403" s="37">
        <f t="shared" ref="G403:K403" si="147">G404+G406</f>
        <v>-1022.42</v>
      </c>
      <c r="H403" s="37">
        <f t="shared" si="147"/>
        <v>-99536.13</v>
      </c>
      <c r="I403" s="37">
        <f t="shared" si="147"/>
        <v>0</v>
      </c>
      <c r="J403" s="138">
        <v>-243</v>
      </c>
      <c r="K403" s="152">
        <f t="shared" si="147"/>
        <v>0</v>
      </c>
      <c r="N403" s="190">
        <f t="shared" si="138"/>
        <v>0</v>
      </c>
      <c r="O403" s="191" t="str">
        <f t="shared" si="139"/>
        <v/>
      </c>
      <c r="P403" s="190">
        <f t="shared" si="140"/>
        <v>-99536.13</v>
      </c>
      <c r="Q403" s="191">
        <f t="shared" si="141"/>
        <v>0</v>
      </c>
      <c r="R403" s="190">
        <f t="shared" si="146"/>
        <v>-243</v>
      </c>
      <c r="S403" s="192">
        <f t="shared" si="143"/>
        <v>0</v>
      </c>
      <c r="T403" s="172">
        <f t="shared" si="144"/>
        <v>4</v>
      </c>
    </row>
    <row r="404" spans="1:20" ht="11.25" customHeight="1" x14ac:dyDescent="0.25">
      <c r="A404" s="26" t="s">
        <v>1296</v>
      </c>
      <c r="B404" s="26"/>
      <c r="C404" s="23"/>
      <c r="D404" s="23"/>
      <c r="E404" s="300" t="s">
        <v>410</v>
      </c>
      <c r="F404" s="301"/>
      <c r="G404" s="25">
        <f t="shared" ref="G404:K404" si="148">SUM(G405)</f>
        <v>-1022.42</v>
      </c>
      <c r="H404" s="25">
        <f t="shared" si="148"/>
        <v>-18</v>
      </c>
      <c r="I404" s="25">
        <f t="shared" si="148"/>
        <v>0</v>
      </c>
      <c r="J404" s="139">
        <f t="shared" si="148"/>
        <v>0</v>
      </c>
      <c r="K404" s="153">
        <f t="shared" si="148"/>
        <v>0</v>
      </c>
      <c r="N404" s="91">
        <f t="shared" si="138"/>
        <v>0</v>
      </c>
      <c r="O404" s="130" t="str">
        <f t="shared" si="139"/>
        <v/>
      </c>
      <c r="P404" s="91">
        <f t="shared" si="140"/>
        <v>-18</v>
      </c>
      <c r="Q404" s="130">
        <f t="shared" si="141"/>
        <v>0</v>
      </c>
      <c r="R404" s="91"/>
      <c r="S404" s="132" t="str">
        <f t="shared" si="143"/>
        <v/>
      </c>
      <c r="T404" s="172">
        <f t="shared" si="144"/>
        <v>7</v>
      </c>
    </row>
    <row r="405" spans="1:20" ht="11.25" customHeight="1" x14ac:dyDescent="0.25">
      <c r="A405" s="42" t="s">
        <v>1297</v>
      </c>
      <c r="B405" s="14"/>
      <c r="C405" s="13"/>
      <c r="D405" s="13"/>
      <c r="E405" s="290" t="s">
        <v>411</v>
      </c>
      <c r="F405" s="291"/>
      <c r="G405" s="11">
        <v>-1022.42</v>
      </c>
      <c r="H405" s="11">
        <v>-18</v>
      </c>
      <c r="I405" s="11">
        <v>0</v>
      </c>
      <c r="J405" s="140">
        <v>0</v>
      </c>
      <c r="K405" s="154"/>
      <c r="N405" s="91">
        <f t="shared" si="138"/>
        <v>0</v>
      </c>
      <c r="O405" s="130" t="str">
        <f t="shared" si="139"/>
        <v/>
      </c>
      <c r="P405" s="91">
        <f t="shared" si="140"/>
        <v>-18</v>
      </c>
      <c r="Q405" s="130">
        <f t="shared" si="141"/>
        <v>0</v>
      </c>
      <c r="R405" s="91"/>
      <c r="S405" s="132" t="str">
        <f t="shared" si="143"/>
        <v/>
      </c>
      <c r="T405" s="172">
        <f t="shared" si="144"/>
        <v>11</v>
      </c>
    </row>
    <row r="406" spans="1:20" ht="11.25" customHeight="1" x14ac:dyDescent="0.25">
      <c r="A406" s="26" t="s">
        <v>1298</v>
      </c>
      <c r="B406" s="26"/>
      <c r="C406" s="23"/>
      <c r="D406" s="23"/>
      <c r="E406" s="300" t="s">
        <v>412</v>
      </c>
      <c r="F406" s="301"/>
      <c r="G406" s="25">
        <f t="shared" ref="G406:K406" si="149">SUM(G407)</f>
        <v>0</v>
      </c>
      <c r="H406" s="25">
        <f t="shared" si="149"/>
        <v>-99518.13</v>
      </c>
      <c r="I406" s="25">
        <f t="shared" si="149"/>
        <v>0</v>
      </c>
      <c r="J406" s="139">
        <f t="shared" si="149"/>
        <v>0</v>
      </c>
      <c r="K406" s="153">
        <f t="shared" si="149"/>
        <v>0</v>
      </c>
      <c r="N406" s="91">
        <f t="shared" si="138"/>
        <v>0</v>
      </c>
      <c r="O406" s="130" t="str">
        <f t="shared" si="139"/>
        <v/>
      </c>
      <c r="P406" s="91">
        <f t="shared" si="140"/>
        <v>-99518.13</v>
      </c>
      <c r="Q406" s="130">
        <f t="shared" si="141"/>
        <v>0</v>
      </c>
      <c r="R406" s="91"/>
      <c r="S406" s="132" t="str">
        <f t="shared" si="143"/>
        <v/>
      </c>
      <c r="T406" s="172">
        <f t="shared" si="144"/>
        <v>7</v>
      </c>
    </row>
    <row r="407" spans="1:20" ht="11.25" customHeight="1" x14ac:dyDescent="0.25">
      <c r="A407" s="42" t="s">
        <v>1299</v>
      </c>
      <c r="B407" s="14"/>
      <c r="C407" s="13"/>
      <c r="D407" s="13"/>
      <c r="E407" s="290" t="s">
        <v>413</v>
      </c>
      <c r="F407" s="291"/>
      <c r="G407" s="11">
        <v>0</v>
      </c>
      <c r="H407" s="11">
        <v>-99518.13</v>
      </c>
      <c r="I407" s="11">
        <v>0</v>
      </c>
      <c r="J407" s="140">
        <v>0</v>
      </c>
      <c r="K407" s="154"/>
      <c r="N407" s="91">
        <f t="shared" si="138"/>
        <v>0</v>
      </c>
      <c r="O407" s="130" t="str">
        <f t="shared" si="139"/>
        <v/>
      </c>
      <c r="P407" s="91">
        <f t="shared" si="140"/>
        <v>-99518.13</v>
      </c>
      <c r="Q407" s="130">
        <f t="shared" si="141"/>
        <v>0</v>
      </c>
      <c r="R407" s="91"/>
      <c r="S407" s="132" t="str">
        <f t="shared" si="143"/>
        <v/>
      </c>
      <c r="T407" s="172">
        <f t="shared" si="144"/>
        <v>11</v>
      </c>
    </row>
    <row r="408" spans="1:20" ht="11.25" customHeight="1" x14ac:dyDescent="0.25">
      <c r="A408" s="38" t="s">
        <v>414</v>
      </c>
      <c r="B408" s="36"/>
      <c r="C408" s="22"/>
      <c r="D408" s="22"/>
      <c r="E408" s="296" t="s">
        <v>1732</v>
      </c>
      <c r="F408" s="297"/>
      <c r="G408" s="37">
        <f t="shared" ref="G408:K408" si="150">G409+G411</f>
        <v>-2652006</v>
      </c>
      <c r="H408" s="37">
        <f t="shared" si="150"/>
        <v>-410560</v>
      </c>
      <c r="I408" s="37">
        <f t="shared" si="150"/>
        <v>-7700000</v>
      </c>
      <c r="J408" s="138">
        <v>-4447557</v>
      </c>
      <c r="K408" s="152">
        <f t="shared" si="150"/>
        <v>-1000000</v>
      </c>
      <c r="N408" s="190">
        <f t="shared" si="138"/>
        <v>-6700000</v>
      </c>
      <c r="O408" s="191">
        <f t="shared" si="139"/>
        <v>0.12987012987012986</v>
      </c>
      <c r="P408" s="190">
        <f t="shared" si="140"/>
        <v>589440</v>
      </c>
      <c r="Q408" s="191">
        <f t="shared" si="141"/>
        <v>2.4356975837879968</v>
      </c>
      <c r="R408" s="190">
        <f t="shared" si="146"/>
        <v>-3447557</v>
      </c>
      <c r="S408" s="192">
        <f t="shared" si="143"/>
        <v>0.2248425371501703</v>
      </c>
      <c r="T408" s="172">
        <f t="shared" si="144"/>
        <v>4</v>
      </c>
    </row>
    <row r="409" spans="1:20" ht="11.25" customHeight="1" x14ac:dyDescent="0.25">
      <c r="A409" s="26" t="s">
        <v>1300</v>
      </c>
      <c r="B409" s="26"/>
      <c r="C409" s="23"/>
      <c r="D409" s="23"/>
      <c r="E409" s="300" t="s">
        <v>416</v>
      </c>
      <c r="F409" s="301"/>
      <c r="G409" s="25">
        <f t="shared" ref="G409:K409" si="151">SUM(G410)</f>
        <v>1000000</v>
      </c>
      <c r="H409" s="25">
        <f t="shared" si="151"/>
        <v>0</v>
      </c>
      <c r="I409" s="25">
        <f t="shared" si="151"/>
        <v>-7700000</v>
      </c>
      <c r="J409" s="139">
        <f t="shared" si="151"/>
        <v>0</v>
      </c>
      <c r="K409" s="153">
        <f t="shared" si="151"/>
        <v>-1000000</v>
      </c>
      <c r="N409" s="91">
        <f t="shared" si="138"/>
        <v>-6700000</v>
      </c>
      <c r="O409" s="130">
        <f t="shared" si="139"/>
        <v>0.12987012987012986</v>
      </c>
      <c r="P409" s="91">
        <f t="shared" si="140"/>
        <v>1000000</v>
      </c>
      <c r="Q409" s="130" t="str">
        <f t="shared" si="141"/>
        <v/>
      </c>
      <c r="R409" s="91"/>
      <c r="S409" s="132" t="str">
        <f t="shared" si="143"/>
        <v/>
      </c>
      <c r="T409" s="172">
        <f t="shared" si="144"/>
        <v>7</v>
      </c>
    </row>
    <row r="410" spans="1:20" ht="11.25" customHeight="1" x14ac:dyDescent="0.25">
      <c r="A410" s="42" t="s">
        <v>1301</v>
      </c>
      <c r="B410" s="27" t="s">
        <v>916</v>
      </c>
      <c r="C410" s="16" t="s">
        <v>923</v>
      </c>
      <c r="D410" s="16" t="s">
        <v>917</v>
      </c>
      <c r="E410" s="290" t="s">
        <v>1640</v>
      </c>
      <c r="F410" s="291"/>
      <c r="G410" s="11">
        <v>1000000</v>
      </c>
      <c r="H410" s="11">
        <v>0</v>
      </c>
      <c r="I410" s="11">
        <v>-7700000</v>
      </c>
      <c r="J410" s="140">
        <v>0</v>
      </c>
      <c r="K410" s="215">
        <v>-1000000</v>
      </c>
      <c r="N410" s="91">
        <f t="shared" si="138"/>
        <v>-6700000</v>
      </c>
      <c r="O410" s="130">
        <f t="shared" si="139"/>
        <v>0.12987012987012986</v>
      </c>
      <c r="P410" s="91">
        <f t="shared" si="140"/>
        <v>1000000</v>
      </c>
      <c r="Q410" s="130" t="str">
        <f t="shared" si="141"/>
        <v/>
      </c>
      <c r="R410" s="91"/>
      <c r="S410" s="132" t="str">
        <f t="shared" si="143"/>
        <v/>
      </c>
      <c r="T410" s="172">
        <f t="shared" si="144"/>
        <v>11</v>
      </c>
    </row>
    <row r="411" spans="1:20" ht="11.25" customHeight="1" x14ac:dyDescent="0.25">
      <c r="A411" s="26" t="s">
        <v>1302</v>
      </c>
      <c r="B411" s="26"/>
      <c r="C411" s="23"/>
      <c r="D411" s="23"/>
      <c r="E411" s="300" t="s">
        <v>417</v>
      </c>
      <c r="F411" s="301"/>
      <c r="G411" s="25">
        <f>SUM(G412:G417)</f>
        <v>-3652006</v>
      </c>
      <c r="H411" s="25">
        <f>SUM(H412:H417)</f>
        <v>-410560</v>
      </c>
      <c r="I411" s="25">
        <f>SUM(I412:I417)</f>
        <v>0</v>
      </c>
      <c r="J411" s="139">
        <f t="shared" ref="J411:K411" si="152">SUM(J412:J417)</f>
        <v>0</v>
      </c>
      <c r="K411" s="153">
        <f t="shared" si="152"/>
        <v>0</v>
      </c>
      <c r="N411" s="91">
        <f t="shared" si="138"/>
        <v>0</v>
      </c>
      <c r="O411" s="130" t="str">
        <f t="shared" si="139"/>
        <v/>
      </c>
      <c r="P411" s="91">
        <f t="shared" si="140"/>
        <v>-410560</v>
      </c>
      <c r="Q411" s="130">
        <f t="shared" si="141"/>
        <v>0</v>
      </c>
      <c r="R411" s="91"/>
      <c r="S411" s="132" t="str">
        <f t="shared" si="143"/>
        <v/>
      </c>
      <c r="T411" s="172">
        <f t="shared" si="144"/>
        <v>7</v>
      </c>
    </row>
    <row r="412" spans="1:20" ht="11.25" customHeight="1" x14ac:dyDescent="0.25">
      <c r="A412" s="42" t="s">
        <v>1303</v>
      </c>
      <c r="B412" s="14"/>
      <c r="C412" s="13"/>
      <c r="D412" s="13"/>
      <c r="E412" s="290" t="s">
        <v>418</v>
      </c>
      <c r="F412" s="291"/>
      <c r="G412" s="11">
        <v>-17748</v>
      </c>
      <c r="H412" s="11">
        <v>-9355</v>
      </c>
      <c r="I412" s="11">
        <v>0</v>
      </c>
      <c r="J412" s="140">
        <v>0</v>
      </c>
      <c r="K412" s="154"/>
      <c r="N412" s="91">
        <f t="shared" si="138"/>
        <v>0</v>
      </c>
      <c r="O412" s="130" t="str">
        <f t="shared" si="139"/>
        <v/>
      </c>
      <c r="P412" s="91">
        <f t="shared" si="140"/>
        <v>-9355</v>
      </c>
      <c r="Q412" s="130">
        <f t="shared" si="141"/>
        <v>0</v>
      </c>
      <c r="R412" s="91"/>
      <c r="S412" s="132" t="str">
        <f t="shared" si="143"/>
        <v/>
      </c>
      <c r="T412" s="172">
        <f t="shared" si="144"/>
        <v>11</v>
      </c>
    </row>
    <row r="413" spans="1:20" ht="11.25" customHeight="1" x14ac:dyDescent="0.25">
      <c r="A413" s="42" t="s">
        <v>1304</v>
      </c>
      <c r="B413" s="14"/>
      <c r="C413" s="13"/>
      <c r="D413" s="13"/>
      <c r="E413" s="290" t="s">
        <v>419</v>
      </c>
      <c r="F413" s="291"/>
      <c r="G413" s="11">
        <v>0</v>
      </c>
      <c r="H413" s="11">
        <v>-300000</v>
      </c>
      <c r="I413" s="11">
        <v>0</v>
      </c>
      <c r="J413" s="140">
        <v>0</v>
      </c>
      <c r="K413" s="154"/>
      <c r="N413" s="91">
        <f t="shared" si="138"/>
        <v>0</v>
      </c>
      <c r="O413" s="130" t="str">
        <f t="shared" si="139"/>
        <v/>
      </c>
      <c r="P413" s="91">
        <f t="shared" si="140"/>
        <v>-300000</v>
      </c>
      <c r="Q413" s="130">
        <f t="shared" si="141"/>
        <v>0</v>
      </c>
      <c r="R413" s="91"/>
      <c r="S413" s="132" t="str">
        <f t="shared" si="143"/>
        <v/>
      </c>
      <c r="T413" s="172">
        <f t="shared" si="144"/>
        <v>11</v>
      </c>
    </row>
    <row r="414" spans="1:20" ht="11.25" customHeight="1" x14ac:dyDescent="0.25">
      <c r="A414" s="42" t="s">
        <v>1305</v>
      </c>
      <c r="B414" s="14"/>
      <c r="C414" s="13"/>
      <c r="D414" s="13"/>
      <c r="E414" s="290" t="s">
        <v>420</v>
      </c>
      <c r="F414" s="291"/>
      <c r="G414" s="11">
        <v>-16700</v>
      </c>
      <c r="H414" s="11">
        <v>-5205</v>
      </c>
      <c r="I414" s="11">
        <v>0</v>
      </c>
      <c r="J414" s="140">
        <v>0</v>
      </c>
      <c r="K414" s="154"/>
      <c r="N414" s="91">
        <f t="shared" si="138"/>
        <v>0</v>
      </c>
      <c r="O414" s="130" t="str">
        <f t="shared" si="139"/>
        <v/>
      </c>
      <c r="P414" s="91">
        <f t="shared" si="140"/>
        <v>-5205</v>
      </c>
      <c r="Q414" s="130">
        <f t="shared" si="141"/>
        <v>0</v>
      </c>
      <c r="R414" s="91"/>
      <c r="S414" s="132" t="str">
        <f t="shared" si="143"/>
        <v/>
      </c>
      <c r="T414" s="172">
        <f t="shared" si="144"/>
        <v>11</v>
      </c>
    </row>
    <row r="415" spans="1:20" ht="11.25" customHeight="1" x14ac:dyDescent="0.25">
      <c r="A415" s="42" t="s">
        <v>1306</v>
      </c>
      <c r="B415" s="14"/>
      <c r="C415" s="13"/>
      <c r="D415" s="13"/>
      <c r="E415" s="290" t="s">
        <v>421</v>
      </c>
      <c r="F415" s="291"/>
      <c r="G415" s="11">
        <v>0</v>
      </c>
      <c r="H415" s="11">
        <v>-96000</v>
      </c>
      <c r="I415" s="11">
        <v>0</v>
      </c>
      <c r="J415" s="140">
        <v>0</v>
      </c>
      <c r="K415" s="154"/>
      <c r="N415" s="91">
        <f t="shared" si="138"/>
        <v>0</v>
      </c>
      <c r="O415" s="130" t="str">
        <f t="shared" si="139"/>
        <v/>
      </c>
      <c r="P415" s="91">
        <f t="shared" si="140"/>
        <v>-96000</v>
      </c>
      <c r="Q415" s="130">
        <f t="shared" si="141"/>
        <v>0</v>
      </c>
      <c r="R415" s="91"/>
      <c r="S415" s="132" t="str">
        <f t="shared" si="143"/>
        <v/>
      </c>
      <c r="T415" s="172">
        <f t="shared" si="144"/>
        <v>11</v>
      </c>
    </row>
    <row r="416" spans="1:20" ht="11.25" customHeight="1" x14ac:dyDescent="0.25">
      <c r="A416" s="42" t="s">
        <v>1307</v>
      </c>
      <c r="B416" s="14"/>
      <c r="C416" s="13"/>
      <c r="D416" s="13"/>
      <c r="E416" s="290" t="s">
        <v>422</v>
      </c>
      <c r="F416" s="291"/>
      <c r="G416" s="11">
        <v>80000</v>
      </c>
      <c r="H416" s="11">
        <v>0</v>
      </c>
      <c r="I416" s="11">
        <v>0</v>
      </c>
      <c r="J416" s="140">
        <v>0</v>
      </c>
      <c r="K416" s="154"/>
      <c r="N416" s="91">
        <f t="shared" si="138"/>
        <v>0</v>
      </c>
      <c r="O416" s="130" t="str">
        <f t="shared" si="139"/>
        <v/>
      </c>
      <c r="P416" s="91">
        <f t="shared" si="140"/>
        <v>0</v>
      </c>
      <c r="Q416" s="130" t="str">
        <f t="shared" si="141"/>
        <v/>
      </c>
      <c r="R416" s="91"/>
      <c r="S416" s="132" t="str">
        <f t="shared" si="143"/>
        <v/>
      </c>
      <c r="T416" s="172">
        <f t="shared" si="144"/>
        <v>11</v>
      </c>
    </row>
    <row r="417" spans="1:20" ht="11.25" customHeight="1" x14ac:dyDescent="0.25">
      <c r="A417" s="42" t="s">
        <v>1308</v>
      </c>
      <c r="B417" s="14"/>
      <c r="C417" s="13"/>
      <c r="D417" s="13"/>
      <c r="E417" s="290" t="s">
        <v>423</v>
      </c>
      <c r="F417" s="291"/>
      <c r="G417" s="11">
        <v>-3697558</v>
      </c>
      <c r="H417" s="11">
        <v>0</v>
      </c>
      <c r="I417" s="11">
        <v>0</v>
      </c>
      <c r="J417" s="140">
        <v>0</v>
      </c>
      <c r="K417" s="154"/>
      <c r="N417" s="91">
        <f t="shared" si="138"/>
        <v>0</v>
      </c>
      <c r="O417" s="130" t="str">
        <f t="shared" si="139"/>
        <v/>
      </c>
      <c r="P417" s="91">
        <f t="shared" si="140"/>
        <v>0</v>
      </c>
      <c r="Q417" s="130" t="str">
        <f t="shared" si="141"/>
        <v/>
      </c>
      <c r="R417" s="91"/>
      <c r="S417" s="132" t="str">
        <f t="shared" si="143"/>
        <v/>
      </c>
      <c r="T417" s="172">
        <f t="shared" si="144"/>
        <v>11</v>
      </c>
    </row>
    <row r="418" spans="1:20" ht="11.25" customHeight="1" x14ac:dyDescent="0.25">
      <c r="A418" s="38" t="s">
        <v>424</v>
      </c>
      <c r="B418" s="36"/>
      <c r="C418" s="22"/>
      <c r="D418" s="22"/>
      <c r="E418" s="296" t="s">
        <v>425</v>
      </c>
      <c r="F418" s="297"/>
      <c r="G418" s="37">
        <v>0</v>
      </c>
      <c r="H418" s="37">
        <v>0</v>
      </c>
      <c r="I418" s="37">
        <v>0</v>
      </c>
      <c r="J418" s="142">
        <v>0</v>
      </c>
      <c r="K418" s="160">
        <f t="shared" ref="K418:K433" si="153">(J418/8)*12</f>
        <v>0</v>
      </c>
      <c r="N418" s="190">
        <f t="shared" si="138"/>
        <v>0</v>
      </c>
      <c r="O418" s="191" t="str">
        <f t="shared" si="139"/>
        <v/>
      </c>
      <c r="P418" s="190">
        <f t="shared" si="140"/>
        <v>0</v>
      </c>
      <c r="Q418" s="191" t="str">
        <f t="shared" si="141"/>
        <v/>
      </c>
      <c r="R418" s="190">
        <f t="shared" si="146"/>
        <v>0</v>
      </c>
      <c r="S418" s="192" t="str">
        <f t="shared" si="143"/>
        <v/>
      </c>
      <c r="T418" s="172">
        <f t="shared" si="144"/>
        <v>4</v>
      </c>
    </row>
    <row r="419" spans="1:20" ht="11.25" customHeight="1" x14ac:dyDescent="0.25">
      <c r="A419" s="38" t="s">
        <v>426</v>
      </c>
      <c r="B419" s="36"/>
      <c r="C419" s="22"/>
      <c r="D419" s="22"/>
      <c r="E419" s="296" t="s">
        <v>415</v>
      </c>
      <c r="F419" s="297"/>
      <c r="G419" s="37">
        <f t="shared" ref="G419:K419" si="154">G420</f>
        <v>-45437614.600000001</v>
      </c>
      <c r="H419" s="37">
        <f t="shared" si="154"/>
        <v>-47113480.409999996</v>
      </c>
      <c r="I419" s="37">
        <f t="shared" si="154"/>
        <v>-48500000</v>
      </c>
      <c r="J419" s="138">
        <v>-43771451</v>
      </c>
      <c r="K419" s="152">
        <f t="shared" si="154"/>
        <v>-47172000</v>
      </c>
      <c r="N419" s="190">
        <f t="shared" si="138"/>
        <v>-1328000</v>
      </c>
      <c r="O419" s="191">
        <f t="shared" si="139"/>
        <v>0.97261855670103092</v>
      </c>
      <c r="P419" s="190">
        <f t="shared" si="140"/>
        <v>58519.590000003576</v>
      </c>
      <c r="Q419" s="191">
        <f t="shared" si="141"/>
        <v>1.0012420986412114</v>
      </c>
      <c r="R419" s="190">
        <f t="shared" si="146"/>
        <v>3400549</v>
      </c>
      <c r="S419" s="192">
        <f t="shared" si="143"/>
        <v>1.0776887428292017</v>
      </c>
      <c r="T419" s="172">
        <f t="shared" si="144"/>
        <v>4</v>
      </c>
    </row>
    <row r="420" spans="1:20" ht="11.25" customHeight="1" x14ac:dyDescent="0.25">
      <c r="A420" s="26" t="s">
        <v>1309</v>
      </c>
      <c r="B420" s="26"/>
      <c r="C420" s="23"/>
      <c r="D420" s="23"/>
      <c r="E420" s="300" t="s">
        <v>428</v>
      </c>
      <c r="F420" s="301"/>
      <c r="G420" s="25">
        <f t="shared" ref="G420:K420" si="155">SUM(G421:G423)</f>
        <v>-45437614.600000001</v>
      </c>
      <c r="H420" s="25">
        <f t="shared" si="155"/>
        <v>-47113480.409999996</v>
      </c>
      <c r="I420" s="25">
        <f t="shared" si="155"/>
        <v>-48500000</v>
      </c>
      <c r="J420" s="139">
        <f t="shared" si="155"/>
        <v>0</v>
      </c>
      <c r="K420" s="153">
        <f t="shared" si="155"/>
        <v>-47172000</v>
      </c>
      <c r="N420" s="91">
        <f t="shared" si="138"/>
        <v>-1328000</v>
      </c>
      <c r="O420" s="130">
        <f t="shared" si="139"/>
        <v>0.97261855670103092</v>
      </c>
      <c r="P420" s="91">
        <f t="shared" si="140"/>
        <v>58519.590000003576</v>
      </c>
      <c r="Q420" s="130">
        <f t="shared" si="141"/>
        <v>1.0012420986412114</v>
      </c>
      <c r="R420" s="91"/>
      <c r="S420" s="132" t="str">
        <f t="shared" si="143"/>
        <v/>
      </c>
      <c r="T420" s="172">
        <f t="shared" si="144"/>
        <v>7</v>
      </c>
    </row>
    <row r="421" spans="1:20" ht="11.25" customHeight="1" x14ac:dyDescent="0.25">
      <c r="A421" s="42" t="s">
        <v>1310</v>
      </c>
      <c r="B421" s="20" t="s">
        <v>922</v>
      </c>
      <c r="C421" s="20" t="s">
        <v>919</v>
      </c>
      <c r="D421" s="20" t="s">
        <v>924</v>
      </c>
      <c r="E421" s="290" t="s">
        <v>429</v>
      </c>
      <c r="F421" s="291"/>
      <c r="G421" s="11">
        <v>-7926991</v>
      </c>
      <c r="H421" s="11">
        <v>-8094871</v>
      </c>
      <c r="I421" s="11">
        <v>-9600000</v>
      </c>
      <c r="J421" s="140">
        <v>0</v>
      </c>
      <c r="K421" s="155">
        <v>-9424000</v>
      </c>
      <c r="N421" s="91">
        <f t="shared" si="138"/>
        <v>-176000</v>
      </c>
      <c r="O421" s="130">
        <f t="shared" si="139"/>
        <v>0.98166666666666669</v>
      </c>
      <c r="P421" s="91">
        <f t="shared" si="140"/>
        <v>1329129</v>
      </c>
      <c r="Q421" s="130">
        <f t="shared" si="141"/>
        <v>1.1641939692429935</v>
      </c>
      <c r="R421" s="91"/>
      <c r="S421" s="132" t="str">
        <f t="shared" si="143"/>
        <v/>
      </c>
      <c r="T421" s="172">
        <f t="shared" si="144"/>
        <v>11</v>
      </c>
    </row>
    <row r="422" spans="1:20" ht="11.25" customHeight="1" x14ac:dyDescent="0.25">
      <c r="A422" s="42" t="s">
        <v>1311</v>
      </c>
      <c r="B422" s="20" t="s">
        <v>922</v>
      </c>
      <c r="C422" s="20" t="s">
        <v>919</v>
      </c>
      <c r="D422" s="20" t="s">
        <v>924</v>
      </c>
      <c r="E422" s="290" t="s">
        <v>430</v>
      </c>
      <c r="F422" s="291"/>
      <c r="G422" s="11">
        <v>-37338090</v>
      </c>
      <c r="H422" s="11">
        <v>-38941303</v>
      </c>
      <c r="I422" s="11">
        <v>-38800000</v>
      </c>
      <c r="J422" s="140">
        <v>0</v>
      </c>
      <c r="K422" s="155">
        <v>-37437000</v>
      </c>
      <c r="N422" s="91">
        <f t="shared" si="138"/>
        <v>-1363000</v>
      </c>
      <c r="O422" s="130">
        <f t="shared" si="139"/>
        <v>0.96487113402061853</v>
      </c>
      <c r="P422" s="91">
        <f t="shared" si="140"/>
        <v>-1504303</v>
      </c>
      <c r="Q422" s="130">
        <f t="shared" si="141"/>
        <v>0.96136998805612639</v>
      </c>
      <c r="R422" s="91"/>
      <c r="S422" s="132" t="str">
        <f t="shared" si="143"/>
        <v/>
      </c>
      <c r="T422" s="172">
        <f t="shared" si="144"/>
        <v>11</v>
      </c>
    </row>
    <row r="423" spans="1:20" ht="11.25" customHeight="1" x14ac:dyDescent="0.25">
      <c r="A423" s="42" t="s">
        <v>1312</v>
      </c>
      <c r="B423" s="20" t="s">
        <v>922</v>
      </c>
      <c r="C423" s="20" t="s">
        <v>919</v>
      </c>
      <c r="D423" s="20" t="s">
        <v>924</v>
      </c>
      <c r="E423" s="290" t="s">
        <v>431</v>
      </c>
      <c r="F423" s="291"/>
      <c r="G423" s="11">
        <v>-172533.6</v>
      </c>
      <c r="H423" s="11">
        <v>-77306.41</v>
      </c>
      <c r="I423" s="11">
        <v>-99999.999999998006</v>
      </c>
      <c r="J423" s="140">
        <v>0</v>
      </c>
      <c r="K423" s="155">
        <v>-311000</v>
      </c>
      <c r="N423" s="91">
        <f t="shared" si="138"/>
        <v>211000.00000000198</v>
      </c>
      <c r="O423" s="130">
        <f t="shared" si="139"/>
        <v>3.110000000000062</v>
      </c>
      <c r="P423" s="91">
        <f t="shared" si="140"/>
        <v>233693.59</v>
      </c>
      <c r="Q423" s="130">
        <f t="shared" si="141"/>
        <v>4.0229523011093127</v>
      </c>
      <c r="R423" s="91"/>
      <c r="S423" s="132" t="str">
        <f t="shared" si="143"/>
        <v/>
      </c>
      <c r="T423" s="172">
        <f t="shared" si="144"/>
        <v>11</v>
      </c>
    </row>
    <row r="424" spans="1:20" ht="11.25" customHeight="1" x14ac:dyDescent="0.25">
      <c r="A424" s="38" t="s">
        <v>432</v>
      </c>
      <c r="B424" s="36"/>
      <c r="C424" s="22"/>
      <c r="D424" s="22"/>
      <c r="E424" s="296" t="s">
        <v>433</v>
      </c>
      <c r="F424" s="297"/>
      <c r="G424" s="37">
        <v>0</v>
      </c>
      <c r="H424" s="37">
        <v>0</v>
      </c>
      <c r="I424" s="37">
        <v>0</v>
      </c>
      <c r="J424" s="142">
        <v>0</v>
      </c>
      <c r="K424" s="160">
        <f t="shared" si="153"/>
        <v>0</v>
      </c>
      <c r="N424" s="190">
        <f t="shared" si="138"/>
        <v>0</v>
      </c>
      <c r="O424" s="191" t="str">
        <f t="shared" si="139"/>
        <v/>
      </c>
      <c r="P424" s="190">
        <f t="shared" si="140"/>
        <v>0</v>
      </c>
      <c r="Q424" s="191" t="str">
        <f t="shared" si="141"/>
        <v/>
      </c>
      <c r="R424" s="190">
        <f t="shared" si="146"/>
        <v>0</v>
      </c>
      <c r="S424" s="192" t="str">
        <f t="shared" si="143"/>
        <v/>
      </c>
      <c r="T424" s="172">
        <f t="shared" si="144"/>
        <v>4</v>
      </c>
    </row>
    <row r="425" spans="1:20" ht="11.25" customHeight="1" x14ac:dyDescent="0.25">
      <c r="A425" s="38" t="s">
        <v>434</v>
      </c>
      <c r="B425" s="36"/>
      <c r="C425" s="22"/>
      <c r="D425" s="22"/>
      <c r="E425" s="296" t="s">
        <v>435</v>
      </c>
      <c r="F425" s="297"/>
      <c r="G425" s="37">
        <v>0</v>
      </c>
      <c r="H425" s="37">
        <v>0</v>
      </c>
      <c r="I425" s="37">
        <v>0</v>
      </c>
      <c r="J425" s="142">
        <v>0</v>
      </c>
      <c r="K425" s="160">
        <f t="shared" si="153"/>
        <v>0</v>
      </c>
      <c r="N425" s="190">
        <f t="shared" si="138"/>
        <v>0</v>
      </c>
      <c r="O425" s="191" t="str">
        <f t="shared" si="139"/>
        <v/>
      </c>
      <c r="P425" s="190">
        <f t="shared" si="140"/>
        <v>0</v>
      </c>
      <c r="Q425" s="191" t="str">
        <f t="shared" si="141"/>
        <v/>
      </c>
      <c r="R425" s="190">
        <f t="shared" si="146"/>
        <v>0</v>
      </c>
      <c r="S425" s="192" t="str">
        <f t="shared" si="143"/>
        <v/>
      </c>
      <c r="T425" s="172">
        <f t="shared" si="144"/>
        <v>4</v>
      </c>
    </row>
    <row r="426" spans="1:20" ht="11.25" customHeight="1" x14ac:dyDescent="0.25">
      <c r="A426" s="38" t="s">
        <v>436</v>
      </c>
      <c r="B426" s="36"/>
      <c r="C426" s="22"/>
      <c r="D426" s="22"/>
      <c r="E426" s="296" t="s">
        <v>1733</v>
      </c>
      <c r="F426" s="297"/>
      <c r="G426" s="37">
        <f t="shared" ref="G426:K426" si="156">G427+G429+G431</f>
        <v>-267206.43</v>
      </c>
      <c r="H426" s="37">
        <f t="shared" si="156"/>
        <v>-262633</v>
      </c>
      <c r="I426" s="37">
        <f t="shared" si="156"/>
        <v>0</v>
      </c>
      <c r="J426" s="138">
        <v>-143587</v>
      </c>
      <c r="K426" s="152">
        <f t="shared" si="156"/>
        <v>0</v>
      </c>
      <c r="N426" s="190">
        <f t="shared" si="138"/>
        <v>0</v>
      </c>
      <c r="O426" s="191" t="str">
        <f t="shared" si="139"/>
        <v/>
      </c>
      <c r="P426" s="190">
        <f t="shared" si="140"/>
        <v>-262633</v>
      </c>
      <c r="Q426" s="191">
        <f t="shared" si="141"/>
        <v>0</v>
      </c>
      <c r="R426" s="190">
        <f t="shared" si="146"/>
        <v>-143587</v>
      </c>
      <c r="S426" s="192">
        <f t="shared" si="143"/>
        <v>0</v>
      </c>
      <c r="T426" s="172">
        <f t="shared" si="144"/>
        <v>4</v>
      </c>
    </row>
    <row r="427" spans="1:20" ht="11.25" customHeight="1" x14ac:dyDescent="0.25">
      <c r="A427" s="26" t="s">
        <v>1313</v>
      </c>
      <c r="B427" s="26"/>
      <c r="C427" s="23"/>
      <c r="D427" s="23"/>
      <c r="E427" s="300" t="s">
        <v>438</v>
      </c>
      <c r="F427" s="301"/>
      <c r="G427" s="25">
        <f t="shared" ref="G427:K427" si="157">SUM(G428)</f>
        <v>-35429</v>
      </c>
      <c r="H427" s="25">
        <f t="shared" si="157"/>
        <v>-17523</v>
      </c>
      <c r="I427" s="25">
        <f t="shared" si="157"/>
        <v>0</v>
      </c>
      <c r="J427" s="139">
        <f t="shared" si="157"/>
        <v>0</v>
      </c>
      <c r="K427" s="153">
        <f t="shared" si="157"/>
        <v>0</v>
      </c>
      <c r="N427" s="91">
        <f t="shared" si="138"/>
        <v>0</v>
      </c>
      <c r="O427" s="130" t="str">
        <f t="shared" si="139"/>
        <v/>
      </c>
      <c r="P427" s="91">
        <f t="shared" si="140"/>
        <v>-17523</v>
      </c>
      <c r="Q427" s="130">
        <f t="shared" si="141"/>
        <v>0</v>
      </c>
      <c r="R427" s="91"/>
      <c r="S427" s="132" t="str">
        <f t="shared" si="143"/>
        <v/>
      </c>
      <c r="T427" s="172">
        <f t="shared" si="144"/>
        <v>7</v>
      </c>
    </row>
    <row r="428" spans="1:20" ht="11.25" customHeight="1" x14ac:dyDescent="0.25">
      <c r="A428" s="42" t="s">
        <v>1314</v>
      </c>
      <c r="B428" s="14"/>
      <c r="C428" s="13"/>
      <c r="D428" s="13"/>
      <c r="E428" s="290" t="s">
        <v>439</v>
      </c>
      <c r="F428" s="291"/>
      <c r="G428" s="11">
        <v>-35429</v>
      </c>
      <c r="H428" s="11">
        <v>-17523</v>
      </c>
      <c r="I428" s="11">
        <v>0</v>
      </c>
      <c r="J428" s="140">
        <v>0</v>
      </c>
      <c r="K428" s="154"/>
      <c r="N428" s="91">
        <f t="shared" si="138"/>
        <v>0</v>
      </c>
      <c r="O428" s="130" t="str">
        <f t="shared" si="139"/>
        <v/>
      </c>
      <c r="P428" s="91">
        <f t="shared" si="140"/>
        <v>-17523</v>
      </c>
      <c r="Q428" s="130">
        <f t="shared" si="141"/>
        <v>0</v>
      </c>
      <c r="R428" s="91"/>
      <c r="S428" s="132" t="str">
        <f t="shared" si="143"/>
        <v/>
      </c>
      <c r="T428" s="172">
        <f t="shared" si="144"/>
        <v>11</v>
      </c>
    </row>
    <row r="429" spans="1:20" ht="11.25" customHeight="1" x14ac:dyDescent="0.25">
      <c r="A429" s="26" t="s">
        <v>1315</v>
      </c>
      <c r="B429" s="26"/>
      <c r="C429" s="23"/>
      <c r="D429" s="23"/>
      <c r="E429" s="300" t="s">
        <v>440</v>
      </c>
      <c r="F429" s="301"/>
      <c r="G429" s="25">
        <f t="shared" ref="G429:K429" si="158">SUM(G430)</f>
        <v>-228690</v>
      </c>
      <c r="H429" s="25">
        <f t="shared" si="158"/>
        <v>-245110</v>
      </c>
      <c r="I429" s="25">
        <f t="shared" si="158"/>
        <v>0</v>
      </c>
      <c r="J429" s="139">
        <f t="shared" si="158"/>
        <v>0</v>
      </c>
      <c r="K429" s="153">
        <f t="shared" si="158"/>
        <v>0</v>
      </c>
      <c r="N429" s="91">
        <f t="shared" si="138"/>
        <v>0</v>
      </c>
      <c r="O429" s="130" t="str">
        <f t="shared" si="139"/>
        <v/>
      </c>
      <c r="P429" s="91">
        <f t="shared" si="140"/>
        <v>-245110</v>
      </c>
      <c r="Q429" s="130">
        <f t="shared" si="141"/>
        <v>0</v>
      </c>
      <c r="R429" s="91"/>
      <c r="S429" s="132" t="str">
        <f t="shared" si="143"/>
        <v/>
      </c>
      <c r="T429" s="172">
        <f t="shared" si="144"/>
        <v>7</v>
      </c>
    </row>
    <row r="430" spans="1:20" ht="11.25" customHeight="1" x14ac:dyDescent="0.25">
      <c r="A430" s="42" t="s">
        <v>1316</v>
      </c>
      <c r="B430" s="27" t="s">
        <v>916</v>
      </c>
      <c r="C430" s="16" t="s">
        <v>923</v>
      </c>
      <c r="D430" s="16" t="s">
        <v>917</v>
      </c>
      <c r="E430" s="290" t="s">
        <v>441</v>
      </c>
      <c r="F430" s="291"/>
      <c r="G430" s="11">
        <v>-228690</v>
      </c>
      <c r="H430" s="11">
        <v>-245110</v>
      </c>
      <c r="I430" s="11">
        <v>0</v>
      </c>
      <c r="J430" s="140">
        <v>0</v>
      </c>
      <c r="K430" s="155">
        <v>0</v>
      </c>
      <c r="N430" s="91">
        <f t="shared" si="138"/>
        <v>0</v>
      </c>
      <c r="O430" s="130" t="str">
        <f t="shared" si="139"/>
        <v/>
      </c>
      <c r="P430" s="91">
        <f t="shared" si="140"/>
        <v>-245110</v>
      </c>
      <c r="Q430" s="130">
        <f t="shared" si="141"/>
        <v>0</v>
      </c>
      <c r="R430" s="91"/>
      <c r="S430" s="132" t="str">
        <f t="shared" si="143"/>
        <v/>
      </c>
      <c r="T430" s="172">
        <f t="shared" si="144"/>
        <v>11</v>
      </c>
    </row>
    <row r="431" spans="1:20" ht="11.25" customHeight="1" x14ac:dyDescent="0.25">
      <c r="A431" s="26" t="s">
        <v>1317</v>
      </c>
      <c r="B431" s="26"/>
      <c r="C431" s="23"/>
      <c r="D431" s="23"/>
      <c r="E431" s="300" t="s">
        <v>442</v>
      </c>
      <c r="F431" s="301"/>
      <c r="G431" s="25">
        <f t="shared" ref="G431:K431" si="159">SUM(G432)</f>
        <v>-3087.43</v>
      </c>
      <c r="H431" s="25">
        <f t="shared" si="159"/>
        <v>0</v>
      </c>
      <c r="I431" s="25">
        <f t="shared" si="159"/>
        <v>0</v>
      </c>
      <c r="J431" s="139">
        <f t="shared" si="159"/>
        <v>0</v>
      </c>
      <c r="K431" s="153">
        <f t="shared" si="159"/>
        <v>0</v>
      </c>
      <c r="N431" s="91">
        <f t="shared" si="138"/>
        <v>0</v>
      </c>
      <c r="O431" s="130" t="str">
        <f t="shared" si="139"/>
        <v/>
      </c>
      <c r="P431" s="91">
        <f t="shared" si="140"/>
        <v>0</v>
      </c>
      <c r="Q431" s="130" t="str">
        <f t="shared" si="141"/>
        <v/>
      </c>
      <c r="R431" s="91"/>
      <c r="S431" s="132" t="str">
        <f t="shared" si="143"/>
        <v/>
      </c>
      <c r="T431" s="172">
        <f t="shared" si="144"/>
        <v>7</v>
      </c>
    </row>
    <row r="432" spans="1:20" ht="11.25" customHeight="1" x14ac:dyDescent="0.25">
      <c r="A432" s="42" t="s">
        <v>1318</v>
      </c>
      <c r="B432" s="14"/>
      <c r="C432" s="13"/>
      <c r="D432" s="13"/>
      <c r="E432" s="290" t="s">
        <v>443</v>
      </c>
      <c r="F432" s="291"/>
      <c r="G432" s="11">
        <v>-3087.43</v>
      </c>
      <c r="H432" s="11">
        <v>0</v>
      </c>
      <c r="I432" s="11">
        <v>0</v>
      </c>
      <c r="J432" s="140">
        <v>0</v>
      </c>
      <c r="K432" s="154"/>
      <c r="N432" s="91">
        <f t="shared" si="138"/>
        <v>0</v>
      </c>
      <c r="O432" s="130" t="str">
        <f t="shared" si="139"/>
        <v/>
      </c>
      <c r="P432" s="91">
        <f t="shared" si="140"/>
        <v>0</v>
      </c>
      <c r="Q432" s="130" t="str">
        <f t="shared" si="141"/>
        <v/>
      </c>
      <c r="R432" s="91"/>
      <c r="S432" s="132" t="str">
        <f t="shared" si="143"/>
        <v/>
      </c>
      <c r="T432" s="172">
        <f t="shared" si="144"/>
        <v>11</v>
      </c>
    </row>
    <row r="433" spans="1:20" ht="11.25" customHeight="1" x14ac:dyDescent="0.25">
      <c r="A433" s="38" t="s">
        <v>444</v>
      </c>
      <c r="B433" s="38"/>
      <c r="C433" s="22"/>
      <c r="D433" s="22"/>
      <c r="E433" s="296" t="s">
        <v>445</v>
      </c>
      <c r="F433" s="297"/>
      <c r="G433" s="37">
        <v>0</v>
      </c>
      <c r="H433" s="37">
        <v>0</v>
      </c>
      <c r="I433" s="37">
        <v>0</v>
      </c>
      <c r="J433" s="142">
        <v>0</v>
      </c>
      <c r="K433" s="160">
        <f t="shared" si="153"/>
        <v>0</v>
      </c>
      <c r="N433" s="190">
        <f t="shared" si="138"/>
        <v>0</v>
      </c>
      <c r="O433" s="191" t="str">
        <f t="shared" si="139"/>
        <v/>
      </c>
      <c r="P433" s="190">
        <f t="shared" si="140"/>
        <v>0</v>
      </c>
      <c r="Q433" s="191" t="str">
        <f t="shared" si="141"/>
        <v/>
      </c>
      <c r="R433" s="190">
        <f t="shared" si="146"/>
        <v>0</v>
      </c>
      <c r="S433" s="192" t="str">
        <f t="shared" si="143"/>
        <v/>
      </c>
      <c r="T433" s="172">
        <f t="shared" si="144"/>
        <v>4</v>
      </c>
    </row>
    <row r="434" spans="1:20" ht="11.25" customHeight="1" x14ac:dyDescent="0.25">
      <c r="A434" s="38" t="s">
        <v>446</v>
      </c>
      <c r="B434" s="38"/>
      <c r="C434" s="22"/>
      <c r="D434" s="22"/>
      <c r="E434" s="296" t="s">
        <v>437</v>
      </c>
      <c r="F434" s="297"/>
      <c r="G434" s="37">
        <f t="shared" ref="G434:K434" si="160">G435+G437+G440+G444+G446+G461+G466+G468+G470+G473+G475+G477+G479+G481+G483+G485+G487+G489+G493</f>
        <v>-15060632.32</v>
      </c>
      <c r="H434" s="37">
        <f t="shared" si="160"/>
        <v>-18336936.760000002</v>
      </c>
      <c r="I434" s="37">
        <f t="shared" si="160"/>
        <v>-17407999.999999925</v>
      </c>
      <c r="J434" s="138">
        <v>-18054346</v>
      </c>
      <c r="K434" s="152">
        <f t="shared" si="160"/>
        <v>-18462456</v>
      </c>
      <c r="N434" s="190">
        <f t="shared" si="138"/>
        <v>1054456.0000000745</v>
      </c>
      <c r="O434" s="191">
        <f t="shared" si="139"/>
        <v>1.0605730698529456</v>
      </c>
      <c r="P434" s="190">
        <f t="shared" si="140"/>
        <v>125519.23999999836</v>
      </c>
      <c r="Q434" s="191">
        <f t="shared" si="141"/>
        <v>1.0068451585803473</v>
      </c>
      <c r="R434" s="190">
        <f t="shared" si="146"/>
        <v>408110</v>
      </c>
      <c r="S434" s="192">
        <f t="shared" si="143"/>
        <v>1.0226045296794468</v>
      </c>
      <c r="T434" s="172">
        <f t="shared" si="144"/>
        <v>4</v>
      </c>
    </row>
    <row r="435" spans="1:20" ht="11.25" customHeight="1" x14ac:dyDescent="0.25">
      <c r="A435" s="26" t="s">
        <v>1319</v>
      </c>
      <c r="B435" s="26"/>
      <c r="C435" s="23"/>
      <c r="D435" s="23"/>
      <c r="E435" s="300" t="s">
        <v>448</v>
      </c>
      <c r="F435" s="301"/>
      <c r="G435" s="25">
        <f t="shared" ref="G435:K435" si="161">SUM(G436)</f>
        <v>13726.05</v>
      </c>
      <c r="H435" s="25">
        <f t="shared" si="161"/>
        <v>9819.2199999999993</v>
      </c>
      <c r="I435" s="25">
        <f t="shared" si="161"/>
        <v>0</v>
      </c>
      <c r="J435" s="139">
        <f t="shared" si="161"/>
        <v>0</v>
      </c>
      <c r="K435" s="153">
        <f t="shared" si="161"/>
        <v>0</v>
      </c>
      <c r="N435" s="91">
        <f t="shared" si="138"/>
        <v>0</v>
      </c>
      <c r="O435" s="130" t="str">
        <f t="shared" si="139"/>
        <v/>
      </c>
      <c r="P435" s="91">
        <f t="shared" si="140"/>
        <v>9819.2199999999993</v>
      </c>
      <c r="Q435" s="130">
        <f t="shared" si="141"/>
        <v>0</v>
      </c>
      <c r="R435" s="91"/>
      <c r="S435" s="132" t="str">
        <f t="shared" si="143"/>
        <v/>
      </c>
      <c r="T435" s="172">
        <f t="shared" si="144"/>
        <v>7</v>
      </c>
    </row>
    <row r="436" spans="1:20" ht="11.25" customHeight="1" x14ac:dyDescent="0.25">
      <c r="A436" s="42" t="s">
        <v>1320</v>
      </c>
      <c r="B436" s="14"/>
      <c r="C436" s="13"/>
      <c r="D436" s="13"/>
      <c r="E436" s="290" t="s">
        <v>449</v>
      </c>
      <c r="F436" s="291"/>
      <c r="G436" s="11">
        <v>13726.05</v>
      </c>
      <c r="H436" s="11">
        <v>9819.2199999999993</v>
      </c>
      <c r="I436" s="11">
        <v>0</v>
      </c>
      <c r="J436" s="140">
        <v>0</v>
      </c>
      <c r="K436" s="154"/>
      <c r="N436" s="91">
        <f t="shared" si="138"/>
        <v>0</v>
      </c>
      <c r="O436" s="130" t="str">
        <f t="shared" si="139"/>
        <v/>
      </c>
      <c r="P436" s="91">
        <f t="shared" si="140"/>
        <v>9819.2199999999993</v>
      </c>
      <c r="Q436" s="130">
        <f t="shared" si="141"/>
        <v>0</v>
      </c>
      <c r="R436" s="91"/>
      <c r="S436" s="132" t="str">
        <f t="shared" si="143"/>
        <v/>
      </c>
      <c r="T436" s="172">
        <f t="shared" si="144"/>
        <v>11</v>
      </c>
    </row>
    <row r="437" spans="1:20" ht="11.25" customHeight="1" x14ac:dyDescent="0.25">
      <c r="A437" s="26" t="s">
        <v>1321</v>
      </c>
      <c r="B437" s="26"/>
      <c r="C437" s="23"/>
      <c r="D437" s="23"/>
      <c r="E437" s="300" t="s">
        <v>450</v>
      </c>
      <c r="F437" s="301"/>
      <c r="G437" s="25">
        <f t="shared" ref="G437:K437" si="162">SUM(G438:G439)</f>
        <v>-1085119.72</v>
      </c>
      <c r="H437" s="25">
        <f t="shared" si="162"/>
        <v>-490077.41000000003</v>
      </c>
      <c r="I437" s="25">
        <f t="shared" si="162"/>
        <v>0</v>
      </c>
      <c r="J437" s="139">
        <f t="shared" si="162"/>
        <v>0</v>
      </c>
      <c r="K437" s="153">
        <f t="shared" si="162"/>
        <v>0</v>
      </c>
      <c r="N437" s="91">
        <f t="shared" si="138"/>
        <v>0</v>
      </c>
      <c r="O437" s="130" t="str">
        <f t="shared" si="139"/>
        <v/>
      </c>
      <c r="P437" s="91">
        <f t="shared" si="140"/>
        <v>-490077.41000000003</v>
      </c>
      <c r="Q437" s="130">
        <f t="shared" si="141"/>
        <v>0</v>
      </c>
      <c r="R437" s="91"/>
      <c r="S437" s="132" t="str">
        <f t="shared" si="143"/>
        <v/>
      </c>
      <c r="T437" s="172">
        <f t="shared" si="144"/>
        <v>7</v>
      </c>
    </row>
    <row r="438" spans="1:20" ht="11.25" customHeight="1" x14ac:dyDescent="0.25">
      <c r="A438" s="42" t="s">
        <v>1322</v>
      </c>
      <c r="B438" s="28" t="s">
        <v>916</v>
      </c>
      <c r="C438" s="20" t="s">
        <v>919</v>
      </c>
      <c r="D438" s="28" t="s">
        <v>1089</v>
      </c>
      <c r="E438" s="290" t="s">
        <v>451</v>
      </c>
      <c r="F438" s="291"/>
      <c r="G438" s="11">
        <v>-874797.69</v>
      </c>
      <c r="H438" s="11">
        <v>-431795.34</v>
      </c>
      <c r="I438" s="11">
        <v>0</v>
      </c>
      <c r="J438" s="140">
        <v>0</v>
      </c>
      <c r="K438" s="155">
        <v>0</v>
      </c>
      <c r="N438" s="91">
        <f t="shared" si="138"/>
        <v>0</v>
      </c>
      <c r="O438" s="130" t="str">
        <f t="shared" si="139"/>
        <v/>
      </c>
      <c r="P438" s="91">
        <f t="shared" si="140"/>
        <v>-431795.34</v>
      </c>
      <c r="Q438" s="130">
        <f t="shared" si="141"/>
        <v>0</v>
      </c>
      <c r="R438" s="91"/>
      <c r="S438" s="132" t="str">
        <f t="shared" si="143"/>
        <v/>
      </c>
      <c r="T438" s="172">
        <f t="shared" si="144"/>
        <v>11</v>
      </c>
    </row>
    <row r="439" spans="1:20" ht="11.25" customHeight="1" x14ac:dyDescent="0.25">
      <c r="A439" s="42" t="s">
        <v>1323</v>
      </c>
      <c r="B439" s="20" t="s">
        <v>916</v>
      </c>
      <c r="C439" s="20" t="s">
        <v>923</v>
      </c>
      <c r="D439" s="20" t="s">
        <v>1648</v>
      </c>
      <c r="E439" s="290" t="s">
        <v>452</v>
      </c>
      <c r="F439" s="291"/>
      <c r="G439" s="11">
        <v>-210322.03</v>
      </c>
      <c r="H439" s="11">
        <v>-58282.07</v>
      </c>
      <c r="I439" s="11">
        <v>0</v>
      </c>
      <c r="J439" s="140">
        <v>0</v>
      </c>
      <c r="K439" s="154"/>
      <c r="N439" s="91">
        <f t="shared" si="138"/>
        <v>0</v>
      </c>
      <c r="O439" s="130" t="str">
        <f t="shared" si="139"/>
        <v/>
      </c>
      <c r="P439" s="91">
        <f t="shared" si="140"/>
        <v>-58282.07</v>
      </c>
      <c r="Q439" s="130">
        <f t="shared" si="141"/>
        <v>0</v>
      </c>
      <c r="R439" s="91"/>
      <c r="S439" s="132" t="str">
        <f t="shared" si="143"/>
        <v/>
      </c>
      <c r="T439" s="172">
        <f t="shared" si="144"/>
        <v>11</v>
      </c>
    </row>
    <row r="440" spans="1:20" ht="11.25" customHeight="1" x14ac:dyDescent="0.25">
      <c r="A440" s="26" t="s">
        <v>1324</v>
      </c>
      <c r="B440" s="26"/>
      <c r="C440" s="23"/>
      <c r="D440" s="23"/>
      <c r="E440" s="300" t="s">
        <v>453</v>
      </c>
      <c r="F440" s="301"/>
      <c r="G440" s="25">
        <f t="shared" ref="G440:K440" si="163">SUM(G441:G443)</f>
        <v>2687131.98</v>
      </c>
      <c r="H440" s="25">
        <f t="shared" si="163"/>
        <v>2646627.9</v>
      </c>
      <c r="I440" s="25">
        <f t="shared" si="163"/>
        <v>2500000</v>
      </c>
      <c r="J440" s="139">
        <f t="shared" si="163"/>
        <v>0</v>
      </c>
      <c r="K440" s="153">
        <f t="shared" si="163"/>
        <v>2800000</v>
      </c>
      <c r="N440" s="91">
        <f t="shared" si="138"/>
        <v>-300000</v>
      </c>
      <c r="O440" s="130">
        <f t="shared" si="139"/>
        <v>1.1200000000000001</v>
      </c>
      <c r="P440" s="91">
        <f t="shared" si="140"/>
        <v>-153372.10000000009</v>
      </c>
      <c r="Q440" s="130">
        <f t="shared" si="141"/>
        <v>1.0579500049855894</v>
      </c>
      <c r="R440" s="91"/>
      <c r="S440" s="132" t="str">
        <f t="shared" si="143"/>
        <v/>
      </c>
      <c r="T440" s="172">
        <f t="shared" si="144"/>
        <v>7</v>
      </c>
    </row>
    <row r="441" spans="1:20" ht="11.25" customHeight="1" x14ac:dyDescent="0.25">
      <c r="A441" s="42" t="s">
        <v>1325</v>
      </c>
      <c r="B441" s="27" t="s">
        <v>916</v>
      </c>
      <c r="C441" s="28" t="s">
        <v>923</v>
      </c>
      <c r="D441" s="28" t="s">
        <v>1643</v>
      </c>
      <c r="E441" s="290" t="s">
        <v>454</v>
      </c>
      <c r="F441" s="291"/>
      <c r="G441" s="11">
        <v>2411763.25</v>
      </c>
      <c r="H441" s="11">
        <v>2646627.9</v>
      </c>
      <c r="I441" s="11">
        <v>2500000</v>
      </c>
      <c r="J441" s="140">
        <v>0</v>
      </c>
      <c r="K441" s="155">
        <v>2800000</v>
      </c>
      <c r="N441" s="91">
        <f t="shared" si="138"/>
        <v>-300000</v>
      </c>
      <c r="O441" s="130">
        <f t="shared" si="139"/>
        <v>1.1200000000000001</v>
      </c>
      <c r="P441" s="91">
        <f t="shared" si="140"/>
        <v>-153372.10000000009</v>
      </c>
      <c r="Q441" s="130">
        <f t="shared" si="141"/>
        <v>1.0579500049855894</v>
      </c>
      <c r="R441" s="91"/>
      <c r="S441" s="132" t="str">
        <f t="shared" si="143"/>
        <v/>
      </c>
      <c r="T441" s="172">
        <f t="shared" si="144"/>
        <v>11</v>
      </c>
    </row>
    <row r="442" spans="1:20" ht="11.25" customHeight="1" x14ac:dyDescent="0.25">
      <c r="A442" s="42" t="s">
        <v>1326</v>
      </c>
      <c r="B442" s="27"/>
      <c r="C442" s="28"/>
      <c r="D442" s="28"/>
      <c r="E442" s="290" t="s">
        <v>455</v>
      </c>
      <c r="F442" s="291"/>
      <c r="G442" s="11">
        <v>34.729999999999997</v>
      </c>
      <c r="H442" s="11">
        <v>0</v>
      </c>
      <c r="I442" s="11">
        <v>0</v>
      </c>
      <c r="J442" s="140">
        <v>0</v>
      </c>
      <c r="K442" s="154"/>
      <c r="N442" s="91">
        <f t="shared" si="138"/>
        <v>0</v>
      </c>
      <c r="O442" s="130" t="str">
        <f t="shared" si="139"/>
        <v/>
      </c>
      <c r="P442" s="91">
        <f t="shared" si="140"/>
        <v>0</v>
      </c>
      <c r="Q442" s="130" t="str">
        <f t="shared" si="141"/>
        <v/>
      </c>
      <c r="R442" s="91"/>
      <c r="S442" s="132" t="str">
        <f t="shared" si="143"/>
        <v/>
      </c>
      <c r="T442" s="172">
        <f t="shared" si="144"/>
        <v>11</v>
      </c>
    </row>
    <row r="443" spans="1:20" ht="11.25" customHeight="1" x14ac:dyDescent="0.25">
      <c r="A443" s="42" t="s">
        <v>1327</v>
      </c>
      <c r="B443" s="27"/>
      <c r="C443" s="28"/>
      <c r="D443" s="28"/>
      <c r="E443" s="290" t="s">
        <v>456</v>
      </c>
      <c r="F443" s="291"/>
      <c r="G443" s="11">
        <v>275334</v>
      </c>
      <c r="H443" s="11">
        <v>0</v>
      </c>
      <c r="I443" s="11">
        <v>0</v>
      </c>
      <c r="J443" s="140">
        <v>0</v>
      </c>
      <c r="K443" s="154"/>
      <c r="N443" s="91">
        <f t="shared" si="138"/>
        <v>0</v>
      </c>
      <c r="O443" s="130" t="str">
        <f t="shared" si="139"/>
        <v/>
      </c>
      <c r="P443" s="91">
        <f t="shared" si="140"/>
        <v>0</v>
      </c>
      <c r="Q443" s="130" t="str">
        <f t="shared" si="141"/>
        <v/>
      </c>
      <c r="R443" s="91"/>
      <c r="S443" s="132" t="str">
        <f t="shared" si="143"/>
        <v/>
      </c>
      <c r="T443" s="172">
        <f t="shared" si="144"/>
        <v>11</v>
      </c>
    </row>
    <row r="444" spans="1:20" ht="11.25" customHeight="1" x14ac:dyDescent="0.25">
      <c r="A444" s="26" t="s">
        <v>1328</v>
      </c>
      <c r="B444" s="31"/>
      <c r="C444" s="32"/>
      <c r="D444" s="32"/>
      <c r="E444" s="300" t="s">
        <v>457</v>
      </c>
      <c r="F444" s="301"/>
      <c r="G444" s="25">
        <f>SUM(G445)</f>
        <v>0</v>
      </c>
      <c r="H444" s="25">
        <f>SUM(H445)</f>
        <v>-64940</v>
      </c>
      <c r="I444" s="25">
        <f>SUM(I445)</f>
        <v>0</v>
      </c>
      <c r="J444" s="139">
        <f t="shared" ref="J444:K444" si="164">SUM(J445)</f>
        <v>0</v>
      </c>
      <c r="K444" s="153">
        <f t="shared" si="164"/>
        <v>0</v>
      </c>
      <c r="N444" s="91">
        <f t="shared" si="138"/>
        <v>0</v>
      </c>
      <c r="O444" s="130" t="str">
        <f t="shared" si="139"/>
        <v/>
      </c>
      <c r="P444" s="91">
        <f t="shared" si="140"/>
        <v>-64940</v>
      </c>
      <c r="Q444" s="130">
        <f t="shared" si="141"/>
        <v>0</v>
      </c>
      <c r="R444" s="91"/>
      <c r="S444" s="132" t="str">
        <f t="shared" si="143"/>
        <v/>
      </c>
      <c r="T444" s="172">
        <f t="shared" si="144"/>
        <v>7</v>
      </c>
    </row>
    <row r="445" spans="1:20" ht="11.25" customHeight="1" x14ac:dyDescent="0.25">
      <c r="A445" s="42" t="s">
        <v>1329</v>
      </c>
      <c r="B445" s="14"/>
      <c r="C445" s="13"/>
      <c r="D445" s="13"/>
      <c r="E445" s="290" t="s">
        <v>458</v>
      </c>
      <c r="F445" s="291"/>
      <c r="G445" s="11">
        <v>0</v>
      </c>
      <c r="H445" s="11">
        <v>-64940</v>
      </c>
      <c r="I445" s="11">
        <v>0</v>
      </c>
      <c r="J445" s="140">
        <v>0</v>
      </c>
      <c r="K445" s="154"/>
      <c r="N445" s="91">
        <f t="shared" si="138"/>
        <v>0</v>
      </c>
      <c r="O445" s="130" t="str">
        <f t="shared" si="139"/>
        <v/>
      </c>
      <c r="P445" s="91">
        <f t="shared" si="140"/>
        <v>-64940</v>
      </c>
      <c r="Q445" s="130">
        <f t="shared" si="141"/>
        <v>0</v>
      </c>
      <c r="R445" s="91"/>
      <c r="S445" s="132" t="str">
        <f t="shared" si="143"/>
        <v/>
      </c>
      <c r="T445" s="172">
        <f t="shared" si="144"/>
        <v>11</v>
      </c>
    </row>
    <row r="446" spans="1:20" ht="11.25" customHeight="1" x14ac:dyDescent="0.25">
      <c r="A446" s="26" t="s">
        <v>1330</v>
      </c>
      <c r="B446" s="26"/>
      <c r="C446" s="23"/>
      <c r="D446" s="23"/>
      <c r="E446" s="300" t="s">
        <v>459</v>
      </c>
      <c r="F446" s="301"/>
      <c r="G446" s="25">
        <f t="shared" ref="G446:K446" si="165">SUM(G447:G460)</f>
        <v>-6233370.5500000007</v>
      </c>
      <c r="H446" s="25">
        <f t="shared" si="165"/>
        <v>-6767282.6899999995</v>
      </c>
      <c r="I446" s="25">
        <f t="shared" si="165"/>
        <v>-7330999.9999999888</v>
      </c>
      <c r="J446" s="139">
        <f t="shared" si="165"/>
        <v>0</v>
      </c>
      <c r="K446" s="153">
        <f t="shared" si="165"/>
        <v>-5672000</v>
      </c>
      <c r="N446" s="91">
        <f t="shared" si="138"/>
        <v>-1658999.9999999888</v>
      </c>
      <c r="O446" s="130">
        <f t="shared" si="139"/>
        <v>0.77370072295730574</v>
      </c>
      <c r="P446" s="91">
        <f t="shared" si="140"/>
        <v>-1095282.6899999995</v>
      </c>
      <c r="Q446" s="130">
        <f t="shared" si="141"/>
        <v>0.83815029751623993</v>
      </c>
      <c r="R446" s="91"/>
      <c r="S446" s="132" t="str">
        <f t="shared" si="143"/>
        <v/>
      </c>
      <c r="T446" s="172">
        <f t="shared" si="144"/>
        <v>7</v>
      </c>
    </row>
    <row r="447" spans="1:20" ht="11.25" customHeight="1" x14ac:dyDescent="0.25">
      <c r="A447" s="42" t="s">
        <v>1331</v>
      </c>
      <c r="B447" s="27" t="s">
        <v>916</v>
      </c>
      <c r="C447" s="28" t="s">
        <v>919</v>
      </c>
      <c r="D447" s="28" t="s">
        <v>917</v>
      </c>
      <c r="E447" s="290" t="s">
        <v>460</v>
      </c>
      <c r="F447" s="291"/>
      <c r="G447" s="11">
        <v>0</v>
      </c>
      <c r="H447" s="11">
        <v>-97890</v>
      </c>
      <c r="I447" s="11">
        <v>0</v>
      </c>
      <c r="J447" s="140">
        <v>0</v>
      </c>
      <c r="K447" s="155">
        <v>0</v>
      </c>
      <c r="N447" s="91">
        <f t="shared" si="138"/>
        <v>0</v>
      </c>
      <c r="O447" s="130" t="str">
        <f t="shared" si="139"/>
        <v/>
      </c>
      <c r="P447" s="91">
        <f t="shared" si="140"/>
        <v>-97890</v>
      </c>
      <c r="Q447" s="130">
        <f t="shared" si="141"/>
        <v>0</v>
      </c>
      <c r="R447" s="91"/>
      <c r="S447" s="132" t="str">
        <f t="shared" si="143"/>
        <v/>
      </c>
      <c r="T447" s="172">
        <f t="shared" si="144"/>
        <v>11</v>
      </c>
    </row>
    <row r="448" spans="1:20" ht="11.25" customHeight="1" x14ac:dyDescent="0.25">
      <c r="A448" s="42" t="s">
        <v>1332</v>
      </c>
      <c r="B448" s="27" t="s">
        <v>916</v>
      </c>
      <c r="C448" s="28" t="s">
        <v>919</v>
      </c>
      <c r="D448" s="28" t="s">
        <v>917</v>
      </c>
      <c r="E448" s="290" t="s">
        <v>461</v>
      </c>
      <c r="F448" s="291"/>
      <c r="G448" s="11">
        <v>-324271.96000000002</v>
      </c>
      <c r="H448" s="11">
        <v>-327104.61</v>
      </c>
      <c r="I448" s="11">
        <v>-1880000</v>
      </c>
      <c r="J448" s="140">
        <v>0</v>
      </c>
      <c r="K448" s="155">
        <v>-240000</v>
      </c>
      <c r="N448" s="91">
        <f t="shared" si="138"/>
        <v>-1640000</v>
      </c>
      <c r="O448" s="130">
        <f t="shared" si="139"/>
        <v>0.1276595744680851</v>
      </c>
      <c r="P448" s="91">
        <f t="shared" si="140"/>
        <v>-87104.609999999986</v>
      </c>
      <c r="Q448" s="130">
        <f t="shared" si="141"/>
        <v>0.73371023416637271</v>
      </c>
      <c r="R448" s="91"/>
      <c r="S448" s="132" t="str">
        <f t="shared" si="143"/>
        <v/>
      </c>
      <c r="T448" s="172">
        <f t="shared" si="144"/>
        <v>11</v>
      </c>
    </row>
    <row r="449" spans="1:20" ht="11.25" customHeight="1" x14ac:dyDescent="0.25">
      <c r="A449" s="42" t="s">
        <v>1333</v>
      </c>
      <c r="B449" s="14"/>
      <c r="C449" s="13"/>
      <c r="D449" s="13"/>
      <c r="E449" s="290" t="s">
        <v>462</v>
      </c>
      <c r="F449" s="291"/>
      <c r="G449" s="11">
        <v>-265939.88</v>
      </c>
      <c r="H449" s="11">
        <v>-388333.31</v>
      </c>
      <c r="I449" s="11">
        <v>0</v>
      </c>
      <c r="J449" s="140">
        <v>0</v>
      </c>
      <c r="K449" s="154"/>
      <c r="N449" s="91">
        <f t="shared" si="138"/>
        <v>0</v>
      </c>
      <c r="O449" s="130" t="str">
        <f t="shared" si="139"/>
        <v/>
      </c>
      <c r="P449" s="91">
        <f t="shared" si="140"/>
        <v>-388333.31</v>
      </c>
      <c r="Q449" s="130">
        <f t="shared" si="141"/>
        <v>0</v>
      </c>
      <c r="R449" s="91"/>
      <c r="S449" s="132" t="str">
        <f t="shared" si="143"/>
        <v/>
      </c>
      <c r="T449" s="172">
        <f t="shared" si="144"/>
        <v>11</v>
      </c>
    </row>
    <row r="450" spans="1:20" ht="11.25" customHeight="1" x14ac:dyDescent="0.25">
      <c r="A450" s="42" t="s">
        <v>1334</v>
      </c>
      <c r="B450" s="14"/>
      <c r="C450" s="13"/>
      <c r="D450" s="13"/>
      <c r="E450" s="290" t="s">
        <v>463</v>
      </c>
      <c r="F450" s="291"/>
      <c r="G450" s="11">
        <v>14238.35</v>
      </c>
      <c r="H450" s="11">
        <v>31561.09</v>
      </c>
      <c r="I450" s="11">
        <v>0</v>
      </c>
      <c r="J450" s="140">
        <v>0</v>
      </c>
      <c r="K450" s="154"/>
      <c r="N450" s="91">
        <f t="shared" si="138"/>
        <v>0</v>
      </c>
      <c r="O450" s="130" t="str">
        <f t="shared" si="139"/>
        <v/>
      </c>
      <c r="P450" s="91">
        <f t="shared" si="140"/>
        <v>31561.09</v>
      </c>
      <c r="Q450" s="130">
        <f t="shared" si="141"/>
        <v>0</v>
      </c>
      <c r="R450" s="91"/>
      <c r="S450" s="132" t="str">
        <f t="shared" si="143"/>
        <v/>
      </c>
      <c r="T450" s="172">
        <f t="shared" si="144"/>
        <v>11</v>
      </c>
    </row>
    <row r="451" spans="1:20" ht="11.25" customHeight="1" x14ac:dyDescent="0.25">
      <c r="A451" s="42" t="s">
        <v>1335</v>
      </c>
      <c r="B451" s="27" t="s">
        <v>916</v>
      </c>
      <c r="C451" s="28" t="s">
        <v>923</v>
      </c>
      <c r="D451" s="28" t="s">
        <v>917</v>
      </c>
      <c r="E451" s="290" t="s">
        <v>464</v>
      </c>
      <c r="F451" s="291"/>
      <c r="G451" s="11">
        <v>-77086</v>
      </c>
      <c r="H451" s="11">
        <v>-75539</v>
      </c>
      <c r="I451" s="11">
        <v>-79999.999999993001</v>
      </c>
      <c r="J451" s="140">
        <v>0</v>
      </c>
      <c r="K451" s="155">
        <v>-70000</v>
      </c>
      <c r="N451" s="91">
        <f t="shared" si="138"/>
        <v>-9999.9999999930005</v>
      </c>
      <c r="O451" s="130">
        <f t="shared" si="139"/>
        <v>0.87500000000007661</v>
      </c>
      <c r="P451" s="91">
        <f t="shared" si="140"/>
        <v>-5539</v>
      </c>
      <c r="Q451" s="130">
        <f t="shared" si="141"/>
        <v>0.92667363878261555</v>
      </c>
      <c r="R451" s="91"/>
      <c r="S451" s="132" t="str">
        <f t="shared" si="143"/>
        <v/>
      </c>
      <c r="T451" s="172">
        <f t="shared" si="144"/>
        <v>11</v>
      </c>
    </row>
    <row r="452" spans="1:20" ht="11.25" customHeight="1" x14ac:dyDescent="0.25">
      <c r="A452" s="42" t="s">
        <v>1336</v>
      </c>
      <c r="B452" s="20" t="s">
        <v>1243</v>
      </c>
      <c r="C452" s="20" t="s">
        <v>920</v>
      </c>
      <c r="D452" s="20" t="s">
        <v>1245</v>
      </c>
      <c r="E452" s="290" t="s">
        <v>465</v>
      </c>
      <c r="F452" s="291"/>
      <c r="G452" s="11">
        <v>-812173.4</v>
      </c>
      <c r="H452" s="11">
        <v>-825880.49</v>
      </c>
      <c r="I452" s="11">
        <v>-1500000</v>
      </c>
      <c r="J452" s="140">
        <v>0</v>
      </c>
      <c r="K452" s="155">
        <v>-1510000</v>
      </c>
      <c r="N452" s="91">
        <f t="shared" si="138"/>
        <v>10000</v>
      </c>
      <c r="O452" s="130">
        <f t="shared" si="139"/>
        <v>1.0066666666666666</v>
      </c>
      <c r="P452" s="91">
        <f t="shared" si="140"/>
        <v>684119.51</v>
      </c>
      <c r="Q452" s="130">
        <f t="shared" si="141"/>
        <v>1.8283517025568676</v>
      </c>
      <c r="R452" s="91"/>
      <c r="S452" s="132" t="str">
        <f t="shared" si="143"/>
        <v/>
      </c>
      <c r="T452" s="172">
        <f t="shared" si="144"/>
        <v>11</v>
      </c>
    </row>
    <row r="453" spans="1:20" ht="11.25" customHeight="1" x14ac:dyDescent="0.25">
      <c r="A453" s="42" t="s">
        <v>1337</v>
      </c>
      <c r="B453" s="20" t="s">
        <v>1243</v>
      </c>
      <c r="C453" s="20" t="s">
        <v>920</v>
      </c>
      <c r="D453" s="20" t="s">
        <v>1245</v>
      </c>
      <c r="E453" s="290" t="s">
        <v>466</v>
      </c>
      <c r="F453" s="291"/>
      <c r="G453" s="11">
        <v>-2193636</v>
      </c>
      <c r="H453" s="11">
        <v>-1927768.29</v>
      </c>
      <c r="I453" s="11">
        <v>-2100000</v>
      </c>
      <c r="J453" s="140">
        <v>0</v>
      </c>
      <c r="K453" s="155">
        <v>-2112000</v>
      </c>
      <c r="N453" s="91">
        <f t="shared" si="138"/>
        <v>12000</v>
      </c>
      <c r="O453" s="130">
        <f t="shared" si="139"/>
        <v>1.0057142857142858</v>
      </c>
      <c r="P453" s="91">
        <f t="shared" si="140"/>
        <v>184231.70999999996</v>
      </c>
      <c r="Q453" s="130">
        <f t="shared" si="141"/>
        <v>1.0955673516136111</v>
      </c>
      <c r="R453" s="91"/>
      <c r="S453" s="132" t="str">
        <f t="shared" si="143"/>
        <v/>
      </c>
      <c r="T453" s="172">
        <f t="shared" si="144"/>
        <v>11</v>
      </c>
    </row>
    <row r="454" spans="1:20" ht="11.25" customHeight="1" x14ac:dyDescent="0.25">
      <c r="A454" s="42" t="s">
        <v>1338</v>
      </c>
      <c r="B454" s="20" t="s">
        <v>1243</v>
      </c>
      <c r="C454" s="20" t="s">
        <v>920</v>
      </c>
      <c r="D454" s="20" t="s">
        <v>1245</v>
      </c>
      <c r="E454" s="290" t="s">
        <v>467</v>
      </c>
      <c r="F454" s="291"/>
      <c r="G454" s="11">
        <v>-297014.65000000002</v>
      </c>
      <c r="H454" s="11">
        <v>-535511.86</v>
      </c>
      <c r="I454" s="11">
        <v>-699999.99999999604</v>
      </c>
      <c r="J454" s="140">
        <v>0</v>
      </c>
      <c r="K454" s="155">
        <v>-700000</v>
      </c>
      <c r="N454" s="91">
        <f t="shared" si="138"/>
        <v>3.9581209421157837E-9</v>
      </c>
      <c r="O454" s="130">
        <f t="shared" si="139"/>
        <v>1.0000000000000056</v>
      </c>
      <c r="P454" s="91">
        <f t="shared" si="140"/>
        <v>164488.14000000001</v>
      </c>
      <c r="Q454" s="130">
        <f t="shared" si="141"/>
        <v>1.3071605921108824</v>
      </c>
      <c r="R454" s="91"/>
      <c r="S454" s="132" t="str">
        <f t="shared" si="143"/>
        <v/>
      </c>
      <c r="T454" s="172">
        <f t="shared" si="144"/>
        <v>11</v>
      </c>
    </row>
    <row r="455" spans="1:20" ht="11.25" customHeight="1" x14ac:dyDescent="0.25">
      <c r="A455" s="42" t="s">
        <v>1339</v>
      </c>
      <c r="B455" s="20" t="s">
        <v>1243</v>
      </c>
      <c r="C455" s="20" t="s">
        <v>920</v>
      </c>
      <c r="D455" s="20" t="s">
        <v>1245</v>
      </c>
      <c r="E455" s="290" t="s">
        <v>468</v>
      </c>
      <c r="F455" s="291"/>
      <c r="G455" s="11">
        <v>-302008.93</v>
      </c>
      <c r="H455" s="11">
        <v>-438449.99</v>
      </c>
      <c r="I455" s="11">
        <v>-330000</v>
      </c>
      <c r="J455" s="140">
        <v>0</v>
      </c>
      <c r="K455" s="155">
        <v>-330000</v>
      </c>
      <c r="N455" s="91">
        <f t="shared" si="138"/>
        <v>0</v>
      </c>
      <c r="O455" s="130">
        <f t="shared" si="139"/>
        <v>1</v>
      </c>
      <c r="P455" s="91">
        <f t="shared" si="140"/>
        <v>-108449.98999999999</v>
      </c>
      <c r="Q455" s="130">
        <f t="shared" si="141"/>
        <v>0.75265140272896347</v>
      </c>
      <c r="R455" s="91"/>
      <c r="S455" s="132" t="str">
        <f t="shared" si="143"/>
        <v/>
      </c>
      <c r="T455" s="172">
        <f t="shared" si="144"/>
        <v>11</v>
      </c>
    </row>
    <row r="456" spans="1:20" ht="11.25" customHeight="1" x14ac:dyDescent="0.25">
      <c r="A456" s="42" t="s">
        <v>1340</v>
      </c>
      <c r="B456" s="14"/>
      <c r="C456" s="13"/>
      <c r="D456" s="13"/>
      <c r="E456" s="290" t="s">
        <v>469</v>
      </c>
      <c r="F456" s="291"/>
      <c r="G456" s="11">
        <v>-59513.45</v>
      </c>
      <c r="H456" s="11">
        <v>-65190.25</v>
      </c>
      <c r="I456" s="11">
        <v>0</v>
      </c>
      <c r="J456" s="140">
        <v>0</v>
      </c>
      <c r="K456" s="155">
        <v>0</v>
      </c>
      <c r="N456" s="91">
        <f t="shared" si="138"/>
        <v>0</v>
      </c>
      <c r="O456" s="130" t="str">
        <f t="shared" si="139"/>
        <v/>
      </c>
      <c r="P456" s="91">
        <f t="shared" si="140"/>
        <v>-65190.25</v>
      </c>
      <c r="Q456" s="130">
        <f t="shared" si="141"/>
        <v>0</v>
      </c>
      <c r="R456" s="91"/>
      <c r="S456" s="132" t="str">
        <f t="shared" si="143"/>
        <v/>
      </c>
      <c r="T456" s="172">
        <f t="shared" si="144"/>
        <v>11</v>
      </c>
    </row>
    <row r="457" spans="1:20" ht="11.25" customHeight="1" x14ac:dyDescent="0.25">
      <c r="A457" s="42" t="s">
        <v>1341</v>
      </c>
      <c r="B457" s="33" t="s">
        <v>916</v>
      </c>
      <c r="C457" s="20" t="s">
        <v>923</v>
      </c>
      <c r="D457" s="20" t="s">
        <v>917</v>
      </c>
      <c r="E457" s="290" t="s">
        <v>470</v>
      </c>
      <c r="F457" s="291"/>
      <c r="G457" s="11">
        <v>-186889.12</v>
      </c>
      <c r="H457" s="11">
        <v>-181278.46</v>
      </c>
      <c r="I457" s="11">
        <v>0</v>
      </c>
      <c r="J457" s="140">
        <v>0</v>
      </c>
      <c r="K457" s="155">
        <v>0</v>
      </c>
      <c r="N457" s="91">
        <f t="shared" si="138"/>
        <v>0</v>
      </c>
      <c r="O457" s="130" t="str">
        <f t="shared" si="139"/>
        <v/>
      </c>
      <c r="P457" s="91">
        <f t="shared" si="140"/>
        <v>-181278.46</v>
      </c>
      <c r="Q457" s="130">
        <f t="shared" si="141"/>
        <v>0</v>
      </c>
      <c r="R457" s="91"/>
      <c r="S457" s="132" t="str">
        <f t="shared" si="143"/>
        <v/>
      </c>
      <c r="T457" s="172">
        <f t="shared" si="144"/>
        <v>11</v>
      </c>
    </row>
    <row r="458" spans="1:20" ht="11.25" customHeight="1" x14ac:dyDescent="0.25">
      <c r="A458" s="42" t="s">
        <v>1342</v>
      </c>
      <c r="B458" s="14"/>
      <c r="C458" s="13"/>
      <c r="D458" s="13"/>
      <c r="E458" s="290" t="s">
        <v>471</v>
      </c>
      <c r="F458" s="291"/>
      <c r="G458" s="11">
        <v>-900000</v>
      </c>
      <c r="H458" s="11">
        <v>-1158631.5</v>
      </c>
      <c r="I458" s="11">
        <v>0</v>
      </c>
      <c r="J458" s="140">
        <v>0</v>
      </c>
      <c r="K458" s="154"/>
      <c r="N458" s="91">
        <f t="shared" si="138"/>
        <v>0</v>
      </c>
      <c r="O458" s="130" t="str">
        <f t="shared" si="139"/>
        <v/>
      </c>
      <c r="P458" s="91">
        <f t="shared" si="140"/>
        <v>-1158631.5</v>
      </c>
      <c r="Q458" s="130">
        <f t="shared" si="141"/>
        <v>0</v>
      </c>
      <c r="R458" s="91"/>
      <c r="S458" s="132" t="str">
        <f t="shared" si="143"/>
        <v/>
      </c>
      <c r="T458" s="172">
        <f t="shared" si="144"/>
        <v>11</v>
      </c>
    </row>
    <row r="459" spans="1:20" ht="11.25" customHeight="1" x14ac:dyDescent="0.25">
      <c r="A459" s="42" t="s">
        <v>1343</v>
      </c>
      <c r="B459" s="27" t="s">
        <v>922</v>
      </c>
      <c r="C459" s="28" t="s">
        <v>923</v>
      </c>
      <c r="D459" s="28" t="s">
        <v>1249</v>
      </c>
      <c r="E459" s="290" t="s">
        <v>472</v>
      </c>
      <c r="F459" s="291"/>
      <c r="G459" s="11">
        <v>-767875.9</v>
      </c>
      <c r="H459" s="11">
        <v>-664012.85</v>
      </c>
      <c r="I459" s="11">
        <v>-741000</v>
      </c>
      <c r="J459" s="140">
        <v>0</v>
      </c>
      <c r="K459" s="155">
        <v>-710000</v>
      </c>
      <c r="N459" s="91">
        <f t="shared" ref="N459:N522" si="166">-K459+I459</f>
        <v>-31000</v>
      </c>
      <c r="O459" s="130">
        <f t="shared" ref="O459:O522" si="167">IF(I459=0,"",K459/I459)</f>
        <v>0.95816464237516874</v>
      </c>
      <c r="P459" s="91">
        <f t="shared" ref="P459:P522" si="168">-K459+H459</f>
        <v>45987.150000000023</v>
      </c>
      <c r="Q459" s="130">
        <f t="shared" ref="Q459:Q522" si="169">IF(H459=0,"",K459/H459)</f>
        <v>1.0692564157455688</v>
      </c>
      <c r="R459" s="91"/>
      <c r="S459" s="132" t="str">
        <f t="shared" si="143"/>
        <v/>
      </c>
      <c r="T459" s="172">
        <f t="shared" si="144"/>
        <v>11</v>
      </c>
    </row>
    <row r="460" spans="1:20" ht="11.25" customHeight="1" x14ac:dyDescent="0.25">
      <c r="A460" s="42" t="s">
        <v>1344</v>
      </c>
      <c r="B460" s="14"/>
      <c r="C460" s="13"/>
      <c r="D460" s="13"/>
      <c r="E460" s="290" t="s">
        <v>473</v>
      </c>
      <c r="F460" s="291"/>
      <c r="G460" s="11">
        <v>-61199.61</v>
      </c>
      <c r="H460" s="11">
        <v>-113253.17</v>
      </c>
      <c r="I460" s="11">
        <v>0</v>
      </c>
      <c r="J460" s="140">
        <v>0</v>
      </c>
      <c r="K460" s="154"/>
      <c r="N460" s="91">
        <f t="shared" si="166"/>
        <v>0</v>
      </c>
      <c r="O460" s="130" t="str">
        <f t="shared" si="167"/>
        <v/>
      </c>
      <c r="P460" s="91">
        <f t="shared" si="168"/>
        <v>-113253.17</v>
      </c>
      <c r="Q460" s="130">
        <f t="shared" si="169"/>
        <v>0</v>
      </c>
      <c r="R460" s="91"/>
      <c r="S460" s="132" t="str">
        <f t="shared" si="143"/>
        <v/>
      </c>
      <c r="T460" s="172">
        <f t="shared" si="144"/>
        <v>11</v>
      </c>
    </row>
    <row r="461" spans="1:20" ht="11.25" customHeight="1" x14ac:dyDescent="0.25">
      <c r="A461" s="26" t="s">
        <v>1345</v>
      </c>
      <c r="B461" s="26"/>
      <c r="C461" s="23"/>
      <c r="D461" s="23"/>
      <c r="E461" s="300" t="s">
        <v>474</v>
      </c>
      <c r="F461" s="301"/>
      <c r="G461" s="25">
        <f t="shared" ref="G461:K461" si="170">SUM(G462:G465)</f>
        <v>-6135123</v>
      </c>
      <c r="H461" s="25">
        <f t="shared" si="170"/>
        <v>-8995113</v>
      </c>
      <c r="I461" s="25">
        <f t="shared" si="170"/>
        <v>-9016999.9999999795</v>
      </c>
      <c r="J461" s="139">
        <f t="shared" si="170"/>
        <v>0</v>
      </c>
      <c r="K461" s="153">
        <f t="shared" si="170"/>
        <v>-11237456</v>
      </c>
      <c r="N461" s="91">
        <f t="shared" si="166"/>
        <v>2220456.0000000205</v>
      </c>
      <c r="O461" s="130">
        <f t="shared" si="167"/>
        <v>1.2462521903072004</v>
      </c>
      <c r="P461" s="91">
        <f t="shared" si="168"/>
        <v>2242343</v>
      </c>
      <c r="Q461" s="130">
        <f t="shared" si="169"/>
        <v>1.2492845837511992</v>
      </c>
      <c r="R461" s="91"/>
      <c r="S461" s="132" t="str">
        <f t="shared" ref="S461:S524" si="171">IF(J461=0,"",K461/J461)</f>
        <v/>
      </c>
      <c r="T461" s="172">
        <f t="shared" si="144"/>
        <v>7</v>
      </c>
    </row>
    <row r="462" spans="1:20" ht="11.25" customHeight="1" x14ac:dyDescent="0.25">
      <c r="A462" s="42" t="s">
        <v>1346</v>
      </c>
      <c r="B462" s="27" t="s">
        <v>916</v>
      </c>
      <c r="C462" s="28" t="s">
        <v>919</v>
      </c>
      <c r="D462" s="28" t="s">
        <v>917</v>
      </c>
      <c r="E462" s="290" t="s">
        <v>475</v>
      </c>
      <c r="F462" s="291"/>
      <c r="G462" s="11">
        <v>-1607754</v>
      </c>
      <c r="H462" s="11">
        <v>-2282512</v>
      </c>
      <c r="I462" s="11">
        <v>-2283000</v>
      </c>
      <c r="J462" s="140">
        <v>0</v>
      </c>
      <c r="K462" s="155">
        <v>-2913456</v>
      </c>
      <c r="L462" s="109" t="s">
        <v>1840</v>
      </c>
      <c r="M462" s="109"/>
      <c r="N462" s="91">
        <f t="shared" si="166"/>
        <v>630456</v>
      </c>
      <c r="O462" s="130">
        <f t="shared" si="167"/>
        <v>1.2761524310118266</v>
      </c>
      <c r="P462" s="91">
        <f t="shared" si="168"/>
        <v>630944</v>
      </c>
      <c r="Q462" s="130">
        <f t="shared" si="169"/>
        <v>1.2764252718058</v>
      </c>
      <c r="R462" s="91"/>
      <c r="S462" s="132" t="str">
        <f t="shared" si="171"/>
        <v/>
      </c>
      <c r="T462" s="172">
        <f t="shared" si="144"/>
        <v>11</v>
      </c>
    </row>
    <row r="463" spans="1:20" ht="11.25" customHeight="1" x14ac:dyDescent="0.25">
      <c r="A463" s="42" t="s">
        <v>1347</v>
      </c>
      <c r="B463" s="27" t="s">
        <v>916</v>
      </c>
      <c r="C463" s="28" t="s">
        <v>919</v>
      </c>
      <c r="D463" s="28" t="s">
        <v>917</v>
      </c>
      <c r="E463" s="290" t="s">
        <v>476</v>
      </c>
      <c r="F463" s="291"/>
      <c r="G463" s="11">
        <v>-3750000</v>
      </c>
      <c r="H463" s="11">
        <v>-5900000</v>
      </c>
      <c r="I463" s="11">
        <v>-5900000</v>
      </c>
      <c r="J463" s="140">
        <v>0</v>
      </c>
      <c r="K463" s="155">
        <v>-7400000</v>
      </c>
      <c r="L463" s="109" t="s">
        <v>1841</v>
      </c>
      <c r="M463" s="109"/>
      <c r="N463" s="91">
        <f t="shared" si="166"/>
        <v>1500000</v>
      </c>
      <c r="O463" s="130">
        <f t="shared" si="167"/>
        <v>1.2542372881355932</v>
      </c>
      <c r="P463" s="91">
        <f t="shared" si="168"/>
        <v>1500000</v>
      </c>
      <c r="Q463" s="130">
        <f t="shared" si="169"/>
        <v>1.2542372881355932</v>
      </c>
      <c r="R463" s="91"/>
      <c r="S463" s="132" t="str">
        <f t="shared" si="171"/>
        <v/>
      </c>
      <c r="T463" s="172">
        <f t="shared" ref="T463:T526" si="172">LEN(A463)</f>
        <v>11</v>
      </c>
    </row>
    <row r="464" spans="1:20" ht="11.25" customHeight="1" x14ac:dyDescent="0.25">
      <c r="A464" s="42" t="s">
        <v>1348</v>
      </c>
      <c r="B464" s="20" t="s">
        <v>916</v>
      </c>
      <c r="C464" s="28" t="s">
        <v>919</v>
      </c>
      <c r="D464" s="20" t="s">
        <v>918</v>
      </c>
      <c r="E464" s="290" t="s">
        <v>477</v>
      </c>
      <c r="F464" s="291"/>
      <c r="G464" s="11">
        <v>-708764</v>
      </c>
      <c r="H464" s="11">
        <v>-808633</v>
      </c>
      <c r="I464" s="11">
        <v>-809999.99999997998</v>
      </c>
      <c r="J464" s="140">
        <v>0</v>
      </c>
      <c r="K464" s="155">
        <v>-900000</v>
      </c>
      <c r="L464" s="109" t="s">
        <v>1693</v>
      </c>
      <c r="M464" s="109"/>
      <c r="N464" s="91">
        <f t="shared" si="166"/>
        <v>90000.000000020023</v>
      </c>
      <c r="O464" s="130">
        <f t="shared" si="167"/>
        <v>1.1111111111111385</v>
      </c>
      <c r="P464" s="91">
        <f t="shared" si="168"/>
        <v>91367</v>
      </c>
      <c r="Q464" s="130">
        <f t="shared" si="169"/>
        <v>1.1129894525699544</v>
      </c>
      <c r="R464" s="91"/>
      <c r="S464" s="132" t="str">
        <f t="shared" si="171"/>
        <v/>
      </c>
      <c r="T464" s="172">
        <f t="shared" si="172"/>
        <v>11</v>
      </c>
    </row>
    <row r="465" spans="1:20" ht="11.25" customHeight="1" x14ac:dyDescent="0.25">
      <c r="A465" s="42" t="s">
        <v>1349</v>
      </c>
      <c r="B465" s="20" t="s">
        <v>1432</v>
      </c>
      <c r="C465" s="20" t="s">
        <v>920</v>
      </c>
      <c r="D465" s="20" t="s">
        <v>1245</v>
      </c>
      <c r="E465" s="290" t="s">
        <v>478</v>
      </c>
      <c r="F465" s="291"/>
      <c r="G465" s="11">
        <v>-68605</v>
      </c>
      <c r="H465" s="11">
        <v>-3968</v>
      </c>
      <c r="I465" s="11">
        <v>-24000</v>
      </c>
      <c r="J465" s="140">
        <v>0</v>
      </c>
      <c r="K465" s="155">
        <v>-24000</v>
      </c>
      <c r="N465" s="91">
        <f t="shared" si="166"/>
        <v>0</v>
      </c>
      <c r="O465" s="130">
        <f t="shared" si="167"/>
        <v>1</v>
      </c>
      <c r="P465" s="91">
        <f t="shared" si="168"/>
        <v>20032</v>
      </c>
      <c r="Q465" s="130">
        <f t="shared" si="169"/>
        <v>6.0483870967741939</v>
      </c>
      <c r="R465" s="91"/>
      <c r="S465" s="132" t="str">
        <f t="shared" si="171"/>
        <v/>
      </c>
      <c r="T465" s="172">
        <f t="shared" si="172"/>
        <v>11</v>
      </c>
    </row>
    <row r="466" spans="1:20" ht="11.25" customHeight="1" x14ac:dyDescent="0.25">
      <c r="A466" s="26" t="s">
        <v>1350</v>
      </c>
      <c r="B466" s="26"/>
      <c r="C466" s="23"/>
      <c r="D466" s="23"/>
      <c r="E466" s="300" t="s">
        <v>479</v>
      </c>
      <c r="F466" s="301"/>
      <c r="G466" s="25">
        <f t="shared" ref="G466:K466" si="173">SUM(G467)</f>
        <v>-41400</v>
      </c>
      <c r="H466" s="25">
        <f t="shared" si="173"/>
        <v>-86137</v>
      </c>
      <c r="I466" s="25">
        <f t="shared" si="173"/>
        <v>-44999.999999997002</v>
      </c>
      <c r="J466" s="139">
        <f t="shared" si="173"/>
        <v>0</v>
      </c>
      <c r="K466" s="153">
        <f t="shared" si="173"/>
        <v>-44000</v>
      </c>
      <c r="N466" s="91">
        <f t="shared" si="166"/>
        <v>-999.99999999700231</v>
      </c>
      <c r="O466" s="130">
        <f t="shared" si="167"/>
        <v>0.97777777777784292</v>
      </c>
      <c r="P466" s="91">
        <f t="shared" si="168"/>
        <v>-42137</v>
      </c>
      <c r="Q466" s="130">
        <f t="shared" si="169"/>
        <v>0.51081416812751779</v>
      </c>
      <c r="R466" s="91"/>
      <c r="S466" s="132" t="str">
        <f t="shared" si="171"/>
        <v/>
      </c>
      <c r="T466" s="172">
        <f t="shared" si="172"/>
        <v>7</v>
      </c>
    </row>
    <row r="467" spans="1:20" ht="11.25" customHeight="1" x14ac:dyDescent="0.25">
      <c r="A467" s="42" t="s">
        <v>1351</v>
      </c>
      <c r="B467" s="27" t="s">
        <v>916</v>
      </c>
      <c r="C467" s="28" t="s">
        <v>923</v>
      </c>
      <c r="D467" s="28" t="s">
        <v>917</v>
      </c>
      <c r="E467" s="290" t="s">
        <v>480</v>
      </c>
      <c r="F467" s="291"/>
      <c r="G467" s="11">
        <v>-41400</v>
      </c>
      <c r="H467" s="11">
        <v>-86137</v>
      </c>
      <c r="I467" s="11">
        <v>-44999.999999997002</v>
      </c>
      <c r="J467" s="140">
        <v>0</v>
      </c>
      <c r="K467" s="155">
        <v>-44000</v>
      </c>
      <c r="N467" s="91">
        <f t="shared" si="166"/>
        <v>-999.99999999700231</v>
      </c>
      <c r="O467" s="130">
        <f t="shared" si="167"/>
        <v>0.97777777777784292</v>
      </c>
      <c r="P467" s="91">
        <f t="shared" si="168"/>
        <v>-42137</v>
      </c>
      <c r="Q467" s="130">
        <f t="shared" si="169"/>
        <v>0.51081416812751779</v>
      </c>
      <c r="R467" s="91"/>
      <c r="S467" s="132" t="str">
        <f t="shared" si="171"/>
        <v/>
      </c>
      <c r="T467" s="172">
        <f t="shared" si="172"/>
        <v>11</v>
      </c>
    </row>
    <row r="468" spans="1:20" ht="11.25" customHeight="1" x14ac:dyDescent="0.25">
      <c r="A468" s="26" t="s">
        <v>1352</v>
      </c>
      <c r="B468" s="26"/>
      <c r="C468" s="23"/>
      <c r="D468" s="23"/>
      <c r="E468" s="300" t="s">
        <v>481</v>
      </c>
      <c r="F468" s="301"/>
      <c r="G468" s="25">
        <f t="shared" ref="G468:K468" si="174">SUM(G469)</f>
        <v>-522600</v>
      </c>
      <c r="H468" s="25">
        <f t="shared" si="174"/>
        <v>-398400</v>
      </c>
      <c r="I468" s="25">
        <f t="shared" si="174"/>
        <v>-499999.99999999203</v>
      </c>
      <c r="J468" s="139">
        <f t="shared" si="174"/>
        <v>0</v>
      </c>
      <c r="K468" s="153">
        <f t="shared" si="174"/>
        <v>-397000</v>
      </c>
      <c r="N468" s="91">
        <f t="shared" si="166"/>
        <v>-102999.99999999203</v>
      </c>
      <c r="O468" s="130">
        <f t="shared" si="167"/>
        <v>0.7940000000000127</v>
      </c>
      <c r="P468" s="91">
        <f t="shared" si="168"/>
        <v>-1400</v>
      </c>
      <c r="Q468" s="130">
        <f t="shared" si="169"/>
        <v>0.99648594377510036</v>
      </c>
      <c r="R468" s="91"/>
      <c r="S468" s="132" t="str">
        <f t="shared" si="171"/>
        <v/>
      </c>
      <c r="T468" s="172">
        <f t="shared" si="172"/>
        <v>7</v>
      </c>
    </row>
    <row r="469" spans="1:20" ht="11.25" customHeight="1" x14ac:dyDescent="0.25">
      <c r="A469" s="42" t="s">
        <v>1353</v>
      </c>
      <c r="B469" s="20" t="s">
        <v>922</v>
      </c>
      <c r="C469" s="20" t="s">
        <v>919</v>
      </c>
      <c r="D469" s="20" t="s">
        <v>924</v>
      </c>
      <c r="E469" s="290" t="s">
        <v>482</v>
      </c>
      <c r="F469" s="291"/>
      <c r="G469" s="11">
        <v>-522600</v>
      </c>
      <c r="H469" s="11">
        <v>-398400</v>
      </c>
      <c r="I469" s="11">
        <v>-499999.99999999203</v>
      </c>
      <c r="J469" s="140">
        <v>0</v>
      </c>
      <c r="K469" s="155">
        <v>-397000</v>
      </c>
      <c r="N469" s="91">
        <f t="shared" si="166"/>
        <v>-102999.99999999203</v>
      </c>
      <c r="O469" s="130">
        <f t="shared" si="167"/>
        <v>0.7940000000000127</v>
      </c>
      <c r="P469" s="91">
        <f t="shared" si="168"/>
        <v>-1400</v>
      </c>
      <c r="Q469" s="130">
        <f t="shared" si="169"/>
        <v>0.99648594377510036</v>
      </c>
      <c r="R469" s="91"/>
      <c r="S469" s="132" t="str">
        <f t="shared" si="171"/>
        <v/>
      </c>
      <c r="T469" s="172">
        <f t="shared" si="172"/>
        <v>11</v>
      </c>
    </row>
    <row r="470" spans="1:20" ht="11.25" customHeight="1" x14ac:dyDescent="0.25">
      <c r="A470" s="26" t="s">
        <v>1354</v>
      </c>
      <c r="B470" s="26"/>
      <c r="C470" s="23"/>
      <c r="D470" s="23"/>
      <c r="E470" s="300" t="s">
        <v>483</v>
      </c>
      <c r="F470" s="301"/>
      <c r="G470" s="25">
        <f t="shared" ref="G470:K470" si="175">SUM(G471:G472)</f>
        <v>-282539</v>
      </c>
      <c r="H470" s="25">
        <f t="shared" si="175"/>
        <v>-293197</v>
      </c>
      <c r="I470" s="25">
        <f t="shared" si="175"/>
        <v>-279999.999999994</v>
      </c>
      <c r="J470" s="139">
        <f t="shared" si="175"/>
        <v>0</v>
      </c>
      <c r="K470" s="153">
        <f t="shared" si="175"/>
        <v>-290000</v>
      </c>
      <c r="N470" s="91">
        <f t="shared" si="166"/>
        <v>10000.000000005995</v>
      </c>
      <c r="O470" s="130">
        <f t="shared" si="167"/>
        <v>1.0357142857143078</v>
      </c>
      <c r="P470" s="91">
        <f t="shared" si="168"/>
        <v>-3197</v>
      </c>
      <c r="Q470" s="130">
        <f t="shared" si="169"/>
        <v>0.9890960685136615</v>
      </c>
      <c r="R470" s="91"/>
      <c r="S470" s="132" t="str">
        <f t="shared" si="171"/>
        <v/>
      </c>
      <c r="T470" s="172">
        <f t="shared" si="172"/>
        <v>7</v>
      </c>
    </row>
    <row r="471" spans="1:20" ht="11.25" customHeight="1" x14ac:dyDescent="0.25">
      <c r="A471" s="42" t="s">
        <v>1355</v>
      </c>
      <c r="B471" s="27" t="s">
        <v>916</v>
      </c>
      <c r="C471" s="28" t="s">
        <v>919</v>
      </c>
      <c r="D471" s="28" t="s">
        <v>917</v>
      </c>
      <c r="E471" s="290" t="s">
        <v>484</v>
      </c>
      <c r="F471" s="291"/>
      <c r="G471" s="11">
        <v>-277539</v>
      </c>
      <c r="H471" s="11">
        <v>-293197</v>
      </c>
      <c r="I471" s="11">
        <v>-279999.999999994</v>
      </c>
      <c r="J471" s="140">
        <v>0</v>
      </c>
      <c r="K471" s="155">
        <v>-290000</v>
      </c>
      <c r="N471" s="91">
        <f t="shared" si="166"/>
        <v>10000.000000005995</v>
      </c>
      <c r="O471" s="130">
        <f t="shared" si="167"/>
        <v>1.0357142857143078</v>
      </c>
      <c r="P471" s="91">
        <f t="shared" si="168"/>
        <v>-3197</v>
      </c>
      <c r="Q471" s="130">
        <f t="shared" si="169"/>
        <v>0.9890960685136615</v>
      </c>
      <c r="R471" s="91"/>
      <c r="S471" s="132" t="str">
        <f t="shared" si="171"/>
        <v/>
      </c>
      <c r="T471" s="172">
        <f t="shared" si="172"/>
        <v>11</v>
      </c>
    </row>
    <row r="472" spans="1:20" ht="11.25" customHeight="1" x14ac:dyDescent="0.25">
      <c r="A472" s="42" t="s">
        <v>1356</v>
      </c>
      <c r="B472" s="27" t="s">
        <v>916</v>
      </c>
      <c r="C472" s="28" t="s">
        <v>919</v>
      </c>
      <c r="D472" s="28" t="s">
        <v>917</v>
      </c>
      <c r="E472" s="290" t="s">
        <v>1685</v>
      </c>
      <c r="F472" s="291"/>
      <c r="G472" s="11">
        <v>-5000</v>
      </c>
      <c r="H472" s="11">
        <v>0</v>
      </c>
      <c r="I472" s="11">
        <v>0</v>
      </c>
      <c r="J472" s="140">
        <v>0</v>
      </c>
      <c r="K472" s="155">
        <v>0</v>
      </c>
      <c r="N472" s="91">
        <f t="shared" si="166"/>
        <v>0</v>
      </c>
      <c r="O472" s="130" t="str">
        <f t="shared" si="167"/>
        <v/>
      </c>
      <c r="P472" s="91">
        <f t="shared" si="168"/>
        <v>0</v>
      </c>
      <c r="Q472" s="130" t="str">
        <f t="shared" si="169"/>
        <v/>
      </c>
      <c r="R472" s="91"/>
      <c r="S472" s="132" t="str">
        <f t="shared" si="171"/>
        <v/>
      </c>
      <c r="T472" s="172">
        <f t="shared" si="172"/>
        <v>11</v>
      </c>
    </row>
    <row r="473" spans="1:20" ht="11.25" customHeight="1" x14ac:dyDescent="0.25">
      <c r="A473" s="26" t="s">
        <v>1357</v>
      </c>
      <c r="B473" s="26"/>
      <c r="C473" s="23"/>
      <c r="D473" s="23"/>
      <c r="E473" s="300" t="s">
        <v>485</v>
      </c>
      <c r="F473" s="301"/>
      <c r="G473" s="25">
        <f t="shared" ref="G473:K473" si="176">SUM(G474)</f>
        <v>-1045308</v>
      </c>
      <c r="H473" s="25">
        <f t="shared" si="176"/>
        <v>-983054</v>
      </c>
      <c r="I473" s="25">
        <f t="shared" si="176"/>
        <v>-1150000</v>
      </c>
      <c r="J473" s="139">
        <f t="shared" si="176"/>
        <v>0</v>
      </c>
      <c r="K473" s="153">
        <f t="shared" si="176"/>
        <v>-1290000</v>
      </c>
      <c r="N473" s="91">
        <f t="shared" si="166"/>
        <v>140000</v>
      </c>
      <c r="O473" s="130">
        <f t="shared" si="167"/>
        <v>1.1217391304347826</v>
      </c>
      <c r="P473" s="91">
        <f t="shared" si="168"/>
        <v>306946</v>
      </c>
      <c r="Q473" s="130">
        <f t="shared" si="169"/>
        <v>1.3122371711014857</v>
      </c>
      <c r="R473" s="91"/>
      <c r="S473" s="132" t="str">
        <f t="shared" si="171"/>
        <v/>
      </c>
      <c r="T473" s="172">
        <f t="shared" si="172"/>
        <v>7</v>
      </c>
    </row>
    <row r="474" spans="1:20" ht="11.25" customHeight="1" x14ac:dyDescent="0.25">
      <c r="A474" s="42" t="s">
        <v>1358</v>
      </c>
      <c r="B474" s="27" t="s">
        <v>916</v>
      </c>
      <c r="C474" s="28" t="s">
        <v>919</v>
      </c>
      <c r="D474" s="28" t="s">
        <v>917</v>
      </c>
      <c r="E474" s="290" t="s">
        <v>486</v>
      </c>
      <c r="F474" s="291"/>
      <c r="G474" s="11">
        <v>-1045308</v>
      </c>
      <c r="H474" s="11">
        <v>-983054</v>
      </c>
      <c r="I474" s="11">
        <v>-1150000</v>
      </c>
      <c r="J474" s="140">
        <v>0</v>
      </c>
      <c r="K474" s="155">
        <v>-1290000</v>
      </c>
      <c r="N474" s="91">
        <f t="shared" si="166"/>
        <v>140000</v>
      </c>
      <c r="O474" s="130">
        <f t="shared" si="167"/>
        <v>1.1217391304347826</v>
      </c>
      <c r="P474" s="91">
        <f t="shared" si="168"/>
        <v>306946</v>
      </c>
      <c r="Q474" s="130">
        <f t="shared" si="169"/>
        <v>1.3122371711014857</v>
      </c>
      <c r="R474" s="91"/>
      <c r="S474" s="132" t="str">
        <f t="shared" si="171"/>
        <v/>
      </c>
      <c r="T474" s="172">
        <f t="shared" si="172"/>
        <v>11</v>
      </c>
    </row>
    <row r="475" spans="1:20" ht="11.25" customHeight="1" x14ac:dyDescent="0.25">
      <c r="A475" s="26" t="s">
        <v>1359</v>
      </c>
      <c r="B475" s="26"/>
      <c r="C475" s="23"/>
      <c r="D475" s="23"/>
      <c r="E475" s="300" t="s">
        <v>487</v>
      </c>
      <c r="F475" s="301"/>
      <c r="G475" s="25">
        <f t="shared" ref="G475:K475" si="177">SUM(G476)</f>
        <v>0</v>
      </c>
      <c r="H475" s="25">
        <f t="shared" si="177"/>
        <v>-2.3283064365386999E-10</v>
      </c>
      <c r="I475" s="25">
        <f t="shared" si="177"/>
        <v>0</v>
      </c>
      <c r="J475" s="139">
        <f t="shared" si="177"/>
        <v>0</v>
      </c>
      <c r="K475" s="153">
        <f t="shared" si="177"/>
        <v>0</v>
      </c>
      <c r="N475" s="91">
        <f t="shared" si="166"/>
        <v>0</v>
      </c>
      <c r="O475" s="130" t="str">
        <f t="shared" si="167"/>
        <v/>
      </c>
      <c r="P475" s="91">
        <f t="shared" si="168"/>
        <v>-2.3283064365386999E-10</v>
      </c>
      <c r="Q475" s="130">
        <f t="shared" si="169"/>
        <v>0</v>
      </c>
      <c r="R475" s="91"/>
      <c r="S475" s="132" t="str">
        <f t="shared" si="171"/>
        <v/>
      </c>
      <c r="T475" s="172">
        <f t="shared" si="172"/>
        <v>7</v>
      </c>
    </row>
    <row r="476" spans="1:20" ht="11.25" customHeight="1" x14ac:dyDescent="0.25">
      <c r="A476" s="42" t="s">
        <v>1360</v>
      </c>
      <c r="B476" s="14"/>
      <c r="C476" s="13"/>
      <c r="D476" s="13"/>
      <c r="E476" s="290" t="s">
        <v>488</v>
      </c>
      <c r="F476" s="291"/>
      <c r="G476" s="11">
        <v>0</v>
      </c>
      <c r="H476" s="11">
        <v>-2.3283064365386999E-10</v>
      </c>
      <c r="I476" s="11">
        <v>0</v>
      </c>
      <c r="J476" s="140">
        <v>0</v>
      </c>
      <c r="K476" s="154"/>
      <c r="N476" s="91">
        <f t="shared" si="166"/>
        <v>0</v>
      </c>
      <c r="O476" s="130" t="str">
        <f t="shared" si="167"/>
        <v/>
      </c>
      <c r="P476" s="91">
        <f t="shared" si="168"/>
        <v>-2.3283064365386999E-10</v>
      </c>
      <c r="Q476" s="130">
        <f t="shared" si="169"/>
        <v>0</v>
      </c>
      <c r="R476" s="91"/>
      <c r="S476" s="132" t="str">
        <f t="shared" si="171"/>
        <v/>
      </c>
      <c r="T476" s="172">
        <f t="shared" si="172"/>
        <v>11</v>
      </c>
    </row>
    <row r="477" spans="1:20" ht="11.25" customHeight="1" x14ac:dyDescent="0.25">
      <c r="A477" s="26" t="s">
        <v>1361</v>
      </c>
      <c r="B477" s="26"/>
      <c r="C477" s="23"/>
      <c r="D477" s="23"/>
      <c r="E477" s="300" t="s">
        <v>489</v>
      </c>
      <c r="F477" s="301"/>
      <c r="G477" s="25">
        <f t="shared" ref="G477:K477" si="178">SUM(G478)</f>
        <v>-14850</v>
      </c>
      <c r="H477" s="25">
        <f t="shared" si="178"/>
        <v>-18900</v>
      </c>
      <c r="I477" s="25">
        <f t="shared" si="178"/>
        <v>-49999.999999991996</v>
      </c>
      <c r="J477" s="139">
        <f t="shared" si="178"/>
        <v>0</v>
      </c>
      <c r="K477" s="153">
        <f t="shared" si="178"/>
        <v>-210000</v>
      </c>
      <c r="N477" s="91">
        <f t="shared" si="166"/>
        <v>160000.000000008</v>
      </c>
      <c r="O477" s="130">
        <f t="shared" si="167"/>
        <v>4.2000000000006725</v>
      </c>
      <c r="P477" s="91">
        <f t="shared" si="168"/>
        <v>191100</v>
      </c>
      <c r="Q477" s="130">
        <f t="shared" si="169"/>
        <v>11.111111111111111</v>
      </c>
      <c r="R477" s="91"/>
      <c r="S477" s="132" t="str">
        <f t="shared" si="171"/>
        <v/>
      </c>
      <c r="T477" s="172">
        <f t="shared" si="172"/>
        <v>7</v>
      </c>
    </row>
    <row r="478" spans="1:20" ht="11.25" customHeight="1" x14ac:dyDescent="0.25">
      <c r="A478" s="42" t="s">
        <v>1362</v>
      </c>
      <c r="B478" s="20" t="s">
        <v>1243</v>
      </c>
      <c r="C478" s="20" t="s">
        <v>920</v>
      </c>
      <c r="D478" s="20" t="s">
        <v>1245</v>
      </c>
      <c r="E478" s="290" t="s">
        <v>490</v>
      </c>
      <c r="F478" s="291"/>
      <c r="G478" s="11">
        <v>-14850</v>
      </c>
      <c r="H478" s="11">
        <v>-18900</v>
      </c>
      <c r="I478" s="11">
        <v>-49999.999999991996</v>
      </c>
      <c r="J478" s="140">
        <v>0</v>
      </c>
      <c r="K478" s="155">
        <v>-210000</v>
      </c>
      <c r="N478" s="91">
        <f t="shared" si="166"/>
        <v>160000.000000008</v>
      </c>
      <c r="O478" s="130">
        <f t="shared" si="167"/>
        <v>4.2000000000006725</v>
      </c>
      <c r="P478" s="91">
        <f t="shared" si="168"/>
        <v>191100</v>
      </c>
      <c r="Q478" s="130">
        <f t="shared" si="169"/>
        <v>11.111111111111111</v>
      </c>
      <c r="R478" s="91"/>
      <c r="S478" s="132" t="str">
        <f t="shared" si="171"/>
        <v/>
      </c>
      <c r="T478" s="172">
        <f t="shared" si="172"/>
        <v>11</v>
      </c>
    </row>
    <row r="479" spans="1:20" ht="11.25" customHeight="1" x14ac:dyDescent="0.25">
      <c r="A479" s="26" t="s">
        <v>1363</v>
      </c>
      <c r="B479" s="26"/>
      <c r="C479" s="23"/>
      <c r="D479" s="23"/>
      <c r="E479" s="300" t="s">
        <v>491</v>
      </c>
      <c r="F479" s="301"/>
      <c r="G479" s="25">
        <f t="shared" ref="G479:K479" si="179">SUM(G480)</f>
        <v>-815562</v>
      </c>
      <c r="H479" s="25">
        <f t="shared" si="179"/>
        <v>-1021297</v>
      </c>
      <c r="I479" s="25">
        <f t="shared" si="179"/>
        <v>-699999.99999999604</v>
      </c>
      <c r="J479" s="139">
        <f t="shared" si="179"/>
        <v>0</v>
      </c>
      <c r="K479" s="153">
        <f t="shared" si="179"/>
        <v>-700000</v>
      </c>
      <c r="N479" s="91">
        <f t="shared" si="166"/>
        <v>3.9581209421157837E-9</v>
      </c>
      <c r="O479" s="130">
        <f t="shared" si="167"/>
        <v>1.0000000000000056</v>
      </c>
      <c r="P479" s="91">
        <f t="shared" si="168"/>
        <v>-321297</v>
      </c>
      <c r="Q479" s="130">
        <f t="shared" si="169"/>
        <v>0.68540297288643759</v>
      </c>
      <c r="R479" s="91"/>
      <c r="S479" s="132" t="str">
        <f t="shared" si="171"/>
        <v/>
      </c>
      <c r="T479" s="172">
        <f t="shared" si="172"/>
        <v>7</v>
      </c>
    </row>
    <row r="480" spans="1:20" ht="11.25" customHeight="1" x14ac:dyDescent="0.25">
      <c r="A480" s="42" t="s">
        <v>1364</v>
      </c>
      <c r="B480" s="20" t="s">
        <v>1243</v>
      </c>
      <c r="C480" s="20" t="s">
        <v>920</v>
      </c>
      <c r="D480" s="20" t="s">
        <v>1245</v>
      </c>
      <c r="E480" s="290" t="s">
        <v>492</v>
      </c>
      <c r="F480" s="291"/>
      <c r="G480" s="11">
        <v>-815562</v>
      </c>
      <c r="H480" s="11">
        <v>-1021297</v>
      </c>
      <c r="I480" s="11">
        <v>-699999.99999999604</v>
      </c>
      <c r="J480" s="140">
        <v>0</v>
      </c>
      <c r="K480" s="155">
        <v>-700000</v>
      </c>
      <c r="N480" s="91">
        <f t="shared" si="166"/>
        <v>3.9581209421157837E-9</v>
      </c>
      <c r="O480" s="130">
        <f t="shared" si="167"/>
        <v>1.0000000000000056</v>
      </c>
      <c r="P480" s="91">
        <f t="shared" si="168"/>
        <v>-321297</v>
      </c>
      <c r="Q480" s="130">
        <f t="shared" si="169"/>
        <v>0.68540297288643759</v>
      </c>
      <c r="R480" s="91"/>
      <c r="S480" s="132" t="str">
        <f t="shared" si="171"/>
        <v/>
      </c>
      <c r="T480" s="172">
        <f t="shared" si="172"/>
        <v>11</v>
      </c>
    </row>
    <row r="481" spans="1:20" ht="11.25" customHeight="1" x14ac:dyDescent="0.25">
      <c r="A481" s="26" t="s">
        <v>1365</v>
      </c>
      <c r="B481" s="26"/>
      <c r="C481" s="23"/>
      <c r="D481" s="23"/>
      <c r="E481" s="300" t="s">
        <v>493</v>
      </c>
      <c r="F481" s="301"/>
      <c r="G481" s="25">
        <f t="shared" ref="G481:K481" si="180">SUM(G482)</f>
        <v>-482234</v>
      </c>
      <c r="H481" s="25">
        <f t="shared" si="180"/>
        <v>-517083</v>
      </c>
      <c r="I481" s="25">
        <f t="shared" si="180"/>
        <v>-199999.999999992</v>
      </c>
      <c r="J481" s="139">
        <f t="shared" si="180"/>
        <v>0</v>
      </c>
      <c r="K481" s="153">
        <f t="shared" si="180"/>
        <v>-200000</v>
      </c>
      <c r="N481" s="91">
        <f t="shared" si="166"/>
        <v>8.0035533756017685E-9</v>
      </c>
      <c r="O481" s="130">
        <f t="shared" si="167"/>
        <v>1.00000000000004</v>
      </c>
      <c r="P481" s="91">
        <f t="shared" si="168"/>
        <v>-317083</v>
      </c>
      <c r="Q481" s="130">
        <f t="shared" si="169"/>
        <v>0.38678510026436763</v>
      </c>
      <c r="R481" s="91"/>
      <c r="S481" s="132" t="str">
        <f t="shared" si="171"/>
        <v/>
      </c>
      <c r="T481" s="172">
        <f t="shared" si="172"/>
        <v>7</v>
      </c>
    </row>
    <row r="482" spans="1:20" ht="11.25" customHeight="1" x14ac:dyDescent="0.25">
      <c r="A482" s="42" t="s">
        <v>1366</v>
      </c>
      <c r="B482" s="20" t="s">
        <v>1243</v>
      </c>
      <c r="C482" s="20" t="s">
        <v>920</v>
      </c>
      <c r="D482" s="20" t="s">
        <v>1245</v>
      </c>
      <c r="E482" s="290" t="s">
        <v>494</v>
      </c>
      <c r="F482" s="291"/>
      <c r="G482" s="11">
        <v>-482234</v>
      </c>
      <c r="H482" s="11">
        <v>-517083</v>
      </c>
      <c r="I482" s="11">
        <v>-199999.999999992</v>
      </c>
      <c r="J482" s="140">
        <v>0</v>
      </c>
      <c r="K482" s="155">
        <v>-200000</v>
      </c>
      <c r="N482" s="91">
        <f t="shared" si="166"/>
        <v>8.0035533756017685E-9</v>
      </c>
      <c r="O482" s="130">
        <f t="shared" si="167"/>
        <v>1.00000000000004</v>
      </c>
      <c r="P482" s="91">
        <f t="shared" si="168"/>
        <v>-317083</v>
      </c>
      <c r="Q482" s="130">
        <f t="shared" si="169"/>
        <v>0.38678510026436763</v>
      </c>
      <c r="R482" s="91"/>
      <c r="S482" s="132" t="str">
        <f t="shared" si="171"/>
        <v/>
      </c>
      <c r="T482" s="172">
        <f t="shared" si="172"/>
        <v>11</v>
      </c>
    </row>
    <row r="483" spans="1:20" ht="11.25" customHeight="1" x14ac:dyDescent="0.25">
      <c r="A483" s="26" t="s">
        <v>1367</v>
      </c>
      <c r="B483" s="26"/>
      <c r="C483" s="23"/>
      <c r="D483" s="23"/>
      <c r="E483" s="300" t="s">
        <v>495</v>
      </c>
      <c r="F483" s="301"/>
      <c r="G483" s="25">
        <f t="shared" ref="G483:K483" si="181">SUM(G484)</f>
        <v>0</v>
      </c>
      <c r="H483" s="25">
        <f t="shared" si="181"/>
        <v>0</v>
      </c>
      <c r="I483" s="25">
        <f t="shared" si="181"/>
        <v>0</v>
      </c>
      <c r="J483" s="139">
        <f t="shared" si="181"/>
        <v>0</v>
      </c>
      <c r="K483" s="153">
        <f t="shared" si="181"/>
        <v>0</v>
      </c>
      <c r="N483" s="91">
        <f t="shared" si="166"/>
        <v>0</v>
      </c>
      <c r="O483" s="130" t="str">
        <f t="shared" si="167"/>
        <v/>
      </c>
      <c r="P483" s="91">
        <f t="shared" si="168"/>
        <v>0</v>
      </c>
      <c r="Q483" s="130" t="str">
        <f t="shared" si="169"/>
        <v/>
      </c>
      <c r="R483" s="91"/>
      <c r="S483" s="132" t="str">
        <f t="shared" si="171"/>
        <v/>
      </c>
      <c r="T483" s="172">
        <f t="shared" si="172"/>
        <v>7</v>
      </c>
    </row>
    <row r="484" spans="1:20" ht="11.25" customHeight="1" x14ac:dyDescent="0.25">
      <c r="A484" s="42" t="s">
        <v>1368</v>
      </c>
      <c r="B484" s="14"/>
      <c r="C484" s="13"/>
      <c r="D484" s="13"/>
      <c r="E484" s="290" t="s">
        <v>496</v>
      </c>
      <c r="F484" s="291"/>
      <c r="G484" s="11">
        <v>0</v>
      </c>
      <c r="H484" s="11">
        <v>0</v>
      </c>
      <c r="I484" s="11">
        <v>0</v>
      </c>
      <c r="J484" s="140">
        <v>0</v>
      </c>
      <c r="K484" s="154"/>
      <c r="N484" s="91">
        <f t="shared" si="166"/>
        <v>0</v>
      </c>
      <c r="O484" s="130" t="str">
        <f t="shared" si="167"/>
        <v/>
      </c>
      <c r="P484" s="91">
        <f t="shared" si="168"/>
        <v>0</v>
      </c>
      <c r="Q484" s="130" t="str">
        <f t="shared" si="169"/>
        <v/>
      </c>
      <c r="R484" s="91"/>
      <c r="S484" s="132" t="str">
        <f t="shared" si="171"/>
        <v/>
      </c>
      <c r="T484" s="172">
        <f t="shared" si="172"/>
        <v>11</v>
      </c>
    </row>
    <row r="485" spans="1:20" ht="11.25" customHeight="1" x14ac:dyDescent="0.25">
      <c r="A485" s="26" t="s">
        <v>1369</v>
      </c>
      <c r="B485" s="26"/>
      <c r="C485" s="23"/>
      <c r="D485" s="23"/>
      <c r="E485" s="300" t="s">
        <v>497</v>
      </c>
      <c r="F485" s="301"/>
      <c r="G485" s="25">
        <f t="shared" ref="G485:K485" si="182">SUM(G486)</f>
        <v>-500939.19</v>
      </c>
      <c r="H485" s="25">
        <f t="shared" si="182"/>
        <v>-669292</v>
      </c>
      <c r="I485" s="25">
        <f t="shared" si="182"/>
        <v>-499999.99999999203</v>
      </c>
      <c r="J485" s="139">
        <f t="shared" si="182"/>
        <v>0</v>
      </c>
      <c r="K485" s="153">
        <f t="shared" si="182"/>
        <v>-580000</v>
      </c>
      <c r="N485" s="91">
        <f t="shared" si="166"/>
        <v>80000.000000007974</v>
      </c>
      <c r="O485" s="130">
        <f t="shared" si="167"/>
        <v>1.1600000000000186</v>
      </c>
      <c r="P485" s="91">
        <f t="shared" si="168"/>
        <v>-89292</v>
      </c>
      <c r="Q485" s="130">
        <f t="shared" si="169"/>
        <v>0.86658737890188442</v>
      </c>
      <c r="R485" s="91"/>
      <c r="S485" s="132" t="str">
        <f t="shared" si="171"/>
        <v/>
      </c>
      <c r="T485" s="172">
        <f t="shared" si="172"/>
        <v>7</v>
      </c>
    </row>
    <row r="486" spans="1:20" ht="11.25" customHeight="1" x14ac:dyDescent="0.25">
      <c r="A486" s="42" t="s">
        <v>1370</v>
      </c>
      <c r="B486" s="20" t="s">
        <v>1243</v>
      </c>
      <c r="C486" s="20" t="s">
        <v>920</v>
      </c>
      <c r="D486" s="20" t="s">
        <v>1245</v>
      </c>
      <c r="E486" s="290" t="s">
        <v>498</v>
      </c>
      <c r="F486" s="291"/>
      <c r="G486" s="11">
        <v>-500939.19</v>
      </c>
      <c r="H486" s="11">
        <v>-669292</v>
      </c>
      <c r="I486" s="11">
        <v>-499999.99999999203</v>
      </c>
      <c r="J486" s="140">
        <v>0</v>
      </c>
      <c r="K486" s="155">
        <v>-580000</v>
      </c>
      <c r="N486" s="91">
        <f t="shared" si="166"/>
        <v>80000.000000007974</v>
      </c>
      <c r="O486" s="130">
        <f t="shared" si="167"/>
        <v>1.1600000000000186</v>
      </c>
      <c r="P486" s="91">
        <f t="shared" si="168"/>
        <v>-89292</v>
      </c>
      <c r="Q486" s="130">
        <f t="shared" si="169"/>
        <v>0.86658737890188442</v>
      </c>
      <c r="R486" s="91"/>
      <c r="S486" s="132" t="str">
        <f t="shared" si="171"/>
        <v/>
      </c>
      <c r="T486" s="172">
        <f t="shared" si="172"/>
        <v>11</v>
      </c>
    </row>
    <row r="487" spans="1:20" ht="11.25" customHeight="1" x14ac:dyDescent="0.25">
      <c r="A487" s="26" t="s">
        <v>1371</v>
      </c>
      <c r="B487" s="26"/>
      <c r="C487" s="23"/>
      <c r="D487" s="23"/>
      <c r="E487" s="300" t="s">
        <v>499</v>
      </c>
      <c r="F487" s="301"/>
      <c r="G487" s="25">
        <f>SUM(G488)</f>
        <v>-405228.98</v>
      </c>
      <c r="H487" s="25">
        <f>SUM(H488)</f>
        <v>-529358.96</v>
      </c>
      <c r="I487" s="25">
        <f>SUM(I488)</f>
        <v>0</v>
      </c>
      <c r="J487" s="139">
        <f t="shared" ref="J487:K487" si="183">SUM(J488)</f>
        <v>0</v>
      </c>
      <c r="K487" s="153">
        <f t="shared" si="183"/>
        <v>-500000</v>
      </c>
      <c r="N487" s="91">
        <f t="shared" si="166"/>
        <v>500000</v>
      </c>
      <c r="O487" s="130" t="str">
        <f t="shared" si="167"/>
        <v/>
      </c>
      <c r="P487" s="91">
        <f t="shared" si="168"/>
        <v>-29358.959999999963</v>
      </c>
      <c r="Q487" s="130">
        <f t="shared" si="169"/>
        <v>0.94453865482885191</v>
      </c>
      <c r="R487" s="91"/>
      <c r="S487" s="132" t="str">
        <f t="shared" si="171"/>
        <v/>
      </c>
      <c r="T487" s="172">
        <f t="shared" si="172"/>
        <v>7</v>
      </c>
    </row>
    <row r="488" spans="1:20" ht="11.25" customHeight="1" x14ac:dyDescent="0.25">
      <c r="A488" s="42" t="s">
        <v>1372</v>
      </c>
      <c r="B488" s="27" t="s">
        <v>916</v>
      </c>
      <c r="C488" s="16" t="s">
        <v>920</v>
      </c>
      <c r="D488" s="16" t="s">
        <v>917</v>
      </c>
      <c r="E488" s="290" t="s">
        <v>500</v>
      </c>
      <c r="F488" s="291"/>
      <c r="G488" s="11">
        <v>-405228.98</v>
      </c>
      <c r="H488" s="11">
        <v>-529358.96</v>
      </c>
      <c r="I488" s="11">
        <v>0</v>
      </c>
      <c r="J488" s="140">
        <v>0</v>
      </c>
      <c r="K488" s="155">
        <v>-500000</v>
      </c>
      <c r="N488" s="91">
        <f t="shared" si="166"/>
        <v>500000</v>
      </c>
      <c r="O488" s="130" t="str">
        <f t="shared" si="167"/>
        <v/>
      </c>
      <c r="P488" s="91">
        <f t="shared" si="168"/>
        <v>-29358.959999999963</v>
      </c>
      <c r="Q488" s="130">
        <f t="shared" si="169"/>
        <v>0.94453865482885191</v>
      </c>
      <c r="R488" s="91"/>
      <c r="S488" s="132" t="str">
        <f t="shared" si="171"/>
        <v/>
      </c>
      <c r="T488" s="172">
        <f t="shared" si="172"/>
        <v>11</v>
      </c>
    </row>
    <row r="489" spans="1:20" ht="11.25" customHeight="1" x14ac:dyDescent="0.25">
      <c r="A489" s="26" t="s">
        <v>1373</v>
      </c>
      <c r="B489" s="26"/>
      <c r="C489" s="23"/>
      <c r="D489" s="23"/>
      <c r="E489" s="300" t="s">
        <v>501</v>
      </c>
      <c r="F489" s="301"/>
      <c r="G489" s="25">
        <f t="shared" ref="G489:K489" si="184">SUM(G490:G492)</f>
        <v>-13726.05</v>
      </c>
      <c r="H489" s="25">
        <f t="shared" si="184"/>
        <v>-9819.2199999999993</v>
      </c>
      <c r="I489" s="25">
        <f t="shared" si="184"/>
        <v>0</v>
      </c>
      <c r="J489" s="139">
        <f t="shared" si="184"/>
        <v>0</v>
      </c>
      <c r="K489" s="153">
        <f t="shared" si="184"/>
        <v>0</v>
      </c>
      <c r="N489" s="91">
        <f t="shared" si="166"/>
        <v>0</v>
      </c>
      <c r="O489" s="130" t="str">
        <f t="shared" si="167"/>
        <v/>
      </c>
      <c r="P489" s="91">
        <f t="shared" si="168"/>
        <v>-9819.2199999999993</v>
      </c>
      <c r="Q489" s="130">
        <f t="shared" si="169"/>
        <v>0</v>
      </c>
      <c r="R489" s="91"/>
      <c r="S489" s="132" t="str">
        <f t="shared" si="171"/>
        <v/>
      </c>
      <c r="T489" s="172">
        <f t="shared" si="172"/>
        <v>7</v>
      </c>
    </row>
    <row r="490" spans="1:20" ht="11.25" customHeight="1" x14ac:dyDescent="0.25">
      <c r="A490" s="42" t="s">
        <v>1374</v>
      </c>
      <c r="B490" s="14"/>
      <c r="C490" s="13"/>
      <c r="D490" s="13"/>
      <c r="E490" s="290" t="s">
        <v>502</v>
      </c>
      <c r="F490" s="291"/>
      <c r="G490" s="11">
        <v>-6908.65</v>
      </c>
      <c r="H490" s="11">
        <v>-9819.2199999999993</v>
      </c>
      <c r="I490" s="11">
        <v>0</v>
      </c>
      <c r="J490" s="140">
        <v>0</v>
      </c>
      <c r="K490" s="155">
        <v>0</v>
      </c>
      <c r="N490" s="91">
        <f t="shared" si="166"/>
        <v>0</v>
      </c>
      <c r="O490" s="130" t="str">
        <f t="shared" si="167"/>
        <v/>
      </c>
      <c r="P490" s="91">
        <f t="shared" si="168"/>
        <v>-9819.2199999999993</v>
      </c>
      <c r="Q490" s="130">
        <f t="shared" si="169"/>
        <v>0</v>
      </c>
      <c r="R490" s="91"/>
      <c r="S490" s="132" t="str">
        <f t="shared" si="171"/>
        <v/>
      </c>
      <c r="T490" s="172">
        <f t="shared" si="172"/>
        <v>11</v>
      </c>
    </row>
    <row r="491" spans="1:20" ht="11.25" customHeight="1" x14ac:dyDescent="0.25">
      <c r="A491" s="42" t="s">
        <v>1375</v>
      </c>
      <c r="B491" s="14"/>
      <c r="C491" s="13"/>
      <c r="D491" s="13"/>
      <c r="E491" s="290" t="s">
        <v>503</v>
      </c>
      <c r="F491" s="291"/>
      <c r="G491" s="11">
        <v>-2147.1799999999998</v>
      </c>
      <c r="H491" s="11">
        <v>0</v>
      </c>
      <c r="I491" s="11">
        <v>0</v>
      </c>
      <c r="J491" s="140">
        <v>0</v>
      </c>
      <c r="K491" s="155">
        <v>0</v>
      </c>
      <c r="N491" s="91">
        <f t="shared" si="166"/>
        <v>0</v>
      </c>
      <c r="O491" s="130" t="str">
        <f t="shared" si="167"/>
        <v/>
      </c>
      <c r="P491" s="91">
        <f t="shared" si="168"/>
        <v>0</v>
      </c>
      <c r="Q491" s="130" t="str">
        <f t="shared" si="169"/>
        <v/>
      </c>
      <c r="R491" s="91"/>
      <c r="S491" s="132" t="str">
        <f t="shared" si="171"/>
        <v/>
      </c>
      <c r="T491" s="172">
        <f t="shared" si="172"/>
        <v>11</v>
      </c>
    </row>
    <row r="492" spans="1:20" ht="11.25" customHeight="1" x14ac:dyDescent="0.25">
      <c r="A492" s="42" t="s">
        <v>1376</v>
      </c>
      <c r="B492" s="14"/>
      <c r="C492" s="13"/>
      <c r="D492" s="13"/>
      <c r="E492" s="290" t="s">
        <v>504</v>
      </c>
      <c r="F492" s="291"/>
      <c r="G492" s="11">
        <v>-4670.22</v>
      </c>
      <c r="H492" s="11">
        <v>0</v>
      </c>
      <c r="I492" s="11">
        <v>0</v>
      </c>
      <c r="J492" s="140">
        <v>0</v>
      </c>
      <c r="K492" s="155">
        <v>0</v>
      </c>
      <c r="N492" s="91">
        <f t="shared" si="166"/>
        <v>0</v>
      </c>
      <c r="O492" s="130" t="str">
        <f t="shared" si="167"/>
        <v/>
      </c>
      <c r="P492" s="91">
        <f t="shared" si="168"/>
        <v>0</v>
      </c>
      <c r="Q492" s="130" t="str">
        <f t="shared" si="169"/>
        <v/>
      </c>
      <c r="R492" s="91"/>
      <c r="S492" s="132" t="str">
        <f t="shared" si="171"/>
        <v/>
      </c>
      <c r="T492" s="172">
        <f t="shared" si="172"/>
        <v>11</v>
      </c>
    </row>
    <row r="493" spans="1:20" ht="11.25" customHeight="1" x14ac:dyDescent="0.25">
      <c r="A493" s="26" t="s">
        <v>1377</v>
      </c>
      <c r="B493" s="26"/>
      <c r="C493" s="23"/>
      <c r="D493" s="23"/>
      <c r="E493" s="300" t="s">
        <v>505</v>
      </c>
      <c r="F493" s="301"/>
      <c r="G493" s="25">
        <f t="shared" ref="G493:K493" si="185">SUM(G494:G496)</f>
        <v>-183489.86</v>
      </c>
      <c r="H493" s="25">
        <f t="shared" si="185"/>
        <v>-149432.6</v>
      </c>
      <c r="I493" s="25">
        <f t="shared" si="185"/>
        <v>-135000</v>
      </c>
      <c r="J493" s="139">
        <f t="shared" si="185"/>
        <v>0</v>
      </c>
      <c r="K493" s="153">
        <f t="shared" si="185"/>
        <v>-142000</v>
      </c>
      <c r="N493" s="91">
        <f t="shared" si="166"/>
        <v>7000</v>
      </c>
      <c r="O493" s="130">
        <f t="shared" si="167"/>
        <v>1.0518518518518518</v>
      </c>
      <c r="P493" s="91">
        <f t="shared" si="168"/>
        <v>-7432.6000000000058</v>
      </c>
      <c r="Q493" s="130">
        <f t="shared" si="169"/>
        <v>0.95026118798709247</v>
      </c>
      <c r="R493" s="91"/>
      <c r="S493" s="132" t="str">
        <f t="shared" si="171"/>
        <v/>
      </c>
      <c r="T493" s="172">
        <f t="shared" si="172"/>
        <v>7</v>
      </c>
    </row>
    <row r="494" spans="1:20" ht="11.25" customHeight="1" x14ac:dyDescent="0.25">
      <c r="A494" s="42" t="s">
        <v>1378</v>
      </c>
      <c r="B494" s="27" t="s">
        <v>916</v>
      </c>
      <c r="C494" s="28" t="s">
        <v>923</v>
      </c>
      <c r="D494" s="28" t="s">
        <v>917</v>
      </c>
      <c r="E494" s="290" t="s">
        <v>506</v>
      </c>
      <c r="F494" s="291"/>
      <c r="G494" s="11">
        <v>-131313</v>
      </c>
      <c r="H494" s="11">
        <v>-135206.6</v>
      </c>
      <c r="I494" s="11">
        <v>-134999.99999999901</v>
      </c>
      <c r="J494" s="140">
        <v>0</v>
      </c>
      <c r="K494" s="155">
        <v>-142000</v>
      </c>
      <c r="N494" s="91">
        <f t="shared" si="166"/>
        <v>7000.0000000009895</v>
      </c>
      <c r="O494" s="130">
        <f t="shared" si="167"/>
        <v>1.0518518518518596</v>
      </c>
      <c r="P494" s="91">
        <f t="shared" si="168"/>
        <v>6793.3999999999942</v>
      </c>
      <c r="Q494" s="130">
        <f t="shared" si="169"/>
        <v>1.0502445886517373</v>
      </c>
      <c r="R494" s="91"/>
      <c r="S494" s="132" t="str">
        <f t="shared" si="171"/>
        <v/>
      </c>
      <c r="T494" s="172">
        <f t="shared" si="172"/>
        <v>11</v>
      </c>
    </row>
    <row r="495" spans="1:20" ht="11.25" customHeight="1" x14ac:dyDescent="0.25">
      <c r="A495" s="42" t="s">
        <v>1379</v>
      </c>
      <c r="B495" s="14"/>
      <c r="C495" s="13"/>
      <c r="D495" s="13"/>
      <c r="E495" s="290" t="s">
        <v>507</v>
      </c>
      <c r="F495" s="291"/>
      <c r="G495" s="11">
        <v>-9941</v>
      </c>
      <c r="H495" s="11">
        <v>-14226</v>
      </c>
      <c r="I495" s="11">
        <v>0</v>
      </c>
      <c r="J495" s="140">
        <v>0</v>
      </c>
      <c r="K495" s="154"/>
      <c r="N495" s="91">
        <f t="shared" si="166"/>
        <v>0</v>
      </c>
      <c r="O495" s="130" t="str">
        <f t="shared" si="167"/>
        <v/>
      </c>
      <c r="P495" s="91">
        <f t="shared" si="168"/>
        <v>-14226</v>
      </c>
      <c r="Q495" s="130">
        <f t="shared" si="169"/>
        <v>0</v>
      </c>
      <c r="R495" s="91"/>
      <c r="S495" s="132" t="str">
        <f t="shared" si="171"/>
        <v/>
      </c>
      <c r="T495" s="172">
        <f t="shared" si="172"/>
        <v>11</v>
      </c>
    </row>
    <row r="496" spans="1:20" ht="11.25" customHeight="1" x14ac:dyDescent="0.25">
      <c r="A496" s="42" t="s">
        <v>1380</v>
      </c>
      <c r="B496" s="14"/>
      <c r="C496" s="13"/>
      <c r="D496" s="13"/>
      <c r="E496" s="290" t="s">
        <v>93</v>
      </c>
      <c r="F496" s="291"/>
      <c r="G496" s="11">
        <v>-42235.86</v>
      </c>
      <c r="H496" s="11">
        <v>0</v>
      </c>
      <c r="I496" s="11">
        <v>-9.9953467724844793E-10</v>
      </c>
      <c r="J496" s="140">
        <v>0</v>
      </c>
      <c r="K496" s="154"/>
      <c r="N496" s="91">
        <f t="shared" si="166"/>
        <v>-9.9953467724844793E-10</v>
      </c>
      <c r="O496" s="130">
        <f t="shared" si="167"/>
        <v>0</v>
      </c>
      <c r="P496" s="91">
        <f t="shared" si="168"/>
        <v>0</v>
      </c>
      <c r="Q496" s="130" t="str">
        <f t="shared" si="169"/>
        <v/>
      </c>
      <c r="R496" s="91"/>
      <c r="S496" s="132" t="str">
        <f t="shared" si="171"/>
        <v/>
      </c>
      <c r="T496" s="172">
        <f t="shared" si="172"/>
        <v>11</v>
      </c>
    </row>
    <row r="497" spans="1:20" ht="11.25" customHeight="1" x14ac:dyDescent="0.25">
      <c r="A497" s="41" t="s">
        <v>508</v>
      </c>
      <c r="B497" s="41"/>
      <c r="C497" s="40"/>
      <c r="D497" s="40"/>
      <c r="E497" s="298" t="s">
        <v>509</v>
      </c>
      <c r="F497" s="299"/>
      <c r="G497" s="43">
        <f t="shared" ref="G497:K497" si="186">G498+G519+G520+G521+G522+G527+G563+G564+G567</f>
        <v>-303484476.73000002</v>
      </c>
      <c r="H497" s="43">
        <f t="shared" si="186"/>
        <v>-307829995.27999997</v>
      </c>
      <c r="I497" s="43">
        <f t="shared" si="186"/>
        <v>-324191333.33332342</v>
      </c>
      <c r="J497" s="137">
        <f t="shared" si="186"/>
        <v>-307912254</v>
      </c>
      <c r="K497" s="137">
        <f t="shared" si="186"/>
        <v>-373728722</v>
      </c>
      <c r="N497" s="91">
        <f t="shared" si="166"/>
        <v>49537388.666676581</v>
      </c>
      <c r="O497" s="130">
        <f t="shared" si="167"/>
        <v>1.1528029394164705</v>
      </c>
      <c r="P497" s="91">
        <f t="shared" si="168"/>
        <v>65898726.720000029</v>
      </c>
      <c r="Q497" s="130">
        <f t="shared" si="169"/>
        <v>1.2140750665316387</v>
      </c>
      <c r="R497" s="91">
        <f t="shared" ref="R497:R522" si="187">-K497+J497</f>
        <v>65816468</v>
      </c>
      <c r="S497" s="132">
        <f t="shared" si="171"/>
        <v>1.2137507265300329</v>
      </c>
      <c r="T497" s="172">
        <f t="shared" si="172"/>
        <v>3</v>
      </c>
    </row>
    <row r="498" spans="1:20" ht="11.25" customHeight="1" x14ac:dyDescent="0.25">
      <c r="A498" s="38" t="s">
        <v>510</v>
      </c>
      <c r="B498" s="38"/>
      <c r="C498" s="22"/>
      <c r="D498" s="22"/>
      <c r="E498" s="296" t="s">
        <v>511</v>
      </c>
      <c r="F498" s="297"/>
      <c r="G498" s="37">
        <f t="shared" ref="G498:K498" si="188">G499+G501+G509+G516</f>
        <v>-256193577</v>
      </c>
      <c r="H498" s="37">
        <f t="shared" si="188"/>
        <v>-262580475</v>
      </c>
      <c r="I498" s="37">
        <f t="shared" si="188"/>
        <v>-274899999.99999022</v>
      </c>
      <c r="J498" s="138">
        <v>-272560461</v>
      </c>
      <c r="K498" s="152">
        <f t="shared" si="188"/>
        <v>-313583152</v>
      </c>
      <c r="N498" s="190">
        <f t="shared" si="166"/>
        <v>38683152.000009775</v>
      </c>
      <c r="O498" s="191">
        <f t="shared" si="167"/>
        <v>1.1407171771553697</v>
      </c>
      <c r="P498" s="190">
        <f t="shared" si="168"/>
        <v>51002677</v>
      </c>
      <c r="Q498" s="191">
        <f t="shared" si="169"/>
        <v>1.194236365061035</v>
      </c>
      <c r="R498" s="190">
        <f t="shared" si="187"/>
        <v>41022691</v>
      </c>
      <c r="S498" s="192">
        <f t="shared" si="171"/>
        <v>1.1505085911929096</v>
      </c>
      <c r="T498" s="172">
        <f t="shared" si="172"/>
        <v>4</v>
      </c>
    </row>
    <row r="499" spans="1:20" ht="11.25" customHeight="1" x14ac:dyDescent="0.25">
      <c r="A499" s="26" t="s">
        <v>1381</v>
      </c>
      <c r="B499" s="26"/>
      <c r="C499" s="23"/>
      <c r="D499" s="23"/>
      <c r="E499" s="300" t="s">
        <v>512</v>
      </c>
      <c r="F499" s="301"/>
      <c r="G499" s="25">
        <f t="shared" ref="G499:K499" si="189">SUM(G500)</f>
        <v>356400.76</v>
      </c>
      <c r="H499" s="25">
        <f t="shared" si="189"/>
        <v>377814.5</v>
      </c>
      <c r="I499" s="25">
        <f t="shared" si="189"/>
        <v>0</v>
      </c>
      <c r="J499" s="139">
        <f t="shared" si="189"/>
        <v>0</v>
      </c>
      <c r="K499" s="153">
        <f t="shared" si="189"/>
        <v>0</v>
      </c>
      <c r="N499" s="91">
        <f t="shared" si="166"/>
        <v>0</v>
      </c>
      <c r="O499" s="130" t="str">
        <f t="shared" si="167"/>
        <v/>
      </c>
      <c r="P499" s="91">
        <f t="shared" si="168"/>
        <v>377814.5</v>
      </c>
      <c r="Q499" s="130">
        <f t="shared" si="169"/>
        <v>0</v>
      </c>
      <c r="R499" s="91"/>
      <c r="S499" s="132" t="str">
        <f t="shared" si="171"/>
        <v/>
      </c>
      <c r="T499" s="172">
        <f t="shared" si="172"/>
        <v>7</v>
      </c>
    </row>
    <row r="500" spans="1:20" ht="11.25" customHeight="1" x14ac:dyDescent="0.25">
      <c r="A500" s="42" t="s">
        <v>1382</v>
      </c>
      <c r="B500" s="14"/>
      <c r="C500" s="13"/>
      <c r="D500" s="13"/>
      <c r="E500" s="290" t="s">
        <v>513</v>
      </c>
      <c r="F500" s="291"/>
      <c r="G500" s="11">
        <v>356400.76</v>
      </c>
      <c r="H500" s="11">
        <v>377814.5</v>
      </c>
      <c r="I500" s="11">
        <v>0</v>
      </c>
      <c r="J500" s="140">
        <v>0</v>
      </c>
      <c r="K500" s="154"/>
      <c r="N500" s="91">
        <f t="shared" si="166"/>
        <v>0</v>
      </c>
      <c r="O500" s="130" t="str">
        <f t="shared" si="167"/>
        <v/>
      </c>
      <c r="P500" s="91">
        <f t="shared" si="168"/>
        <v>377814.5</v>
      </c>
      <c r="Q500" s="130">
        <f t="shared" si="169"/>
        <v>0</v>
      </c>
      <c r="R500" s="91"/>
      <c r="S500" s="132" t="str">
        <f t="shared" si="171"/>
        <v/>
      </c>
      <c r="T500" s="172">
        <f t="shared" si="172"/>
        <v>11</v>
      </c>
    </row>
    <row r="501" spans="1:20" ht="11.25" customHeight="1" x14ac:dyDescent="0.25">
      <c r="A501" s="26" t="s">
        <v>1383</v>
      </c>
      <c r="B501" s="26"/>
      <c r="C501" s="23"/>
      <c r="D501" s="23"/>
      <c r="E501" s="300" t="s">
        <v>514</v>
      </c>
      <c r="F501" s="301"/>
      <c r="G501" s="25">
        <f t="shared" ref="G501:K501" si="190">SUM(G502:G508)</f>
        <v>-254015712</v>
      </c>
      <c r="H501" s="25">
        <f t="shared" si="190"/>
        <v>-259696639</v>
      </c>
      <c r="I501" s="25">
        <f t="shared" si="190"/>
        <v>-274899999.99999022</v>
      </c>
      <c r="J501" s="139">
        <f t="shared" si="190"/>
        <v>0</v>
      </c>
      <c r="K501" s="153">
        <f t="shared" si="190"/>
        <v>-273339731</v>
      </c>
      <c r="L501" s="108" t="s">
        <v>1749</v>
      </c>
      <c r="N501" s="91">
        <f t="shared" si="166"/>
        <v>-1560268.9999902248</v>
      </c>
      <c r="O501" s="130">
        <f t="shared" si="167"/>
        <v>0.99432423062935515</v>
      </c>
      <c r="P501" s="91">
        <f t="shared" si="168"/>
        <v>13643092</v>
      </c>
      <c r="Q501" s="130">
        <f t="shared" si="169"/>
        <v>1.0525347268741509</v>
      </c>
      <c r="R501" s="91"/>
      <c r="S501" s="132" t="str">
        <f t="shared" si="171"/>
        <v/>
      </c>
      <c r="T501" s="172">
        <f t="shared" si="172"/>
        <v>7</v>
      </c>
    </row>
    <row r="502" spans="1:20" ht="11.25" customHeight="1" x14ac:dyDescent="0.25">
      <c r="A502" s="42" t="s">
        <v>1384</v>
      </c>
      <c r="B502" s="20" t="s">
        <v>916</v>
      </c>
      <c r="C502" s="20" t="s">
        <v>923</v>
      </c>
      <c r="D502" s="20" t="s">
        <v>1246</v>
      </c>
      <c r="E502" s="290" t="s">
        <v>515</v>
      </c>
      <c r="F502" s="291"/>
      <c r="G502" s="11">
        <v>-6745938</v>
      </c>
      <c r="H502" s="11">
        <v>-5831882</v>
      </c>
      <c r="I502" s="11">
        <v>-9641999.9999998193</v>
      </c>
      <c r="J502" s="140">
        <v>0</v>
      </c>
      <c r="K502" s="155">
        <v>-5932180</v>
      </c>
      <c r="L502" s="108">
        <v>274000000</v>
      </c>
      <c r="N502" s="91">
        <f t="shared" si="166"/>
        <v>-3709819.9999998193</v>
      </c>
      <c r="O502" s="130">
        <f t="shared" si="167"/>
        <v>0.61524372536819238</v>
      </c>
      <c r="P502" s="91">
        <f t="shared" si="168"/>
        <v>100298</v>
      </c>
      <c r="Q502" s="130">
        <f t="shared" si="169"/>
        <v>1.0171982217747204</v>
      </c>
      <c r="R502" s="91"/>
      <c r="S502" s="132" t="str">
        <f t="shared" si="171"/>
        <v/>
      </c>
      <c r="T502" s="172">
        <f t="shared" si="172"/>
        <v>11</v>
      </c>
    </row>
    <row r="503" spans="1:20" ht="11.25" customHeight="1" x14ac:dyDescent="0.25">
      <c r="A503" s="42" t="s">
        <v>1385</v>
      </c>
      <c r="B503" s="20" t="s">
        <v>916</v>
      </c>
      <c r="C503" s="20" t="s">
        <v>923</v>
      </c>
      <c r="D503" s="20" t="s">
        <v>1246</v>
      </c>
      <c r="E503" s="290" t="s">
        <v>516</v>
      </c>
      <c r="F503" s="291"/>
      <c r="G503" s="11">
        <v>-24673001</v>
      </c>
      <c r="H503" s="11">
        <v>-40664691</v>
      </c>
      <c r="I503" s="11">
        <v>-30059999.999997102</v>
      </c>
      <c r="J503" s="140">
        <v>0</v>
      </c>
      <c r="K503" s="199">
        <f>-30656215-2028607-956000</f>
        <v>-33640822</v>
      </c>
      <c r="N503" s="91">
        <f t="shared" si="166"/>
        <v>3580822.0000028983</v>
      </c>
      <c r="O503" s="130">
        <f t="shared" si="167"/>
        <v>1.1191224883567279</v>
      </c>
      <c r="P503" s="91">
        <f t="shared" si="168"/>
        <v>-7023869</v>
      </c>
      <c r="Q503" s="130">
        <f t="shared" si="169"/>
        <v>0.82727351844380181</v>
      </c>
      <c r="R503" s="91"/>
      <c r="S503" s="132" t="str">
        <f t="shared" si="171"/>
        <v/>
      </c>
      <c r="T503" s="172">
        <f t="shared" si="172"/>
        <v>11</v>
      </c>
    </row>
    <row r="504" spans="1:20" ht="11.25" customHeight="1" x14ac:dyDescent="0.25">
      <c r="A504" s="42" t="s">
        <v>1386</v>
      </c>
      <c r="B504" s="20" t="s">
        <v>916</v>
      </c>
      <c r="C504" s="20" t="s">
        <v>923</v>
      </c>
      <c r="D504" s="20" t="s">
        <v>1246</v>
      </c>
      <c r="E504" s="290" t="s">
        <v>517</v>
      </c>
      <c r="F504" s="291"/>
      <c r="G504" s="11">
        <v>-74306521</v>
      </c>
      <c r="H504" s="11">
        <v>-72659017</v>
      </c>
      <c r="I504" s="11">
        <v>-87286999.999998495</v>
      </c>
      <c r="J504" s="140">
        <v>0</v>
      </c>
      <c r="K504" s="229">
        <f>-77663795-2859088-22044000+2000000</f>
        <v>-100566883</v>
      </c>
      <c r="N504" s="91">
        <f t="shared" si="166"/>
        <v>13279883.000001505</v>
      </c>
      <c r="O504" s="130">
        <f t="shared" si="167"/>
        <v>1.1521404447397863</v>
      </c>
      <c r="P504" s="91">
        <f t="shared" si="168"/>
        <v>27907866</v>
      </c>
      <c r="Q504" s="130">
        <f t="shared" si="169"/>
        <v>1.3840936356185496</v>
      </c>
      <c r="R504" s="91"/>
      <c r="S504" s="132" t="str">
        <f t="shared" si="171"/>
        <v/>
      </c>
      <c r="T504" s="172">
        <f t="shared" si="172"/>
        <v>11</v>
      </c>
    </row>
    <row r="505" spans="1:20" ht="11.25" customHeight="1" x14ac:dyDescent="0.25">
      <c r="A505" s="42" t="s">
        <v>1387</v>
      </c>
      <c r="B505" s="20" t="s">
        <v>916</v>
      </c>
      <c r="C505" s="20" t="s">
        <v>923</v>
      </c>
      <c r="D505" s="20" t="s">
        <v>1246</v>
      </c>
      <c r="E505" s="290" t="s">
        <v>518</v>
      </c>
      <c r="F505" s="291"/>
      <c r="G505" s="11">
        <v>-40374380</v>
      </c>
      <c r="H505" s="11">
        <v>-45241477</v>
      </c>
      <c r="I505" s="11">
        <v>-44045999.999998502</v>
      </c>
      <c r="J505" s="140">
        <v>0</v>
      </c>
      <c r="K505" s="199">
        <f>-33953161-324306</f>
        <v>-34277467</v>
      </c>
      <c r="N505" s="91">
        <f t="shared" si="166"/>
        <v>-9768532.9999985024</v>
      </c>
      <c r="O505" s="130">
        <f t="shared" si="167"/>
        <v>0.77821974753669265</v>
      </c>
      <c r="P505" s="91">
        <f t="shared" si="168"/>
        <v>-10964010</v>
      </c>
      <c r="Q505" s="130">
        <f t="shared" si="169"/>
        <v>0.75765579006184969</v>
      </c>
      <c r="R505" s="91"/>
      <c r="S505" s="132" t="str">
        <f t="shared" si="171"/>
        <v/>
      </c>
      <c r="T505" s="172">
        <f t="shared" si="172"/>
        <v>11</v>
      </c>
    </row>
    <row r="506" spans="1:20" ht="11.25" customHeight="1" x14ac:dyDescent="0.25">
      <c r="A506" s="42" t="s">
        <v>1388</v>
      </c>
      <c r="B506" s="20" t="s">
        <v>916</v>
      </c>
      <c r="C506" s="20" t="s">
        <v>923</v>
      </c>
      <c r="D506" s="20" t="s">
        <v>1246</v>
      </c>
      <c r="E506" s="290" t="s">
        <v>519</v>
      </c>
      <c r="F506" s="291"/>
      <c r="G506" s="11">
        <v>-19930844</v>
      </c>
      <c r="H506" s="11">
        <v>-20975283</v>
      </c>
      <c r="I506" s="11">
        <v>-21883999.999997798</v>
      </c>
      <c r="J506" s="140">
        <v>0</v>
      </c>
      <c r="K506" s="199">
        <v>-22352202</v>
      </c>
      <c r="N506" s="91">
        <f t="shared" si="166"/>
        <v>468202.00000220165</v>
      </c>
      <c r="O506" s="130">
        <f t="shared" si="167"/>
        <v>1.0213947176020037</v>
      </c>
      <c r="P506" s="91">
        <f t="shared" si="168"/>
        <v>1376919</v>
      </c>
      <c r="Q506" s="130">
        <f t="shared" si="169"/>
        <v>1.0656448353998371</v>
      </c>
      <c r="R506" s="91"/>
      <c r="S506" s="132" t="str">
        <f t="shared" si="171"/>
        <v/>
      </c>
      <c r="T506" s="172">
        <f t="shared" si="172"/>
        <v>11</v>
      </c>
    </row>
    <row r="507" spans="1:20" ht="11.25" customHeight="1" x14ac:dyDescent="0.25">
      <c r="A507" s="42" t="s">
        <v>1389</v>
      </c>
      <c r="B507" s="20" t="s">
        <v>916</v>
      </c>
      <c r="C507" s="20" t="s">
        <v>923</v>
      </c>
      <c r="D507" s="20" t="s">
        <v>1246</v>
      </c>
      <c r="E507" s="290" t="s">
        <v>520</v>
      </c>
      <c r="F507" s="291"/>
      <c r="G507" s="11">
        <v>-76335701</v>
      </c>
      <c r="H507" s="11">
        <v>-63568276</v>
      </c>
      <c r="I507" s="11">
        <v>-71196999.999998897</v>
      </c>
      <c r="J507" s="140">
        <v>0</v>
      </c>
      <c r="K507" s="199">
        <f>-67602532-148764+638016</f>
        <v>-67113280</v>
      </c>
      <c r="N507" s="91">
        <f t="shared" si="166"/>
        <v>-4083719.9999988973</v>
      </c>
      <c r="O507" s="130">
        <f t="shared" si="167"/>
        <v>0.94264196525135946</v>
      </c>
      <c r="P507" s="91">
        <f t="shared" si="168"/>
        <v>3545004</v>
      </c>
      <c r="Q507" s="130">
        <f t="shared" si="169"/>
        <v>1.0557668734008139</v>
      </c>
      <c r="R507" s="91"/>
      <c r="S507" s="132" t="str">
        <f t="shared" si="171"/>
        <v/>
      </c>
      <c r="T507" s="172">
        <f t="shared" si="172"/>
        <v>11</v>
      </c>
    </row>
    <row r="508" spans="1:20" ht="11.25" customHeight="1" x14ac:dyDescent="0.25">
      <c r="A508" s="42" t="s">
        <v>1390</v>
      </c>
      <c r="B508" s="20" t="s">
        <v>916</v>
      </c>
      <c r="C508" s="20" t="s">
        <v>923</v>
      </c>
      <c r="D508" s="20" t="s">
        <v>1246</v>
      </c>
      <c r="E508" s="290" t="s">
        <v>521</v>
      </c>
      <c r="F508" s="291"/>
      <c r="G508" s="11">
        <v>-11649327</v>
      </c>
      <c r="H508" s="11">
        <v>-10756013</v>
      </c>
      <c r="I508" s="11">
        <v>-10783999.9999996</v>
      </c>
      <c r="J508" s="140">
        <v>0</v>
      </c>
      <c r="K508" s="199">
        <f>-9447589-9308</f>
        <v>-9456897</v>
      </c>
      <c r="N508" s="91">
        <f t="shared" si="166"/>
        <v>-1327102.9999995995</v>
      </c>
      <c r="O508" s="130">
        <f t="shared" si="167"/>
        <v>0.87693777818994356</v>
      </c>
      <c r="P508" s="91">
        <f t="shared" si="168"/>
        <v>-1299116</v>
      </c>
      <c r="Q508" s="130">
        <f t="shared" si="169"/>
        <v>0.87921955839956678</v>
      </c>
      <c r="R508" s="91"/>
      <c r="S508" s="132" t="str">
        <f t="shared" si="171"/>
        <v/>
      </c>
      <c r="T508" s="172">
        <f t="shared" si="172"/>
        <v>11</v>
      </c>
    </row>
    <row r="509" spans="1:20" ht="11.25" customHeight="1" x14ac:dyDescent="0.25">
      <c r="A509" s="26" t="s">
        <v>1391</v>
      </c>
      <c r="B509" s="26"/>
      <c r="C509" s="23"/>
      <c r="D509" s="23"/>
      <c r="E509" s="300" t="s">
        <v>522</v>
      </c>
      <c r="F509" s="301"/>
      <c r="G509" s="25">
        <f t="shared" ref="G509:K509" si="191">SUM(G510:G515)</f>
        <v>-2177865</v>
      </c>
      <c r="H509" s="25">
        <f t="shared" si="191"/>
        <v>-2883836</v>
      </c>
      <c r="I509" s="25">
        <f t="shared" si="191"/>
        <v>0</v>
      </c>
      <c r="J509" s="139">
        <f t="shared" si="191"/>
        <v>0</v>
      </c>
      <c r="K509" s="153">
        <f t="shared" si="191"/>
        <v>-40243421</v>
      </c>
      <c r="N509" s="91">
        <f t="shared" si="166"/>
        <v>40243421</v>
      </c>
      <c r="O509" s="130" t="str">
        <f t="shared" si="167"/>
        <v/>
      </c>
      <c r="P509" s="91">
        <f t="shared" si="168"/>
        <v>37359585</v>
      </c>
      <c r="Q509" s="130">
        <f t="shared" si="169"/>
        <v>13.954823020449151</v>
      </c>
      <c r="R509" s="91"/>
      <c r="S509" s="132" t="str">
        <f t="shared" si="171"/>
        <v/>
      </c>
      <c r="T509" s="172">
        <f t="shared" si="172"/>
        <v>7</v>
      </c>
    </row>
    <row r="510" spans="1:20" ht="11.25" customHeight="1" x14ac:dyDescent="0.25">
      <c r="A510" s="42" t="s">
        <v>1392</v>
      </c>
      <c r="B510" s="20" t="s">
        <v>916</v>
      </c>
      <c r="C510" s="20" t="s">
        <v>923</v>
      </c>
      <c r="D510" s="20" t="s">
        <v>1246</v>
      </c>
      <c r="E510" s="290" t="s">
        <v>523</v>
      </c>
      <c r="F510" s="291"/>
      <c r="G510" s="11">
        <v>-1154128</v>
      </c>
      <c r="H510" s="11">
        <v>-2142483</v>
      </c>
      <c r="I510" s="11">
        <v>0</v>
      </c>
      <c r="J510" s="140">
        <v>0</v>
      </c>
      <c r="K510" s="155">
        <v>-1800000</v>
      </c>
      <c r="L510" s="108">
        <v>32000000</v>
      </c>
      <c r="N510" s="91">
        <f t="shared" si="166"/>
        <v>1800000</v>
      </c>
      <c r="O510" s="130" t="str">
        <f t="shared" si="167"/>
        <v/>
      </c>
      <c r="P510" s="91">
        <f t="shared" si="168"/>
        <v>-342483</v>
      </c>
      <c r="Q510" s="130">
        <f t="shared" si="169"/>
        <v>0.84014668961200623</v>
      </c>
      <c r="R510" s="91"/>
      <c r="S510" s="132" t="str">
        <f t="shared" si="171"/>
        <v/>
      </c>
      <c r="T510" s="172">
        <f t="shared" si="172"/>
        <v>11</v>
      </c>
    </row>
    <row r="511" spans="1:20" ht="11.25" customHeight="1" x14ac:dyDescent="0.25">
      <c r="A511" s="42" t="s">
        <v>1393</v>
      </c>
      <c r="B511" s="20" t="s">
        <v>916</v>
      </c>
      <c r="C511" s="20" t="s">
        <v>923</v>
      </c>
      <c r="D511" s="20" t="s">
        <v>1246</v>
      </c>
      <c r="E511" s="290" t="s">
        <v>524</v>
      </c>
      <c r="F511" s="291"/>
      <c r="G511" s="11">
        <v>-96799</v>
      </c>
      <c r="H511" s="11">
        <v>-174015</v>
      </c>
      <c r="I511" s="11">
        <v>0</v>
      </c>
      <c r="J511" s="140">
        <v>0</v>
      </c>
      <c r="K511" s="199"/>
      <c r="N511" s="91">
        <f t="shared" si="166"/>
        <v>0</v>
      </c>
      <c r="O511" s="130" t="str">
        <f t="shared" si="167"/>
        <v/>
      </c>
      <c r="P511" s="91">
        <f t="shared" si="168"/>
        <v>-174015</v>
      </c>
      <c r="Q511" s="130">
        <f t="shared" si="169"/>
        <v>0</v>
      </c>
      <c r="R511" s="91"/>
      <c r="S511" s="132" t="str">
        <f t="shared" si="171"/>
        <v/>
      </c>
      <c r="T511" s="172">
        <f t="shared" si="172"/>
        <v>11</v>
      </c>
    </row>
    <row r="512" spans="1:20" ht="11.25" customHeight="1" x14ac:dyDescent="0.25">
      <c r="A512" s="42" t="s">
        <v>1394</v>
      </c>
      <c r="B512" s="20" t="s">
        <v>916</v>
      </c>
      <c r="C512" s="20" t="s">
        <v>923</v>
      </c>
      <c r="D512" s="20" t="s">
        <v>1246</v>
      </c>
      <c r="E512" s="290" t="s">
        <v>525</v>
      </c>
      <c r="F512" s="291"/>
      <c r="G512" s="11">
        <v>-435316</v>
      </c>
      <c r="H512" s="11">
        <v>0</v>
      </c>
      <c r="I512" s="11">
        <v>0</v>
      </c>
      <c r="J512" s="140">
        <v>0</v>
      </c>
      <c r="K512" s="199">
        <v>-344000</v>
      </c>
      <c r="N512" s="91">
        <f t="shared" si="166"/>
        <v>344000</v>
      </c>
      <c r="O512" s="130" t="str">
        <f t="shared" si="167"/>
        <v/>
      </c>
      <c r="P512" s="91">
        <f t="shared" si="168"/>
        <v>344000</v>
      </c>
      <c r="Q512" s="130" t="str">
        <f t="shared" si="169"/>
        <v/>
      </c>
      <c r="R512" s="91"/>
      <c r="S512" s="132" t="str">
        <f t="shared" si="171"/>
        <v/>
      </c>
      <c r="T512" s="172">
        <f t="shared" si="172"/>
        <v>11</v>
      </c>
    </row>
    <row r="513" spans="1:20" ht="11.25" customHeight="1" x14ac:dyDescent="0.25">
      <c r="A513" s="42" t="s">
        <v>1641</v>
      </c>
      <c r="B513" s="21" t="s">
        <v>916</v>
      </c>
      <c r="C513" s="21" t="s">
        <v>923</v>
      </c>
      <c r="D513" s="21" t="s">
        <v>1246</v>
      </c>
      <c r="E513" s="292" t="s">
        <v>1642</v>
      </c>
      <c r="F513" s="293"/>
      <c r="G513" s="39"/>
      <c r="H513" s="19"/>
      <c r="I513" s="19"/>
      <c r="J513" s="141">
        <v>0</v>
      </c>
      <c r="K513" s="199"/>
      <c r="N513" s="91">
        <f t="shared" si="166"/>
        <v>0</v>
      </c>
      <c r="O513" s="130" t="str">
        <f t="shared" si="167"/>
        <v/>
      </c>
      <c r="P513" s="91">
        <f t="shared" si="168"/>
        <v>0</v>
      </c>
      <c r="Q513" s="130" t="str">
        <f t="shared" si="169"/>
        <v/>
      </c>
      <c r="R513" s="91"/>
      <c r="S513" s="132" t="str">
        <f t="shared" si="171"/>
        <v/>
      </c>
      <c r="T513" s="172">
        <f t="shared" si="172"/>
        <v>11</v>
      </c>
    </row>
    <row r="514" spans="1:20" ht="11.25" customHeight="1" x14ac:dyDescent="0.25">
      <c r="A514" s="42" t="s">
        <v>1395</v>
      </c>
      <c r="B514" s="14"/>
      <c r="C514" s="13"/>
      <c r="D514" s="13"/>
      <c r="E514" s="290" t="s">
        <v>526</v>
      </c>
      <c r="F514" s="291"/>
      <c r="G514" s="11">
        <v>-173997</v>
      </c>
      <c r="H514" s="11">
        <v>-329698</v>
      </c>
      <c r="I514" s="11">
        <v>0</v>
      </c>
      <c r="J514" s="140">
        <v>0</v>
      </c>
      <c r="K514" s="199">
        <f>-28200000-9261405-638016</f>
        <v>-38099421</v>
      </c>
      <c r="N514" s="91">
        <f t="shared" si="166"/>
        <v>38099421</v>
      </c>
      <c r="O514" s="130" t="str">
        <f t="shared" si="167"/>
        <v/>
      </c>
      <c r="P514" s="91">
        <f t="shared" si="168"/>
        <v>37769723</v>
      </c>
      <c r="Q514" s="130">
        <f t="shared" si="169"/>
        <v>115.55854448616613</v>
      </c>
      <c r="R514" s="91"/>
      <c r="S514" s="132" t="str">
        <f t="shared" si="171"/>
        <v/>
      </c>
      <c r="T514" s="172">
        <f t="shared" si="172"/>
        <v>11</v>
      </c>
    </row>
    <row r="515" spans="1:20" ht="11.25" customHeight="1" x14ac:dyDescent="0.25">
      <c r="A515" s="42" t="s">
        <v>1396</v>
      </c>
      <c r="B515" s="14"/>
      <c r="C515" s="13"/>
      <c r="D515" s="13"/>
      <c r="E515" s="290" t="s">
        <v>527</v>
      </c>
      <c r="F515" s="291"/>
      <c r="G515" s="11">
        <v>-317625</v>
      </c>
      <c r="H515" s="11">
        <v>-237640</v>
      </c>
      <c r="I515" s="11">
        <v>0</v>
      </c>
      <c r="J515" s="140">
        <v>0</v>
      </c>
      <c r="K515" s="199"/>
      <c r="N515" s="91">
        <f t="shared" si="166"/>
        <v>0</v>
      </c>
      <c r="O515" s="130" t="str">
        <f t="shared" si="167"/>
        <v/>
      </c>
      <c r="P515" s="91">
        <f t="shared" si="168"/>
        <v>-237640</v>
      </c>
      <c r="Q515" s="130">
        <f t="shared" si="169"/>
        <v>0</v>
      </c>
      <c r="R515" s="91"/>
      <c r="S515" s="132" t="str">
        <f t="shared" si="171"/>
        <v/>
      </c>
      <c r="T515" s="172">
        <f t="shared" si="172"/>
        <v>11</v>
      </c>
    </row>
    <row r="516" spans="1:20" ht="11.25" customHeight="1" x14ac:dyDescent="0.25">
      <c r="A516" s="26" t="s">
        <v>1397</v>
      </c>
      <c r="B516" s="26"/>
      <c r="C516" s="23"/>
      <c r="D516" s="23"/>
      <c r="E516" s="300" t="s">
        <v>528</v>
      </c>
      <c r="F516" s="301"/>
      <c r="G516" s="25">
        <f t="shared" ref="G516:K516" si="192">SUM(G517:G518)</f>
        <v>-356400.76</v>
      </c>
      <c r="H516" s="25">
        <f t="shared" si="192"/>
        <v>-377814.5</v>
      </c>
      <c r="I516" s="25">
        <f t="shared" si="192"/>
        <v>0</v>
      </c>
      <c r="J516" s="139">
        <f t="shared" si="192"/>
        <v>0</v>
      </c>
      <c r="K516" s="153">
        <f t="shared" si="192"/>
        <v>0</v>
      </c>
      <c r="N516" s="91">
        <f t="shared" si="166"/>
        <v>0</v>
      </c>
      <c r="O516" s="130" t="str">
        <f t="shared" si="167"/>
        <v/>
      </c>
      <c r="P516" s="91">
        <f t="shared" si="168"/>
        <v>-377814.5</v>
      </c>
      <c r="Q516" s="130">
        <f t="shared" si="169"/>
        <v>0</v>
      </c>
      <c r="R516" s="91"/>
      <c r="S516" s="132" t="str">
        <f t="shared" si="171"/>
        <v/>
      </c>
      <c r="T516" s="172">
        <f t="shared" si="172"/>
        <v>7</v>
      </c>
    </row>
    <row r="517" spans="1:20" ht="11.25" customHeight="1" x14ac:dyDescent="0.25">
      <c r="A517" s="42" t="s">
        <v>1398</v>
      </c>
      <c r="B517" s="14"/>
      <c r="C517" s="13"/>
      <c r="D517" s="13"/>
      <c r="E517" s="290" t="s">
        <v>529</v>
      </c>
      <c r="F517" s="291"/>
      <c r="G517" s="11">
        <v>-356400.76</v>
      </c>
      <c r="H517" s="11">
        <v>-377814.5</v>
      </c>
      <c r="I517" s="11">
        <v>0</v>
      </c>
      <c r="J517" s="140">
        <v>0</v>
      </c>
      <c r="K517" s="199"/>
      <c r="N517" s="91">
        <f t="shared" si="166"/>
        <v>0</v>
      </c>
      <c r="O517" s="130" t="str">
        <f t="shared" si="167"/>
        <v/>
      </c>
      <c r="P517" s="91">
        <f t="shared" si="168"/>
        <v>-377814.5</v>
      </c>
      <c r="Q517" s="130">
        <f t="shared" si="169"/>
        <v>0</v>
      </c>
      <c r="R517" s="91"/>
      <c r="S517" s="132" t="str">
        <f t="shared" si="171"/>
        <v/>
      </c>
      <c r="T517" s="172">
        <f t="shared" si="172"/>
        <v>11</v>
      </c>
    </row>
    <row r="518" spans="1:20" ht="11.25" customHeight="1" x14ac:dyDescent="0.25">
      <c r="A518" s="42" t="s">
        <v>1399</v>
      </c>
      <c r="B518" s="14"/>
      <c r="C518" s="13"/>
      <c r="D518" s="13"/>
      <c r="E518" s="290" t="s">
        <v>530</v>
      </c>
      <c r="F518" s="291"/>
      <c r="G518" s="11">
        <v>0</v>
      </c>
      <c r="H518" s="11">
        <v>0</v>
      </c>
      <c r="I518" s="11">
        <v>0</v>
      </c>
      <c r="J518" s="140">
        <v>0</v>
      </c>
      <c r="K518" s="199"/>
      <c r="N518" s="91">
        <f t="shared" si="166"/>
        <v>0</v>
      </c>
      <c r="O518" s="130" t="str">
        <f t="shared" si="167"/>
        <v/>
      </c>
      <c r="P518" s="91">
        <f t="shared" si="168"/>
        <v>0</v>
      </c>
      <c r="Q518" s="130" t="str">
        <f t="shared" si="169"/>
        <v/>
      </c>
      <c r="R518" s="91"/>
      <c r="S518" s="132" t="str">
        <f t="shared" si="171"/>
        <v/>
      </c>
      <c r="T518" s="172">
        <f t="shared" si="172"/>
        <v>11</v>
      </c>
    </row>
    <row r="519" spans="1:20" ht="11.25" customHeight="1" x14ac:dyDescent="0.25">
      <c r="A519" s="38" t="s">
        <v>531</v>
      </c>
      <c r="B519" s="38"/>
      <c r="C519" s="22"/>
      <c r="D519" s="22"/>
      <c r="E519" s="296" t="s">
        <v>532</v>
      </c>
      <c r="F519" s="297"/>
      <c r="G519" s="37">
        <v>0</v>
      </c>
      <c r="H519" s="37">
        <v>0</v>
      </c>
      <c r="I519" s="37">
        <v>0</v>
      </c>
      <c r="J519" s="142">
        <v>0</v>
      </c>
      <c r="K519" s="160">
        <f t="shared" ref="K519:K521" si="193">(J519/8)*12</f>
        <v>0</v>
      </c>
      <c r="N519" s="190">
        <f t="shared" si="166"/>
        <v>0</v>
      </c>
      <c r="O519" s="191" t="str">
        <f t="shared" si="167"/>
        <v/>
      </c>
      <c r="P519" s="190">
        <f t="shared" si="168"/>
        <v>0</v>
      </c>
      <c r="Q519" s="191" t="str">
        <f t="shared" si="169"/>
        <v/>
      </c>
      <c r="R519" s="190">
        <f t="shared" si="187"/>
        <v>0</v>
      </c>
      <c r="S519" s="192" t="str">
        <f t="shared" si="171"/>
        <v/>
      </c>
      <c r="T519" s="172">
        <f t="shared" si="172"/>
        <v>4</v>
      </c>
    </row>
    <row r="520" spans="1:20" ht="11.25" customHeight="1" x14ac:dyDescent="0.25">
      <c r="A520" s="38" t="s">
        <v>533</v>
      </c>
      <c r="B520" s="38"/>
      <c r="C520" s="22"/>
      <c r="D520" s="22"/>
      <c r="E520" s="296" t="s">
        <v>534</v>
      </c>
      <c r="F520" s="297"/>
      <c r="G520" s="37">
        <v>0</v>
      </c>
      <c r="H520" s="37">
        <v>0</v>
      </c>
      <c r="I520" s="37">
        <v>0</v>
      </c>
      <c r="J520" s="142">
        <v>0</v>
      </c>
      <c r="K520" s="160">
        <f t="shared" si="193"/>
        <v>0</v>
      </c>
      <c r="N520" s="190">
        <f t="shared" si="166"/>
        <v>0</v>
      </c>
      <c r="O520" s="191" t="str">
        <f t="shared" si="167"/>
        <v/>
      </c>
      <c r="P520" s="190">
        <f t="shared" si="168"/>
        <v>0</v>
      </c>
      <c r="Q520" s="191" t="str">
        <f t="shared" si="169"/>
        <v/>
      </c>
      <c r="R520" s="190">
        <f t="shared" si="187"/>
        <v>0</v>
      </c>
      <c r="S520" s="192" t="str">
        <f t="shared" si="171"/>
        <v/>
      </c>
      <c r="T520" s="172">
        <f t="shared" si="172"/>
        <v>4</v>
      </c>
    </row>
    <row r="521" spans="1:20" ht="11.25" customHeight="1" x14ac:dyDescent="0.25">
      <c r="A521" s="38" t="s">
        <v>535</v>
      </c>
      <c r="B521" s="38"/>
      <c r="C521" s="22"/>
      <c r="D521" s="22"/>
      <c r="E521" s="296" t="s">
        <v>536</v>
      </c>
      <c r="F521" s="297"/>
      <c r="G521" s="37">
        <v>0</v>
      </c>
      <c r="H521" s="37">
        <v>0</v>
      </c>
      <c r="I521" s="37">
        <v>0</v>
      </c>
      <c r="J521" s="142">
        <v>0</v>
      </c>
      <c r="K521" s="160">
        <f t="shared" si="193"/>
        <v>0</v>
      </c>
      <c r="N521" s="190">
        <f t="shared" si="166"/>
        <v>0</v>
      </c>
      <c r="O521" s="191" t="str">
        <f t="shared" si="167"/>
        <v/>
      </c>
      <c r="P521" s="190">
        <f t="shared" si="168"/>
        <v>0</v>
      </c>
      <c r="Q521" s="191" t="str">
        <f t="shared" si="169"/>
        <v/>
      </c>
      <c r="R521" s="190">
        <f t="shared" si="187"/>
        <v>0</v>
      </c>
      <c r="S521" s="192" t="str">
        <f t="shared" si="171"/>
        <v/>
      </c>
      <c r="T521" s="172">
        <f t="shared" si="172"/>
        <v>4</v>
      </c>
    </row>
    <row r="522" spans="1:20" ht="11.25" customHeight="1" x14ac:dyDescent="0.25">
      <c r="A522" s="38" t="s">
        <v>537</v>
      </c>
      <c r="B522" s="38"/>
      <c r="C522" s="22"/>
      <c r="D522" s="22"/>
      <c r="E522" s="296" t="s">
        <v>538</v>
      </c>
      <c r="F522" s="297"/>
      <c r="G522" s="37">
        <f t="shared" ref="G522:K522" si="194">G523+G525</f>
        <v>-957653.85</v>
      </c>
      <c r="H522" s="37">
        <f t="shared" si="194"/>
        <v>-547580.65</v>
      </c>
      <c r="I522" s="37">
        <f t="shared" si="194"/>
        <v>0</v>
      </c>
      <c r="J522" s="138">
        <v>-286014</v>
      </c>
      <c r="K522" s="152">
        <f t="shared" si="194"/>
        <v>0</v>
      </c>
      <c r="N522" s="190">
        <f t="shared" si="166"/>
        <v>0</v>
      </c>
      <c r="O522" s="191" t="str">
        <f t="shared" si="167"/>
        <v/>
      </c>
      <c r="P522" s="190">
        <f t="shared" si="168"/>
        <v>-547580.65</v>
      </c>
      <c r="Q522" s="191">
        <f t="shared" si="169"/>
        <v>0</v>
      </c>
      <c r="R522" s="190">
        <f t="shared" si="187"/>
        <v>-286014</v>
      </c>
      <c r="S522" s="192">
        <f t="shared" si="171"/>
        <v>0</v>
      </c>
      <c r="T522" s="172">
        <f t="shared" si="172"/>
        <v>4</v>
      </c>
    </row>
    <row r="523" spans="1:20" ht="11.25" customHeight="1" x14ac:dyDescent="0.25">
      <c r="A523" s="26" t="s">
        <v>1400</v>
      </c>
      <c r="B523" s="26"/>
      <c r="C523" s="23"/>
      <c r="D523" s="23"/>
      <c r="E523" s="300" t="s">
        <v>539</v>
      </c>
      <c r="F523" s="301"/>
      <c r="G523" s="25">
        <f t="shared" ref="G523:K523" si="195">G524</f>
        <v>-23320</v>
      </c>
      <c r="H523" s="25">
        <f t="shared" si="195"/>
        <v>-4188</v>
      </c>
      <c r="I523" s="25">
        <f t="shared" si="195"/>
        <v>0</v>
      </c>
      <c r="J523" s="139">
        <f t="shared" si="195"/>
        <v>0</v>
      </c>
      <c r="K523" s="153">
        <f t="shared" si="195"/>
        <v>0</v>
      </c>
      <c r="N523" s="91">
        <f t="shared" ref="N523:N586" si="196">-K523+I523</f>
        <v>0</v>
      </c>
      <c r="O523" s="130" t="str">
        <f t="shared" ref="O523:O586" si="197">IF(I523=0,"",K523/I523)</f>
        <v/>
      </c>
      <c r="P523" s="91">
        <f t="shared" ref="P523:P586" si="198">-K523+H523</f>
        <v>-4188</v>
      </c>
      <c r="Q523" s="130">
        <f t="shared" ref="Q523:Q586" si="199">IF(H523=0,"",K523/H523)</f>
        <v>0</v>
      </c>
      <c r="R523" s="91"/>
      <c r="S523" s="132" t="str">
        <f t="shared" si="171"/>
        <v/>
      </c>
      <c r="T523" s="172">
        <f t="shared" si="172"/>
        <v>7</v>
      </c>
    </row>
    <row r="524" spans="1:20" ht="11.25" customHeight="1" x14ac:dyDescent="0.25">
      <c r="A524" s="42" t="s">
        <v>1401</v>
      </c>
      <c r="B524" s="14"/>
      <c r="C524" s="13"/>
      <c r="D524" s="13"/>
      <c r="E524" s="290" t="s">
        <v>540</v>
      </c>
      <c r="F524" s="291"/>
      <c r="G524" s="11">
        <v>-23320</v>
      </c>
      <c r="H524" s="11">
        <v>-4188</v>
      </c>
      <c r="I524" s="11">
        <v>0</v>
      </c>
      <c r="J524" s="140">
        <v>0</v>
      </c>
      <c r="K524" s="200"/>
      <c r="N524" s="91">
        <f t="shared" si="196"/>
        <v>0</v>
      </c>
      <c r="O524" s="130" t="str">
        <f t="shared" si="197"/>
        <v/>
      </c>
      <c r="P524" s="91">
        <f t="shared" si="198"/>
        <v>-4188</v>
      </c>
      <c r="Q524" s="130">
        <f t="shared" si="199"/>
        <v>0</v>
      </c>
      <c r="R524" s="91"/>
      <c r="S524" s="132" t="str">
        <f t="shared" si="171"/>
        <v/>
      </c>
      <c r="T524" s="172">
        <f t="shared" si="172"/>
        <v>11</v>
      </c>
    </row>
    <row r="525" spans="1:20" ht="11.25" customHeight="1" x14ac:dyDescent="0.25">
      <c r="A525" s="26" t="s">
        <v>1402</v>
      </c>
      <c r="B525" s="26"/>
      <c r="C525" s="23"/>
      <c r="D525" s="23"/>
      <c r="E525" s="300" t="s">
        <v>541</v>
      </c>
      <c r="F525" s="301"/>
      <c r="G525" s="25">
        <f t="shared" ref="G525:K525" si="200">G526</f>
        <v>-934333.85</v>
      </c>
      <c r="H525" s="25">
        <f t="shared" si="200"/>
        <v>-543392.65</v>
      </c>
      <c r="I525" s="25">
        <f t="shared" si="200"/>
        <v>0</v>
      </c>
      <c r="J525" s="139">
        <f t="shared" si="200"/>
        <v>0</v>
      </c>
      <c r="K525" s="153">
        <f t="shared" si="200"/>
        <v>0</v>
      </c>
      <c r="N525" s="91">
        <f t="shared" si="196"/>
        <v>0</v>
      </c>
      <c r="O525" s="130" t="str">
        <f t="shared" si="197"/>
        <v/>
      </c>
      <c r="P525" s="91">
        <f t="shared" si="198"/>
        <v>-543392.65</v>
      </c>
      <c r="Q525" s="130">
        <f t="shared" si="199"/>
        <v>0</v>
      </c>
      <c r="R525" s="91"/>
      <c r="S525" s="132" t="str">
        <f t="shared" ref="S525:S588" si="201">IF(J525=0,"",K525/J525)</f>
        <v/>
      </c>
      <c r="T525" s="172">
        <f t="shared" si="172"/>
        <v>7</v>
      </c>
    </row>
    <row r="526" spans="1:20" ht="11.25" customHeight="1" x14ac:dyDescent="0.25">
      <c r="A526" s="42" t="s">
        <v>1403</v>
      </c>
      <c r="B526" s="14"/>
      <c r="C526" s="13"/>
      <c r="D526" s="13"/>
      <c r="E526" s="290" t="s">
        <v>542</v>
      </c>
      <c r="F526" s="291"/>
      <c r="G526" s="11">
        <v>-934333.85</v>
      </c>
      <c r="H526" s="11">
        <v>-543392.65</v>
      </c>
      <c r="I526" s="11">
        <v>0</v>
      </c>
      <c r="J526" s="140">
        <v>0</v>
      </c>
      <c r="K526" s="200"/>
      <c r="N526" s="91">
        <f t="shared" si="196"/>
        <v>0</v>
      </c>
      <c r="O526" s="130" t="str">
        <f t="shared" si="197"/>
        <v/>
      </c>
      <c r="P526" s="91">
        <f t="shared" si="198"/>
        <v>-543392.65</v>
      </c>
      <c r="Q526" s="130">
        <f t="shared" si="199"/>
        <v>0</v>
      </c>
      <c r="R526" s="91"/>
      <c r="S526" s="132" t="str">
        <f t="shared" si="201"/>
        <v/>
      </c>
      <c r="T526" s="172">
        <f t="shared" si="172"/>
        <v>11</v>
      </c>
    </row>
    <row r="527" spans="1:20" ht="11.25" customHeight="1" x14ac:dyDescent="0.25">
      <c r="A527" s="38" t="s">
        <v>543</v>
      </c>
      <c r="B527" s="38"/>
      <c r="C527" s="22"/>
      <c r="D527" s="22"/>
      <c r="E527" s="296" t="s">
        <v>544</v>
      </c>
      <c r="F527" s="297"/>
      <c r="G527" s="37">
        <f t="shared" ref="G527:K527" si="202">G528+G530+G535+G543+G548+G553+G557+G561</f>
        <v>-46717437.960000001</v>
      </c>
      <c r="H527" s="37">
        <f t="shared" si="202"/>
        <v>-44727634.100000009</v>
      </c>
      <c r="I527" s="37">
        <f t="shared" si="202"/>
        <v>-49291333.333333194</v>
      </c>
      <c r="J527" s="138">
        <v>-35101828</v>
      </c>
      <c r="K527" s="152">
        <f t="shared" si="202"/>
        <v>-60145570</v>
      </c>
      <c r="N527" s="190">
        <f t="shared" si="196"/>
        <v>10854236.666666806</v>
      </c>
      <c r="O527" s="191">
        <f t="shared" si="197"/>
        <v>1.2202057833020037</v>
      </c>
      <c r="P527" s="190">
        <f t="shared" si="198"/>
        <v>15417935.899999991</v>
      </c>
      <c r="Q527" s="191">
        <f t="shared" si="199"/>
        <v>1.3447071639320174</v>
      </c>
      <c r="R527" s="190">
        <f t="shared" ref="R527:R577" si="203">-K527+J527</f>
        <v>25043742</v>
      </c>
      <c r="S527" s="192">
        <f t="shared" si="201"/>
        <v>1.7134597662549085</v>
      </c>
      <c r="T527" s="172">
        <f t="shared" ref="T527:T590" si="204">LEN(A527)</f>
        <v>4</v>
      </c>
    </row>
    <row r="528" spans="1:20" ht="11.25" customHeight="1" x14ac:dyDescent="0.25">
      <c r="A528" s="26" t="s">
        <v>1404</v>
      </c>
      <c r="B528" s="26"/>
      <c r="C528" s="23"/>
      <c r="D528" s="23"/>
      <c r="E528" s="300" t="s">
        <v>545</v>
      </c>
      <c r="F528" s="301"/>
      <c r="G528" s="25">
        <f t="shared" ref="G528:K528" si="205">SUM(G529)</f>
        <v>38186.9</v>
      </c>
      <c r="H528" s="25">
        <f t="shared" si="205"/>
        <v>8018.07</v>
      </c>
      <c r="I528" s="25">
        <f t="shared" si="205"/>
        <v>0</v>
      </c>
      <c r="J528" s="139">
        <f t="shared" si="205"/>
        <v>0</v>
      </c>
      <c r="K528" s="153">
        <f t="shared" si="205"/>
        <v>0</v>
      </c>
      <c r="N528" s="91">
        <f t="shared" si="196"/>
        <v>0</v>
      </c>
      <c r="O528" s="130" t="str">
        <f t="shared" si="197"/>
        <v/>
      </c>
      <c r="P528" s="91">
        <f t="shared" si="198"/>
        <v>8018.07</v>
      </c>
      <c r="Q528" s="130">
        <f t="shared" si="199"/>
        <v>0</v>
      </c>
      <c r="R528" s="91"/>
      <c r="S528" s="132" t="str">
        <f t="shared" si="201"/>
        <v/>
      </c>
      <c r="T528" s="172">
        <f t="shared" si="204"/>
        <v>7</v>
      </c>
    </row>
    <row r="529" spans="1:20" ht="11.25" customHeight="1" x14ac:dyDescent="0.25">
      <c r="A529" s="42" t="s">
        <v>1405</v>
      </c>
      <c r="B529" s="14"/>
      <c r="C529" s="13"/>
      <c r="D529" s="13"/>
      <c r="E529" s="290" t="s">
        <v>546</v>
      </c>
      <c r="F529" s="291"/>
      <c r="G529" s="11">
        <v>38186.9</v>
      </c>
      <c r="H529" s="11">
        <v>8018.07</v>
      </c>
      <c r="I529" s="11">
        <v>0</v>
      </c>
      <c r="J529" s="140">
        <v>0</v>
      </c>
      <c r="K529" s="200"/>
      <c r="N529" s="91">
        <f t="shared" si="196"/>
        <v>0</v>
      </c>
      <c r="O529" s="130" t="str">
        <f t="shared" si="197"/>
        <v/>
      </c>
      <c r="P529" s="91">
        <f t="shared" si="198"/>
        <v>8018.07</v>
      </c>
      <c r="Q529" s="130">
        <f t="shared" si="199"/>
        <v>0</v>
      </c>
      <c r="R529" s="91"/>
      <c r="S529" s="132" t="str">
        <f t="shared" si="201"/>
        <v/>
      </c>
      <c r="T529" s="172">
        <f t="shared" si="204"/>
        <v>11</v>
      </c>
    </row>
    <row r="530" spans="1:20" ht="11.25" customHeight="1" x14ac:dyDescent="0.25">
      <c r="A530" s="26" t="s">
        <v>1406</v>
      </c>
      <c r="B530" s="26"/>
      <c r="C530" s="23"/>
      <c r="D530" s="23"/>
      <c r="E530" s="300" t="s">
        <v>547</v>
      </c>
      <c r="F530" s="301"/>
      <c r="G530" s="25">
        <f t="shared" ref="G530:K530" si="206">SUM(G531:G534)</f>
        <v>-27148192.98</v>
      </c>
      <c r="H530" s="25">
        <f t="shared" si="206"/>
        <v>-21872360.840000004</v>
      </c>
      <c r="I530" s="25">
        <f t="shared" si="206"/>
        <v>-20953733.333333299</v>
      </c>
      <c r="J530" s="139">
        <f t="shared" si="206"/>
        <v>0</v>
      </c>
      <c r="K530" s="153">
        <f t="shared" si="206"/>
        <v>-30000000</v>
      </c>
      <c r="N530" s="91">
        <f t="shared" si="196"/>
        <v>9046266.6666667014</v>
      </c>
      <c r="O530" s="130">
        <f t="shared" si="197"/>
        <v>1.4317257704275475</v>
      </c>
      <c r="P530" s="91">
        <f t="shared" si="198"/>
        <v>8127639.1599999964</v>
      </c>
      <c r="Q530" s="130">
        <f t="shared" si="199"/>
        <v>1.3715940505670623</v>
      </c>
      <c r="R530" s="91"/>
      <c r="S530" s="132" t="str">
        <f t="shared" si="201"/>
        <v/>
      </c>
      <c r="T530" s="172">
        <f t="shared" si="204"/>
        <v>7</v>
      </c>
    </row>
    <row r="531" spans="1:20" ht="11.25" customHeight="1" x14ac:dyDescent="0.25">
      <c r="A531" s="42" t="s">
        <v>1407</v>
      </c>
      <c r="B531" s="20" t="s">
        <v>922</v>
      </c>
      <c r="C531" s="20" t="s">
        <v>920</v>
      </c>
      <c r="D531" s="20" t="s">
        <v>1433</v>
      </c>
      <c r="E531" s="290" t="s">
        <v>548</v>
      </c>
      <c r="F531" s="291"/>
      <c r="G531" s="11">
        <v>-25227963.030000001</v>
      </c>
      <c r="H531" s="11">
        <v>-20058174.600000001</v>
      </c>
      <c r="I531" s="11">
        <v>-20953733.333333299</v>
      </c>
      <c r="J531" s="140">
        <v>0</v>
      </c>
      <c r="K531" s="162">
        <f>-48000000+18000000+3000000-3000000</f>
        <v>-30000000</v>
      </c>
      <c r="N531" s="91">
        <f t="shared" si="196"/>
        <v>9046266.6666667014</v>
      </c>
      <c r="O531" s="130">
        <f t="shared" si="197"/>
        <v>1.4317257704275475</v>
      </c>
      <c r="P531" s="91">
        <f t="shared" si="198"/>
        <v>9941825.3999999985</v>
      </c>
      <c r="Q531" s="130">
        <f t="shared" si="199"/>
        <v>1.4956495592575008</v>
      </c>
      <c r="R531" s="91"/>
      <c r="S531" s="132" t="str">
        <f t="shared" si="201"/>
        <v/>
      </c>
      <c r="T531" s="172">
        <f t="shared" si="204"/>
        <v>11</v>
      </c>
    </row>
    <row r="532" spans="1:20" ht="11.25" customHeight="1" x14ac:dyDescent="0.25">
      <c r="A532" s="42" t="s">
        <v>1408</v>
      </c>
      <c r="B532" s="28" t="s">
        <v>922</v>
      </c>
      <c r="C532" s="20" t="s">
        <v>920</v>
      </c>
      <c r="D532" s="20" t="s">
        <v>1433</v>
      </c>
      <c r="E532" s="290" t="s">
        <v>549</v>
      </c>
      <c r="F532" s="291"/>
      <c r="G532" s="11">
        <v>-1575562.45</v>
      </c>
      <c r="H532" s="11">
        <v>-1580147.19</v>
      </c>
      <c r="I532" s="11">
        <v>0</v>
      </c>
      <c r="J532" s="140">
        <v>0</v>
      </c>
      <c r="K532" s="155">
        <v>0</v>
      </c>
      <c r="N532" s="91">
        <f t="shared" si="196"/>
        <v>0</v>
      </c>
      <c r="O532" s="130" t="str">
        <f t="shared" si="197"/>
        <v/>
      </c>
      <c r="P532" s="91">
        <f t="shared" si="198"/>
        <v>-1580147.19</v>
      </c>
      <c r="Q532" s="130">
        <f t="shared" si="199"/>
        <v>0</v>
      </c>
      <c r="R532" s="91"/>
      <c r="S532" s="132" t="str">
        <f t="shared" si="201"/>
        <v/>
      </c>
      <c r="T532" s="172">
        <f t="shared" si="204"/>
        <v>11</v>
      </c>
    </row>
    <row r="533" spans="1:20" ht="11.25" customHeight="1" x14ac:dyDescent="0.25">
      <c r="A533" s="42" t="s">
        <v>1409</v>
      </c>
      <c r="B533" s="14"/>
      <c r="C533" s="13"/>
      <c r="D533" s="13"/>
      <c r="E533" s="290" t="s">
        <v>550</v>
      </c>
      <c r="F533" s="291"/>
      <c r="G533" s="11">
        <v>-241743.5</v>
      </c>
      <c r="H533" s="11">
        <v>-150241.45000000001</v>
      </c>
      <c r="I533" s="11">
        <v>0</v>
      </c>
      <c r="J533" s="140">
        <v>0</v>
      </c>
      <c r="K533" s="155">
        <v>0</v>
      </c>
      <c r="N533" s="91">
        <f t="shared" si="196"/>
        <v>0</v>
      </c>
      <c r="O533" s="130" t="str">
        <f t="shared" si="197"/>
        <v/>
      </c>
      <c r="P533" s="91">
        <f t="shared" si="198"/>
        <v>-150241.45000000001</v>
      </c>
      <c r="Q533" s="130">
        <f t="shared" si="199"/>
        <v>0</v>
      </c>
      <c r="R533" s="91"/>
      <c r="S533" s="132" t="str">
        <f t="shared" si="201"/>
        <v/>
      </c>
      <c r="T533" s="172">
        <f t="shared" si="204"/>
        <v>11</v>
      </c>
    </row>
    <row r="534" spans="1:20" ht="11.25" customHeight="1" x14ac:dyDescent="0.25">
      <c r="A534" s="42" t="s">
        <v>1410</v>
      </c>
      <c r="B534" s="14"/>
      <c r="C534" s="13"/>
      <c r="D534" s="13"/>
      <c r="E534" s="290" t="s">
        <v>551</v>
      </c>
      <c r="F534" s="291"/>
      <c r="G534" s="11">
        <v>-102924</v>
      </c>
      <c r="H534" s="11">
        <v>-83797.600000000006</v>
      </c>
      <c r="I534" s="11">
        <v>0</v>
      </c>
      <c r="J534" s="140">
        <v>0</v>
      </c>
      <c r="K534" s="155">
        <v>0</v>
      </c>
      <c r="N534" s="91">
        <f t="shared" si="196"/>
        <v>0</v>
      </c>
      <c r="O534" s="130" t="str">
        <f t="shared" si="197"/>
        <v/>
      </c>
      <c r="P534" s="91">
        <f t="shared" si="198"/>
        <v>-83797.600000000006</v>
      </c>
      <c r="Q534" s="130">
        <f t="shared" si="199"/>
        <v>0</v>
      </c>
      <c r="R534" s="91"/>
      <c r="S534" s="132" t="str">
        <f t="shared" si="201"/>
        <v/>
      </c>
      <c r="T534" s="172">
        <f t="shared" si="204"/>
        <v>11</v>
      </c>
    </row>
    <row r="535" spans="1:20" ht="11.25" customHeight="1" x14ac:dyDescent="0.25">
      <c r="A535" s="26" t="s">
        <v>1411</v>
      </c>
      <c r="B535" s="26"/>
      <c r="C535" s="23"/>
      <c r="D535" s="23"/>
      <c r="E535" s="300" t="s">
        <v>552</v>
      </c>
      <c r="F535" s="301"/>
      <c r="G535" s="25">
        <f t="shared" ref="G535:K535" si="207">SUM(G536:G542)</f>
        <v>-3622545.55</v>
      </c>
      <c r="H535" s="25">
        <f t="shared" si="207"/>
        <v>-1720269.17</v>
      </c>
      <c r="I535" s="25">
        <f t="shared" si="207"/>
        <v>-1579999.9999998971</v>
      </c>
      <c r="J535" s="139">
        <f t="shared" si="207"/>
        <v>0</v>
      </c>
      <c r="K535" s="153">
        <f t="shared" si="207"/>
        <v>-1605000</v>
      </c>
      <c r="N535" s="91">
        <f t="shared" si="196"/>
        <v>25000.000000102911</v>
      </c>
      <c r="O535" s="130">
        <f t="shared" si="197"/>
        <v>1.0158227848101928</v>
      </c>
      <c r="P535" s="91">
        <f t="shared" si="198"/>
        <v>-115269.16999999993</v>
      </c>
      <c r="Q535" s="130">
        <f t="shared" si="199"/>
        <v>0.93299352682115444</v>
      </c>
      <c r="R535" s="91"/>
      <c r="S535" s="132" t="str">
        <f t="shared" si="201"/>
        <v/>
      </c>
      <c r="T535" s="172">
        <f t="shared" si="204"/>
        <v>7</v>
      </c>
    </row>
    <row r="536" spans="1:20" ht="11.25" customHeight="1" x14ac:dyDescent="0.25">
      <c r="A536" s="42" t="s">
        <v>1412</v>
      </c>
      <c r="B536" s="28" t="s">
        <v>916</v>
      </c>
      <c r="C536" s="28" t="s">
        <v>923</v>
      </c>
      <c r="D536" s="28" t="s">
        <v>1037</v>
      </c>
      <c r="E536" s="290" t="s">
        <v>553</v>
      </c>
      <c r="F536" s="291"/>
      <c r="G536" s="11">
        <v>-655057.78</v>
      </c>
      <c r="H536" s="11">
        <v>-783461</v>
      </c>
      <c r="I536" s="11">
        <v>-859999.99999995704</v>
      </c>
      <c r="J536" s="140">
        <v>0</v>
      </c>
      <c r="K536" s="155">
        <v>-860000</v>
      </c>
      <c r="L536" s="109" t="s">
        <v>1697</v>
      </c>
      <c r="M536" s="109"/>
      <c r="N536" s="91">
        <f t="shared" si="196"/>
        <v>4.2957253754138947E-8</v>
      </c>
      <c r="O536" s="130">
        <f t="shared" si="197"/>
        <v>1.00000000000005</v>
      </c>
      <c r="P536" s="91">
        <f t="shared" si="198"/>
        <v>76539</v>
      </c>
      <c r="Q536" s="130">
        <f t="shared" si="199"/>
        <v>1.0976934397500322</v>
      </c>
      <c r="R536" s="91"/>
      <c r="S536" s="132" t="str">
        <f t="shared" si="201"/>
        <v/>
      </c>
      <c r="T536" s="172">
        <f t="shared" si="204"/>
        <v>11</v>
      </c>
    </row>
    <row r="537" spans="1:20" ht="11.25" customHeight="1" x14ac:dyDescent="0.25">
      <c r="A537" s="42" t="s">
        <v>1413</v>
      </c>
      <c r="B537" s="28" t="s">
        <v>916</v>
      </c>
      <c r="C537" s="28" t="s">
        <v>923</v>
      </c>
      <c r="D537" s="28" t="s">
        <v>1037</v>
      </c>
      <c r="E537" s="290" t="s">
        <v>554</v>
      </c>
      <c r="F537" s="291"/>
      <c r="G537" s="11">
        <v>-491485.45</v>
      </c>
      <c r="H537" s="11">
        <v>-333203.27</v>
      </c>
      <c r="I537" s="11">
        <v>-479999.99999995198</v>
      </c>
      <c r="J537" s="140">
        <v>0</v>
      </c>
      <c r="K537" s="155">
        <v>-510000</v>
      </c>
      <c r="N537" s="91">
        <f t="shared" si="196"/>
        <v>30000.000000048021</v>
      </c>
      <c r="O537" s="130">
        <f t="shared" si="197"/>
        <v>1.0625000000001064</v>
      </c>
      <c r="P537" s="91">
        <f t="shared" si="198"/>
        <v>176796.72999999998</v>
      </c>
      <c r="Q537" s="130">
        <f t="shared" si="199"/>
        <v>1.5305972237307275</v>
      </c>
      <c r="R537" s="91"/>
      <c r="S537" s="132" t="str">
        <f t="shared" si="201"/>
        <v/>
      </c>
      <c r="T537" s="172">
        <f t="shared" si="204"/>
        <v>11</v>
      </c>
    </row>
    <row r="538" spans="1:20" ht="11.25" customHeight="1" x14ac:dyDescent="0.25">
      <c r="A538" s="42" t="s">
        <v>1414</v>
      </c>
      <c r="B538" s="28" t="s">
        <v>916</v>
      </c>
      <c r="C538" s="28" t="s">
        <v>923</v>
      </c>
      <c r="D538" s="28" t="s">
        <v>1037</v>
      </c>
      <c r="E538" s="290" t="s">
        <v>555</v>
      </c>
      <c r="F538" s="291"/>
      <c r="G538" s="11">
        <v>-100096.38</v>
      </c>
      <c r="H538" s="11">
        <v>-214434.94</v>
      </c>
      <c r="I538" s="11">
        <v>-204999.99999999601</v>
      </c>
      <c r="J538" s="140">
        <v>0</v>
      </c>
      <c r="K538" s="155">
        <v>-200000</v>
      </c>
      <c r="N538" s="91">
        <f t="shared" si="196"/>
        <v>-4999.9999999960128</v>
      </c>
      <c r="O538" s="130">
        <f t="shared" si="197"/>
        <v>0.97560975609757994</v>
      </c>
      <c r="P538" s="91">
        <f t="shared" si="198"/>
        <v>-14434.940000000002</v>
      </c>
      <c r="Q538" s="130">
        <f t="shared" si="199"/>
        <v>0.93268382475355927</v>
      </c>
      <c r="R538" s="91"/>
      <c r="S538" s="132" t="str">
        <f t="shared" si="201"/>
        <v/>
      </c>
      <c r="T538" s="172">
        <f t="shared" si="204"/>
        <v>11</v>
      </c>
    </row>
    <row r="539" spans="1:20" ht="11.25" customHeight="1" x14ac:dyDescent="0.25">
      <c r="A539" s="42" t="s">
        <v>1415</v>
      </c>
      <c r="B539" s="28" t="s">
        <v>916</v>
      </c>
      <c r="C539" s="28" t="s">
        <v>923</v>
      </c>
      <c r="D539" s="28" t="s">
        <v>1037</v>
      </c>
      <c r="E539" s="290" t="s">
        <v>556</v>
      </c>
      <c r="F539" s="291"/>
      <c r="G539" s="11">
        <v>-2275385.64</v>
      </c>
      <c r="H539" s="11">
        <v>-196668.56</v>
      </c>
      <c r="I539" s="11">
        <v>0</v>
      </c>
      <c r="J539" s="140">
        <v>0</v>
      </c>
      <c r="K539" s="155">
        <v>0</v>
      </c>
      <c r="N539" s="91">
        <f t="shared" si="196"/>
        <v>0</v>
      </c>
      <c r="O539" s="130" t="str">
        <f t="shared" si="197"/>
        <v/>
      </c>
      <c r="P539" s="91">
        <f t="shared" si="198"/>
        <v>-196668.56</v>
      </c>
      <c r="Q539" s="130">
        <f t="shared" si="199"/>
        <v>0</v>
      </c>
      <c r="R539" s="91"/>
      <c r="S539" s="132" t="str">
        <f t="shared" si="201"/>
        <v/>
      </c>
      <c r="T539" s="172">
        <f t="shared" si="204"/>
        <v>11</v>
      </c>
    </row>
    <row r="540" spans="1:20" ht="11.25" customHeight="1" x14ac:dyDescent="0.25">
      <c r="A540" s="42" t="s">
        <v>1416</v>
      </c>
      <c r="B540" s="28" t="s">
        <v>916</v>
      </c>
      <c r="C540" s="28" t="s">
        <v>923</v>
      </c>
      <c r="D540" s="28" t="s">
        <v>1037</v>
      </c>
      <c r="E540" s="290" t="s">
        <v>557</v>
      </c>
      <c r="F540" s="291"/>
      <c r="G540" s="11">
        <v>-57548.3</v>
      </c>
      <c r="H540" s="11">
        <v>-144825</v>
      </c>
      <c r="I540" s="11">
        <v>-34999.999999991996</v>
      </c>
      <c r="J540" s="140">
        <v>0</v>
      </c>
      <c r="K540" s="155">
        <v>-35000</v>
      </c>
      <c r="N540" s="91">
        <f t="shared" si="196"/>
        <v>8.0035533756017685E-9</v>
      </c>
      <c r="O540" s="130">
        <f t="shared" si="197"/>
        <v>1.0000000000002287</v>
      </c>
      <c r="P540" s="91">
        <f t="shared" si="198"/>
        <v>-109825</v>
      </c>
      <c r="Q540" s="130">
        <f t="shared" si="199"/>
        <v>0.24167098221992059</v>
      </c>
      <c r="R540" s="91"/>
      <c r="S540" s="132" t="str">
        <f t="shared" si="201"/>
        <v/>
      </c>
      <c r="T540" s="172">
        <f t="shared" si="204"/>
        <v>11</v>
      </c>
    </row>
    <row r="541" spans="1:20" ht="11.25" customHeight="1" x14ac:dyDescent="0.25">
      <c r="A541" s="42" t="s">
        <v>1417</v>
      </c>
      <c r="B541" s="14"/>
      <c r="C541" s="13"/>
      <c r="D541" s="13"/>
      <c r="E541" s="290" t="s">
        <v>558</v>
      </c>
      <c r="F541" s="291"/>
      <c r="G541" s="11">
        <v>-23160</v>
      </c>
      <c r="H541" s="11">
        <v>-22447.9</v>
      </c>
      <c r="I541" s="11">
        <v>0</v>
      </c>
      <c r="J541" s="140">
        <v>0</v>
      </c>
      <c r="K541" s="155">
        <v>0</v>
      </c>
      <c r="N541" s="91">
        <f t="shared" si="196"/>
        <v>0</v>
      </c>
      <c r="O541" s="130" t="str">
        <f t="shared" si="197"/>
        <v/>
      </c>
      <c r="P541" s="91">
        <f t="shared" si="198"/>
        <v>-22447.9</v>
      </c>
      <c r="Q541" s="130">
        <f t="shared" si="199"/>
        <v>0</v>
      </c>
      <c r="R541" s="91"/>
      <c r="S541" s="132" t="str">
        <f t="shared" si="201"/>
        <v/>
      </c>
      <c r="T541" s="172">
        <f t="shared" si="204"/>
        <v>11</v>
      </c>
    </row>
    <row r="542" spans="1:20" ht="11.25" customHeight="1" x14ac:dyDescent="0.25">
      <c r="A542" s="42" t="s">
        <v>1418</v>
      </c>
      <c r="B542" s="14"/>
      <c r="C542" s="13"/>
      <c r="D542" s="13"/>
      <c r="E542" s="290" t="s">
        <v>559</v>
      </c>
      <c r="F542" s="291"/>
      <c r="G542" s="11">
        <v>-19812</v>
      </c>
      <c r="H542" s="11">
        <v>-25228.5</v>
      </c>
      <c r="I542" s="11">
        <v>0</v>
      </c>
      <c r="J542" s="140">
        <v>0</v>
      </c>
      <c r="K542" s="155">
        <v>0</v>
      </c>
      <c r="N542" s="91">
        <f t="shared" si="196"/>
        <v>0</v>
      </c>
      <c r="O542" s="130" t="str">
        <f t="shared" si="197"/>
        <v/>
      </c>
      <c r="P542" s="91">
        <f t="shared" si="198"/>
        <v>-25228.5</v>
      </c>
      <c r="Q542" s="130">
        <f t="shared" si="199"/>
        <v>0</v>
      </c>
      <c r="R542" s="91"/>
      <c r="S542" s="132" t="str">
        <f t="shared" si="201"/>
        <v/>
      </c>
      <c r="T542" s="172">
        <f t="shared" si="204"/>
        <v>11</v>
      </c>
    </row>
    <row r="543" spans="1:20" ht="11.25" customHeight="1" x14ac:dyDescent="0.25">
      <c r="A543" s="26" t="s">
        <v>1419</v>
      </c>
      <c r="B543" s="26"/>
      <c r="C543" s="23"/>
      <c r="D543" s="23"/>
      <c r="E543" s="300" t="s">
        <v>560</v>
      </c>
      <c r="F543" s="301"/>
      <c r="G543" s="25">
        <f t="shared" ref="G543:K543" si="208">SUM(G544:G547)</f>
        <v>-7019339.8600000003</v>
      </c>
      <c r="H543" s="25">
        <f t="shared" si="208"/>
        <v>-6622573.9800000004</v>
      </c>
      <c r="I543" s="25">
        <f t="shared" si="208"/>
        <v>-14897000</v>
      </c>
      <c r="J543" s="139">
        <f t="shared" si="208"/>
        <v>0</v>
      </c>
      <c r="K543" s="153">
        <f t="shared" si="208"/>
        <v>-10042900</v>
      </c>
      <c r="N543" s="91">
        <f t="shared" si="196"/>
        <v>-4854100</v>
      </c>
      <c r="O543" s="130">
        <f t="shared" si="197"/>
        <v>0.67415587030945823</v>
      </c>
      <c r="P543" s="91">
        <f t="shared" si="198"/>
        <v>3420326.0199999996</v>
      </c>
      <c r="Q543" s="130">
        <f t="shared" si="199"/>
        <v>1.5164647507644753</v>
      </c>
      <c r="R543" s="91"/>
      <c r="S543" s="132" t="str">
        <f t="shared" si="201"/>
        <v/>
      </c>
      <c r="T543" s="172">
        <f t="shared" si="204"/>
        <v>7</v>
      </c>
    </row>
    <row r="544" spans="1:20" ht="11.25" customHeight="1" x14ac:dyDescent="0.25">
      <c r="A544" s="42" t="s">
        <v>1420</v>
      </c>
      <c r="B544" s="20" t="s">
        <v>1654</v>
      </c>
      <c r="C544" s="28" t="s">
        <v>919</v>
      </c>
      <c r="D544" s="20" t="s">
        <v>1655</v>
      </c>
      <c r="E544" s="290" t="s">
        <v>561</v>
      </c>
      <c r="F544" s="291"/>
      <c r="G544" s="11">
        <v>-6415858.4400000004</v>
      </c>
      <c r="H544" s="11">
        <v>-5916568.6500000004</v>
      </c>
      <c r="I544" s="11">
        <v>-14027000</v>
      </c>
      <c r="J544" s="140">
        <v>0</v>
      </c>
      <c r="K544" s="155">
        <f>-13456400+4525000</f>
        <v>-8931400</v>
      </c>
      <c r="L544" s="109" t="s">
        <v>1706</v>
      </c>
      <c r="M544" s="109"/>
      <c r="N544" s="91">
        <f t="shared" si="196"/>
        <v>-5095600</v>
      </c>
      <c r="O544" s="130">
        <f t="shared" si="197"/>
        <v>0.63672916518143585</v>
      </c>
      <c r="P544" s="91">
        <f t="shared" si="198"/>
        <v>3014831.3499999996</v>
      </c>
      <c r="Q544" s="130">
        <f t="shared" si="199"/>
        <v>1.5095574019917777</v>
      </c>
      <c r="R544" s="91"/>
      <c r="S544" s="132" t="str">
        <f t="shared" si="201"/>
        <v/>
      </c>
      <c r="T544" s="172">
        <f t="shared" si="204"/>
        <v>11</v>
      </c>
    </row>
    <row r="545" spans="1:20" ht="11.25" customHeight="1" x14ac:dyDescent="0.25">
      <c r="A545" s="42" t="s">
        <v>1421</v>
      </c>
      <c r="B545" s="20" t="s">
        <v>1654</v>
      </c>
      <c r="C545" s="28" t="s">
        <v>919</v>
      </c>
      <c r="D545" s="20" t="s">
        <v>1655</v>
      </c>
      <c r="E545" s="290" t="s">
        <v>562</v>
      </c>
      <c r="F545" s="291"/>
      <c r="G545" s="11">
        <v>-539477.51</v>
      </c>
      <c r="H545" s="11">
        <v>-541893.1</v>
      </c>
      <c r="I545" s="11">
        <v>-870000</v>
      </c>
      <c r="J545" s="140">
        <v>0</v>
      </c>
      <c r="K545" s="155">
        <v>-1111500</v>
      </c>
      <c r="L545" s="109" t="s">
        <v>1708</v>
      </c>
      <c r="M545" s="109"/>
      <c r="N545" s="91">
        <f t="shared" si="196"/>
        <v>241500</v>
      </c>
      <c r="O545" s="130">
        <f t="shared" si="197"/>
        <v>1.2775862068965518</v>
      </c>
      <c r="P545" s="91">
        <f t="shared" si="198"/>
        <v>569606.9</v>
      </c>
      <c r="Q545" s="130">
        <f t="shared" si="199"/>
        <v>2.0511425592981349</v>
      </c>
      <c r="R545" s="91"/>
      <c r="S545" s="132" t="str">
        <f t="shared" si="201"/>
        <v/>
      </c>
      <c r="T545" s="172">
        <f t="shared" si="204"/>
        <v>11</v>
      </c>
    </row>
    <row r="546" spans="1:20" ht="11.25" customHeight="1" x14ac:dyDescent="0.25">
      <c r="A546" s="42" t="s">
        <v>1422</v>
      </c>
      <c r="B546" s="14"/>
      <c r="C546" s="13"/>
      <c r="D546" s="13"/>
      <c r="E546" s="290" t="s">
        <v>563</v>
      </c>
      <c r="F546" s="291"/>
      <c r="G546" s="11">
        <v>-64003.91</v>
      </c>
      <c r="H546" s="11">
        <v>-32504</v>
      </c>
      <c r="I546" s="11">
        <v>0</v>
      </c>
      <c r="J546" s="140">
        <v>0</v>
      </c>
      <c r="K546" s="155">
        <v>0</v>
      </c>
      <c r="N546" s="91">
        <f t="shared" si="196"/>
        <v>0</v>
      </c>
      <c r="O546" s="130" t="str">
        <f t="shared" si="197"/>
        <v/>
      </c>
      <c r="P546" s="91">
        <f t="shared" si="198"/>
        <v>-32504</v>
      </c>
      <c r="Q546" s="130">
        <f t="shared" si="199"/>
        <v>0</v>
      </c>
      <c r="R546" s="91"/>
      <c r="S546" s="132" t="str">
        <f t="shared" si="201"/>
        <v/>
      </c>
      <c r="T546" s="172">
        <f t="shared" si="204"/>
        <v>11</v>
      </c>
    </row>
    <row r="547" spans="1:20" ht="11.25" customHeight="1" x14ac:dyDescent="0.25">
      <c r="A547" s="42" t="s">
        <v>1423</v>
      </c>
      <c r="B547" s="14"/>
      <c r="C547" s="13"/>
      <c r="D547" s="13"/>
      <c r="E547" s="290" t="s">
        <v>564</v>
      </c>
      <c r="F547" s="291"/>
      <c r="G547" s="11">
        <v>0</v>
      </c>
      <c r="H547" s="11">
        <v>-131608.23000000001</v>
      </c>
      <c r="I547" s="11">
        <v>0</v>
      </c>
      <c r="J547" s="140">
        <v>0</v>
      </c>
      <c r="K547" s="155">
        <v>0</v>
      </c>
      <c r="N547" s="91">
        <f t="shared" si="196"/>
        <v>0</v>
      </c>
      <c r="O547" s="130" t="str">
        <f t="shared" si="197"/>
        <v/>
      </c>
      <c r="P547" s="91">
        <f t="shared" si="198"/>
        <v>-131608.23000000001</v>
      </c>
      <c r="Q547" s="130">
        <f t="shared" si="199"/>
        <v>0</v>
      </c>
      <c r="R547" s="91"/>
      <c r="S547" s="132" t="str">
        <f t="shared" si="201"/>
        <v/>
      </c>
      <c r="T547" s="172">
        <f t="shared" si="204"/>
        <v>11</v>
      </c>
    </row>
    <row r="548" spans="1:20" ht="11.25" customHeight="1" x14ac:dyDescent="0.25">
      <c r="A548" s="26" t="s">
        <v>1424</v>
      </c>
      <c r="B548" s="26"/>
      <c r="C548" s="23"/>
      <c r="D548" s="23"/>
      <c r="E548" s="300" t="s">
        <v>565</v>
      </c>
      <c r="F548" s="301"/>
      <c r="G548" s="25">
        <f t="shared" ref="G548:K548" si="209">SUM(G549:G552)</f>
        <v>-7132869.8899999997</v>
      </c>
      <c r="H548" s="25">
        <f t="shared" si="209"/>
        <v>-12386086.560000001</v>
      </c>
      <c r="I548" s="25">
        <f t="shared" si="209"/>
        <v>-9149600</v>
      </c>
      <c r="J548" s="139">
        <f t="shared" si="209"/>
        <v>0</v>
      </c>
      <c r="K548" s="153">
        <f t="shared" si="209"/>
        <v>-13850000</v>
      </c>
      <c r="N548" s="91">
        <f t="shared" si="196"/>
        <v>4700400</v>
      </c>
      <c r="O548" s="130">
        <f t="shared" si="197"/>
        <v>1.5137273760601557</v>
      </c>
      <c r="P548" s="91">
        <f t="shared" si="198"/>
        <v>1463913.4399999995</v>
      </c>
      <c r="Q548" s="130">
        <f t="shared" si="199"/>
        <v>1.1181901509333549</v>
      </c>
      <c r="R548" s="91"/>
      <c r="S548" s="132" t="str">
        <f t="shared" si="201"/>
        <v/>
      </c>
      <c r="T548" s="172">
        <f t="shared" si="204"/>
        <v>7</v>
      </c>
    </row>
    <row r="549" spans="1:20" ht="11.25" customHeight="1" x14ac:dyDescent="0.25">
      <c r="A549" s="42" t="s">
        <v>1425</v>
      </c>
      <c r="B549" s="28" t="s">
        <v>916</v>
      </c>
      <c r="C549" s="28" t="s">
        <v>923</v>
      </c>
      <c r="D549" s="28" t="s">
        <v>1037</v>
      </c>
      <c r="E549" s="290" t="s">
        <v>566</v>
      </c>
      <c r="F549" s="291"/>
      <c r="G549" s="11">
        <v>-6700</v>
      </c>
      <c r="H549" s="11">
        <v>-909061.74</v>
      </c>
      <c r="I549" s="11">
        <v>-150000</v>
      </c>
      <c r="J549" s="140">
        <v>0</v>
      </c>
      <c r="K549" s="155">
        <v>-350000</v>
      </c>
      <c r="N549" s="91">
        <f t="shared" si="196"/>
        <v>200000</v>
      </c>
      <c r="O549" s="130">
        <f t="shared" si="197"/>
        <v>2.3333333333333335</v>
      </c>
      <c r="P549" s="91">
        <f t="shared" si="198"/>
        <v>-559061.74</v>
      </c>
      <c r="Q549" s="130">
        <f t="shared" si="199"/>
        <v>0.38501235350637458</v>
      </c>
      <c r="R549" s="91"/>
      <c r="S549" s="132" t="str">
        <f t="shared" si="201"/>
        <v/>
      </c>
      <c r="T549" s="172">
        <f t="shared" si="204"/>
        <v>11</v>
      </c>
    </row>
    <row r="550" spans="1:20" ht="11.25" customHeight="1" x14ac:dyDescent="0.25">
      <c r="A550" s="42" t="s">
        <v>1426</v>
      </c>
      <c r="B550" s="28" t="s">
        <v>916</v>
      </c>
      <c r="C550" s="28" t="s">
        <v>923</v>
      </c>
      <c r="D550" s="28" t="s">
        <v>1037</v>
      </c>
      <c r="E550" s="290" t="s">
        <v>567</v>
      </c>
      <c r="F550" s="291"/>
      <c r="G550" s="11">
        <v>-7109320.8899999997</v>
      </c>
      <c r="H550" s="11">
        <v>-11407038.82</v>
      </c>
      <c r="I550" s="11">
        <v>-8999600</v>
      </c>
      <c r="J550" s="140">
        <v>0</v>
      </c>
      <c r="K550" s="155">
        <f>-15000000+1500000</f>
        <v>-13500000</v>
      </c>
      <c r="N550" s="91">
        <f t="shared" si="196"/>
        <v>4500400</v>
      </c>
      <c r="O550" s="130">
        <f t="shared" si="197"/>
        <v>1.5000666696297613</v>
      </c>
      <c r="P550" s="91">
        <f t="shared" si="198"/>
        <v>2092961.1799999997</v>
      </c>
      <c r="Q550" s="130">
        <f t="shared" si="199"/>
        <v>1.1834797981339735</v>
      </c>
      <c r="R550" s="91"/>
      <c r="S550" s="132" t="str">
        <f t="shared" si="201"/>
        <v/>
      </c>
      <c r="T550" s="172">
        <f t="shared" si="204"/>
        <v>11</v>
      </c>
    </row>
    <row r="551" spans="1:20" ht="11.25" customHeight="1" x14ac:dyDescent="0.25">
      <c r="A551" s="42" t="s">
        <v>1427</v>
      </c>
      <c r="B551" s="14"/>
      <c r="C551" s="13"/>
      <c r="D551" s="13"/>
      <c r="E551" s="290" t="s">
        <v>568</v>
      </c>
      <c r="F551" s="291"/>
      <c r="G551" s="11">
        <v>-4172</v>
      </c>
      <c r="H551" s="11">
        <v>-69986</v>
      </c>
      <c r="I551" s="11">
        <v>0</v>
      </c>
      <c r="J551" s="140">
        <v>0</v>
      </c>
      <c r="K551" s="154"/>
      <c r="N551" s="91">
        <f t="shared" si="196"/>
        <v>0</v>
      </c>
      <c r="O551" s="130" t="str">
        <f t="shared" si="197"/>
        <v/>
      </c>
      <c r="P551" s="91">
        <f t="shared" si="198"/>
        <v>-69986</v>
      </c>
      <c r="Q551" s="130">
        <f t="shared" si="199"/>
        <v>0</v>
      </c>
      <c r="R551" s="91"/>
      <c r="S551" s="132" t="str">
        <f t="shared" si="201"/>
        <v/>
      </c>
      <c r="T551" s="172">
        <f t="shared" si="204"/>
        <v>11</v>
      </c>
    </row>
    <row r="552" spans="1:20" ht="11.25" customHeight="1" x14ac:dyDescent="0.25">
      <c r="A552" s="42" t="s">
        <v>1428</v>
      </c>
      <c r="B552" s="14"/>
      <c r="C552" s="13"/>
      <c r="D552" s="13"/>
      <c r="E552" s="290" t="s">
        <v>569</v>
      </c>
      <c r="F552" s="291"/>
      <c r="G552" s="11">
        <v>-12677</v>
      </c>
      <c r="H552" s="11">
        <v>0</v>
      </c>
      <c r="I552" s="11">
        <v>0</v>
      </c>
      <c r="J552" s="140">
        <v>0</v>
      </c>
      <c r="K552" s="154"/>
      <c r="N552" s="91">
        <f t="shared" si="196"/>
        <v>0</v>
      </c>
      <c r="O552" s="130" t="str">
        <f t="shared" si="197"/>
        <v/>
      </c>
      <c r="P552" s="91">
        <f t="shared" si="198"/>
        <v>0</v>
      </c>
      <c r="Q552" s="130" t="str">
        <f t="shared" si="199"/>
        <v/>
      </c>
      <c r="R552" s="91"/>
      <c r="S552" s="132" t="str">
        <f t="shared" si="201"/>
        <v/>
      </c>
      <c r="T552" s="172">
        <f t="shared" si="204"/>
        <v>11</v>
      </c>
    </row>
    <row r="553" spans="1:20" ht="11.25" customHeight="1" x14ac:dyDescent="0.25">
      <c r="A553" s="26" t="s">
        <v>1434</v>
      </c>
      <c r="B553" s="26"/>
      <c r="C553" s="23"/>
      <c r="D553" s="23"/>
      <c r="E553" s="300" t="s">
        <v>570</v>
      </c>
      <c r="F553" s="301"/>
      <c r="G553" s="25">
        <f t="shared" ref="G553:K553" si="210">SUM(G554:G556)</f>
        <v>-1573308.56</v>
      </c>
      <c r="H553" s="25">
        <f t="shared" si="210"/>
        <v>-1860956.5999999999</v>
      </c>
      <c r="I553" s="25">
        <f t="shared" si="210"/>
        <v>-1500000</v>
      </c>
      <c r="J553" s="139">
        <f t="shared" si="210"/>
        <v>0</v>
      </c>
      <c r="K553" s="153">
        <f t="shared" si="210"/>
        <v>-1000000</v>
      </c>
      <c r="N553" s="91">
        <f t="shared" si="196"/>
        <v>-500000</v>
      </c>
      <c r="O553" s="130">
        <f t="shared" si="197"/>
        <v>0.66666666666666663</v>
      </c>
      <c r="P553" s="91">
        <f t="shared" si="198"/>
        <v>-860956.59999999986</v>
      </c>
      <c r="Q553" s="130">
        <f t="shared" si="199"/>
        <v>0.53735804478191485</v>
      </c>
      <c r="R553" s="91"/>
      <c r="S553" s="132" t="str">
        <f t="shared" si="201"/>
        <v/>
      </c>
      <c r="T553" s="172">
        <f t="shared" si="204"/>
        <v>7</v>
      </c>
    </row>
    <row r="554" spans="1:20" ht="11.25" customHeight="1" x14ac:dyDescent="0.25">
      <c r="A554" s="42" t="s">
        <v>1429</v>
      </c>
      <c r="B554" s="28" t="s">
        <v>916</v>
      </c>
      <c r="C554" s="28" t="s">
        <v>923</v>
      </c>
      <c r="D554" s="28" t="s">
        <v>1037</v>
      </c>
      <c r="E554" s="290" t="s">
        <v>571</v>
      </c>
      <c r="F554" s="291"/>
      <c r="G554" s="11">
        <v>-1222139.83</v>
      </c>
      <c r="H554" s="11">
        <v>-1811356.23</v>
      </c>
      <c r="I554" s="11">
        <v>-1500000</v>
      </c>
      <c r="J554" s="140">
        <v>0</v>
      </c>
      <c r="K554" s="155">
        <v>-1000000</v>
      </c>
      <c r="N554" s="91">
        <f t="shared" si="196"/>
        <v>-500000</v>
      </c>
      <c r="O554" s="130">
        <f t="shared" si="197"/>
        <v>0.66666666666666663</v>
      </c>
      <c r="P554" s="91">
        <f t="shared" si="198"/>
        <v>-811356.23</v>
      </c>
      <c r="Q554" s="130">
        <f t="shared" si="199"/>
        <v>0.55207252082049041</v>
      </c>
      <c r="R554" s="91"/>
      <c r="S554" s="132" t="str">
        <f t="shared" si="201"/>
        <v/>
      </c>
      <c r="T554" s="172">
        <f t="shared" si="204"/>
        <v>11</v>
      </c>
    </row>
    <row r="555" spans="1:20" ht="11.25" customHeight="1" x14ac:dyDescent="0.25">
      <c r="A555" s="42" t="s">
        <v>1430</v>
      </c>
      <c r="B555" s="14"/>
      <c r="C555" s="13"/>
      <c r="D555" s="13"/>
      <c r="E555" s="290" t="s">
        <v>572</v>
      </c>
      <c r="F555" s="291"/>
      <c r="G555" s="11">
        <v>-320776.73</v>
      </c>
      <c r="H555" s="11">
        <v>-14241.7</v>
      </c>
      <c r="I555" s="11">
        <v>0</v>
      </c>
      <c r="J555" s="140">
        <v>0</v>
      </c>
      <c r="K555" s="154"/>
      <c r="N555" s="91">
        <f t="shared" si="196"/>
        <v>0</v>
      </c>
      <c r="O555" s="130" t="str">
        <f t="shared" si="197"/>
        <v/>
      </c>
      <c r="P555" s="91">
        <f t="shared" si="198"/>
        <v>-14241.7</v>
      </c>
      <c r="Q555" s="130">
        <f t="shared" si="199"/>
        <v>0</v>
      </c>
      <c r="R555" s="91"/>
      <c r="S555" s="132" t="str">
        <f t="shared" si="201"/>
        <v/>
      </c>
      <c r="T555" s="172">
        <f t="shared" si="204"/>
        <v>11</v>
      </c>
    </row>
    <row r="556" spans="1:20" ht="11.25" customHeight="1" x14ac:dyDescent="0.25">
      <c r="A556" s="42" t="s">
        <v>1431</v>
      </c>
      <c r="B556" s="14"/>
      <c r="C556" s="13"/>
      <c r="D556" s="13"/>
      <c r="E556" s="290" t="s">
        <v>573</v>
      </c>
      <c r="F556" s="291"/>
      <c r="G556" s="11">
        <v>-30392</v>
      </c>
      <c r="H556" s="11">
        <v>-35358.67</v>
      </c>
      <c r="I556" s="11">
        <v>0</v>
      </c>
      <c r="J556" s="140">
        <v>0</v>
      </c>
      <c r="K556" s="154"/>
      <c r="N556" s="91">
        <f t="shared" si="196"/>
        <v>0</v>
      </c>
      <c r="O556" s="130" t="str">
        <f t="shared" si="197"/>
        <v/>
      </c>
      <c r="P556" s="91">
        <f t="shared" si="198"/>
        <v>-35358.67</v>
      </c>
      <c r="Q556" s="130">
        <f t="shared" si="199"/>
        <v>0</v>
      </c>
      <c r="R556" s="91"/>
      <c r="S556" s="132" t="str">
        <f t="shared" si="201"/>
        <v/>
      </c>
      <c r="T556" s="172">
        <f t="shared" si="204"/>
        <v>11</v>
      </c>
    </row>
    <row r="557" spans="1:20" ht="11.25" customHeight="1" x14ac:dyDescent="0.25">
      <c r="A557" s="26" t="s">
        <v>1435</v>
      </c>
      <c r="B557" s="26"/>
      <c r="C557" s="23"/>
      <c r="D557" s="23"/>
      <c r="E557" s="300" t="s">
        <v>574</v>
      </c>
      <c r="F557" s="301"/>
      <c r="G557" s="25">
        <f t="shared" ref="G557:K557" si="211">SUM(G558:G560)</f>
        <v>-221181.12</v>
      </c>
      <c r="H557" s="25">
        <f t="shared" si="211"/>
        <v>-265386.95</v>
      </c>
      <c r="I557" s="25">
        <f t="shared" si="211"/>
        <v>-1211000</v>
      </c>
      <c r="J557" s="139">
        <f t="shared" si="211"/>
        <v>0</v>
      </c>
      <c r="K557" s="153">
        <f t="shared" si="211"/>
        <v>-3647670</v>
      </c>
      <c r="N557" s="91">
        <f t="shared" si="196"/>
        <v>2436670</v>
      </c>
      <c r="O557" s="130">
        <f t="shared" si="197"/>
        <v>3.0121139554087533</v>
      </c>
      <c r="P557" s="91">
        <f t="shared" si="198"/>
        <v>3382283.05</v>
      </c>
      <c r="Q557" s="130">
        <f t="shared" si="199"/>
        <v>13.744722564542077</v>
      </c>
      <c r="R557" s="91"/>
      <c r="S557" s="132" t="str">
        <f t="shared" si="201"/>
        <v/>
      </c>
      <c r="T557" s="172">
        <f t="shared" si="204"/>
        <v>7</v>
      </c>
    </row>
    <row r="558" spans="1:20" ht="11.25" customHeight="1" x14ac:dyDescent="0.25">
      <c r="A558" s="42" t="s">
        <v>1436</v>
      </c>
      <c r="B558" s="20" t="s">
        <v>1654</v>
      </c>
      <c r="C558" s="28" t="s">
        <v>919</v>
      </c>
      <c r="D558" s="20" t="s">
        <v>1656</v>
      </c>
      <c r="E558" s="290" t="s">
        <v>575</v>
      </c>
      <c r="F558" s="291"/>
      <c r="G558" s="11">
        <v>-215182.12</v>
      </c>
      <c r="H558" s="11">
        <v>-248416.6</v>
      </c>
      <c r="I558" s="11">
        <v>-1211000</v>
      </c>
      <c r="J558" s="140">
        <v>0</v>
      </c>
      <c r="K558" s="155">
        <f>-4222670+575000</f>
        <v>-3647670</v>
      </c>
      <c r="L558" s="109" t="s">
        <v>1709</v>
      </c>
      <c r="M558" s="109"/>
      <c r="N558" s="91">
        <f t="shared" si="196"/>
        <v>2436670</v>
      </c>
      <c r="O558" s="130">
        <f t="shared" si="197"/>
        <v>3.0121139554087533</v>
      </c>
      <c r="P558" s="91">
        <f t="shared" si="198"/>
        <v>3399253.4</v>
      </c>
      <c r="Q558" s="130">
        <f t="shared" si="199"/>
        <v>14.683680559189684</v>
      </c>
      <c r="R558" s="91"/>
      <c r="S558" s="132" t="str">
        <f t="shared" si="201"/>
        <v/>
      </c>
      <c r="T558" s="172">
        <f t="shared" si="204"/>
        <v>11</v>
      </c>
    </row>
    <row r="559" spans="1:20" ht="11.25" customHeight="1" x14ac:dyDescent="0.25">
      <c r="A559" s="42" t="s">
        <v>1437</v>
      </c>
      <c r="B559" s="14"/>
      <c r="C559" s="13"/>
      <c r="D559" s="13"/>
      <c r="E559" s="290" t="s">
        <v>576</v>
      </c>
      <c r="F559" s="291"/>
      <c r="G559" s="11">
        <v>-5999</v>
      </c>
      <c r="H559" s="11">
        <v>-5734</v>
      </c>
      <c r="I559" s="11">
        <v>0</v>
      </c>
      <c r="J559" s="140">
        <v>0</v>
      </c>
      <c r="K559" s="154"/>
      <c r="N559" s="91">
        <f t="shared" si="196"/>
        <v>0</v>
      </c>
      <c r="O559" s="130" t="str">
        <f t="shared" si="197"/>
        <v/>
      </c>
      <c r="P559" s="91">
        <f t="shared" si="198"/>
        <v>-5734</v>
      </c>
      <c r="Q559" s="130">
        <f t="shared" si="199"/>
        <v>0</v>
      </c>
      <c r="R559" s="91"/>
      <c r="S559" s="132" t="str">
        <f t="shared" si="201"/>
        <v/>
      </c>
      <c r="T559" s="172">
        <f t="shared" si="204"/>
        <v>11</v>
      </c>
    </row>
    <row r="560" spans="1:20" ht="11.25" customHeight="1" x14ac:dyDescent="0.25">
      <c r="A560" s="42" t="s">
        <v>1438</v>
      </c>
      <c r="B560" s="14"/>
      <c r="C560" s="13"/>
      <c r="D560" s="13"/>
      <c r="E560" s="290" t="s">
        <v>577</v>
      </c>
      <c r="F560" s="291"/>
      <c r="G560" s="11">
        <v>0</v>
      </c>
      <c r="H560" s="11">
        <v>-11236.35</v>
      </c>
      <c r="I560" s="11">
        <v>0</v>
      </c>
      <c r="J560" s="140">
        <v>0</v>
      </c>
      <c r="K560" s="154"/>
      <c r="N560" s="91">
        <f t="shared" si="196"/>
        <v>0</v>
      </c>
      <c r="O560" s="130" t="str">
        <f t="shared" si="197"/>
        <v/>
      </c>
      <c r="P560" s="91">
        <f t="shared" si="198"/>
        <v>-11236.35</v>
      </c>
      <c r="Q560" s="130">
        <f t="shared" si="199"/>
        <v>0</v>
      </c>
      <c r="R560" s="91"/>
      <c r="S560" s="132" t="str">
        <f t="shared" si="201"/>
        <v/>
      </c>
      <c r="T560" s="172">
        <f t="shared" si="204"/>
        <v>11</v>
      </c>
    </row>
    <row r="561" spans="1:20" ht="11.25" customHeight="1" x14ac:dyDescent="0.25">
      <c r="A561" s="26" t="s">
        <v>1439</v>
      </c>
      <c r="B561" s="26"/>
      <c r="C561" s="23"/>
      <c r="D561" s="23"/>
      <c r="E561" s="300" t="s">
        <v>578</v>
      </c>
      <c r="F561" s="301"/>
      <c r="G561" s="25">
        <f t="shared" ref="G561:K561" si="212">G562</f>
        <v>-38186.9</v>
      </c>
      <c r="H561" s="25">
        <f t="shared" si="212"/>
        <v>-8018.07</v>
      </c>
      <c r="I561" s="25">
        <f t="shared" si="212"/>
        <v>0</v>
      </c>
      <c r="J561" s="139">
        <f t="shared" si="212"/>
        <v>0</v>
      </c>
      <c r="K561" s="153">
        <f t="shared" si="212"/>
        <v>0</v>
      </c>
      <c r="N561" s="91">
        <f t="shared" si="196"/>
        <v>0</v>
      </c>
      <c r="O561" s="130" t="str">
        <f t="shared" si="197"/>
        <v/>
      </c>
      <c r="P561" s="91">
        <f t="shared" si="198"/>
        <v>-8018.07</v>
      </c>
      <c r="Q561" s="130">
        <f t="shared" si="199"/>
        <v>0</v>
      </c>
      <c r="R561" s="91"/>
      <c r="S561" s="132" t="str">
        <f t="shared" si="201"/>
        <v/>
      </c>
      <c r="T561" s="172">
        <f t="shared" si="204"/>
        <v>7</v>
      </c>
    </row>
    <row r="562" spans="1:20" ht="11.25" customHeight="1" x14ac:dyDescent="0.25">
      <c r="A562" s="42" t="s">
        <v>1440</v>
      </c>
      <c r="B562" s="14"/>
      <c r="C562" s="13"/>
      <c r="D562" s="13"/>
      <c r="E562" s="290" t="s">
        <v>163</v>
      </c>
      <c r="F562" s="291"/>
      <c r="G562" s="11">
        <v>-38186.9</v>
      </c>
      <c r="H562" s="11">
        <v>-8018.07</v>
      </c>
      <c r="I562" s="11">
        <v>0</v>
      </c>
      <c r="J562" s="140">
        <v>0</v>
      </c>
      <c r="K562" s="154"/>
      <c r="N562" s="91">
        <f t="shared" si="196"/>
        <v>0</v>
      </c>
      <c r="O562" s="130" t="str">
        <f t="shared" si="197"/>
        <v/>
      </c>
      <c r="P562" s="91">
        <f t="shared" si="198"/>
        <v>-8018.07</v>
      </c>
      <c r="Q562" s="130">
        <f t="shared" si="199"/>
        <v>0</v>
      </c>
      <c r="R562" s="91"/>
      <c r="S562" s="132" t="str">
        <f t="shared" si="201"/>
        <v/>
      </c>
      <c r="T562" s="172">
        <f t="shared" si="204"/>
        <v>11</v>
      </c>
    </row>
    <row r="563" spans="1:20" ht="11.25" customHeight="1" x14ac:dyDescent="0.25">
      <c r="A563" s="38" t="s">
        <v>579</v>
      </c>
      <c r="B563" s="38"/>
      <c r="C563" s="22"/>
      <c r="D563" s="22"/>
      <c r="E563" s="296" t="s">
        <v>580</v>
      </c>
      <c r="F563" s="297"/>
      <c r="G563" s="37">
        <v>0</v>
      </c>
      <c r="H563" s="37">
        <v>0</v>
      </c>
      <c r="I563" s="37">
        <v>0</v>
      </c>
      <c r="J563" s="142">
        <v>0</v>
      </c>
      <c r="K563" s="160">
        <f t="shared" ref="K563:K575" si="213">(J563/8)*12</f>
        <v>0</v>
      </c>
      <c r="N563" s="190">
        <f t="shared" si="196"/>
        <v>0</v>
      </c>
      <c r="O563" s="191" t="str">
        <f t="shared" si="197"/>
        <v/>
      </c>
      <c r="P563" s="190">
        <f t="shared" si="198"/>
        <v>0</v>
      </c>
      <c r="Q563" s="191" t="str">
        <f t="shared" si="199"/>
        <v/>
      </c>
      <c r="R563" s="190">
        <f t="shared" si="203"/>
        <v>0</v>
      </c>
      <c r="S563" s="192" t="str">
        <f t="shared" si="201"/>
        <v/>
      </c>
      <c r="T563" s="172">
        <f t="shared" si="204"/>
        <v>4</v>
      </c>
    </row>
    <row r="564" spans="1:20" ht="11.25" customHeight="1" x14ac:dyDescent="0.25">
      <c r="A564" s="38" t="s">
        <v>581</v>
      </c>
      <c r="B564" s="38"/>
      <c r="C564" s="22"/>
      <c r="D564" s="22"/>
      <c r="E564" s="296" t="s">
        <v>582</v>
      </c>
      <c r="F564" s="297"/>
      <c r="G564" s="37">
        <f>+G565</f>
        <v>-26600</v>
      </c>
      <c r="H564" s="37">
        <f>+H565</f>
        <v>-65200</v>
      </c>
      <c r="I564" s="37">
        <f>+I565</f>
        <v>0</v>
      </c>
      <c r="J564" s="142">
        <v>0</v>
      </c>
      <c r="K564" s="160">
        <f t="shared" si="213"/>
        <v>0</v>
      </c>
      <c r="N564" s="190">
        <f t="shared" si="196"/>
        <v>0</v>
      </c>
      <c r="O564" s="191" t="str">
        <f t="shared" si="197"/>
        <v/>
      </c>
      <c r="P564" s="190">
        <f t="shared" si="198"/>
        <v>-65200</v>
      </c>
      <c r="Q564" s="191">
        <f t="shared" si="199"/>
        <v>0</v>
      </c>
      <c r="R564" s="190">
        <f t="shared" si="203"/>
        <v>0</v>
      </c>
      <c r="S564" s="192" t="str">
        <f t="shared" si="201"/>
        <v/>
      </c>
      <c r="T564" s="172">
        <f t="shared" si="204"/>
        <v>4</v>
      </c>
    </row>
    <row r="565" spans="1:20" ht="11.25" customHeight="1" x14ac:dyDescent="0.25">
      <c r="A565" s="26" t="s">
        <v>1441</v>
      </c>
      <c r="B565" s="26"/>
      <c r="C565" s="23"/>
      <c r="D565" s="23"/>
      <c r="E565" s="300" t="s">
        <v>583</v>
      </c>
      <c r="F565" s="301"/>
      <c r="G565" s="25">
        <f t="shared" ref="G565:K565" si="214">G566</f>
        <v>-26600</v>
      </c>
      <c r="H565" s="25">
        <f t="shared" si="214"/>
        <v>-65200</v>
      </c>
      <c r="I565" s="25">
        <f t="shared" si="214"/>
        <v>0</v>
      </c>
      <c r="J565" s="139">
        <f t="shared" si="214"/>
        <v>0</v>
      </c>
      <c r="K565" s="153">
        <f t="shared" si="214"/>
        <v>0</v>
      </c>
      <c r="N565" s="91">
        <f t="shared" si="196"/>
        <v>0</v>
      </c>
      <c r="O565" s="130" t="str">
        <f t="shared" si="197"/>
        <v/>
      </c>
      <c r="P565" s="91">
        <f t="shared" si="198"/>
        <v>-65200</v>
      </c>
      <c r="Q565" s="130">
        <f t="shared" si="199"/>
        <v>0</v>
      </c>
      <c r="R565" s="91"/>
      <c r="S565" s="132" t="str">
        <f t="shared" si="201"/>
        <v/>
      </c>
      <c r="T565" s="172">
        <f t="shared" si="204"/>
        <v>7</v>
      </c>
    </row>
    <row r="566" spans="1:20" ht="11.25" customHeight="1" x14ac:dyDescent="0.25">
      <c r="A566" s="42" t="s">
        <v>1442</v>
      </c>
      <c r="B566" s="14"/>
      <c r="C566" s="13"/>
      <c r="D566" s="13"/>
      <c r="E566" s="290" t="s">
        <v>584</v>
      </c>
      <c r="F566" s="291"/>
      <c r="G566" s="11">
        <v>-26600</v>
      </c>
      <c r="H566" s="11">
        <v>-65200</v>
      </c>
      <c r="I566" s="11">
        <v>0</v>
      </c>
      <c r="J566" s="140">
        <v>0</v>
      </c>
      <c r="K566" s="154"/>
      <c r="N566" s="91">
        <f t="shared" si="196"/>
        <v>0</v>
      </c>
      <c r="O566" s="130" t="str">
        <f t="shared" si="197"/>
        <v/>
      </c>
      <c r="P566" s="91">
        <f t="shared" si="198"/>
        <v>-65200</v>
      </c>
      <c r="Q566" s="130">
        <f t="shared" si="199"/>
        <v>0</v>
      </c>
      <c r="R566" s="91"/>
      <c r="S566" s="132" t="str">
        <f t="shared" si="201"/>
        <v/>
      </c>
      <c r="T566" s="172">
        <f t="shared" si="204"/>
        <v>11</v>
      </c>
    </row>
    <row r="567" spans="1:20" ht="11.25" customHeight="1" x14ac:dyDescent="0.25">
      <c r="A567" s="38" t="s">
        <v>585</v>
      </c>
      <c r="B567" s="38"/>
      <c r="C567" s="22"/>
      <c r="D567" s="22"/>
      <c r="E567" s="296" t="s">
        <v>582</v>
      </c>
      <c r="F567" s="297"/>
      <c r="G567" s="37">
        <f t="shared" ref="G567:K567" si="215">G568+G570</f>
        <v>410792.07999999996</v>
      </c>
      <c r="H567" s="37">
        <f t="shared" si="215"/>
        <v>90894.47</v>
      </c>
      <c r="I567" s="37">
        <f t="shared" si="215"/>
        <v>0</v>
      </c>
      <c r="J567" s="138">
        <v>36049</v>
      </c>
      <c r="K567" s="152">
        <f t="shared" si="215"/>
        <v>0</v>
      </c>
      <c r="N567" s="190">
        <f t="shared" si="196"/>
        <v>0</v>
      </c>
      <c r="O567" s="191" t="str">
        <f t="shared" si="197"/>
        <v/>
      </c>
      <c r="P567" s="190">
        <f t="shared" si="198"/>
        <v>90894.47</v>
      </c>
      <c r="Q567" s="191">
        <f t="shared" si="199"/>
        <v>0</v>
      </c>
      <c r="R567" s="190">
        <f t="shared" si="203"/>
        <v>36049</v>
      </c>
      <c r="S567" s="192">
        <f t="shared" si="201"/>
        <v>0</v>
      </c>
      <c r="T567" s="172">
        <f t="shared" si="204"/>
        <v>4</v>
      </c>
    </row>
    <row r="568" spans="1:20" ht="11.25" customHeight="1" x14ac:dyDescent="0.25">
      <c r="A568" s="26" t="s">
        <v>1443</v>
      </c>
      <c r="B568" s="26"/>
      <c r="C568" s="23"/>
      <c r="D568" s="23"/>
      <c r="E568" s="300" t="s">
        <v>586</v>
      </c>
      <c r="F568" s="301"/>
      <c r="G568" s="25">
        <f t="shared" ref="G568:K568" si="216">G569</f>
        <v>83072.53</v>
      </c>
      <c r="H568" s="25">
        <f t="shared" si="216"/>
        <v>-180514.71</v>
      </c>
      <c r="I568" s="25">
        <f t="shared" si="216"/>
        <v>0</v>
      </c>
      <c r="J568" s="139">
        <f t="shared" si="216"/>
        <v>0</v>
      </c>
      <c r="K568" s="153">
        <f t="shared" si="216"/>
        <v>0</v>
      </c>
      <c r="N568" s="91">
        <f t="shared" si="196"/>
        <v>0</v>
      </c>
      <c r="O568" s="130" t="str">
        <f t="shared" si="197"/>
        <v/>
      </c>
      <c r="P568" s="91">
        <f t="shared" si="198"/>
        <v>-180514.71</v>
      </c>
      <c r="Q568" s="130">
        <f t="shared" si="199"/>
        <v>0</v>
      </c>
      <c r="R568" s="91"/>
      <c r="S568" s="132" t="str">
        <f t="shared" si="201"/>
        <v/>
      </c>
      <c r="T568" s="172">
        <f t="shared" si="204"/>
        <v>7</v>
      </c>
    </row>
    <row r="569" spans="1:20" ht="11.25" customHeight="1" x14ac:dyDescent="0.25">
      <c r="A569" s="42" t="s">
        <v>1444</v>
      </c>
      <c r="B569" s="14"/>
      <c r="C569" s="13"/>
      <c r="D569" s="13"/>
      <c r="E569" s="290" t="s">
        <v>587</v>
      </c>
      <c r="F569" s="291"/>
      <c r="G569" s="11">
        <v>83072.53</v>
      </c>
      <c r="H569" s="11">
        <v>-180514.71</v>
      </c>
      <c r="I569" s="11">
        <v>0</v>
      </c>
      <c r="J569" s="140">
        <v>0</v>
      </c>
      <c r="K569" s="154"/>
      <c r="N569" s="91">
        <f t="shared" si="196"/>
        <v>0</v>
      </c>
      <c r="O569" s="130" t="str">
        <f t="shared" si="197"/>
        <v/>
      </c>
      <c r="P569" s="91">
        <f t="shared" si="198"/>
        <v>-180514.71</v>
      </c>
      <c r="Q569" s="130">
        <f t="shared" si="199"/>
        <v>0</v>
      </c>
      <c r="R569" s="91"/>
      <c r="S569" s="132" t="str">
        <f t="shared" si="201"/>
        <v/>
      </c>
      <c r="T569" s="172">
        <f t="shared" si="204"/>
        <v>11</v>
      </c>
    </row>
    <row r="570" spans="1:20" ht="11.25" customHeight="1" x14ac:dyDescent="0.25">
      <c r="A570" s="26" t="s">
        <v>1445</v>
      </c>
      <c r="B570" s="26"/>
      <c r="C570" s="23"/>
      <c r="D570" s="23"/>
      <c r="E570" s="300" t="s">
        <v>588</v>
      </c>
      <c r="F570" s="301"/>
      <c r="G570" s="25">
        <f t="shared" ref="G570:K570" si="217">G571</f>
        <v>327719.55</v>
      </c>
      <c r="H570" s="25">
        <f t="shared" si="217"/>
        <v>271409.18</v>
      </c>
      <c r="I570" s="25">
        <f t="shared" si="217"/>
        <v>0</v>
      </c>
      <c r="J570" s="139">
        <f t="shared" si="217"/>
        <v>0</v>
      </c>
      <c r="K570" s="153">
        <f t="shared" si="217"/>
        <v>0</v>
      </c>
      <c r="N570" s="91">
        <f t="shared" si="196"/>
        <v>0</v>
      </c>
      <c r="O570" s="130" t="str">
        <f t="shared" si="197"/>
        <v/>
      </c>
      <c r="P570" s="91">
        <f t="shared" si="198"/>
        <v>271409.18</v>
      </c>
      <c r="Q570" s="130">
        <f t="shared" si="199"/>
        <v>0</v>
      </c>
      <c r="R570" s="91"/>
      <c r="S570" s="132" t="str">
        <f t="shared" si="201"/>
        <v/>
      </c>
      <c r="T570" s="172">
        <f t="shared" si="204"/>
        <v>7</v>
      </c>
    </row>
    <row r="571" spans="1:20" ht="11.25" customHeight="1" x14ac:dyDescent="0.25">
      <c r="A571" s="42" t="s">
        <v>1446</v>
      </c>
      <c r="B571" s="14"/>
      <c r="C571" s="13"/>
      <c r="D571" s="13"/>
      <c r="E571" s="290" t="s">
        <v>589</v>
      </c>
      <c r="F571" s="291"/>
      <c r="G571" s="11">
        <v>327719.55</v>
      </c>
      <c r="H571" s="11">
        <v>271409.18</v>
      </c>
      <c r="I571" s="11">
        <v>0</v>
      </c>
      <c r="J571" s="140">
        <v>0</v>
      </c>
      <c r="K571" s="154"/>
      <c r="N571" s="91">
        <f t="shared" si="196"/>
        <v>0</v>
      </c>
      <c r="O571" s="130" t="str">
        <f t="shared" si="197"/>
        <v/>
      </c>
      <c r="P571" s="91">
        <f t="shared" si="198"/>
        <v>271409.18</v>
      </c>
      <c r="Q571" s="130">
        <f t="shared" si="199"/>
        <v>0</v>
      </c>
      <c r="R571" s="91"/>
      <c r="S571" s="132" t="str">
        <f t="shared" si="201"/>
        <v/>
      </c>
      <c r="T571" s="172">
        <f t="shared" si="204"/>
        <v>11</v>
      </c>
    </row>
    <row r="572" spans="1:20" ht="11.25" customHeight="1" x14ac:dyDescent="0.25">
      <c r="A572" s="41" t="s">
        <v>590</v>
      </c>
      <c r="B572" s="41"/>
      <c r="C572" s="40"/>
      <c r="D572" s="40"/>
      <c r="E572" s="298" t="s">
        <v>591</v>
      </c>
      <c r="F572" s="299"/>
      <c r="G572" s="43">
        <f>G573+G574+G577+G584+G587+G588+G589+G590</f>
        <v>-197021.93999999997</v>
      </c>
      <c r="H572" s="43">
        <f>H573+H574+H577+H584+H587+H588+H589+H590</f>
        <v>-334483.24</v>
      </c>
      <c r="I572" s="43">
        <f>I573+I574+I577+I584+I587+I588+I589+I590</f>
        <v>-199999.999999992</v>
      </c>
      <c r="J572" s="137">
        <f t="shared" ref="J572:K572" si="218">J573+J574+J577+J584+J587+J588+J589+J590</f>
        <v>-240388</v>
      </c>
      <c r="K572" s="151">
        <f t="shared" si="218"/>
        <v>-280000</v>
      </c>
      <c r="N572" s="91">
        <f t="shared" si="196"/>
        <v>80000.000000008004</v>
      </c>
      <c r="O572" s="130">
        <f t="shared" si="197"/>
        <v>1.4000000000000561</v>
      </c>
      <c r="P572" s="91">
        <f t="shared" si="198"/>
        <v>-54483.239999999991</v>
      </c>
      <c r="Q572" s="130">
        <f t="shared" si="199"/>
        <v>0.83711219731069342</v>
      </c>
      <c r="R572" s="91">
        <f t="shared" si="203"/>
        <v>39612</v>
      </c>
      <c r="S572" s="132">
        <f t="shared" si="201"/>
        <v>1.1647835998469143</v>
      </c>
      <c r="T572" s="172">
        <f t="shared" si="204"/>
        <v>3</v>
      </c>
    </row>
    <row r="573" spans="1:20" ht="11.25" customHeight="1" x14ac:dyDescent="0.25">
      <c r="A573" s="38" t="s">
        <v>592</v>
      </c>
      <c r="B573" s="38"/>
      <c r="C573" s="22"/>
      <c r="D573" s="22"/>
      <c r="E573" s="296" t="s">
        <v>593</v>
      </c>
      <c r="F573" s="297"/>
      <c r="G573" s="37">
        <v>0</v>
      </c>
      <c r="H573" s="37">
        <v>0</v>
      </c>
      <c r="I573" s="37">
        <v>0</v>
      </c>
      <c r="J573" s="142">
        <v>0</v>
      </c>
      <c r="K573" s="160">
        <f t="shared" si="213"/>
        <v>0</v>
      </c>
      <c r="N573" s="190">
        <f t="shared" si="196"/>
        <v>0</v>
      </c>
      <c r="O573" s="191" t="str">
        <f t="shared" si="197"/>
        <v/>
      </c>
      <c r="P573" s="190">
        <f t="shared" si="198"/>
        <v>0</v>
      </c>
      <c r="Q573" s="191" t="str">
        <f t="shared" si="199"/>
        <v/>
      </c>
      <c r="R573" s="190">
        <f t="shared" si="203"/>
        <v>0</v>
      </c>
      <c r="S573" s="192" t="str">
        <f t="shared" si="201"/>
        <v/>
      </c>
      <c r="T573" s="172">
        <f t="shared" si="204"/>
        <v>4</v>
      </c>
    </row>
    <row r="574" spans="1:20" ht="11.25" customHeight="1" x14ac:dyDescent="0.25">
      <c r="A574" s="38" t="s">
        <v>594</v>
      </c>
      <c r="B574" s="38"/>
      <c r="C574" s="22"/>
      <c r="D574" s="22"/>
      <c r="E574" s="296" t="s">
        <v>595</v>
      </c>
      <c r="F574" s="297"/>
      <c r="G574" s="37">
        <f t="shared" ref="G574" si="219">G575</f>
        <v>-8.33</v>
      </c>
      <c r="H574" s="37">
        <f>H575</f>
        <v>0</v>
      </c>
      <c r="I574" s="37">
        <f t="shared" ref="I574" si="220">I575</f>
        <v>0</v>
      </c>
      <c r="J574" s="142">
        <v>0</v>
      </c>
      <c r="K574" s="160">
        <f t="shared" si="213"/>
        <v>0</v>
      </c>
      <c r="N574" s="190">
        <f t="shared" si="196"/>
        <v>0</v>
      </c>
      <c r="O574" s="191" t="str">
        <f t="shared" si="197"/>
        <v/>
      </c>
      <c r="P574" s="190">
        <f t="shared" si="198"/>
        <v>0</v>
      </c>
      <c r="Q574" s="191" t="str">
        <f t="shared" si="199"/>
        <v/>
      </c>
      <c r="R574" s="190">
        <f t="shared" si="203"/>
        <v>0</v>
      </c>
      <c r="S574" s="192" t="str">
        <f t="shared" si="201"/>
        <v/>
      </c>
      <c r="T574" s="172">
        <f t="shared" si="204"/>
        <v>4</v>
      </c>
    </row>
    <row r="575" spans="1:20" ht="11.25" customHeight="1" x14ac:dyDescent="0.25">
      <c r="A575" s="26" t="s">
        <v>1447</v>
      </c>
      <c r="B575" s="26"/>
      <c r="C575" s="23"/>
      <c r="D575" s="23"/>
      <c r="E575" s="300" t="s">
        <v>596</v>
      </c>
      <c r="F575" s="301"/>
      <c r="G575" s="25">
        <f t="shared" ref="G575" si="221">G576</f>
        <v>-8.33</v>
      </c>
      <c r="H575" s="25">
        <f>H576</f>
        <v>0</v>
      </c>
      <c r="I575" s="25">
        <f t="shared" ref="I575" si="222">I576</f>
        <v>0</v>
      </c>
      <c r="J575" s="143">
        <v>0</v>
      </c>
      <c r="K575" s="163">
        <f t="shared" si="213"/>
        <v>0</v>
      </c>
      <c r="N575" s="91">
        <f t="shared" si="196"/>
        <v>0</v>
      </c>
      <c r="O575" s="130" t="str">
        <f t="shared" si="197"/>
        <v/>
      </c>
      <c r="P575" s="91">
        <f t="shared" si="198"/>
        <v>0</v>
      </c>
      <c r="Q575" s="130" t="str">
        <f t="shared" si="199"/>
        <v/>
      </c>
      <c r="R575" s="91"/>
      <c r="S575" s="132" t="str">
        <f t="shared" si="201"/>
        <v/>
      </c>
      <c r="T575" s="172">
        <f t="shared" si="204"/>
        <v>7</v>
      </c>
    </row>
    <row r="576" spans="1:20" ht="11.25" customHeight="1" x14ac:dyDescent="0.25">
      <c r="A576" s="42" t="s">
        <v>1449</v>
      </c>
      <c r="B576" s="14"/>
      <c r="C576" s="13"/>
      <c r="D576" s="13"/>
      <c r="E576" s="290" t="s">
        <v>597</v>
      </c>
      <c r="F576" s="291"/>
      <c r="G576" s="11">
        <v>-8.33</v>
      </c>
      <c r="H576" s="11">
        <v>0</v>
      </c>
      <c r="I576" s="11">
        <v>0</v>
      </c>
      <c r="J576" s="140">
        <v>0</v>
      </c>
      <c r="K576" s="154"/>
      <c r="N576" s="91">
        <f t="shared" si="196"/>
        <v>0</v>
      </c>
      <c r="O576" s="130" t="str">
        <f t="shared" si="197"/>
        <v/>
      </c>
      <c r="P576" s="91">
        <f t="shared" si="198"/>
        <v>0</v>
      </c>
      <c r="Q576" s="130" t="str">
        <f t="shared" si="199"/>
        <v/>
      </c>
      <c r="R576" s="91"/>
      <c r="S576" s="132" t="str">
        <f t="shared" si="201"/>
        <v/>
      </c>
      <c r="T576" s="172">
        <f t="shared" si="204"/>
        <v>11</v>
      </c>
    </row>
    <row r="577" spans="1:20" ht="11.25" customHeight="1" x14ac:dyDescent="0.25">
      <c r="A577" s="38" t="s">
        <v>598</v>
      </c>
      <c r="B577" s="38"/>
      <c r="C577" s="22"/>
      <c r="D577" s="22"/>
      <c r="E577" s="296" t="s">
        <v>599</v>
      </c>
      <c r="F577" s="297"/>
      <c r="G577" s="37">
        <f t="shared" ref="G577" si="223">G578+G580+G582</f>
        <v>-197013.61</v>
      </c>
      <c r="H577" s="37">
        <f>H578+H580+H582</f>
        <v>-276585.24</v>
      </c>
      <c r="I577" s="37">
        <f t="shared" ref="I577:K577" si="224">I578+I580+I582</f>
        <v>-199999.999999992</v>
      </c>
      <c r="J577" s="138">
        <v>-240388</v>
      </c>
      <c r="K577" s="152">
        <f t="shared" si="224"/>
        <v>-280000</v>
      </c>
      <c r="N577" s="190">
        <f t="shared" si="196"/>
        <v>80000.000000008004</v>
      </c>
      <c r="O577" s="191">
        <f t="shared" si="197"/>
        <v>1.4000000000000561</v>
      </c>
      <c r="P577" s="190">
        <f t="shared" si="198"/>
        <v>3414.7600000000093</v>
      </c>
      <c r="Q577" s="191">
        <f t="shared" si="199"/>
        <v>1.0123461396566209</v>
      </c>
      <c r="R577" s="190">
        <f t="shared" si="203"/>
        <v>39612</v>
      </c>
      <c r="S577" s="192">
        <f t="shared" si="201"/>
        <v>1.1647835998469143</v>
      </c>
      <c r="T577" s="172">
        <f t="shared" si="204"/>
        <v>4</v>
      </c>
    </row>
    <row r="578" spans="1:20" ht="11.25" customHeight="1" x14ac:dyDescent="0.25">
      <c r="A578" s="26" t="s">
        <v>1450</v>
      </c>
      <c r="B578" s="26"/>
      <c r="C578" s="23"/>
      <c r="D578" s="23"/>
      <c r="E578" s="300" t="s">
        <v>600</v>
      </c>
      <c r="F578" s="301"/>
      <c r="G578" s="25">
        <f t="shared" ref="G578" si="225">G579</f>
        <v>0</v>
      </c>
      <c r="H578" s="25">
        <f>H579</f>
        <v>99.06</v>
      </c>
      <c r="I578" s="25">
        <f t="shared" ref="I578:K578" si="226">I579</f>
        <v>0</v>
      </c>
      <c r="J578" s="139">
        <f t="shared" si="226"/>
        <v>0</v>
      </c>
      <c r="K578" s="153">
        <f t="shared" si="226"/>
        <v>0</v>
      </c>
      <c r="N578" s="91">
        <f t="shared" si="196"/>
        <v>0</v>
      </c>
      <c r="O578" s="130" t="str">
        <f t="shared" si="197"/>
        <v/>
      </c>
      <c r="P578" s="91">
        <f t="shared" si="198"/>
        <v>99.06</v>
      </c>
      <c r="Q578" s="130">
        <f t="shared" si="199"/>
        <v>0</v>
      </c>
      <c r="R578" s="91"/>
      <c r="S578" s="132" t="str">
        <f t="shared" si="201"/>
        <v/>
      </c>
      <c r="T578" s="172">
        <f t="shared" si="204"/>
        <v>7</v>
      </c>
    </row>
    <row r="579" spans="1:20" ht="11.25" customHeight="1" x14ac:dyDescent="0.25">
      <c r="A579" s="42" t="s">
        <v>1451</v>
      </c>
      <c r="B579" s="14"/>
      <c r="C579" s="13"/>
      <c r="D579" s="13"/>
      <c r="E579" s="290" t="s">
        <v>601</v>
      </c>
      <c r="F579" s="291"/>
      <c r="G579" s="11">
        <v>0</v>
      </c>
      <c r="H579" s="11">
        <v>99.06</v>
      </c>
      <c r="I579" s="11">
        <v>0</v>
      </c>
      <c r="J579" s="140">
        <v>0</v>
      </c>
      <c r="K579" s="154"/>
      <c r="N579" s="91">
        <f t="shared" si="196"/>
        <v>0</v>
      </c>
      <c r="O579" s="130" t="str">
        <f t="shared" si="197"/>
        <v/>
      </c>
      <c r="P579" s="91">
        <f t="shared" si="198"/>
        <v>99.06</v>
      </c>
      <c r="Q579" s="130">
        <f t="shared" si="199"/>
        <v>0</v>
      </c>
      <c r="R579" s="91"/>
      <c r="S579" s="132" t="str">
        <f t="shared" si="201"/>
        <v/>
      </c>
      <c r="T579" s="172">
        <f t="shared" si="204"/>
        <v>11</v>
      </c>
    </row>
    <row r="580" spans="1:20" ht="11.25" customHeight="1" x14ac:dyDescent="0.25">
      <c r="A580" s="26" t="s">
        <v>1452</v>
      </c>
      <c r="B580" s="26"/>
      <c r="C580" s="23"/>
      <c r="D580" s="23"/>
      <c r="E580" s="300" t="s">
        <v>602</v>
      </c>
      <c r="F580" s="301"/>
      <c r="G580" s="25">
        <f t="shared" ref="G580" si="227">G581</f>
        <v>-197013.61</v>
      </c>
      <c r="H580" s="25">
        <f>H581</f>
        <v>-276585.24</v>
      </c>
      <c r="I580" s="25">
        <f t="shared" ref="I580:K580" si="228">I581</f>
        <v>-199999.999999992</v>
      </c>
      <c r="J580" s="139">
        <f t="shared" si="228"/>
        <v>0</v>
      </c>
      <c r="K580" s="153">
        <f t="shared" si="228"/>
        <v>-280000</v>
      </c>
      <c r="N580" s="91">
        <f t="shared" si="196"/>
        <v>80000.000000008004</v>
      </c>
      <c r="O580" s="130">
        <f t="shared" si="197"/>
        <v>1.4000000000000561</v>
      </c>
      <c r="P580" s="91">
        <f t="shared" si="198"/>
        <v>3414.7600000000093</v>
      </c>
      <c r="Q580" s="130">
        <f t="shared" si="199"/>
        <v>1.0123461396566209</v>
      </c>
      <c r="R580" s="91"/>
      <c r="S580" s="132" t="str">
        <f t="shared" si="201"/>
        <v/>
      </c>
      <c r="T580" s="172">
        <f t="shared" si="204"/>
        <v>7</v>
      </c>
    </row>
    <row r="581" spans="1:20" ht="11.25" customHeight="1" x14ac:dyDescent="0.25">
      <c r="A581" s="42" t="s">
        <v>1448</v>
      </c>
      <c r="B581" s="27" t="s">
        <v>916</v>
      </c>
      <c r="C581" s="28" t="s">
        <v>923</v>
      </c>
      <c r="D581" s="28" t="s">
        <v>1643</v>
      </c>
      <c r="E581" s="290" t="s">
        <v>603</v>
      </c>
      <c r="F581" s="291"/>
      <c r="G581" s="11">
        <v>-197013.61</v>
      </c>
      <c r="H581" s="11">
        <v>-276585.24</v>
      </c>
      <c r="I581" s="11">
        <v>-199999.999999992</v>
      </c>
      <c r="J581" s="140">
        <v>0</v>
      </c>
      <c r="K581" s="155">
        <v>-280000</v>
      </c>
      <c r="N581" s="91">
        <f t="shared" si="196"/>
        <v>80000.000000008004</v>
      </c>
      <c r="O581" s="130">
        <f t="shared" si="197"/>
        <v>1.4000000000000561</v>
      </c>
      <c r="P581" s="91">
        <f t="shared" si="198"/>
        <v>3414.7600000000093</v>
      </c>
      <c r="Q581" s="130">
        <f t="shared" si="199"/>
        <v>1.0123461396566209</v>
      </c>
      <c r="R581" s="91"/>
      <c r="S581" s="132" t="str">
        <f t="shared" si="201"/>
        <v/>
      </c>
      <c r="T581" s="172">
        <f t="shared" si="204"/>
        <v>11</v>
      </c>
    </row>
    <row r="582" spans="1:20" ht="11.25" customHeight="1" x14ac:dyDescent="0.25">
      <c r="A582" s="26" t="s">
        <v>1453</v>
      </c>
      <c r="B582" s="26"/>
      <c r="C582" s="23"/>
      <c r="D582" s="23"/>
      <c r="E582" s="300" t="s">
        <v>604</v>
      </c>
      <c r="F582" s="301"/>
      <c r="G582" s="25">
        <f t="shared" ref="G582" si="229">G583</f>
        <v>0</v>
      </c>
      <c r="H582" s="25">
        <f>H583</f>
        <v>-99.06</v>
      </c>
      <c r="I582" s="25">
        <f t="shared" ref="I582:K582" si="230">I583</f>
        <v>0</v>
      </c>
      <c r="J582" s="139">
        <f t="shared" si="230"/>
        <v>0</v>
      </c>
      <c r="K582" s="153">
        <f t="shared" si="230"/>
        <v>0</v>
      </c>
      <c r="N582" s="91">
        <f t="shared" si="196"/>
        <v>0</v>
      </c>
      <c r="O582" s="130" t="str">
        <f t="shared" si="197"/>
        <v/>
      </c>
      <c r="P582" s="91">
        <f t="shared" si="198"/>
        <v>-99.06</v>
      </c>
      <c r="Q582" s="130">
        <f t="shared" si="199"/>
        <v>0</v>
      </c>
      <c r="R582" s="91"/>
      <c r="S582" s="132" t="str">
        <f t="shared" si="201"/>
        <v/>
      </c>
      <c r="T582" s="172">
        <f t="shared" si="204"/>
        <v>7</v>
      </c>
    </row>
    <row r="583" spans="1:20" ht="11.25" customHeight="1" x14ac:dyDescent="0.25">
      <c r="A583" s="42" t="s">
        <v>1454</v>
      </c>
      <c r="B583" s="14"/>
      <c r="C583" s="13"/>
      <c r="D583" s="13"/>
      <c r="E583" s="290" t="s">
        <v>605</v>
      </c>
      <c r="F583" s="291"/>
      <c r="G583" s="11">
        <v>0</v>
      </c>
      <c r="H583" s="11">
        <v>-99.06</v>
      </c>
      <c r="I583" s="11">
        <v>0</v>
      </c>
      <c r="J583" s="140">
        <v>0</v>
      </c>
      <c r="K583" s="154"/>
      <c r="N583" s="91">
        <f t="shared" si="196"/>
        <v>0</v>
      </c>
      <c r="O583" s="130" t="str">
        <f t="shared" si="197"/>
        <v/>
      </c>
      <c r="P583" s="91">
        <f t="shared" si="198"/>
        <v>-99.06</v>
      </c>
      <c r="Q583" s="130">
        <f t="shared" si="199"/>
        <v>0</v>
      </c>
      <c r="R583" s="91"/>
      <c r="S583" s="132" t="str">
        <f t="shared" si="201"/>
        <v/>
      </c>
      <c r="T583" s="172">
        <f t="shared" si="204"/>
        <v>11</v>
      </c>
    </row>
    <row r="584" spans="1:20" ht="11.25" customHeight="1" x14ac:dyDescent="0.25">
      <c r="A584" s="38" t="s">
        <v>606</v>
      </c>
      <c r="B584" s="38"/>
      <c r="C584" s="22"/>
      <c r="D584" s="22"/>
      <c r="E584" s="296" t="s">
        <v>607</v>
      </c>
      <c r="F584" s="297"/>
      <c r="G584" s="37">
        <f t="shared" ref="G584" si="231">G585</f>
        <v>0</v>
      </c>
      <c r="H584" s="37">
        <f>H585</f>
        <v>-57898</v>
      </c>
      <c r="I584" s="37">
        <f t="shared" ref="I584:K584" si="232">I585</f>
        <v>0</v>
      </c>
      <c r="J584" s="138">
        <f t="shared" si="232"/>
        <v>0</v>
      </c>
      <c r="K584" s="152">
        <f t="shared" si="232"/>
        <v>0</v>
      </c>
      <c r="N584" s="190">
        <f t="shared" si="196"/>
        <v>0</v>
      </c>
      <c r="O584" s="191" t="str">
        <f t="shared" si="197"/>
        <v/>
      </c>
      <c r="P584" s="190">
        <f t="shared" si="198"/>
        <v>-57898</v>
      </c>
      <c r="Q584" s="191">
        <f t="shared" si="199"/>
        <v>0</v>
      </c>
      <c r="R584" s="190"/>
      <c r="S584" s="192" t="str">
        <f t="shared" si="201"/>
        <v/>
      </c>
      <c r="T584" s="172">
        <f t="shared" si="204"/>
        <v>4</v>
      </c>
    </row>
    <row r="585" spans="1:20" ht="11.25" customHeight="1" x14ac:dyDescent="0.25">
      <c r="A585" s="26" t="s">
        <v>1455</v>
      </c>
      <c r="B585" s="26"/>
      <c r="C585" s="23"/>
      <c r="D585" s="23"/>
      <c r="E585" s="300" t="s">
        <v>608</v>
      </c>
      <c r="F585" s="301"/>
      <c r="G585" s="25">
        <f t="shared" ref="G585" si="233">G586</f>
        <v>0</v>
      </c>
      <c r="H585" s="25">
        <f>H586</f>
        <v>-57898</v>
      </c>
      <c r="I585" s="25">
        <f t="shared" ref="I585:K585" si="234">I586</f>
        <v>0</v>
      </c>
      <c r="J585" s="139">
        <f t="shared" si="234"/>
        <v>0</v>
      </c>
      <c r="K585" s="153">
        <f t="shared" si="234"/>
        <v>0</v>
      </c>
      <c r="N585" s="91">
        <f t="shared" si="196"/>
        <v>0</v>
      </c>
      <c r="O585" s="130" t="str">
        <f t="shared" si="197"/>
        <v/>
      </c>
      <c r="P585" s="91">
        <f t="shared" si="198"/>
        <v>-57898</v>
      </c>
      <c r="Q585" s="130">
        <f t="shared" si="199"/>
        <v>0</v>
      </c>
      <c r="R585" s="91"/>
      <c r="S585" s="132" t="str">
        <f t="shared" si="201"/>
        <v/>
      </c>
      <c r="T585" s="172">
        <f t="shared" si="204"/>
        <v>7</v>
      </c>
    </row>
    <row r="586" spans="1:20" ht="11.25" customHeight="1" x14ac:dyDescent="0.25">
      <c r="A586" s="42" t="s">
        <v>1456</v>
      </c>
      <c r="B586" s="14"/>
      <c r="C586" s="13"/>
      <c r="D586" s="13"/>
      <c r="E586" s="290" t="s">
        <v>609</v>
      </c>
      <c r="F586" s="291"/>
      <c r="G586" s="11">
        <v>0</v>
      </c>
      <c r="H586" s="11">
        <v>-57898</v>
      </c>
      <c r="I586" s="11">
        <v>0</v>
      </c>
      <c r="J586" s="140">
        <v>0</v>
      </c>
      <c r="K586" s="154"/>
      <c r="N586" s="91">
        <f t="shared" si="196"/>
        <v>0</v>
      </c>
      <c r="O586" s="130" t="str">
        <f t="shared" si="197"/>
        <v/>
      </c>
      <c r="P586" s="91">
        <f t="shared" si="198"/>
        <v>-57898</v>
      </c>
      <c r="Q586" s="130">
        <f t="shared" si="199"/>
        <v>0</v>
      </c>
      <c r="R586" s="91"/>
      <c r="S586" s="132" t="str">
        <f t="shared" si="201"/>
        <v/>
      </c>
      <c r="T586" s="172">
        <f t="shared" si="204"/>
        <v>11</v>
      </c>
    </row>
    <row r="587" spans="1:20" ht="11.25" customHeight="1" x14ac:dyDescent="0.25">
      <c r="A587" s="38" t="s">
        <v>610</v>
      </c>
      <c r="B587" s="38"/>
      <c r="C587" s="22"/>
      <c r="D587" s="22"/>
      <c r="E587" s="296" t="s">
        <v>611</v>
      </c>
      <c r="F587" s="297"/>
      <c r="G587" s="37">
        <v>0</v>
      </c>
      <c r="H587" s="37">
        <v>0</v>
      </c>
      <c r="I587" s="37">
        <v>0</v>
      </c>
      <c r="J587" s="138">
        <v>0</v>
      </c>
      <c r="K587" s="152">
        <v>0</v>
      </c>
      <c r="N587" s="190">
        <f t="shared" ref="N587:N617" si="235">-K587+I587</f>
        <v>0</v>
      </c>
      <c r="O587" s="191" t="str">
        <f t="shared" ref="O587:O650" si="236">IF(I587=0,"",K587/I587)</f>
        <v/>
      </c>
      <c r="P587" s="190">
        <f t="shared" ref="P587:P617" si="237">-K587+H587</f>
        <v>0</v>
      </c>
      <c r="Q587" s="191" t="str">
        <f t="shared" ref="Q587:Q650" si="238">IF(H587=0,"",K587/H587)</f>
        <v/>
      </c>
      <c r="R587" s="190"/>
      <c r="S587" s="192" t="str">
        <f t="shared" si="201"/>
        <v/>
      </c>
      <c r="T587" s="172">
        <f t="shared" si="204"/>
        <v>4</v>
      </c>
    </row>
    <row r="588" spans="1:20" ht="11.25" customHeight="1" x14ac:dyDescent="0.25">
      <c r="A588" s="38" t="s">
        <v>612</v>
      </c>
      <c r="B588" s="38"/>
      <c r="C588" s="22"/>
      <c r="D588" s="22"/>
      <c r="E588" s="296" t="s">
        <v>613</v>
      </c>
      <c r="F588" s="297"/>
      <c r="G588" s="37">
        <v>0</v>
      </c>
      <c r="H588" s="37">
        <v>0</v>
      </c>
      <c r="I588" s="37">
        <v>0</v>
      </c>
      <c r="J588" s="138">
        <v>0</v>
      </c>
      <c r="K588" s="152">
        <v>0</v>
      </c>
      <c r="N588" s="190">
        <f t="shared" si="235"/>
        <v>0</v>
      </c>
      <c r="O588" s="191" t="str">
        <f t="shared" si="236"/>
        <v/>
      </c>
      <c r="P588" s="190">
        <f t="shared" si="237"/>
        <v>0</v>
      </c>
      <c r="Q588" s="191" t="str">
        <f t="shared" si="238"/>
        <v/>
      </c>
      <c r="R588" s="190"/>
      <c r="S588" s="192" t="str">
        <f t="shared" si="201"/>
        <v/>
      </c>
      <c r="T588" s="172">
        <f t="shared" si="204"/>
        <v>4</v>
      </c>
    </row>
    <row r="589" spans="1:20" ht="11.25" customHeight="1" x14ac:dyDescent="0.25">
      <c r="A589" s="38" t="s">
        <v>614</v>
      </c>
      <c r="B589" s="38"/>
      <c r="C589" s="22"/>
      <c r="D589" s="22"/>
      <c r="E589" s="296" t="s">
        <v>615</v>
      </c>
      <c r="F589" s="297"/>
      <c r="G589" s="37">
        <v>0</v>
      </c>
      <c r="H589" s="37">
        <v>0</v>
      </c>
      <c r="I589" s="37">
        <v>0</v>
      </c>
      <c r="J589" s="138">
        <v>0</v>
      </c>
      <c r="K589" s="152">
        <v>0</v>
      </c>
      <c r="N589" s="190">
        <f t="shared" si="235"/>
        <v>0</v>
      </c>
      <c r="O589" s="191" t="str">
        <f t="shared" si="236"/>
        <v/>
      </c>
      <c r="P589" s="190">
        <f t="shared" si="237"/>
        <v>0</v>
      </c>
      <c r="Q589" s="191" t="str">
        <f t="shared" si="238"/>
        <v/>
      </c>
      <c r="R589" s="190"/>
      <c r="S589" s="192" t="str">
        <f t="shared" ref="S589:S652" si="239">IF(J589=0,"",K589/J589)</f>
        <v/>
      </c>
      <c r="T589" s="172">
        <f t="shared" si="204"/>
        <v>4</v>
      </c>
    </row>
    <row r="590" spans="1:20" ht="11.25" customHeight="1" x14ac:dyDescent="0.25">
      <c r="A590" s="38" t="s">
        <v>616</v>
      </c>
      <c r="B590" s="38"/>
      <c r="C590" s="22"/>
      <c r="D590" s="22"/>
      <c r="E590" s="296" t="s">
        <v>617</v>
      </c>
      <c r="F590" s="297"/>
      <c r="G590" s="37">
        <v>0</v>
      </c>
      <c r="H590" s="37">
        <v>0</v>
      </c>
      <c r="I590" s="37">
        <v>0</v>
      </c>
      <c r="J590" s="138">
        <v>0</v>
      </c>
      <c r="K590" s="152">
        <v>0</v>
      </c>
      <c r="N590" s="190">
        <f t="shared" si="235"/>
        <v>0</v>
      </c>
      <c r="O590" s="191" t="str">
        <f t="shared" si="236"/>
        <v/>
      </c>
      <c r="P590" s="190">
        <f t="shared" si="237"/>
        <v>0</v>
      </c>
      <c r="Q590" s="191" t="str">
        <f t="shared" si="238"/>
        <v/>
      </c>
      <c r="R590" s="190"/>
      <c r="S590" s="192" t="str">
        <f t="shared" si="239"/>
        <v/>
      </c>
      <c r="T590" s="172">
        <f t="shared" si="204"/>
        <v>4</v>
      </c>
    </row>
    <row r="591" spans="1:20" ht="11.25" customHeight="1" x14ac:dyDescent="0.25">
      <c r="A591" s="41" t="s">
        <v>618</v>
      </c>
      <c r="B591" s="41"/>
      <c r="C591" s="40"/>
      <c r="D591" s="40"/>
      <c r="E591" s="298" t="s">
        <v>619</v>
      </c>
      <c r="F591" s="299"/>
      <c r="G591" s="43">
        <f t="shared" ref="G591" si="240">G592+G593</f>
        <v>0</v>
      </c>
      <c r="H591" s="43">
        <f>H592+H593</f>
        <v>0</v>
      </c>
      <c r="I591" s="43">
        <f t="shared" ref="I591:K591" si="241">I592+I593</f>
        <v>0</v>
      </c>
      <c r="J591" s="137">
        <f t="shared" si="241"/>
        <v>0</v>
      </c>
      <c r="K591" s="151">
        <f t="shared" si="241"/>
        <v>0</v>
      </c>
      <c r="N591" s="91">
        <f t="shared" si="235"/>
        <v>0</v>
      </c>
      <c r="O591" s="130" t="str">
        <f t="shared" si="236"/>
        <v/>
      </c>
      <c r="P591" s="91">
        <f t="shared" si="237"/>
        <v>0</v>
      </c>
      <c r="Q591" s="130" t="str">
        <f t="shared" si="238"/>
        <v/>
      </c>
      <c r="R591" s="91"/>
      <c r="S591" s="132" t="str">
        <f t="shared" si="239"/>
        <v/>
      </c>
      <c r="T591" s="172">
        <f t="shared" ref="T591:T654" si="242">LEN(A591)</f>
        <v>3</v>
      </c>
    </row>
    <row r="592" spans="1:20" ht="11.25" customHeight="1" x14ac:dyDescent="0.25">
      <c r="A592" s="38" t="s">
        <v>620</v>
      </c>
      <c r="B592" s="38"/>
      <c r="C592" s="22"/>
      <c r="D592" s="22"/>
      <c r="E592" s="296" t="s">
        <v>621</v>
      </c>
      <c r="F592" s="297"/>
      <c r="G592" s="37">
        <v>0</v>
      </c>
      <c r="H592" s="37">
        <v>0</v>
      </c>
      <c r="I592" s="37">
        <v>0</v>
      </c>
      <c r="J592" s="138">
        <v>0</v>
      </c>
      <c r="K592" s="152">
        <v>0</v>
      </c>
      <c r="N592" s="190">
        <f t="shared" si="235"/>
        <v>0</v>
      </c>
      <c r="O592" s="191" t="str">
        <f t="shared" si="236"/>
        <v/>
      </c>
      <c r="P592" s="190">
        <f t="shared" si="237"/>
        <v>0</v>
      </c>
      <c r="Q592" s="191" t="str">
        <f t="shared" si="238"/>
        <v/>
      </c>
      <c r="R592" s="190"/>
      <c r="S592" s="192" t="str">
        <f t="shared" si="239"/>
        <v/>
      </c>
      <c r="T592" s="172">
        <f t="shared" si="242"/>
        <v>4</v>
      </c>
    </row>
    <row r="593" spans="1:20" ht="11.25" customHeight="1" x14ac:dyDescent="0.25">
      <c r="A593" s="38" t="s">
        <v>622</v>
      </c>
      <c r="B593" s="38"/>
      <c r="C593" s="22"/>
      <c r="D593" s="22"/>
      <c r="E593" s="296" t="s">
        <v>623</v>
      </c>
      <c r="F593" s="297"/>
      <c r="G593" s="37">
        <v>0</v>
      </c>
      <c r="H593" s="37">
        <v>0</v>
      </c>
      <c r="I593" s="37">
        <v>0</v>
      </c>
      <c r="J593" s="138">
        <v>0</v>
      </c>
      <c r="K593" s="152">
        <v>0</v>
      </c>
      <c r="N593" s="190">
        <f t="shared" si="235"/>
        <v>0</v>
      </c>
      <c r="O593" s="191" t="str">
        <f t="shared" si="236"/>
        <v/>
      </c>
      <c r="P593" s="190">
        <f t="shared" si="237"/>
        <v>0</v>
      </c>
      <c r="Q593" s="191" t="str">
        <f t="shared" si="238"/>
        <v/>
      </c>
      <c r="R593" s="190"/>
      <c r="S593" s="192" t="str">
        <f t="shared" si="239"/>
        <v/>
      </c>
      <c r="T593" s="172">
        <f t="shared" si="242"/>
        <v>4</v>
      </c>
    </row>
    <row r="594" spans="1:20" ht="11.25" customHeight="1" x14ac:dyDescent="0.25">
      <c r="A594" s="41" t="s">
        <v>624</v>
      </c>
      <c r="B594" s="41"/>
      <c r="C594" s="40"/>
      <c r="D594" s="40"/>
      <c r="E594" s="298" t="s">
        <v>625</v>
      </c>
      <c r="F594" s="299"/>
      <c r="G594" s="43">
        <f t="shared" ref="G594" si="243">G595+G596+G597+G598+G599+G600+G601++G602+G603</f>
        <v>0</v>
      </c>
      <c r="H594" s="43">
        <f>H595+H596+H597+H598+H599+H600+H601++H602+H603</f>
        <v>0</v>
      </c>
      <c r="I594" s="43">
        <f>I595+I596+I597+I598+I599+I600+I601++I602+I603</f>
        <v>0</v>
      </c>
      <c r="J594" s="137">
        <f t="shared" ref="J594:K594" si="244">J595+J596+J597+J598+J599+J600+J601++J602+J603</f>
        <v>0</v>
      </c>
      <c r="K594" s="151">
        <f t="shared" si="244"/>
        <v>0</v>
      </c>
      <c r="N594" s="91">
        <f t="shared" si="235"/>
        <v>0</v>
      </c>
      <c r="O594" s="130" t="str">
        <f t="shared" si="236"/>
        <v/>
      </c>
      <c r="P594" s="91">
        <f t="shared" si="237"/>
        <v>0</v>
      </c>
      <c r="Q594" s="130" t="str">
        <f t="shared" si="238"/>
        <v/>
      </c>
      <c r="R594" s="91"/>
      <c r="S594" s="132" t="str">
        <f t="shared" si="239"/>
        <v/>
      </c>
      <c r="T594" s="172">
        <f t="shared" si="242"/>
        <v>3</v>
      </c>
    </row>
    <row r="595" spans="1:20" ht="11.25" customHeight="1" x14ac:dyDescent="0.25">
      <c r="A595" s="38" t="s">
        <v>626</v>
      </c>
      <c r="B595" s="38"/>
      <c r="C595" s="22"/>
      <c r="D595" s="22"/>
      <c r="E595" s="296" t="s">
        <v>627</v>
      </c>
      <c r="F595" s="297"/>
      <c r="G595" s="37">
        <v>0</v>
      </c>
      <c r="H595" s="37">
        <v>0</v>
      </c>
      <c r="I595" s="37">
        <v>0</v>
      </c>
      <c r="J595" s="138">
        <v>0</v>
      </c>
      <c r="K595" s="152">
        <v>0</v>
      </c>
      <c r="N595" s="190">
        <f t="shared" si="235"/>
        <v>0</v>
      </c>
      <c r="O595" s="191" t="str">
        <f t="shared" si="236"/>
        <v/>
      </c>
      <c r="P595" s="190">
        <f t="shared" si="237"/>
        <v>0</v>
      </c>
      <c r="Q595" s="191" t="str">
        <f t="shared" si="238"/>
        <v/>
      </c>
      <c r="R595" s="190"/>
      <c r="S595" s="192" t="str">
        <f t="shared" si="239"/>
        <v/>
      </c>
      <c r="T595" s="172">
        <f t="shared" si="242"/>
        <v>4</v>
      </c>
    </row>
    <row r="596" spans="1:20" ht="11.25" customHeight="1" x14ac:dyDescent="0.25">
      <c r="A596" s="38" t="s">
        <v>628</v>
      </c>
      <c r="B596" s="38"/>
      <c r="C596" s="22"/>
      <c r="D596" s="22"/>
      <c r="E596" s="296" t="s">
        <v>629</v>
      </c>
      <c r="F596" s="297"/>
      <c r="G596" s="37">
        <v>0</v>
      </c>
      <c r="H596" s="37">
        <v>0</v>
      </c>
      <c r="I596" s="37">
        <v>0</v>
      </c>
      <c r="J596" s="138">
        <v>0</v>
      </c>
      <c r="K596" s="152">
        <v>0</v>
      </c>
      <c r="N596" s="190">
        <f t="shared" si="235"/>
        <v>0</v>
      </c>
      <c r="O596" s="191" t="str">
        <f t="shared" si="236"/>
        <v/>
      </c>
      <c r="P596" s="190">
        <f t="shared" si="237"/>
        <v>0</v>
      </c>
      <c r="Q596" s="191" t="str">
        <f t="shared" si="238"/>
        <v/>
      </c>
      <c r="R596" s="190"/>
      <c r="S596" s="192" t="str">
        <f t="shared" si="239"/>
        <v/>
      </c>
      <c r="T596" s="172">
        <f t="shared" si="242"/>
        <v>4</v>
      </c>
    </row>
    <row r="597" spans="1:20" ht="11.25" customHeight="1" x14ac:dyDescent="0.25">
      <c r="A597" s="38" t="s">
        <v>630</v>
      </c>
      <c r="B597" s="38"/>
      <c r="C597" s="22"/>
      <c r="D597" s="22"/>
      <c r="E597" s="296" t="s">
        <v>631</v>
      </c>
      <c r="F597" s="297"/>
      <c r="G597" s="37">
        <v>0</v>
      </c>
      <c r="H597" s="37">
        <v>0</v>
      </c>
      <c r="I597" s="37">
        <v>0</v>
      </c>
      <c r="J597" s="138">
        <v>0</v>
      </c>
      <c r="K597" s="152">
        <v>0</v>
      </c>
      <c r="N597" s="190">
        <f t="shared" si="235"/>
        <v>0</v>
      </c>
      <c r="O597" s="191" t="str">
        <f t="shared" si="236"/>
        <v/>
      </c>
      <c r="P597" s="190">
        <f t="shared" si="237"/>
        <v>0</v>
      </c>
      <c r="Q597" s="191" t="str">
        <f t="shared" si="238"/>
        <v/>
      </c>
      <c r="R597" s="190"/>
      <c r="S597" s="192" t="str">
        <f t="shared" si="239"/>
        <v/>
      </c>
      <c r="T597" s="172">
        <f t="shared" si="242"/>
        <v>4</v>
      </c>
    </row>
    <row r="598" spans="1:20" ht="11.25" customHeight="1" x14ac:dyDescent="0.25">
      <c r="A598" s="38" t="s">
        <v>632</v>
      </c>
      <c r="B598" s="38"/>
      <c r="C598" s="22"/>
      <c r="D598" s="22"/>
      <c r="E598" s="296" t="s">
        <v>633</v>
      </c>
      <c r="F598" s="297"/>
      <c r="G598" s="37">
        <v>0</v>
      </c>
      <c r="H598" s="37">
        <v>0</v>
      </c>
      <c r="I598" s="37">
        <v>0</v>
      </c>
      <c r="J598" s="138">
        <v>0</v>
      </c>
      <c r="K598" s="152">
        <v>0</v>
      </c>
      <c r="N598" s="190">
        <f t="shared" si="235"/>
        <v>0</v>
      </c>
      <c r="O598" s="191" t="str">
        <f t="shared" si="236"/>
        <v/>
      </c>
      <c r="P598" s="190">
        <f t="shared" si="237"/>
        <v>0</v>
      </c>
      <c r="Q598" s="191" t="str">
        <f t="shared" si="238"/>
        <v/>
      </c>
      <c r="R598" s="190"/>
      <c r="S598" s="192" t="str">
        <f t="shared" si="239"/>
        <v/>
      </c>
      <c r="T598" s="172">
        <f t="shared" si="242"/>
        <v>4</v>
      </c>
    </row>
    <row r="599" spans="1:20" ht="11.25" customHeight="1" x14ac:dyDescent="0.25">
      <c r="A599" s="38" t="s">
        <v>634</v>
      </c>
      <c r="B599" s="38"/>
      <c r="C599" s="22"/>
      <c r="D599" s="22"/>
      <c r="E599" s="296" t="s">
        <v>635</v>
      </c>
      <c r="F599" s="297"/>
      <c r="G599" s="37">
        <v>0</v>
      </c>
      <c r="H599" s="37">
        <v>0</v>
      </c>
      <c r="I599" s="37">
        <v>0</v>
      </c>
      <c r="J599" s="138">
        <v>0</v>
      </c>
      <c r="K599" s="152">
        <v>0</v>
      </c>
      <c r="N599" s="190">
        <f t="shared" si="235"/>
        <v>0</v>
      </c>
      <c r="O599" s="191" t="str">
        <f t="shared" si="236"/>
        <v/>
      </c>
      <c r="P599" s="190">
        <f t="shared" si="237"/>
        <v>0</v>
      </c>
      <c r="Q599" s="191" t="str">
        <f t="shared" si="238"/>
        <v/>
      </c>
      <c r="R599" s="190"/>
      <c r="S599" s="192" t="str">
        <f t="shared" si="239"/>
        <v/>
      </c>
      <c r="T599" s="172">
        <f t="shared" si="242"/>
        <v>4</v>
      </c>
    </row>
    <row r="600" spans="1:20" ht="11.25" customHeight="1" x14ac:dyDescent="0.25">
      <c r="A600" s="38" t="s">
        <v>636</v>
      </c>
      <c r="B600" s="38"/>
      <c r="C600" s="22"/>
      <c r="D600" s="22"/>
      <c r="E600" s="296" t="s">
        <v>637</v>
      </c>
      <c r="F600" s="297"/>
      <c r="G600" s="37">
        <v>0</v>
      </c>
      <c r="H600" s="37">
        <v>0</v>
      </c>
      <c r="I600" s="37">
        <v>0</v>
      </c>
      <c r="J600" s="138">
        <v>0</v>
      </c>
      <c r="K600" s="152">
        <v>0</v>
      </c>
      <c r="N600" s="190">
        <f t="shared" si="235"/>
        <v>0</v>
      </c>
      <c r="O600" s="191" t="str">
        <f t="shared" si="236"/>
        <v/>
      </c>
      <c r="P600" s="190">
        <f t="shared" si="237"/>
        <v>0</v>
      </c>
      <c r="Q600" s="191" t="str">
        <f t="shared" si="238"/>
        <v/>
      </c>
      <c r="R600" s="190"/>
      <c r="S600" s="192" t="str">
        <f t="shared" si="239"/>
        <v/>
      </c>
      <c r="T600" s="172">
        <f t="shared" si="242"/>
        <v>4</v>
      </c>
    </row>
    <row r="601" spans="1:20" ht="11.25" customHeight="1" x14ac:dyDescent="0.25">
      <c r="A601" s="38" t="s">
        <v>638</v>
      </c>
      <c r="B601" s="38"/>
      <c r="C601" s="22"/>
      <c r="D601" s="22"/>
      <c r="E601" s="296" t="s">
        <v>639</v>
      </c>
      <c r="F601" s="297"/>
      <c r="G601" s="37">
        <v>0</v>
      </c>
      <c r="H601" s="37">
        <v>0</v>
      </c>
      <c r="I601" s="37">
        <v>0</v>
      </c>
      <c r="J601" s="138">
        <v>0</v>
      </c>
      <c r="K601" s="152">
        <v>0</v>
      </c>
      <c r="N601" s="190">
        <f t="shared" si="235"/>
        <v>0</v>
      </c>
      <c r="O601" s="191" t="str">
        <f t="shared" si="236"/>
        <v/>
      </c>
      <c r="P601" s="190">
        <f t="shared" si="237"/>
        <v>0</v>
      </c>
      <c r="Q601" s="191" t="str">
        <f t="shared" si="238"/>
        <v/>
      </c>
      <c r="R601" s="190"/>
      <c r="S601" s="192" t="str">
        <f t="shared" si="239"/>
        <v/>
      </c>
      <c r="T601" s="172">
        <f t="shared" si="242"/>
        <v>4</v>
      </c>
    </row>
    <row r="602" spans="1:20" ht="11.25" customHeight="1" x14ac:dyDescent="0.25">
      <c r="A602" s="38" t="s">
        <v>640</v>
      </c>
      <c r="B602" s="38"/>
      <c r="C602" s="22"/>
      <c r="D602" s="22"/>
      <c r="E602" s="296" t="s">
        <v>641</v>
      </c>
      <c r="F602" s="297"/>
      <c r="G602" s="37">
        <v>0</v>
      </c>
      <c r="H602" s="37">
        <v>0</v>
      </c>
      <c r="I602" s="37">
        <v>0</v>
      </c>
      <c r="J602" s="138">
        <v>0</v>
      </c>
      <c r="K602" s="152">
        <v>0</v>
      </c>
      <c r="N602" s="190">
        <f t="shared" si="235"/>
        <v>0</v>
      </c>
      <c r="O602" s="191" t="str">
        <f t="shared" si="236"/>
        <v/>
      </c>
      <c r="P602" s="190">
        <f t="shared" si="237"/>
        <v>0</v>
      </c>
      <c r="Q602" s="191" t="str">
        <f t="shared" si="238"/>
        <v/>
      </c>
      <c r="R602" s="190"/>
      <c r="S602" s="192" t="str">
        <f t="shared" si="239"/>
        <v/>
      </c>
      <c r="T602" s="172">
        <f t="shared" si="242"/>
        <v>4</v>
      </c>
    </row>
    <row r="603" spans="1:20" ht="11.25" customHeight="1" x14ac:dyDescent="0.25">
      <c r="A603" s="38" t="s">
        <v>642</v>
      </c>
      <c r="B603" s="38"/>
      <c r="C603" s="22"/>
      <c r="D603" s="22"/>
      <c r="E603" s="296" t="s">
        <v>643</v>
      </c>
      <c r="F603" s="297"/>
      <c r="G603" s="37">
        <v>0</v>
      </c>
      <c r="H603" s="37">
        <v>0</v>
      </c>
      <c r="I603" s="37">
        <v>0</v>
      </c>
      <c r="J603" s="138">
        <v>0</v>
      </c>
      <c r="K603" s="152">
        <v>0</v>
      </c>
      <c r="N603" s="190">
        <f t="shared" si="235"/>
        <v>0</v>
      </c>
      <c r="O603" s="191" t="str">
        <f t="shared" si="236"/>
        <v/>
      </c>
      <c r="P603" s="190">
        <f t="shared" si="237"/>
        <v>0</v>
      </c>
      <c r="Q603" s="191" t="str">
        <f t="shared" si="238"/>
        <v/>
      </c>
      <c r="R603" s="190"/>
      <c r="S603" s="192" t="str">
        <f t="shared" si="239"/>
        <v/>
      </c>
      <c r="T603" s="172">
        <f t="shared" si="242"/>
        <v>4</v>
      </c>
    </row>
    <row r="604" spans="1:20" ht="11.25" customHeight="1" x14ac:dyDescent="0.25">
      <c r="A604" s="41" t="s">
        <v>644</v>
      </c>
      <c r="B604" s="41"/>
      <c r="C604" s="40"/>
      <c r="D604" s="40"/>
      <c r="E604" s="298" t="s">
        <v>645</v>
      </c>
      <c r="F604" s="299"/>
      <c r="G604" s="43">
        <f t="shared" ref="G604" si="245">G605+G610+G611+G612+G613+G614+G615+G616+G617</f>
        <v>-48844070</v>
      </c>
      <c r="H604" s="43">
        <f>H605+H610+H611+H612+H613+H614+H615+H616+H617</f>
        <v>-41891480</v>
      </c>
      <c r="I604" s="43">
        <f>I605+I610+I611+I612+I613+I614+I615+I616+I617</f>
        <v>-20000000</v>
      </c>
      <c r="J604" s="137">
        <f>J605+J610+J611+J612+J613+J614+J615+J616+J617</f>
        <v>-39347603</v>
      </c>
      <c r="K604" s="151">
        <f>K605+K610+K611+K612+K613+K614+K615+K616+K617</f>
        <v>0</v>
      </c>
      <c r="N604" s="91">
        <f t="shared" si="235"/>
        <v>-20000000</v>
      </c>
      <c r="O604" s="130">
        <f t="shared" si="236"/>
        <v>0</v>
      </c>
      <c r="P604" s="91">
        <f t="shared" si="237"/>
        <v>-41891480</v>
      </c>
      <c r="Q604" s="130">
        <f t="shared" si="238"/>
        <v>0</v>
      </c>
      <c r="R604" s="91">
        <f t="shared" ref="R604:R605" si="246">-K604+J604</f>
        <v>-39347603</v>
      </c>
      <c r="S604" s="132">
        <f t="shared" si="239"/>
        <v>0</v>
      </c>
      <c r="T604" s="172">
        <f t="shared" si="242"/>
        <v>3</v>
      </c>
    </row>
    <row r="605" spans="1:20" ht="11.25" customHeight="1" x14ac:dyDescent="0.25">
      <c r="A605" s="38" t="s">
        <v>646</v>
      </c>
      <c r="B605" s="38"/>
      <c r="C605" s="22"/>
      <c r="D605" s="22"/>
      <c r="E605" s="296" t="s">
        <v>647</v>
      </c>
      <c r="F605" s="297"/>
      <c r="G605" s="37">
        <f t="shared" ref="G605" si="247">+G606</f>
        <v>-48844070</v>
      </c>
      <c r="H605" s="37">
        <f>+H606</f>
        <v>-41891480</v>
      </c>
      <c r="I605" s="37">
        <f>+I606</f>
        <v>-20000000</v>
      </c>
      <c r="J605" s="138">
        <v>-39347603</v>
      </c>
      <c r="K605" s="152">
        <f>+K606</f>
        <v>0</v>
      </c>
      <c r="N605" s="190">
        <f t="shared" si="235"/>
        <v>-20000000</v>
      </c>
      <c r="O605" s="191">
        <f t="shared" si="236"/>
        <v>0</v>
      </c>
      <c r="P605" s="190">
        <f t="shared" si="237"/>
        <v>-41891480</v>
      </c>
      <c r="Q605" s="191">
        <f t="shared" si="238"/>
        <v>0</v>
      </c>
      <c r="R605" s="190">
        <f t="shared" si="246"/>
        <v>-39347603</v>
      </c>
      <c r="S605" s="192">
        <f t="shared" si="239"/>
        <v>0</v>
      </c>
      <c r="T605" s="172">
        <f t="shared" si="242"/>
        <v>4</v>
      </c>
    </row>
    <row r="606" spans="1:20" ht="11.25" customHeight="1" x14ac:dyDescent="0.25">
      <c r="A606" s="26" t="s">
        <v>1457</v>
      </c>
      <c r="B606" s="26"/>
      <c r="C606" s="23"/>
      <c r="D606" s="23"/>
      <c r="E606" s="300" t="s">
        <v>648</v>
      </c>
      <c r="F606" s="301"/>
      <c r="G606" s="25">
        <f t="shared" ref="G606" si="248">SUM(G607:G609)</f>
        <v>-48844070</v>
      </c>
      <c r="H606" s="25">
        <f>SUM(H607:H609)</f>
        <v>-41891480</v>
      </c>
      <c r="I606" s="25">
        <f>SUM(I607:I609)</f>
        <v>-20000000</v>
      </c>
      <c r="J606" s="139">
        <f>SUM(J607:J609)</f>
        <v>0</v>
      </c>
      <c r="K606" s="153">
        <f>SUM(K607:K609)</f>
        <v>0</v>
      </c>
      <c r="N606" s="91">
        <f t="shared" si="235"/>
        <v>-20000000</v>
      </c>
      <c r="O606" s="130">
        <f t="shared" si="236"/>
        <v>0</v>
      </c>
      <c r="P606" s="91">
        <f t="shared" si="237"/>
        <v>-41891480</v>
      </c>
      <c r="Q606" s="130">
        <f t="shared" si="238"/>
        <v>0</v>
      </c>
      <c r="R606" s="91"/>
      <c r="S606" s="132" t="str">
        <f t="shared" si="239"/>
        <v/>
      </c>
      <c r="T606" s="172">
        <f t="shared" si="242"/>
        <v>7</v>
      </c>
    </row>
    <row r="607" spans="1:20" ht="11.25" customHeight="1" x14ac:dyDescent="0.25">
      <c r="A607" s="42" t="s">
        <v>1458</v>
      </c>
      <c r="B607" s="14"/>
      <c r="C607" s="13"/>
      <c r="D607" s="13"/>
      <c r="E607" s="290" t="s">
        <v>649</v>
      </c>
      <c r="F607" s="291"/>
      <c r="G607" s="11">
        <v>-46429280</v>
      </c>
      <c r="H607" s="11">
        <v>-52124570</v>
      </c>
      <c r="I607" s="11">
        <v>0</v>
      </c>
      <c r="J607" s="140">
        <v>0</v>
      </c>
      <c r="K607" s="154"/>
      <c r="N607" s="91">
        <f t="shared" si="235"/>
        <v>0</v>
      </c>
      <c r="O607" s="130" t="str">
        <f t="shared" si="236"/>
        <v/>
      </c>
      <c r="P607" s="91">
        <f t="shared" si="237"/>
        <v>-52124570</v>
      </c>
      <c r="Q607" s="130">
        <f t="shared" si="238"/>
        <v>0</v>
      </c>
      <c r="R607" s="91"/>
      <c r="S607" s="132" t="str">
        <f t="shared" si="239"/>
        <v/>
      </c>
      <c r="T607" s="172">
        <f t="shared" si="242"/>
        <v>11</v>
      </c>
    </row>
    <row r="608" spans="1:20" ht="11.25" customHeight="1" x14ac:dyDescent="0.25">
      <c r="A608" s="42" t="s">
        <v>1459</v>
      </c>
      <c r="B608" s="14"/>
      <c r="C608" s="13"/>
      <c r="D608" s="13"/>
      <c r="E608" s="290" t="s">
        <v>650</v>
      </c>
      <c r="F608" s="291"/>
      <c r="G608" s="11">
        <v>50710000</v>
      </c>
      <c r="H608" s="11">
        <v>53124790</v>
      </c>
      <c r="I608" s="11">
        <v>0</v>
      </c>
      <c r="J608" s="140">
        <v>0</v>
      </c>
      <c r="K608" s="154"/>
      <c r="N608" s="91">
        <f t="shared" si="235"/>
        <v>0</v>
      </c>
      <c r="O608" s="130" t="str">
        <f t="shared" si="236"/>
        <v/>
      </c>
      <c r="P608" s="91">
        <f t="shared" si="237"/>
        <v>53124790</v>
      </c>
      <c r="Q608" s="130">
        <f t="shared" si="238"/>
        <v>0</v>
      </c>
      <c r="R608" s="91"/>
      <c r="S608" s="132" t="str">
        <f t="shared" si="239"/>
        <v/>
      </c>
      <c r="T608" s="172">
        <f t="shared" si="242"/>
        <v>11</v>
      </c>
    </row>
    <row r="609" spans="1:20" ht="11.25" customHeight="1" x14ac:dyDescent="0.25">
      <c r="A609" s="42" t="s">
        <v>1460</v>
      </c>
      <c r="B609" s="27" t="s">
        <v>916</v>
      </c>
      <c r="C609" s="28" t="s">
        <v>923</v>
      </c>
      <c r="D609" s="28" t="s">
        <v>917</v>
      </c>
      <c r="E609" s="290" t="s">
        <v>1684</v>
      </c>
      <c r="F609" s="291"/>
      <c r="G609" s="11">
        <v>-53124790</v>
      </c>
      <c r="H609" s="11">
        <v>-42891700</v>
      </c>
      <c r="I609" s="11">
        <v>-20000000</v>
      </c>
      <c r="J609" s="140">
        <v>0</v>
      </c>
      <c r="K609" s="154"/>
      <c r="N609" s="91">
        <f t="shared" si="235"/>
        <v>-20000000</v>
      </c>
      <c r="O609" s="130">
        <f t="shared" si="236"/>
        <v>0</v>
      </c>
      <c r="P609" s="91">
        <f t="shared" si="237"/>
        <v>-42891700</v>
      </c>
      <c r="Q609" s="130">
        <f t="shared" si="238"/>
        <v>0</v>
      </c>
      <c r="R609" s="91"/>
      <c r="S609" s="132" t="str">
        <f t="shared" si="239"/>
        <v/>
      </c>
      <c r="T609" s="172">
        <f t="shared" si="242"/>
        <v>11</v>
      </c>
    </row>
    <row r="610" spans="1:20" ht="11.25" customHeight="1" x14ac:dyDescent="0.25">
      <c r="A610" s="38" t="s">
        <v>651</v>
      </c>
      <c r="B610" s="38"/>
      <c r="C610" s="22"/>
      <c r="D610" s="22"/>
      <c r="E610" s="296" t="s">
        <v>652</v>
      </c>
      <c r="F610" s="297"/>
      <c r="G610" s="37">
        <v>0</v>
      </c>
      <c r="H610" s="37">
        <v>0</v>
      </c>
      <c r="I610" s="37">
        <v>0</v>
      </c>
      <c r="J610" s="138">
        <v>0</v>
      </c>
      <c r="K610" s="152">
        <v>0</v>
      </c>
      <c r="N610" s="190">
        <f t="shared" si="235"/>
        <v>0</v>
      </c>
      <c r="O610" s="191" t="str">
        <f t="shared" si="236"/>
        <v/>
      </c>
      <c r="P610" s="190">
        <f t="shared" si="237"/>
        <v>0</v>
      </c>
      <c r="Q610" s="191" t="str">
        <f t="shared" si="238"/>
        <v/>
      </c>
      <c r="R610" s="190"/>
      <c r="S610" s="192" t="str">
        <f t="shared" si="239"/>
        <v/>
      </c>
      <c r="T610" s="172">
        <f t="shared" si="242"/>
        <v>4</v>
      </c>
    </row>
    <row r="611" spans="1:20" ht="11.25" customHeight="1" x14ac:dyDescent="0.25">
      <c r="A611" s="38" t="s">
        <v>653</v>
      </c>
      <c r="B611" s="38"/>
      <c r="C611" s="22"/>
      <c r="D611" s="22"/>
      <c r="E611" s="296" t="s">
        <v>654</v>
      </c>
      <c r="F611" s="297"/>
      <c r="G611" s="37">
        <v>0</v>
      </c>
      <c r="H611" s="37">
        <v>0</v>
      </c>
      <c r="I611" s="37">
        <v>0</v>
      </c>
      <c r="J611" s="138">
        <v>0</v>
      </c>
      <c r="K611" s="152">
        <v>0</v>
      </c>
      <c r="N611" s="190">
        <f t="shared" si="235"/>
        <v>0</v>
      </c>
      <c r="O611" s="191" t="str">
        <f t="shared" si="236"/>
        <v/>
      </c>
      <c r="P611" s="190">
        <f t="shared" si="237"/>
        <v>0</v>
      </c>
      <c r="Q611" s="191" t="str">
        <f t="shared" si="238"/>
        <v/>
      </c>
      <c r="R611" s="190"/>
      <c r="S611" s="192" t="str">
        <f t="shared" si="239"/>
        <v/>
      </c>
      <c r="T611" s="172">
        <f t="shared" si="242"/>
        <v>4</v>
      </c>
    </row>
    <row r="612" spans="1:20" ht="11.25" customHeight="1" x14ac:dyDescent="0.25">
      <c r="A612" s="38" t="s">
        <v>655</v>
      </c>
      <c r="B612" s="38"/>
      <c r="C612" s="22"/>
      <c r="D612" s="22"/>
      <c r="E612" s="296" t="s">
        <v>656</v>
      </c>
      <c r="F612" s="297"/>
      <c r="G612" s="37">
        <v>0</v>
      </c>
      <c r="H612" s="37">
        <v>0</v>
      </c>
      <c r="I612" s="37">
        <v>0</v>
      </c>
      <c r="J612" s="138">
        <v>0</v>
      </c>
      <c r="K612" s="152">
        <v>0</v>
      </c>
      <c r="N612" s="190">
        <f t="shared" si="235"/>
        <v>0</v>
      </c>
      <c r="O612" s="191" t="str">
        <f t="shared" si="236"/>
        <v/>
      </c>
      <c r="P612" s="190">
        <f t="shared" si="237"/>
        <v>0</v>
      </c>
      <c r="Q612" s="191" t="str">
        <f t="shared" si="238"/>
        <v/>
      </c>
      <c r="R612" s="190"/>
      <c r="S612" s="192" t="str">
        <f t="shared" si="239"/>
        <v/>
      </c>
      <c r="T612" s="172">
        <f t="shared" si="242"/>
        <v>4</v>
      </c>
    </row>
    <row r="613" spans="1:20" ht="11.25" customHeight="1" x14ac:dyDescent="0.25">
      <c r="A613" s="38" t="s">
        <v>657</v>
      </c>
      <c r="B613" s="38"/>
      <c r="C613" s="22"/>
      <c r="D613" s="22"/>
      <c r="E613" s="296" t="s">
        <v>658</v>
      </c>
      <c r="F613" s="297"/>
      <c r="G613" s="37">
        <v>0</v>
      </c>
      <c r="H613" s="37">
        <v>0</v>
      </c>
      <c r="I613" s="37">
        <v>0</v>
      </c>
      <c r="J613" s="138">
        <v>0</v>
      </c>
      <c r="K613" s="152">
        <v>0</v>
      </c>
      <c r="N613" s="190">
        <f t="shared" si="235"/>
        <v>0</v>
      </c>
      <c r="O613" s="191" t="str">
        <f t="shared" si="236"/>
        <v/>
      </c>
      <c r="P613" s="190">
        <f t="shared" si="237"/>
        <v>0</v>
      </c>
      <c r="Q613" s="191" t="str">
        <f t="shared" si="238"/>
        <v/>
      </c>
      <c r="R613" s="190"/>
      <c r="S613" s="192" t="str">
        <f t="shared" si="239"/>
        <v/>
      </c>
      <c r="T613" s="172">
        <f t="shared" si="242"/>
        <v>4</v>
      </c>
    </row>
    <row r="614" spans="1:20" ht="11.25" customHeight="1" x14ac:dyDescent="0.25">
      <c r="A614" s="38" t="s">
        <v>659</v>
      </c>
      <c r="B614" s="38"/>
      <c r="C614" s="22"/>
      <c r="D614" s="22"/>
      <c r="E614" s="296" t="s">
        <v>660</v>
      </c>
      <c r="F614" s="297"/>
      <c r="G614" s="37">
        <v>0</v>
      </c>
      <c r="H614" s="37">
        <v>0</v>
      </c>
      <c r="I614" s="37">
        <v>0</v>
      </c>
      <c r="J614" s="138">
        <v>0</v>
      </c>
      <c r="K614" s="152">
        <v>0</v>
      </c>
      <c r="N614" s="190">
        <f t="shared" si="235"/>
        <v>0</v>
      </c>
      <c r="O614" s="191" t="str">
        <f t="shared" si="236"/>
        <v/>
      </c>
      <c r="P614" s="190">
        <f t="shared" si="237"/>
        <v>0</v>
      </c>
      <c r="Q614" s="191" t="str">
        <f t="shared" si="238"/>
        <v/>
      </c>
      <c r="R614" s="190"/>
      <c r="S614" s="192" t="str">
        <f t="shared" si="239"/>
        <v/>
      </c>
      <c r="T614" s="172">
        <f t="shared" si="242"/>
        <v>4</v>
      </c>
    </row>
    <row r="615" spans="1:20" ht="11.25" customHeight="1" x14ac:dyDescent="0.25">
      <c r="A615" s="38" t="s">
        <v>661</v>
      </c>
      <c r="B615" s="38"/>
      <c r="C615" s="22"/>
      <c r="D615" s="22"/>
      <c r="E615" s="296" t="s">
        <v>662</v>
      </c>
      <c r="F615" s="297"/>
      <c r="G615" s="37">
        <v>0</v>
      </c>
      <c r="H615" s="37">
        <v>0</v>
      </c>
      <c r="I615" s="37">
        <v>0</v>
      </c>
      <c r="J615" s="138">
        <v>0</v>
      </c>
      <c r="K615" s="152">
        <v>0</v>
      </c>
      <c r="N615" s="190">
        <f t="shared" si="235"/>
        <v>0</v>
      </c>
      <c r="O615" s="191" t="str">
        <f t="shared" si="236"/>
        <v/>
      </c>
      <c r="P615" s="190">
        <f t="shared" si="237"/>
        <v>0</v>
      </c>
      <c r="Q615" s="191" t="str">
        <f t="shared" si="238"/>
        <v/>
      </c>
      <c r="R615" s="190"/>
      <c r="S615" s="192" t="str">
        <f t="shared" si="239"/>
        <v/>
      </c>
      <c r="T615" s="172">
        <f t="shared" si="242"/>
        <v>4</v>
      </c>
    </row>
    <row r="616" spans="1:20" ht="11.25" customHeight="1" x14ac:dyDescent="0.25">
      <c r="A616" s="38" t="s">
        <v>663</v>
      </c>
      <c r="B616" s="38"/>
      <c r="C616" s="22"/>
      <c r="D616" s="22"/>
      <c r="E616" s="296" t="s">
        <v>664</v>
      </c>
      <c r="F616" s="297"/>
      <c r="G616" s="37">
        <v>0</v>
      </c>
      <c r="H616" s="37">
        <v>0</v>
      </c>
      <c r="I616" s="37">
        <v>0</v>
      </c>
      <c r="J616" s="138">
        <v>0</v>
      </c>
      <c r="K616" s="152">
        <v>0</v>
      </c>
      <c r="N616" s="190">
        <f t="shared" si="235"/>
        <v>0</v>
      </c>
      <c r="O616" s="191" t="str">
        <f t="shared" si="236"/>
        <v/>
      </c>
      <c r="P616" s="190">
        <f t="shared" si="237"/>
        <v>0</v>
      </c>
      <c r="Q616" s="191" t="str">
        <f t="shared" si="238"/>
        <v/>
      </c>
      <c r="R616" s="190"/>
      <c r="S616" s="192" t="str">
        <f t="shared" si="239"/>
        <v/>
      </c>
      <c r="T616" s="172">
        <f t="shared" si="242"/>
        <v>4</v>
      </c>
    </row>
    <row r="617" spans="1:20" ht="11.25" customHeight="1" x14ac:dyDescent="0.25">
      <c r="A617" s="38" t="s">
        <v>665</v>
      </c>
      <c r="B617" s="38"/>
      <c r="C617" s="22"/>
      <c r="D617" s="22"/>
      <c r="E617" s="296" t="s">
        <v>666</v>
      </c>
      <c r="F617" s="297"/>
      <c r="G617" s="37">
        <v>0</v>
      </c>
      <c r="H617" s="37">
        <v>0</v>
      </c>
      <c r="I617" s="37">
        <v>0</v>
      </c>
      <c r="J617" s="138">
        <v>0</v>
      </c>
      <c r="K617" s="152">
        <v>0</v>
      </c>
      <c r="N617" s="190">
        <f t="shared" si="235"/>
        <v>0</v>
      </c>
      <c r="O617" s="191" t="str">
        <f t="shared" si="236"/>
        <v/>
      </c>
      <c r="P617" s="190">
        <f t="shared" si="237"/>
        <v>0</v>
      </c>
      <c r="Q617" s="191" t="str">
        <f t="shared" si="238"/>
        <v/>
      </c>
      <c r="R617" s="190"/>
      <c r="S617" s="192" t="str">
        <f t="shared" si="239"/>
        <v/>
      </c>
      <c r="T617" s="172">
        <f t="shared" si="242"/>
        <v>4</v>
      </c>
    </row>
    <row r="618" spans="1:20" ht="11.25" customHeight="1" x14ac:dyDescent="0.25">
      <c r="A618" s="64" t="s">
        <v>667</v>
      </c>
      <c r="B618" s="64"/>
      <c r="C618" s="65"/>
      <c r="D618" s="65"/>
      <c r="E618" s="294" t="s">
        <v>668</v>
      </c>
      <c r="F618" s="295"/>
      <c r="G618" s="66">
        <f>G619+G707+G709+G714+G794+G797+G813+G829+G834</f>
        <v>5951585513.2200012</v>
      </c>
      <c r="H618" s="66">
        <f>H619+H707+H709+H714+H794+H797+H813+H829+H834</f>
        <v>6702755427.2400122</v>
      </c>
      <c r="I618" s="66">
        <f>I619+I707+I709+I714+I794+I797+I813+I829+I834</f>
        <v>7003666287.1932421</v>
      </c>
      <c r="J618" s="144">
        <f>J619+J707+J709+J714+J794+J797+J813+J829+J834</f>
        <v>7302784441.5436001</v>
      </c>
      <c r="K618" s="164">
        <f>K619+K707+K709+K714+K794+K797+K813+K829+K834</f>
        <v>7742283675.2414999</v>
      </c>
      <c r="N618" s="91">
        <f t="shared" ref="N618:N681" si="249">+K618-I618</f>
        <v>738617388.04825783</v>
      </c>
      <c r="O618" s="130">
        <f t="shared" si="236"/>
        <v>1.1054615336825626</v>
      </c>
      <c r="P618" s="91">
        <f t="shared" ref="P618:P681" si="250">+K618-H618</f>
        <v>1039528248.0014877</v>
      </c>
      <c r="Q618" s="130">
        <f t="shared" si="238"/>
        <v>1.1550896880075383</v>
      </c>
      <c r="R618" s="91">
        <f>K618-J618</f>
        <v>439499233.69789982</v>
      </c>
      <c r="S618" s="132">
        <f t="shared" si="239"/>
        <v>1.0601824190780855</v>
      </c>
      <c r="T618" s="172">
        <f t="shared" si="242"/>
        <v>2</v>
      </c>
    </row>
    <row r="619" spans="1:20" ht="11.25" customHeight="1" x14ac:dyDescent="0.25">
      <c r="A619" s="60" t="s">
        <v>669</v>
      </c>
      <c r="B619" s="62"/>
      <c r="C619" s="61"/>
      <c r="D619" s="61"/>
      <c r="E619" s="284" t="s">
        <v>670</v>
      </c>
      <c r="F619" s="285"/>
      <c r="G619" s="63">
        <f t="shared" ref="G619:K619" si="251">G620+G621+G673+G696+G704</f>
        <v>5712012804.5200005</v>
      </c>
      <c r="H619" s="63">
        <f t="shared" si="251"/>
        <v>6273087326.7900114</v>
      </c>
      <c r="I619" s="63">
        <f t="shared" si="251"/>
        <v>6603246878.1679716</v>
      </c>
      <c r="J619" s="145">
        <f t="shared" si="251"/>
        <v>6880462915</v>
      </c>
      <c r="K619" s="165">
        <f t="shared" si="251"/>
        <v>7340358155.2414999</v>
      </c>
      <c r="N619" s="91">
        <f t="shared" si="249"/>
        <v>737111277.07352829</v>
      </c>
      <c r="O619" s="130">
        <f t="shared" si="236"/>
        <v>1.1116286109959945</v>
      </c>
      <c r="P619" s="91">
        <f t="shared" si="250"/>
        <v>1067270828.4514885</v>
      </c>
      <c r="Q619" s="130">
        <f t="shared" si="238"/>
        <v>1.17013485909778</v>
      </c>
      <c r="R619" s="91">
        <f t="shared" ref="R619:R621" si="252">K619-J619</f>
        <v>459895240.2414999</v>
      </c>
      <c r="S619" s="132">
        <f t="shared" si="239"/>
        <v>1.0668407410842793</v>
      </c>
      <c r="T619" s="172">
        <f t="shared" si="242"/>
        <v>3</v>
      </c>
    </row>
    <row r="620" spans="1:20" ht="11.25" customHeight="1" x14ac:dyDescent="0.25">
      <c r="A620" s="53" t="s">
        <v>671</v>
      </c>
      <c r="B620" s="53"/>
      <c r="C620" s="51"/>
      <c r="D620" s="51"/>
      <c r="E620" s="282" t="s">
        <v>672</v>
      </c>
      <c r="F620" s="283"/>
      <c r="G620" s="52">
        <v>0</v>
      </c>
      <c r="H620" s="52">
        <v>0</v>
      </c>
      <c r="I620" s="52">
        <v>0</v>
      </c>
      <c r="J620" s="146">
        <v>0</v>
      </c>
      <c r="K620" s="166">
        <f t="shared" ref="K620" si="253">(J620/8)*12</f>
        <v>0</v>
      </c>
      <c r="N620" s="193">
        <f t="shared" si="249"/>
        <v>0</v>
      </c>
      <c r="O620" s="194" t="str">
        <f t="shared" si="236"/>
        <v/>
      </c>
      <c r="P620" s="193">
        <f t="shared" si="250"/>
        <v>0</v>
      </c>
      <c r="Q620" s="194" t="str">
        <f t="shared" si="238"/>
        <v/>
      </c>
      <c r="R620" s="193">
        <f t="shared" si="252"/>
        <v>0</v>
      </c>
      <c r="S620" s="195" t="str">
        <f t="shared" si="239"/>
        <v/>
      </c>
      <c r="T620" s="172">
        <f t="shared" si="242"/>
        <v>4</v>
      </c>
    </row>
    <row r="621" spans="1:20" ht="11.25" customHeight="1" x14ac:dyDescent="0.25">
      <c r="A621" s="53" t="s">
        <v>673</v>
      </c>
      <c r="B621" s="53"/>
      <c r="C621" s="51"/>
      <c r="D621" s="51"/>
      <c r="E621" s="282" t="s">
        <v>674</v>
      </c>
      <c r="F621" s="283"/>
      <c r="G621" s="52">
        <f t="shared" ref="G621:K621" si="254">G622+G629+G633+G640+G651+G654+G659+G662+G664+G670</f>
        <v>5307938210.0900002</v>
      </c>
      <c r="H621" s="52">
        <f t="shared" si="254"/>
        <v>5833749282.6500111</v>
      </c>
      <c r="I621" s="52">
        <f t="shared" si="254"/>
        <v>6146617878.1679716</v>
      </c>
      <c r="J621" s="147">
        <v>6417685648</v>
      </c>
      <c r="K621" s="167">
        <f t="shared" si="254"/>
        <v>6857550000</v>
      </c>
      <c r="N621" s="193">
        <f t="shared" si="249"/>
        <v>710932121.83202839</v>
      </c>
      <c r="O621" s="194">
        <f t="shared" si="236"/>
        <v>1.1156623261643077</v>
      </c>
      <c r="P621" s="193">
        <f t="shared" si="250"/>
        <v>1023800717.3499889</v>
      </c>
      <c r="Q621" s="194">
        <f t="shared" si="238"/>
        <v>1.1754961805429049</v>
      </c>
      <c r="R621" s="193">
        <f t="shared" si="252"/>
        <v>439864352</v>
      </c>
      <c r="S621" s="195">
        <f t="shared" si="239"/>
        <v>1.0685394044092948</v>
      </c>
      <c r="T621" s="172">
        <f t="shared" si="242"/>
        <v>4</v>
      </c>
    </row>
    <row r="622" spans="1:20" ht="11.25" customHeight="1" x14ac:dyDescent="0.25">
      <c r="A622" s="57" t="s">
        <v>1461</v>
      </c>
      <c r="B622" s="57"/>
      <c r="C622" s="55"/>
      <c r="D622" s="55"/>
      <c r="E622" s="288" t="s">
        <v>675</v>
      </c>
      <c r="F622" s="289"/>
      <c r="G622" s="56">
        <f t="shared" ref="G622:K622" si="255">SUM(G623:G628)</f>
        <v>40780302.939999998</v>
      </c>
      <c r="H622" s="56">
        <f t="shared" si="255"/>
        <v>47495394.68999999</v>
      </c>
      <c r="I622" s="56">
        <f t="shared" si="255"/>
        <v>46618158.978544928</v>
      </c>
      <c r="J622" s="148"/>
      <c r="K622" s="168">
        <f t="shared" si="255"/>
        <v>51600000</v>
      </c>
      <c r="N622" s="91">
        <f t="shared" si="249"/>
        <v>4981841.0214550719</v>
      </c>
      <c r="O622" s="130">
        <f t="shared" si="236"/>
        <v>1.1068648168570505</v>
      </c>
      <c r="P622" s="91">
        <f t="shared" si="250"/>
        <v>4104605.3100000098</v>
      </c>
      <c r="Q622" s="130">
        <f t="shared" si="238"/>
        <v>1.0864211222328093</v>
      </c>
      <c r="R622" s="91"/>
      <c r="S622" s="132" t="str">
        <f t="shared" si="239"/>
        <v/>
      </c>
      <c r="T622" s="172">
        <f t="shared" si="242"/>
        <v>7</v>
      </c>
    </row>
    <row r="623" spans="1:20" ht="11.25" customHeight="1" x14ac:dyDescent="0.25">
      <c r="A623" s="42" t="s">
        <v>1462</v>
      </c>
      <c r="B623" s="27" t="s">
        <v>916</v>
      </c>
      <c r="C623" s="28" t="s">
        <v>923</v>
      </c>
      <c r="D623" s="28" t="s">
        <v>917</v>
      </c>
      <c r="E623" s="290" t="s">
        <v>676</v>
      </c>
      <c r="F623" s="291"/>
      <c r="G623" s="11">
        <v>4854040.51</v>
      </c>
      <c r="H623" s="11">
        <v>4813977.62</v>
      </c>
      <c r="I623" s="11">
        <v>4900189.7009195602</v>
      </c>
      <c r="J623" s="140">
        <v>0</v>
      </c>
      <c r="K623" s="155">
        <v>4200000</v>
      </c>
      <c r="N623" s="91">
        <f t="shared" si="249"/>
        <v>-700189.70091956016</v>
      </c>
      <c r="O623" s="130">
        <f t="shared" si="236"/>
        <v>0.85710967459317666</v>
      </c>
      <c r="P623" s="91">
        <f t="shared" si="250"/>
        <v>-613977.62000000011</v>
      </c>
      <c r="Q623" s="130">
        <f t="shared" si="238"/>
        <v>0.87245939460765498</v>
      </c>
      <c r="R623" s="91"/>
      <c r="S623" s="132" t="str">
        <f t="shared" si="239"/>
        <v/>
      </c>
      <c r="T623" s="172">
        <f t="shared" si="242"/>
        <v>11</v>
      </c>
    </row>
    <row r="624" spans="1:20" ht="11.25" customHeight="1" x14ac:dyDescent="0.25">
      <c r="A624" s="42" t="s">
        <v>1463</v>
      </c>
      <c r="B624" s="27" t="s">
        <v>916</v>
      </c>
      <c r="C624" s="28" t="s">
        <v>923</v>
      </c>
      <c r="D624" s="28" t="s">
        <v>917</v>
      </c>
      <c r="E624" s="290" t="s">
        <v>677</v>
      </c>
      <c r="F624" s="291"/>
      <c r="G624" s="11">
        <v>967636.38</v>
      </c>
      <c r="H624" s="11">
        <v>1068144.72</v>
      </c>
      <c r="I624" s="11">
        <v>1149599.9999999399</v>
      </c>
      <c r="J624" s="140">
        <v>0</v>
      </c>
      <c r="K624" s="155">
        <v>1150000</v>
      </c>
      <c r="N624" s="91">
        <f t="shared" si="249"/>
        <v>400.00000006007031</v>
      </c>
      <c r="O624" s="130">
        <f t="shared" si="236"/>
        <v>1.0003479471120913</v>
      </c>
      <c r="P624" s="91">
        <f t="shared" si="250"/>
        <v>81855.280000000028</v>
      </c>
      <c r="Q624" s="130">
        <f t="shared" si="238"/>
        <v>1.0766331363787485</v>
      </c>
      <c r="R624" s="91"/>
      <c r="S624" s="132" t="str">
        <f t="shared" si="239"/>
        <v/>
      </c>
      <c r="T624" s="172">
        <f t="shared" si="242"/>
        <v>11</v>
      </c>
    </row>
    <row r="625" spans="1:20" ht="11.25" customHeight="1" x14ac:dyDescent="0.25">
      <c r="A625" s="42" t="s">
        <v>1464</v>
      </c>
      <c r="B625" s="27" t="s">
        <v>916</v>
      </c>
      <c r="C625" s="28" t="s">
        <v>923</v>
      </c>
      <c r="D625" s="28" t="s">
        <v>917</v>
      </c>
      <c r="E625" s="290" t="s">
        <v>678</v>
      </c>
      <c r="F625" s="291"/>
      <c r="G625" s="11">
        <v>1627737.02</v>
      </c>
      <c r="H625" s="11">
        <v>1778785.86</v>
      </c>
      <c r="I625" s="11">
        <v>1729999.9999999399</v>
      </c>
      <c r="J625" s="140">
        <v>0</v>
      </c>
      <c r="K625" s="155">
        <v>1900000</v>
      </c>
      <c r="N625" s="91">
        <f t="shared" si="249"/>
        <v>170000.00000006007</v>
      </c>
      <c r="O625" s="130">
        <f t="shared" si="236"/>
        <v>1.0982658959537954</v>
      </c>
      <c r="P625" s="91">
        <f t="shared" si="250"/>
        <v>121214.1399999999</v>
      </c>
      <c r="Q625" s="130">
        <f t="shared" si="238"/>
        <v>1.0681443127729833</v>
      </c>
      <c r="R625" s="91"/>
      <c r="S625" s="132" t="str">
        <f t="shared" si="239"/>
        <v/>
      </c>
      <c r="T625" s="172">
        <f t="shared" si="242"/>
        <v>11</v>
      </c>
    </row>
    <row r="626" spans="1:20" ht="11.25" customHeight="1" x14ac:dyDescent="0.25">
      <c r="A626" s="42" t="s">
        <v>1465</v>
      </c>
      <c r="B626" s="27" t="s">
        <v>916</v>
      </c>
      <c r="C626" s="28" t="s">
        <v>923</v>
      </c>
      <c r="D626" s="28" t="s">
        <v>917</v>
      </c>
      <c r="E626" s="290" t="s">
        <v>679</v>
      </c>
      <c r="F626" s="291"/>
      <c r="G626" s="11">
        <v>508657.99</v>
      </c>
      <c r="H626" s="11">
        <v>727917.7</v>
      </c>
      <c r="I626" s="11">
        <v>689999.999999961</v>
      </c>
      <c r="J626" s="140">
        <v>0</v>
      </c>
      <c r="K626" s="155">
        <v>750000</v>
      </c>
      <c r="N626" s="91">
        <f t="shared" si="249"/>
        <v>60000.000000038999</v>
      </c>
      <c r="O626" s="130">
        <f t="shared" si="236"/>
        <v>1.0869565217391919</v>
      </c>
      <c r="P626" s="91">
        <f t="shared" si="250"/>
        <v>22082.300000000047</v>
      </c>
      <c r="Q626" s="130">
        <f t="shared" si="238"/>
        <v>1.0303362591677603</v>
      </c>
      <c r="R626" s="91"/>
      <c r="S626" s="132" t="str">
        <f t="shared" si="239"/>
        <v/>
      </c>
      <c r="T626" s="172">
        <f t="shared" si="242"/>
        <v>11</v>
      </c>
    </row>
    <row r="627" spans="1:20" ht="11.25" customHeight="1" x14ac:dyDescent="0.25">
      <c r="A627" s="42" t="s">
        <v>1466</v>
      </c>
      <c r="B627" s="27" t="s">
        <v>916</v>
      </c>
      <c r="C627" s="28" t="s">
        <v>923</v>
      </c>
      <c r="D627" s="28" t="s">
        <v>917</v>
      </c>
      <c r="E627" s="290" t="s">
        <v>680</v>
      </c>
      <c r="F627" s="291"/>
      <c r="G627" s="11">
        <v>4374386.12</v>
      </c>
      <c r="H627" s="11">
        <v>7170147.02999999</v>
      </c>
      <c r="I627" s="11">
        <v>7147999.9999997299</v>
      </c>
      <c r="J627" s="140">
        <v>18467842</v>
      </c>
      <c r="K627" s="155">
        <v>8600000</v>
      </c>
      <c r="N627" s="91">
        <f t="shared" si="249"/>
        <v>1452000.0000002701</v>
      </c>
      <c r="O627" s="130">
        <f t="shared" si="236"/>
        <v>1.2031337437045782</v>
      </c>
      <c r="P627" s="91">
        <f t="shared" si="250"/>
        <v>1429852.97000001</v>
      </c>
      <c r="Q627" s="130">
        <f t="shared" si="238"/>
        <v>1.1994175243572394</v>
      </c>
      <c r="R627" s="91">
        <f t="shared" ref="R627:R673" si="256">K627-J627</f>
        <v>-9867842</v>
      </c>
      <c r="S627" s="132">
        <f t="shared" si="239"/>
        <v>0.46567433271304792</v>
      </c>
      <c r="T627" s="172">
        <f t="shared" si="242"/>
        <v>11</v>
      </c>
    </row>
    <row r="628" spans="1:20" ht="11.25" customHeight="1" x14ac:dyDescent="0.25">
      <c r="A628" s="42" t="s">
        <v>1467</v>
      </c>
      <c r="B628" s="27" t="s">
        <v>916</v>
      </c>
      <c r="C628" s="28" t="s">
        <v>923</v>
      </c>
      <c r="D628" s="28" t="s">
        <v>917</v>
      </c>
      <c r="E628" s="290" t="s">
        <v>681</v>
      </c>
      <c r="F628" s="291"/>
      <c r="G628" s="11">
        <v>28447844.920000002</v>
      </c>
      <c r="H628" s="11">
        <v>31936421.760000002</v>
      </c>
      <c r="I628" s="11">
        <v>31000369.277625799</v>
      </c>
      <c r="J628" s="140">
        <v>0</v>
      </c>
      <c r="K628" s="155">
        <v>35000000</v>
      </c>
      <c r="N628" s="91">
        <f t="shared" si="249"/>
        <v>3999630.7223742008</v>
      </c>
      <c r="O628" s="130">
        <f t="shared" si="236"/>
        <v>1.1290188089875721</v>
      </c>
      <c r="P628" s="91">
        <f t="shared" si="250"/>
        <v>3063578.2399999984</v>
      </c>
      <c r="Q628" s="130">
        <f t="shared" si="238"/>
        <v>1.095927410497725</v>
      </c>
      <c r="R628" s="91"/>
      <c r="S628" s="132" t="str">
        <f t="shared" si="239"/>
        <v/>
      </c>
      <c r="T628" s="172">
        <f t="shared" si="242"/>
        <v>11</v>
      </c>
    </row>
    <row r="629" spans="1:20" ht="11.25" customHeight="1" x14ac:dyDescent="0.25">
      <c r="A629" s="57" t="s">
        <v>1468</v>
      </c>
      <c r="B629" s="57"/>
      <c r="C629" s="55"/>
      <c r="D629" s="55"/>
      <c r="E629" s="288" t="s">
        <v>682</v>
      </c>
      <c r="F629" s="289"/>
      <c r="G629" s="56">
        <f t="shared" ref="G629:K629" si="257">SUM(G630:G632)</f>
        <v>12447666.390000001</v>
      </c>
      <c r="H629" s="56">
        <f t="shared" si="257"/>
        <v>13962978.879999999</v>
      </c>
      <c r="I629" s="56">
        <f t="shared" si="257"/>
        <v>12999999.99999998</v>
      </c>
      <c r="J629" s="148">
        <f t="shared" si="257"/>
        <v>0</v>
      </c>
      <c r="K629" s="168">
        <f t="shared" si="257"/>
        <v>15050000</v>
      </c>
      <c r="N629" s="91">
        <f t="shared" si="249"/>
        <v>2050000.0000000205</v>
      </c>
      <c r="O629" s="130">
        <f t="shared" si="236"/>
        <v>1.1576923076923096</v>
      </c>
      <c r="P629" s="91">
        <f t="shared" si="250"/>
        <v>1087021.120000001</v>
      </c>
      <c r="Q629" s="130">
        <f t="shared" si="238"/>
        <v>1.0778502301938597</v>
      </c>
      <c r="R629" s="91"/>
      <c r="S629" s="132" t="str">
        <f t="shared" si="239"/>
        <v/>
      </c>
      <c r="T629" s="172">
        <f t="shared" si="242"/>
        <v>7</v>
      </c>
    </row>
    <row r="630" spans="1:20" ht="11.25" customHeight="1" x14ac:dyDescent="0.25">
      <c r="A630" s="42" t="s">
        <v>1469</v>
      </c>
      <c r="B630" s="20" t="s">
        <v>922</v>
      </c>
      <c r="C630" s="20" t="s">
        <v>923</v>
      </c>
      <c r="D630" s="20" t="s">
        <v>1114</v>
      </c>
      <c r="E630" s="290" t="s">
        <v>683</v>
      </c>
      <c r="F630" s="291"/>
      <c r="G630" s="11">
        <v>5419619</v>
      </c>
      <c r="H630" s="11">
        <v>6566815.54</v>
      </c>
      <c r="I630" s="11">
        <v>10500000</v>
      </c>
      <c r="J630" s="140">
        <v>0</v>
      </c>
      <c r="K630" s="155">
        <f>10000000*1.025</f>
        <v>10250000</v>
      </c>
      <c r="N630" s="91">
        <f t="shared" si="249"/>
        <v>-250000</v>
      </c>
      <c r="O630" s="130">
        <f t="shared" si="236"/>
        <v>0.97619047619047616</v>
      </c>
      <c r="P630" s="91">
        <f t="shared" si="250"/>
        <v>3683184.46</v>
      </c>
      <c r="Q630" s="130">
        <f t="shared" si="238"/>
        <v>1.5608783188083886</v>
      </c>
      <c r="R630" s="91"/>
      <c r="S630" s="132" t="str">
        <f t="shared" si="239"/>
        <v/>
      </c>
      <c r="T630" s="172">
        <f t="shared" si="242"/>
        <v>11</v>
      </c>
    </row>
    <row r="631" spans="1:20" ht="11.25" customHeight="1" x14ac:dyDescent="0.25">
      <c r="A631" s="42" t="s">
        <v>1470</v>
      </c>
      <c r="B631" s="20" t="s">
        <v>922</v>
      </c>
      <c r="C631" s="20" t="s">
        <v>923</v>
      </c>
      <c r="D631" s="20" t="s">
        <v>1114</v>
      </c>
      <c r="E631" s="290" t="s">
        <v>684</v>
      </c>
      <c r="F631" s="291"/>
      <c r="G631" s="11">
        <v>2287340.39</v>
      </c>
      <c r="H631" s="11">
        <v>2379257.34</v>
      </c>
      <c r="I631" s="11">
        <v>2499999.99999998</v>
      </c>
      <c r="J631" s="140">
        <v>0</v>
      </c>
      <c r="K631" s="155">
        <v>4800000</v>
      </c>
      <c r="N631" s="91">
        <f t="shared" si="249"/>
        <v>2300000.00000002</v>
      </c>
      <c r="O631" s="130">
        <f t="shared" si="236"/>
        <v>1.9200000000000155</v>
      </c>
      <c r="P631" s="91">
        <f t="shared" si="250"/>
        <v>2420742.66</v>
      </c>
      <c r="Q631" s="130">
        <f t="shared" si="238"/>
        <v>2.0174362475645449</v>
      </c>
      <c r="R631" s="91"/>
      <c r="S631" s="132" t="str">
        <f t="shared" si="239"/>
        <v/>
      </c>
      <c r="T631" s="172">
        <f t="shared" si="242"/>
        <v>11</v>
      </c>
    </row>
    <row r="632" spans="1:20" ht="11.25" customHeight="1" x14ac:dyDescent="0.25">
      <c r="A632" s="42" t="s">
        <v>1471</v>
      </c>
      <c r="B632" s="14"/>
      <c r="C632" s="13"/>
      <c r="D632" s="13"/>
      <c r="E632" s="290" t="s">
        <v>685</v>
      </c>
      <c r="F632" s="291"/>
      <c r="G632" s="11">
        <v>4740707</v>
      </c>
      <c r="H632" s="11">
        <v>5016906</v>
      </c>
      <c r="I632" s="11">
        <v>0</v>
      </c>
      <c r="J632" s="140">
        <v>0</v>
      </c>
      <c r="K632" s="154"/>
      <c r="N632" s="91">
        <f t="shared" si="249"/>
        <v>0</v>
      </c>
      <c r="O632" s="130" t="str">
        <f t="shared" si="236"/>
        <v/>
      </c>
      <c r="P632" s="91">
        <f t="shared" si="250"/>
        <v>-5016906</v>
      </c>
      <c r="Q632" s="130">
        <f t="shared" si="238"/>
        <v>0</v>
      </c>
      <c r="R632" s="91"/>
      <c r="S632" s="132" t="str">
        <f t="shared" si="239"/>
        <v/>
      </c>
      <c r="T632" s="172">
        <f t="shared" si="242"/>
        <v>11</v>
      </c>
    </row>
    <row r="633" spans="1:20" ht="11.25" customHeight="1" x14ac:dyDescent="0.25">
      <c r="A633" s="57" t="s">
        <v>1472</v>
      </c>
      <c r="B633" s="57"/>
      <c r="C633" s="55"/>
      <c r="D633" s="55"/>
      <c r="E633" s="288" t="s">
        <v>686</v>
      </c>
      <c r="F633" s="289"/>
      <c r="G633" s="56">
        <f t="shared" ref="G633:K633" si="258">SUM(G634:G639)</f>
        <v>36308434.330000006</v>
      </c>
      <c r="H633" s="56">
        <f t="shared" si="258"/>
        <v>34913249.300000004</v>
      </c>
      <c r="I633" s="56">
        <f t="shared" si="258"/>
        <v>0</v>
      </c>
      <c r="J633" s="148">
        <f t="shared" si="258"/>
        <v>0</v>
      </c>
      <c r="K633" s="168">
        <f t="shared" si="258"/>
        <v>0</v>
      </c>
      <c r="N633" s="91">
        <f t="shared" si="249"/>
        <v>0</v>
      </c>
      <c r="O633" s="130" t="str">
        <f t="shared" si="236"/>
        <v/>
      </c>
      <c r="P633" s="91">
        <f t="shared" si="250"/>
        <v>-34913249.300000004</v>
      </c>
      <c r="Q633" s="130">
        <f t="shared" si="238"/>
        <v>0</v>
      </c>
      <c r="R633" s="91"/>
      <c r="S633" s="132" t="str">
        <f t="shared" si="239"/>
        <v/>
      </c>
      <c r="T633" s="172">
        <f t="shared" si="242"/>
        <v>7</v>
      </c>
    </row>
    <row r="634" spans="1:20" ht="11.25" customHeight="1" x14ac:dyDescent="0.25">
      <c r="A634" s="42" t="s">
        <v>1473</v>
      </c>
      <c r="B634" s="20"/>
      <c r="C634" s="20"/>
      <c r="D634" s="20"/>
      <c r="E634" s="290" t="s">
        <v>687</v>
      </c>
      <c r="F634" s="291"/>
      <c r="G634" s="11">
        <v>3718181.3</v>
      </c>
      <c r="H634" s="11">
        <v>5919982.71</v>
      </c>
      <c r="I634" s="11">
        <v>0</v>
      </c>
      <c r="J634" s="140">
        <v>0</v>
      </c>
      <c r="K634" s="154"/>
      <c r="N634" s="91">
        <f t="shared" si="249"/>
        <v>0</v>
      </c>
      <c r="O634" s="130" t="str">
        <f t="shared" si="236"/>
        <v/>
      </c>
      <c r="P634" s="91">
        <f t="shared" si="250"/>
        <v>-5919982.71</v>
      </c>
      <c r="Q634" s="130">
        <f t="shared" si="238"/>
        <v>0</v>
      </c>
      <c r="R634" s="91"/>
      <c r="S634" s="132" t="str">
        <f t="shared" si="239"/>
        <v/>
      </c>
      <c r="T634" s="172">
        <f t="shared" si="242"/>
        <v>11</v>
      </c>
    </row>
    <row r="635" spans="1:20" ht="11.25" customHeight="1" x14ac:dyDescent="0.25">
      <c r="A635" s="42" t="s">
        <v>1474</v>
      </c>
      <c r="B635" s="20"/>
      <c r="C635" s="20"/>
      <c r="D635" s="20"/>
      <c r="E635" s="290" t="s">
        <v>688</v>
      </c>
      <c r="F635" s="291"/>
      <c r="G635" s="11">
        <v>12394769</v>
      </c>
      <c r="H635" s="11">
        <v>12180270</v>
      </c>
      <c r="I635" s="11">
        <v>0</v>
      </c>
      <c r="J635" s="140">
        <v>0</v>
      </c>
      <c r="K635" s="154"/>
      <c r="N635" s="91">
        <f t="shared" si="249"/>
        <v>0</v>
      </c>
      <c r="O635" s="130" t="str">
        <f t="shared" si="236"/>
        <v/>
      </c>
      <c r="P635" s="91">
        <f t="shared" si="250"/>
        <v>-12180270</v>
      </c>
      <c r="Q635" s="130">
        <f t="shared" si="238"/>
        <v>0</v>
      </c>
      <c r="R635" s="91"/>
      <c r="S635" s="132" t="str">
        <f t="shared" si="239"/>
        <v/>
      </c>
      <c r="T635" s="172">
        <f t="shared" si="242"/>
        <v>11</v>
      </c>
    </row>
    <row r="636" spans="1:20" ht="11.25" customHeight="1" x14ac:dyDescent="0.25">
      <c r="A636" s="42" t="s">
        <v>1475</v>
      </c>
      <c r="B636" s="20"/>
      <c r="C636" s="20"/>
      <c r="D636" s="20"/>
      <c r="E636" s="290" t="s">
        <v>689</v>
      </c>
      <c r="F636" s="291"/>
      <c r="G636" s="11">
        <v>3553164.66</v>
      </c>
      <c r="H636" s="11">
        <v>2020995.7</v>
      </c>
      <c r="I636" s="11">
        <v>0</v>
      </c>
      <c r="J636" s="140">
        <v>0</v>
      </c>
      <c r="K636" s="154"/>
      <c r="N636" s="91">
        <f t="shared" si="249"/>
        <v>0</v>
      </c>
      <c r="O636" s="130" t="str">
        <f t="shared" si="236"/>
        <v/>
      </c>
      <c r="P636" s="91">
        <f t="shared" si="250"/>
        <v>-2020995.7</v>
      </c>
      <c r="Q636" s="130">
        <f t="shared" si="238"/>
        <v>0</v>
      </c>
      <c r="R636" s="91"/>
      <c r="S636" s="132" t="str">
        <f t="shared" si="239"/>
        <v/>
      </c>
      <c r="T636" s="172">
        <f t="shared" si="242"/>
        <v>11</v>
      </c>
    </row>
    <row r="637" spans="1:20" ht="11.25" customHeight="1" x14ac:dyDescent="0.25">
      <c r="A637" s="42" t="s">
        <v>1476</v>
      </c>
      <c r="B637" s="20"/>
      <c r="C637" s="20"/>
      <c r="D637" s="20"/>
      <c r="E637" s="290" t="s">
        <v>690</v>
      </c>
      <c r="F637" s="291"/>
      <c r="G637" s="11">
        <v>17427.349999999999</v>
      </c>
      <c r="H637" s="11">
        <v>0</v>
      </c>
      <c r="I637" s="11">
        <v>0</v>
      </c>
      <c r="J637" s="140">
        <v>0</v>
      </c>
      <c r="K637" s="154"/>
      <c r="N637" s="91">
        <f t="shared" si="249"/>
        <v>0</v>
      </c>
      <c r="O637" s="130" t="str">
        <f t="shared" si="236"/>
        <v/>
      </c>
      <c r="P637" s="91">
        <f t="shared" si="250"/>
        <v>0</v>
      </c>
      <c r="Q637" s="130" t="str">
        <f t="shared" si="238"/>
        <v/>
      </c>
      <c r="R637" s="91"/>
      <c r="S637" s="132" t="str">
        <f t="shared" si="239"/>
        <v/>
      </c>
      <c r="T637" s="172">
        <f t="shared" si="242"/>
        <v>11</v>
      </c>
    </row>
    <row r="638" spans="1:20" ht="11.25" customHeight="1" x14ac:dyDescent="0.25">
      <c r="A638" s="42" t="s">
        <v>1477</v>
      </c>
      <c r="B638" s="20"/>
      <c r="C638" s="20"/>
      <c r="D638" s="20"/>
      <c r="E638" s="290" t="s">
        <v>691</v>
      </c>
      <c r="F638" s="291"/>
      <c r="G638" s="11">
        <v>16461438.82</v>
      </c>
      <c r="H638" s="11">
        <v>14538428.51</v>
      </c>
      <c r="I638" s="11">
        <v>0</v>
      </c>
      <c r="J638" s="140">
        <v>0</v>
      </c>
      <c r="K638" s="154"/>
      <c r="N638" s="91">
        <f t="shared" si="249"/>
        <v>0</v>
      </c>
      <c r="O638" s="130" t="str">
        <f t="shared" si="236"/>
        <v/>
      </c>
      <c r="P638" s="91">
        <f t="shared" si="250"/>
        <v>-14538428.51</v>
      </c>
      <c r="Q638" s="130">
        <f t="shared" si="238"/>
        <v>0</v>
      </c>
      <c r="R638" s="91"/>
      <c r="S638" s="132" t="str">
        <f t="shared" si="239"/>
        <v/>
      </c>
      <c r="T638" s="172">
        <f t="shared" si="242"/>
        <v>11</v>
      </c>
    </row>
    <row r="639" spans="1:20" ht="11.25" customHeight="1" x14ac:dyDescent="0.25">
      <c r="A639" s="42" t="s">
        <v>1478</v>
      </c>
      <c r="B639" s="20"/>
      <c r="C639" s="20"/>
      <c r="D639" s="20"/>
      <c r="E639" s="290" t="s">
        <v>692</v>
      </c>
      <c r="F639" s="291"/>
      <c r="G639" s="11">
        <v>163453.20000000001</v>
      </c>
      <c r="H639" s="11">
        <v>253572.38</v>
      </c>
      <c r="I639" s="11">
        <v>0</v>
      </c>
      <c r="J639" s="140">
        <v>0</v>
      </c>
      <c r="K639" s="154"/>
      <c r="N639" s="91">
        <f t="shared" si="249"/>
        <v>0</v>
      </c>
      <c r="O639" s="130" t="str">
        <f t="shared" si="236"/>
        <v/>
      </c>
      <c r="P639" s="91">
        <f t="shared" si="250"/>
        <v>-253572.38</v>
      </c>
      <c r="Q639" s="130">
        <f t="shared" si="238"/>
        <v>0</v>
      </c>
      <c r="R639" s="91"/>
      <c r="S639" s="132" t="str">
        <f t="shared" si="239"/>
        <v/>
      </c>
      <c r="T639" s="172">
        <f t="shared" si="242"/>
        <v>11</v>
      </c>
    </row>
    <row r="640" spans="1:20" ht="11.25" customHeight="1" x14ac:dyDescent="0.25">
      <c r="A640" s="57" t="s">
        <v>1479</v>
      </c>
      <c r="B640" s="57"/>
      <c r="C640" s="55"/>
      <c r="D640" s="55"/>
      <c r="E640" s="288" t="s">
        <v>693</v>
      </c>
      <c r="F640" s="289"/>
      <c r="G640" s="56">
        <f t="shared" ref="G640:K640" si="259">SUM(G641:G650)</f>
        <v>49998727.699999996</v>
      </c>
      <c r="H640" s="56">
        <f t="shared" si="259"/>
        <v>61518952.020000018</v>
      </c>
      <c r="I640" s="56">
        <f t="shared" si="259"/>
        <v>73099811.917753398</v>
      </c>
      <c r="J640" s="148">
        <f t="shared" si="259"/>
        <v>0</v>
      </c>
      <c r="K640" s="168">
        <f t="shared" si="259"/>
        <v>0</v>
      </c>
      <c r="N640" s="91">
        <f t="shared" si="249"/>
        <v>-73099811.917753398</v>
      </c>
      <c r="O640" s="130">
        <f t="shared" si="236"/>
        <v>0</v>
      </c>
      <c r="P640" s="91">
        <f t="shared" si="250"/>
        <v>-61518952.020000018</v>
      </c>
      <c r="Q640" s="130">
        <f t="shared" si="238"/>
        <v>0</v>
      </c>
      <c r="R640" s="91"/>
      <c r="S640" s="132" t="str">
        <f t="shared" si="239"/>
        <v/>
      </c>
      <c r="T640" s="172">
        <f t="shared" si="242"/>
        <v>7</v>
      </c>
    </row>
    <row r="641" spans="1:20" ht="11.25" customHeight="1" x14ac:dyDescent="0.25">
      <c r="A641" s="42" t="s">
        <v>1480</v>
      </c>
      <c r="B641" s="20" t="s">
        <v>916</v>
      </c>
      <c r="C641" s="20" t="s">
        <v>920</v>
      </c>
      <c r="D641" s="20" t="s">
        <v>1523</v>
      </c>
      <c r="E641" s="290" t="s">
        <v>694</v>
      </c>
      <c r="F641" s="291"/>
      <c r="G641" s="11">
        <v>0</v>
      </c>
      <c r="H641" s="11">
        <v>0</v>
      </c>
      <c r="I641" s="11">
        <v>62926811.917753503</v>
      </c>
      <c r="J641" s="140">
        <v>0</v>
      </c>
      <c r="K641" s="154"/>
      <c r="N641" s="91">
        <f t="shared" si="249"/>
        <v>-62926811.917753503</v>
      </c>
      <c r="O641" s="130">
        <f t="shared" si="236"/>
        <v>0</v>
      </c>
      <c r="P641" s="91">
        <f t="shared" si="250"/>
        <v>0</v>
      </c>
      <c r="Q641" s="130" t="str">
        <f t="shared" si="238"/>
        <v/>
      </c>
      <c r="R641" s="91"/>
      <c r="S641" s="132" t="str">
        <f t="shared" si="239"/>
        <v/>
      </c>
      <c r="T641" s="172">
        <f t="shared" si="242"/>
        <v>11</v>
      </c>
    </row>
    <row r="642" spans="1:20" ht="11.25" customHeight="1" x14ac:dyDescent="0.25">
      <c r="A642" s="42" t="s">
        <v>1481</v>
      </c>
      <c r="B642" s="20" t="s">
        <v>916</v>
      </c>
      <c r="C642" s="20" t="s">
        <v>920</v>
      </c>
      <c r="D642" s="20" t="s">
        <v>1523</v>
      </c>
      <c r="E642" s="290" t="s">
        <v>695</v>
      </c>
      <c r="F642" s="291"/>
      <c r="G642" s="11">
        <v>0</v>
      </c>
      <c r="H642" s="11">
        <v>0</v>
      </c>
      <c r="I642" s="11">
        <v>10172999.999999899</v>
      </c>
      <c r="J642" s="140">
        <v>0</v>
      </c>
      <c r="K642" s="154"/>
      <c r="N642" s="91">
        <f t="shared" si="249"/>
        <v>-10172999.999999899</v>
      </c>
      <c r="O642" s="130">
        <f t="shared" si="236"/>
        <v>0</v>
      </c>
      <c r="P642" s="91">
        <f t="shared" si="250"/>
        <v>0</v>
      </c>
      <c r="Q642" s="130" t="str">
        <f t="shared" si="238"/>
        <v/>
      </c>
      <c r="R642" s="91"/>
      <c r="S642" s="132" t="str">
        <f t="shared" si="239"/>
        <v/>
      </c>
      <c r="T642" s="172">
        <f t="shared" si="242"/>
        <v>11</v>
      </c>
    </row>
    <row r="643" spans="1:20" ht="11.25" customHeight="1" x14ac:dyDescent="0.25">
      <c r="A643" s="42" t="s">
        <v>1482</v>
      </c>
      <c r="B643" s="20"/>
      <c r="C643" s="20"/>
      <c r="D643" s="20"/>
      <c r="E643" s="290" t="s">
        <v>696</v>
      </c>
      <c r="F643" s="291"/>
      <c r="G643" s="11">
        <v>10716869.98</v>
      </c>
      <c r="H643" s="11">
        <v>19469662.899999999</v>
      </c>
      <c r="I643" s="11">
        <v>0</v>
      </c>
      <c r="J643" s="140">
        <v>0</v>
      </c>
      <c r="K643" s="154"/>
      <c r="N643" s="91">
        <f t="shared" si="249"/>
        <v>0</v>
      </c>
      <c r="O643" s="130" t="str">
        <f t="shared" si="236"/>
        <v/>
      </c>
      <c r="P643" s="91">
        <f t="shared" si="250"/>
        <v>-19469662.899999999</v>
      </c>
      <c r="Q643" s="130">
        <f t="shared" si="238"/>
        <v>0</v>
      </c>
      <c r="R643" s="91"/>
      <c r="S643" s="132" t="str">
        <f t="shared" si="239"/>
        <v/>
      </c>
      <c r="T643" s="172">
        <f t="shared" si="242"/>
        <v>11</v>
      </c>
    </row>
    <row r="644" spans="1:20" ht="11.25" customHeight="1" x14ac:dyDescent="0.25">
      <c r="A644" s="42" t="s">
        <v>1483</v>
      </c>
      <c r="B644" s="20"/>
      <c r="C644" s="20"/>
      <c r="D644" s="20"/>
      <c r="E644" s="290" t="s">
        <v>688</v>
      </c>
      <c r="F644" s="291"/>
      <c r="G644" s="11">
        <v>23607117.699999999</v>
      </c>
      <c r="H644" s="11">
        <v>23652343.300000001</v>
      </c>
      <c r="I644" s="11">
        <v>0</v>
      </c>
      <c r="J644" s="140">
        <v>0</v>
      </c>
      <c r="K644" s="154"/>
      <c r="N644" s="91">
        <f t="shared" si="249"/>
        <v>0</v>
      </c>
      <c r="O644" s="130" t="str">
        <f t="shared" si="236"/>
        <v/>
      </c>
      <c r="P644" s="91">
        <f t="shared" si="250"/>
        <v>-23652343.300000001</v>
      </c>
      <c r="Q644" s="130">
        <f t="shared" si="238"/>
        <v>0</v>
      </c>
      <c r="R644" s="91"/>
      <c r="S644" s="132" t="str">
        <f t="shared" si="239"/>
        <v/>
      </c>
      <c r="T644" s="172">
        <f t="shared" si="242"/>
        <v>11</v>
      </c>
    </row>
    <row r="645" spans="1:20" ht="11.25" customHeight="1" x14ac:dyDescent="0.25">
      <c r="A645" s="42" t="s">
        <v>1484</v>
      </c>
      <c r="B645" s="20"/>
      <c r="C645" s="20"/>
      <c r="D645" s="20"/>
      <c r="E645" s="290" t="s">
        <v>697</v>
      </c>
      <c r="F645" s="291"/>
      <c r="G645" s="11">
        <v>961160.26</v>
      </c>
      <c r="H645" s="11">
        <v>1202274.8500000001</v>
      </c>
      <c r="I645" s="11">
        <v>0</v>
      </c>
      <c r="J645" s="140">
        <v>0</v>
      </c>
      <c r="K645" s="154"/>
      <c r="N645" s="91">
        <f t="shared" si="249"/>
        <v>0</v>
      </c>
      <c r="O645" s="130" t="str">
        <f t="shared" si="236"/>
        <v/>
      </c>
      <c r="P645" s="91">
        <f t="shared" si="250"/>
        <v>-1202274.8500000001</v>
      </c>
      <c r="Q645" s="130">
        <f t="shared" si="238"/>
        <v>0</v>
      </c>
      <c r="R645" s="91"/>
      <c r="S645" s="132" t="str">
        <f t="shared" si="239"/>
        <v/>
      </c>
      <c r="T645" s="172">
        <f t="shared" si="242"/>
        <v>11</v>
      </c>
    </row>
    <row r="646" spans="1:20" ht="11.25" customHeight="1" x14ac:dyDescent="0.25">
      <c r="A646" s="42" t="s">
        <v>1485</v>
      </c>
      <c r="B646" s="20"/>
      <c r="C646" s="20"/>
      <c r="D646" s="20"/>
      <c r="E646" s="290" t="s">
        <v>689</v>
      </c>
      <c r="F646" s="291"/>
      <c r="G646" s="11">
        <v>5081215.66</v>
      </c>
      <c r="H646" s="11">
        <v>3639962.77</v>
      </c>
      <c r="I646" s="11">
        <v>0</v>
      </c>
      <c r="J646" s="140">
        <v>0</v>
      </c>
      <c r="K646" s="154"/>
      <c r="N646" s="91">
        <f t="shared" si="249"/>
        <v>0</v>
      </c>
      <c r="O646" s="130" t="str">
        <f t="shared" si="236"/>
        <v/>
      </c>
      <c r="P646" s="91">
        <f t="shared" si="250"/>
        <v>-3639962.77</v>
      </c>
      <c r="Q646" s="130">
        <f t="shared" si="238"/>
        <v>0</v>
      </c>
      <c r="R646" s="91"/>
      <c r="S646" s="132" t="str">
        <f t="shared" si="239"/>
        <v/>
      </c>
      <c r="T646" s="172">
        <f t="shared" si="242"/>
        <v>11</v>
      </c>
    </row>
    <row r="647" spans="1:20" ht="11.25" customHeight="1" x14ac:dyDescent="0.25">
      <c r="A647" s="42" t="s">
        <v>1486</v>
      </c>
      <c r="B647" s="20"/>
      <c r="C647" s="20"/>
      <c r="D647" s="20"/>
      <c r="E647" s="290" t="s">
        <v>690</v>
      </c>
      <c r="F647" s="291"/>
      <c r="G647" s="11">
        <v>951433.19</v>
      </c>
      <c r="H647" s="11">
        <v>975786.14</v>
      </c>
      <c r="I647" s="11">
        <v>0</v>
      </c>
      <c r="J647" s="140">
        <v>0</v>
      </c>
      <c r="K647" s="154"/>
      <c r="N647" s="91">
        <f t="shared" si="249"/>
        <v>0</v>
      </c>
      <c r="O647" s="130" t="str">
        <f t="shared" si="236"/>
        <v/>
      </c>
      <c r="P647" s="91">
        <f t="shared" si="250"/>
        <v>-975786.14</v>
      </c>
      <c r="Q647" s="130">
        <f t="shared" si="238"/>
        <v>0</v>
      </c>
      <c r="R647" s="91"/>
      <c r="S647" s="132" t="str">
        <f t="shared" si="239"/>
        <v/>
      </c>
      <c r="T647" s="172">
        <f t="shared" si="242"/>
        <v>11</v>
      </c>
    </row>
    <row r="648" spans="1:20" ht="11.25" customHeight="1" x14ac:dyDescent="0.25">
      <c r="A648" s="42" t="s">
        <v>1487</v>
      </c>
      <c r="B648" s="20"/>
      <c r="C648" s="20"/>
      <c r="D648" s="20"/>
      <c r="E648" s="290" t="s">
        <v>698</v>
      </c>
      <c r="F648" s="291"/>
      <c r="G648" s="11">
        <v>968300</v>
      </c>
      <c r="H648" s="11">
        <v>1148225</v>
      </c>
      <c r="I648" s="11">
        <v>0</v>
      </c>
      <c r="J648" s="140">
        <v>0</v>
      </c>
      <c r="K648" s="154"/>
      <c r="N648" s="91">
        <f t="shared" si="249"/>
        <v>0</v>
      </c>
      <c r="O648" s="130" t="str">
        <f t="shared" si="236"/>
        <v/>
      </c>
      <c r="P648" s="91">
        <f t="shared" si="250"/>
        <v>-1148225</v>
      </c>
      <c r="Q648" s="130">
        <f t="shared" si="238"/>
        <v>0</v>
      </c>
      <c r="R648" s="91"/>
      <c r="S648" s="132" t="str">
        <f t="shared" si="239"/>
        <v/>
      </c>
      <c r="T648" s="172">
        <f t="shared" si="242"/>
        <v>11</v>
      </c>
    </row>
    <row r="649" spans="1:20" ht="11.25" customHeight="1" x14ac:dyDescent="0.25">
      <c r="A649" s="42" t="s">
        <v>1488</v>
      </c>
      <c r="B649" s="20"/>
      <c r="C649" s="20"/>
      <c r="D649" s="20"/>
      <c r="E649" s="290" t="s">
        <v>699</v>
      </c>
      <c r="F649" s="291"/>
      <c r="G649" s="11">
        <v>3403251.53</v>
      </c>
      <c r="H649" s="11">
        <v>3595633.65</v>
      </c>
      <c r="I649" s="11">
        <v>0</v>
      </c>
      <c r="J649" s="140">
        <v>0</v>
      </c>
      <c r="K649" s="154"/>
      <c r="N649" s="91">
        <f t="shared" si="249"/>
        <v>0</v>
      </c>
      <c r="O649" s="130" t="str">
        <f t="shared" si="236"/>
        <v/>
      </c>
      <c r="P649" s="91">
        <f t="shared" si="250"/>
        <v>-3595633.65</v>
      </c>
      <c r="Q649" s="130">
        <f t="shared" si="238"/>
        <v>0</v>
      </c>
      <c r="R649" s="91"/>
      <c r="S649" s="132" t="str">
        <f t="shared" si="239"/>
        <v/>
      </c>
      <c r="T649" s="172">
        <f t="shared" si="242"/>
        <v>11</v>
      </c>
    </row>
    <row r="650" spans="1:20" ht="11.25" customHeight="1" x14ac:dyDescent="0.25">
      <c r="A650" s="42" t="s">
        <v>1489</v>
      </c>
      <c r="B650" s="20"/>
      <c r="C650" s="20"/>
      <c r="D650" s="20"/>
      <c r="E650" s="290" t="s">
        <v>691</v>
      </c>
      <c r="F650" s="291"/>
      <c r="G650" s="11">
        <v>4309379.38</v>
      </c>
      <c r="H650" s="11">
        <v>7835063.4100000104</v>
      </c>
      <c r="I650" s="11">
        <v>0</v>
      </c>
      <c r="J650" s="140">
        <v>0</v>
      </c>
      <c r="K650" s="154"/>
      <c r="N650" s="91">
        <f t="shared" si="249"/>
        <v>0</v>
      </c>
      <c r="O650" s="130" t="str">
        <f t="shared" si="236"/>
        <v/>
      </c>
      <c r="P650" s="91">
        <f t="shared" si="250"/>
        <v>-7835063.4100000104</v>
      </c>
      <c r="Q650" s="130">
        <f t="shared" si="238"/>
        <v>0</v>
      </c>
      <c r="R650" s="91"/>
      <c r="S650" s="132" t="str">
        <f t="shared" si="239"/>
        <v/>
      </c>
      <c r="T650" s="172">
        <f t="shared" si="242"/>
        <v>11</v>
      </c>
    </row>
    <row r="651" spans="1:20" ht="11.25" customHeight="1" x14ac:dyDescent="0.25">
      <c r="A651" s="57" t="s">
        <v>1490</v>
      </c>
      <c r="B651" s="57"/>
      <c r="C651" s="55"/>
      <c r="D651" s="55"/>
      <c r="E651" s="288" t="s">
        <v>700</v>
      </c>
      <c r="F651" s="289"/>
      <c r="G651" s="56">
        <f t="shared" ref="G651:K651" si="260">SUM(G652:G653)</f>
        <v>4279802.38</v>
      </c>
      <c r="H651" s="56">
        <f t="shared" si="260"/>
        <v>4885249.4800000004</v>
      </c>
      <c r="I651" s="56">
        <f t="shared" si="260"/>
        <v>0</v>
      </c>
      <c r="J651" s="148">
        <f t="shared" si="260"/>
        <v>0</v>
      </c>
      <c r="K651" s="168">
        <f t="shared" si="260"/>
        <v>0</v>
      </c>
      <c r="N651" s="91">
        <f t="shared" si="249"/>
        <v>0</v>
      </c>
      <c r="O651" s="130" t="str">
        <f t="shared" ref="O651:O714" si="261">IF(I651=0,"",K651/I651)</f>
        <v/>
      </c>
      <c r="P651" s="91">
        <f t="shared" si="250"/>
        <v>-4885249.4800000004</v>
      </c>
      <c r="Q651" s="130">
        <f t="shared" ref="Q651:Q714" si="262">IF(H651=0,"",K651/H651)</f>
        <v>0</v>
      </c>
      <c r="R651" s="91"/>
      <c r="S651" s="132" t="str">
        <f t="shared" si="239"/>
        <v/>
      </c>
      <c r="T651" s="172">
        <f t="shared" si="242"/>
        <v>7</v>
      </c>
    </row>
    <row r="652" spans="1:20" ht="11.25" customHeight="1" x14ac:dyDescent="0.25">
      <c r="A652" s="42" t="s">
        <v>1491</v>
      </c>
      <c r="B652" s="20"/>
      <c r="C652" s="20"/>
      <c r="D652" s="20"/>
      <c r="E652" s="290" t="s">
        <v>701</v>
      </c>
      <c r="F652" s="291"/>
      <c r="G652" s="11">
        <v>10711.91</v>
      </c>
      <c r="H652" s="11">
        <v>4521.9799999999996</v>
      </c>
      <c r="I652" s="11">
        <v>0</v>
      </c>
      <c r="J652" s="140">
        <v>0</v>
      </c>
      <c r="K652" s="154"/>
      <c r="N652" s="91">
        <f t="shared" si="249"/>
        <v>0</v>
      </c>
      <c r="O652" s="130" t="str">
        <f t="shared" si="261"/>
        <v/>
      </c>
      <c r="P652" s="91">
        <f t="shared" si="250"/>
        <v>-4521.9799999999996</v>
      </c>
      <c r="Q652" s="130">
        <f t="shared" si="262"/>
        <v>0</v>
      </c>
      <c r="R652" s="91"/>
      <c r="S652" s="132" t="str">
        <f t="shared" si="239"/>
        <v/>
      </c>
      <c r="T652" s="172">
        <f t="shared" si="242"/>
        <v>11</v>
      </c>
    </row>
    <row r="653" spans="1:20" ht="11.25" customHeight="1" x14ac:dyDescent="0.25">
      <c r="A653" s="42" t="s">
        <v>1492</v>
      </c>
      <c r="B653" s="20" t="s">
        <v>916</v>
      </c>
      <c r="C653" s="20" t="s">
        <v>920</v>
      </c>
      <c r="D653" s="20" t="s">
        <v>1523</v>
      </c>
      <c r="E653" s="290" t="s">
        <v>702</v>
      </c>
      <c r="F653" s="291"/>
      <c r="G653" s="11">
        <v>4269090.47</v>
      </c>
      <c r="H653" s="11">
        <v>4880727.5</v>
      </c>
      <c r="I653" s="11">
        <v>0</v>
      </c>
      <c r="J653" s="140">
        <v>0</v>
      </c>
      <c r="K653" s="154"/>
      <c r="N653" s="91">
        <f t="shared" si="249"/>
        <v>0</v>
      </c>
      <c r="O653" s="130" t="str">
        <f t="shared" si="261"/>
        <v/>
      </c>
      <c r="P653" s="91">
        <f t="shared" si="250"/>
        <v>-4880727.5</v>
      </c>
      <c r="Q653" s="130">
        <f t="shared" si="262"/>
        <v>0</v>
      </c>
      <c r="R653" s="91"/>
      <c r="S653" s="132" t="str">
        <f t="shared" ref="S653:S716" si="263">IF(J653=0,"",K653/J653)</f>
        <v/>
      </c>
      <c r="T653" s="172">
        <f t="shared" si="242"/>
        <v>11</v>
      </c>
    </row>
    <row r="654" spans="1:20" ht="11.25" customHeight="1" x14ac:dyDescent="0.25">
      <c r="A654" s="57" t="s">
        <v>1493</v>
      </c>
      <c r="B654" s="57"/>
      <c r="C654" s="55"/>
      <c r="D654" s="55"/>
      <c r="E654" s="288" t="s">
        <v>703</v>
      </c>
      <c r="F654" s="289"/>
      <c r="G654" s="56">
        <f t="shared" ref="G654:K654" si="264">SUM(G655:G658)</f>
        <v>36790000</v>
      </c>
      <c r="H654" s="56">
        <f t="shared" si="264"/>
        <v>-104900000</v>
      </c>
      <c r="I654" s="56">
        <f t="shared" si="264"/>
        <v>0</v>
      </c>
      <c r="J654" s="148">
        <f t="shared" si="264"/>
        <v>0</v>
      </c>
      <c r="K654" s="168">
        <f t="shared" si="264"/>
        <v>0</v>
      </c>
      <c r="N654" s="91">
        <f t="shared" si="249"/>
        <v>0</v>
      </c>
      <c r="O654" s="130" t="str">
        <f t="shared" si="261"/>
        <v/>
      </c>
      <c r="P654" s="91">
        <f t="shared" si="250"/>
        <v>104900000</v>
      </c>
      <c r="Q654" s="130">
        <f t="shared" si="262"/>
        <v>0</v>
      </c>
      <c r="R654" s="91"/>
      <c r="S654" s="132" t="str">
        <f t="shared" si="263"/>
        <v/>
      </c>
      <c r="T654" s="172">
        <f t="shared" si="242"/>
        <v>7</v>
      </c>
    </row>
    <row r="655" spans="1:20" ht="11.25" customHeight="1" x14ac:dyDescent="0.25">
      <c r="A655" s="42" t="s">
        <v>1494</v>
      </c>
      <c r="B655" s="20" t="s">
        <v>916</v>
      </c>
      <c r="C655" s="20" t="s">
        <v>920</v>
      </c>
      <c r="D655" s="20" t="s">
        <v>1523</v>
      </c>
      <c r="E655" s="290" t="s">
        <v>704</v>
      </c>
      <c r="F655" s="291"/>
      <c r="G655" s="11">
        <v>-43210000</v>
      </c>
      <c r="H655" s="11">
        <v>-70100000</v>
      </c>
      <c r="I655" s="11">
        <v>0</v>
      </c>
      <c r="J655" s="140">
        <v>0</v>
      </c>
      <c r="K655" s="154"/>
      <c r="N655" s="91">
        <f t="shared" si="249"/>
        <v>0</v>
      </c>
      <c r="O655" s="130" t="str">
        <f t="shared" si="261"/>
        <v/>
      </c>
      <c r="P655" s="91">
        <f t="shared" si="250"/>
        <v>70100000</v>
      </c>
      <c r="Q655" s="130">
        <f t="shared" si="262"/>
        <v>0</v>
      </c>
      <c r="R655" s="91"/>
      <c r="S655" s="132" t="str">
        <f t="shared" si="263"/>
        <v/>
      </c>
      <c r="T655" s="172">
        <f t="shared" ref="T655:T718" si="265">LEN(A655)</f>
        <v>11</v>
      </c>
    </row>
    <row r="656" spans="1:20" ht="11.25" customHeight="1" x14ac:dyDescent="0.25">
      <c r="A656" s="42" t="s">
        <v>1644</v>
      </c>
      <c r="B656" s="21" t="s">
        <v>916</v>
      </c>
      <c r="C656" s="21" t="s">
        <v>920</v>
      </c>
      <c r="D656" s="21" t="s">
        <v>1523</v>
      </c>
      <c r="E656" s="292" t="s">
        <v>1647</v>
      </c>
      <c r="F656" s="293"/>
      <c r="G656" s="19"/>
      <c r="H656" s="19"/>
      <c r="I656" s="19"/>
      <c r="J656" s="141">
        <v>0</v>
      </c>
      <c r="K656" s="188"/>
      <c r="N656" s="91">
        <f t="shared" si="249"/>
        <v>0</v>
      </c>
      <c r="O656" s="130" t="str">
        <f t="shared" si="261"/>
        <v/>
      </c>
      <c r="P656" s="91">
        <f t="shared" si="250"/>
        <v>0</v>
      </c>
      <c r="Q656" s="130" t="str">
        <f t="shared" si="262"/>
        <v/>
      </c>
      <c r="R656" s="91"/>
      <c r="S656" s="132" t="str">
        <f t="shared" si="263"/>
        <v/>
      </c>
      <c r="T656" s="172">
        <f t="shared" si="265"/>
        <v>11</v>
      </c>
    </row>
    <row r="657" spans="1:20" ht="11.25" customHeight="1" x14ac:dyDescent="0.25">
      <c r="A657" s="42" t="s">
        <v>1645</v>
      </c>
      <c r="B657" s="21" t="s">
        <v>916</v>
      </c>
      <c r="C657" s="21" t="s">
        <v>920</v>
      </c>
      <c r="D657" s="21" t="s">
        <v>1523</v>
      </c>
      <c r="E657" s="292" t="s">
        <v>1646</v>
      </c>
      <c r="F657" s="293"/>
      <c r="G657" s="19"/>
      <c r="H657" s="19"/>
      <c r="I657" s="19"/>
      <c r="J657" s="141">
        <v>0</v>
      </c>
      <c r="K657" s="188"/>
      <c r="N657" s="91">
        <f t="shared" si="249"/>
        <v>0</v>
      </c>
      <c r="O657" s="130" t="str">
        <f t="shared" si="261"/>
        <v/>
      </c>
      <c r="P657" s="91">
        <f t="shared" si="250"/>
        <v>0</v>
      </c>
      <c r="Q657" s="130" t="str">
        <f t="shared" si="262"/>
        <v/>
      </c>
      <c r="R657" s="91"/>
      <c r="S657" s="132" t="str">
        <f t="shared" si="263"/>
        <v/>
      </c>
      <c r="T657" s="172">
        <f t="shared" si="265"/>
        <v>11</v>
      </c>
    </row>
    <row r="658" spans="1:20" ht="11.25" customHeight="1" x14ac:dyDescent="0.25">
      <c r="A658" s="42" t="s">
        <v>1495</v>
      </c>
      <c r="B658" s="20" t="s">
        <v>916</v>
      </c>
      <c r="C658" s="20" t="s">
        <v>920</v>
      </c>
      <c r="D658" s="20" t="s">
        <v>1523</v>
      </c>
      <c r="E658" s="290" t="s">
        <v>705</v>
      </c>
      <c r="F658" s="291"/>
      <c r="G658" s="11">
        <v>80000000</v>
      </c>
      <c r="H658" s="11">
        <v>-34800000</v>
      </c>
      <c r="I658" s="11">
        <v>0</v>
      </c>
      <c r="J658" s="140">
        <v>0</v>
      </c>
      <c r="K658" s="154"/>
      <c r="N658" s="91">
        <f t="shared" si="249"/>
        <v>0</v>
      </c>
      <c r="O658" s="130" t="str">
        <f t="shared" si="261"/>
        <v/>
      </c>
      <c r="P658" s="91">
        <f t="shared" si="250"/>
        <v>34800000</v>
      </c>
      <c r="Q658" s="130">
        <f t="shared" si="262"/>
        <v>0</v>
      </c>
      <c r="R658" s="91"/>
      <c r="S658" s="132" t="str">
        <f t="shared" si="263"/>
        <v/>
      </c>
      <c r="T658" s="172">
        <f t="shared" si="265"/>
        <v>11</v>
      </c>
    </row>
    <row r="659" spans="1:20" ht="11.25" customHeight="1" x14ac:dyDescent="0.25">
      <c r="A659" s="57" t="s">
        <v>1496</v>
      </c>
      <c r="B659" s="57"/>
      <c r="C659" s="55"/>
      <c r="D659" s="55"/>
      <c r="E659" s="288" t="s">
        <v>706</v>
      </c>
      <c r="F659" s="289"/>
      <c r="G659" s="56">
        <f t="shared" ref="G659:K659" si="266">SUM(G660:G661)</f>
        <v>-173859.61</v>
      </c>
      <c r="H659" s="56">
        <f t="shared" si="266"/>
        <v>-241117.3</v>
      </c>
      <c r="I659" s="56">
        <f t="shared" si="266"/>
        <v>0</v>
      </c>
      <c r="J659" s="148">
        <f t="shared" si="266"/>
        <v>0</v>
      </c>
      <c r="K659" s="168">
        <f t="shared" si="266"/>
        <v>0</v>
      </c>
      <c r="N659" s="91">
        <f t="shared" si="249"/>
        <v>0</v>
      </c>
      <c r="O659" s="130" t="str">
        <f t="shared" si="261"/>
        <v/>
      </c>
      <c r="P659" s="91">
        <f t="shared" si="250"/>
        <v>241117.3</v>
      </c>
      <c r="Q659" s="130">
        <f t="shared" si="262"/>
        <v>0</v>
      </c>
      <c r="R659" s="91"/>
      <c r="S659" s="132" t="str">
        <f t="shared" si="263"/>
        <v/>
      </c>
      <c r="T659" s="172">
        <f t="shared" si="265"/>
        <v>7</v>
      </c>
    </row>
    <row r="660" spans="1:20" ht="11.25" customHeight="1" x14ac:dyDescent="0.25">
      <c r="A660" s="42" t="s">
        <v>1497</v>
      </c>
      <c r="B660" s="20" t="s">
        <v>916</v>
      </c>
      <c r="C660" s="20" t="s">
        <v>920</v>
      </c>
      <c r="D660" s="20" t="s">
        <v>1523</v>
      </c>
      <c r="E660" s="290" t="s">
        <v>707</v>
      </c>
      <c r="F660" s="291"/>
      <c r="G660" s="11">
        <v>-5516.4</v>
      </c>
      <c r="H660" s="11">
        <v>-5862.53</v>
      </c>
      <c r="I660" s="11">
        <v>0</v>
      </c>
      <c r="J660" s="140">
        <v>0</v>
      </c>
      <c r="K660" s="154"/>
      <c r="N660" s="91">
        <f t="shared" si="249"/>
        <v>0</v>
      </c>
      <c r="O660" s="130" t="str">
        <f t="shared" si="261"/>
        <v/>
      </c>
      <c r="P660" s="91">
        <f t="shared" si="250"/>
        <v>5862.53</v>
      </c>
      <c r="Q660" s="130">
        <f t="shared" si="262"/>
        <v>0</v>
      </c>
      <c r="R660" s="91"/>
      <c r="S660" s="132" t="str">
        <f t="shared" si="263"/>
        <v/>
      </c>
      <c r="T660" s="172">
        <f t="shared" si="265"/>
        <v>11</v>
      </c>
    </row>
    <row r="661" spans="1:20" ht="11.25" customHeight="1" x14ac:dyDescent="0.25">
      <c r="A661" s="42" t="s">
        <v>1498</v>
      </c>
      <c r="B661" s="14"/>
      <c r="C661" s="13"/>
      <c r="D661" s="13"/>
      <c r="E661" s="290" t="s">
        <v>708</v>
      </c>
      <c r="F661" s="291"/>
      <c r="G661" s="11">
        <v>-168343.21</v>
      </c>
      <c r="H661" s="11">
        <v>-235254.77</v>
      </c>
      <c r="I661" s="11">
        <v>0</v>
      </c>
      <c r="J661" s="140">
        <v>0</v>
      </c>
      <c r="K661" s="154"/>
      <c r="N661" s="91">
        <f t="shared" si="249"/>
        <v>0</v>
      </c>
      <c r="O661" s="130" t="str">
        <f t="shared" si="261"/>
        <v/>
      </c>
      <c r="P661" s="91">
        <f t="shared" si="250"/>
        <v>235254.77</v>
      </c>
      <c r="Q661" s="130">
        <f t="shared" si="262"/>
        <v>0</v>
      </c>
      <c r="R661" s="91"/>
      <c r="S661" s="132" t="str">
        <f t="shared" si="263"/>
        <v/>
      </c>
      <c r="T661" s="172">
        <f t="shared" si="265"/>
        <v>11</v>
      </c>
    </row>
    <row r="662" spans="1:20" ht="11.25" customHeight="1" x14ac:dyDescent="0.25">
      <c r="A662" s="57" t="s">
        <v>1499</v>
      </c>
      <c r="B662" s="57"/>
      <c r="C662" s="55"/>
      <c r="D662" s="55"/>
      <c r="E662" s="288" t="s">
        <v>709</v>
      </c>
      <c r="F662" s="289"/>
      <c r="G662" s="56">
        <f t="shared" ref="G662:K662" si="267">SUM(G663)</f>
        <v>1304123.3799999999</v>
      </c>
      <c r="H662" s="56">
        <f t="shared" si="267"/>
        <v>964162.82</v>
      </c>
      <c r="I662" s="56">
        <f t="shared" si="267"/>
        <v>999723.93720356096</v>
      </c>
      <c r="J662" s="148">
        <f t="shared" si="267"/>
        <v>0</v>
      </c>
      <c r="K662" s="168">
        <f t="shared" si="267"/>
        <v>0</v>
      </c>
      <c r="N662" s="91">
        <f t="shared" si="249"/>
        <v>-999723.93720356096</v>
      </c>
      <c r="O662" s="130">
        <f t="shared" si="261"/>
        <v>0</v>
      </c>
      <c r="P662" s="91">
        <f t="shared" si="250"/>
        <v>-964162.82</v>
      </c>
      <c r="Q662" s="130">
        <f t="shared" si="262"/>
        <v>0</v>
      </c>
      <c r="R662" s="91"/>
      <c r="S662" s="132" t="str">
        <f t="shared" si="263"/>
        <v/>
      </c>
      <c r="T662" s="172">
        <f t="shared" si="265"/>
        <v>7</v>
      </c>
    </row>
    <row r="663" spans="1:20" ht="11.25" customHeight="1" x14ac:dyDescent="0.25">
      <c r="A663" s="42" t="s">
        <v>1500</v>
      </c>
      <c r="B663" s="20" t="s">
        <v>916</v>
      </c>
      <c r="C663" s="20" t="s">
        <v>920</v>
      </c>
      <c r="D663" s="20" t="s">
        <v>1523</v>
      </c>
      <c r="E663" s="290" t="s">
        <v>710</v>
      </c>
      <c r="F663" s="291"/>
      <c r="G663" s="11">
        <v>1304123.3799999999</v>
      </c>
      <c r="H663" s="11">
        <v>964162.82</v>
      </c>
      <c r="I663" s="11">
        <v>999723.93720356096</v>
      </c>
      <c r="J663" s="140">
        <v>0</v>
      </c>
      <c r="K663" s="154"/>
      <c r="N663" s="91">
        <f t="shared" si="249"/>
        <v>-999723.93720356096</v>
      </c>
      <c r="O663" s="130">
        <f t="shared" si="261"/>
        <v>0</v>
      </c>
      <c r="P663" s="91">
        <f t="shared" si="250"/>
        <v>-964162.82</v>
      </c>
      <c r="Q663" s="130">
        <f t="shared" si="262"/>
        <v>0</v>
      </c>
      <c r="R663" s="91"/>
      <c r="S663" s="132" t="str">
        <f t="shared" si="263"/>
        <v/>
      </c>
      <c r="T663" s="172">
        <f t="shared" si="265"/>
        <v>11</v>
      </c>
    </row>
    <row r="664" spans="1:20" ht="11.25" customHeight="1" x14ac:dyDescent="0.25">
      <c r="A664" s="57" t="s">
        <v>1501</v>
      </c>
      <c r="B664" s="57"/>
      <c r="C664" s="55"/>
      <c r="D664" s="55"/>
      <c r="E664" s="288" t="s">
        <v>711</v>
      </c>
      <c r="F664" s="289"/>
      <c r="G664" s="56">
        <f t="shared" ref="G664:K664" si="268">SUM(G665:G669)</f>
        <v>5038052548</v>
      </c>
      <c r="H664" s="56">
        <f t="shared" si="268"/>
        <v>5566810265.0000105</v>
      </c>
      <c r="I664" s="148">
        <f t="shared" si="268"/>
        <v>6012900183.3344698</v>
      </c>
      <c r="J664" s="198">
        <f t="shared" si="268"/>
        <v>6156064801</v>
      </c>
      <c r="K664" s="168">
        <f t="shared" si="268"/>
        <v>6790900000</v>
      </c>
      <c r="L664" s="108">
        <f>6742+33</f>
        <v>6775</v>
      </c>
      <c r="N664" s="91">
        <f t="shared" si="249"/>
        <v>777999816.6655302</v>
      </c>
      <c r="O664" s="130">
        <f t="shared" si="261"/>
        <v>1.1293884469963191</v>
      </c>
      <c r="P664" s="91">
        <f t="shared" si="250"/>
        <v>1224089734.9999895</v>
      </c>
      <c r="Q664" s="130">
        <f t="shared" si="262"/>
        <v>1.2198906872569668</v>
      </c>
      <c r="R664" s="91">
        <f t="shared" si="256"/>
        <v>634835199</v>
      </c>
      <c r="S664" s="132">
        <f t="shared" si="263"/>
        <v>1.1031235406906172</v>
      </c>
      <c r="T664" s="172">
        <f t="shared" si="265"/>
        <v>7</v>
      </c>
    </row>
    <row r="665" spans="1:20" ht="11.25" customHeight="1" x14ac:dyDescent="0.25">
      <c r="A665" s="42" t="s">
        <v>1502</v>
      </c>
      <c r="B665" s="20" t="s">
        <v>916</v>
      </c>
      <c r="C665" s="20" t="s">
        <v>920</v>
      </c>
      <c r="D665" s="20" t="s">
        <v>1523</v>
      </c>
      <c r="E665" s="290" t="s">
        <v>712</v>
      </c>
      <c r="F665" s="291"/>
      <c r="G665" s="11">
        <v>2254460950.5799999</v>
      </c>
      <c r="H665" s="11">
        <v>2452610875.4300098</v>
      </c>
      <c r="I665" s="11">
        <v>4906219183.3344698</v>
      </c>
      <c r="J665" s="140">
        <v>4940748988</v>
      </c>
      <c r="K665" s="155">
        <f>6742000000+33000000-20000000-K666+32400000+3500000</f>
        <v>5440900000</v>
      </c>
      <c r="N665" s="91">
        <f t="shared" si="249"/>
        <v>534680816.6655302</v>
      </c>
      <c r="O665" s="130">
        <f t="shared" si="261"/>
        <v>1.1089802140274823</v>
      </c>
      <c r="P665" s="91">
        <f t="shared" si="250"/>
        <v>2988289124.5699902</v>
      </c>
      <c r="Q665" s="130">
        <f t="shared" si="262"/>
        <v>2.2184114302461704</v>
      </c>
      <c r="R665" s="91">
        <f t="shared" si="256"/>
        <v>500151012</v>
      </c>
      <c r="S665" s="132">
        <f t="shared" si="263"/>
        <v>1.101229795971169</v>
      </c>
      <c r="T665" s="172">
        <f t="shared" si="265"/>
        <v>11</v>
      </c>
    </row>
    <row r="666" spans="1:20" ht="11.25" customHeight="1" x14ac:dyDescent="0.25">
      <c r="A666" s="42" t="s">
        <v>1503</v>
      </c>
      <c r="B666" s="20" t="s">
        <v>916</v>
      </c>
      <c r="C666" s="20" t="s">
        <v>920</v>
      </c>
      <c r="D666" s="20" t="s">
        <v>1523</v>
      </c>
      <c r="E666" s="290" t="s">
        <v>713</v>
      </c>
      <c r="F666" s="291"/>
      <c r="G666" s="11">
        <v>488751281.42000002</v>
      </c>
      <c r="H666" s="11">
        <v>556677020.57000005</v>
      </c>
      <c r="I666" s="11">
        <v>1106681000</v>
      </c>
      <c r="J666" s="140">
        <v>1215315813</v>
      </c>
      <c r="K666" s="158">
        <v>1350000000</v>
      </c>
      <c r="L666" s="108">
        <f>5633-5566</f>
        <v>67</v>
      </c>
      <c r="N666" s="91">
        <f t="shared" si="249"/>
        <v>243319000</v>
      </c>
      <c r="O666" s="130">
        <f t="shared" si="261"/>
        <v>1.2198637186325598</v>
      </c>
      <c r="P666" s="91">
        <f t="shared" si="250"/>
        <v>793322979.42999995</v>
      </c>
      <c r="Q666" s="130">
        <f t="shared" si="262"/>
        <v>2.4251045940744782</v>
      </c>
      <c r="R666" s="91">
        <f t="shared" si="256"/>
        <v>134684187</v>
      </c>
      <c r="S666" s="132">
        <f t="shared" si="263"/>
        <v>1.1108223768335022</v>
      </c>
      <c r="T666" s="172">
        <f t="shared" si="265"/>
        <v>11</v>
      </c>
    </row>
    <row r="667" spans="1:20" ht="11.25" customHeight="1" x14ac:dyDescent="0.25">
      <c r="A667" s="42" t="s">
        <v>1504</v>
      </c>
      <c r="B667" s="20"/>
      <c r="C667" s="20"/>
      <c r="D667" s="20"/>
      <c r="E667" s="290" t="s">
        <v>714</v>
      </c>
      <c r="F667" s="291"/>
      <c r="G667" s="11">
        <v>1923309130.5</v>
      </c>
      <c r="H667" s="11">
        <v>2130169635.24</v>
      </c>
      <c r="I667" s="11">
        <v>0</v>
      </c>
      <c r="J667" s="140">
        <v>0</v>
      </c>
      <c r="K667" s="154"/>
      <c r="N667" s="91">
        <f t="shared" si="249"/>
        <v>0</v>
      </c>
      <c r="O667" s="130" t="str">
        <f t="shared" si="261"/>
        <v/>
      </c>
      <c r="P667" s="91">
        <f t="shared" si="250"/>
        <v>-2130169635.24</v>
      </c>
      <c r="Q667" s="130">
        <f t="shared" si="262"/>
        <v>0</v>
      </c>
      <c r="R667" s="91"/>
      <c r="S667" s="132" t="str">
        <f t="shared" si="263"/>
        <v/>
      </c>
      <c r="T667" s="172">
        <f t="shared" si="265"/>
        <v>11</v>
      </c>
    </row>
    <row r="668" spans="1:20" ht="11.25" customHeight="1" x14ac:dyDescent="0.25">
      <c r="A668" s="42" t="s">
        <v>1505</v>
      </c>
      <c r="B668" s="14"/>
      <c r="C668" s="13"/>
      <c r="D668" s="13"/>
      <c r="E668" s="290" t="s">
        <v>715</v>
      </c>
      <c r="F668" s="291"/>
      <c r="G668" s="11">
        <v>4295088</v>
      </c>
      <c r="H668" s="11">
        <v>5016925</v>
      </c>
      <c r="I668" s="11">
        <v>0</v>
      </c>
      <c r="J668" s="140">
        <v>0</v>
      </c>
      <c r="K668" s="154"/>
      <c r="N668" s="91">
        <f t="shared" si="249"/>
        <v>0</v>
      </c>
      <c r="O668" s="130" t="str">
        <f t="shared" si="261"/>
        <v/>
      </c>
      <c r="P668" s="91">
        <f t="shared" si="250"/>
        <v>-5016925</v>
      </c>
      <c r="Q668" s="130">
        <f t="shared" si="262"/>
        <v>0</v>
      </c>
      <c r="R668" s="91"/>
      <c r="S668" s="132" t="str">
        <f t="shared" si="263"/>
        <v/>
      </c>
      <c r="T668" s="172">
        <f t="shared" si="265"/>
        <v>11</v>
      </c>
    </row>
    <row r="669" spans="1:20" ht="11.25" customHeight="1" x14ac:dyDescent="0.25">
      <c r="A669" s="42" t="s">
        <v>1506</v>
      </c>
      <c r="B669" s="20"/>
      <c r="C669" s="20"/>
      <c r="D669" s="20"/>
      <c r="E669" s="290" t="s">
        <v>716</v>
      </c>
      <c r="F669" s="291"/>
      <c r="G669" s="11">
        <v>367236097.5</v>
      </c>
      <c r="H669" s="11">
        <v>422335808.75999999</v>
      </c>
      <c r="I669" s="11">
        <v>0</v>
      </c>
      <c r="J669" s="140">
        <v>0</v>
      </c>
      <c r="K669" s="154"/>
      <c r="N669" s="91">
        <f t="shared" si="249"/>
        <v>0</v>
      </c>
      <c r="O669" s="130" t="str">
        <f t="shared" si="261"/>
        <v/>
      </c>
      <c r="P669" s="91">
        <f t="shared" si="250"/>
        <v>-422335808.75999999</v>
      </c>
      <c r="Q669" s="130">
        <f t="shared" si="262"/>
        <v>0</v>
      </c>
      <c r="R669" s="91"/>
      <c r="S669" s="132" t="str">
        <f t="shared" si="263"/>
        <v/>
      </c>
      <c r="T669" s="172">
        <f t="shared" si="265"/>
        <v>11</v>
      </c>
    </row>
    <row r="670" spans="1:20" ht="11.25" customHeight="1" x14ac:dyDescent="0.25">
      <c r="A670" s="57" t="s">
        <v>1507</v>
      </c>
      <c r="B670" s="57"/>
      <c r="C670" s="55"/>
      <c r="D670" s="55"/>
      <c r="E670" s="288" t="s">
        <v>717</v>
      </c>
      <c r="F670" s="289"/>
      <c r="G670" s="56">
        <f t="shared" ref="G670:K670" si="269">SUM(G671:G672)</f>
        <v>88150464.579999998</v>
      </c>
      <c r="H670" s="56">
        <f t="shared" si="269"/>
        <v>208340147.75999999</v>
      </c>
      <c r="I670" s="56">
        <f t="shared" si="269"/>
        <v>0</v>
      </c>
      <c r="J670" s="148">
        <f t="shared" si="269"/>
        <v>0</v>
      </c>
      <c r="K670" s="168">
        <f t="shared" si="269"/>
        <v>0</v>
      </c>
      <c r="N670" s="91">
        <f t="shared" si="249"/>
        <v>0</v>
      </c>
      <c r="O670" s="130" t="str">
        <f t="shared" si="261"/>
        <v/>
      </c>
      <c r="P670" s="91">
        <f t="shared" si="250"/>
        <v>-208340147.75999999</v>
      </c>
      <c r="Q670" s="130">
        <f t="shared" si="262"/>
        <v>0</v>
      </c>
      <c r="R670" s="91"/>
      <c r="S670" s="132" t="str">
        <f t="shared" si="263"/>
        <v/>
      </c>
      <c r="T670" s="172">
        <f t="shared" si="265"/>
        <v>7</v>
      </c>
    </row>
    <row r="671" spans="1:20" ht="11.25" customHeight="1" x14ac:dyDescent="0.25">
      <c r="A671" s="42" t="s">
        <v>1508</v>
      </c>
      <c r="B671" s="20" t="s">
        <v>916</v>
      </c>
      <c r="C671" s="20" t="s">
        <v>920</v>
      </c>
      <c r="D671" s="20" t="s">
        <v>1523</v>
      </c>
      <c r="E671" s="290" t="s">
        <v>718</v>
      </c>
      <c r="F671" s="291"/>
      <c r="G671" s="11">
        <v>22471793.149999999</v>
      </c>
      <c r="H671" s="11">
        <v>136361971.75999999</v>
      </c>
      <c r="I671" s="11">
        <v>0</v>
      </c>
      <c r="J671" s="140">
        <v>0</v>
      </c>
      <c r="K671" s="154"/>
      <c r="N671" s="91">
        <f t="shared" si="249"/>
        <v>0</v>
      </c>
      <c r="O671" s="130" t="str">
        <f t="shared" si="261"/>
        <v/>
      </c>
      <c r="P671" s="91">
        <f t="shared" si="250"/>
        <v>-136361971.75999999</v>
      </c>
      <c r="Q671" s="130">
        <f t="shared" si="262"/>
        <v>0</v>
      </c>
      <c r="R671" s="91"/>
      <c r="S671" s="132" t="str">
        <f t="shared" si="263"/>
        <v/>
      </c>
      <c r="T671" s="172">
        <f t="shared" si="265"/>
        <v>11</v>
      </c>
    </row>
    <row r="672" spans="1:20" ht="11.25" customHeight="1" x14ac:dyDescent="0.25">
      <c r="A672" s="42" t="s">
        <v>1509</v>
      </c>
      <c r="B672" s="14"/>
      <c r="C672" s="13"/>
      <c r="D672" s="13"/>
      <c r="E672" s="290" t="s">
        <v>719</v>
      </c>
      <c r="F672" s="291"/>
      <c r="G672" s="11">
        <v>65678671.43</v>
      </c>
      <c r="H672" s="11">
        <v>71978176</v>
      </c>
      <c r="I672" s="11">
        <v>0</v>
      </c>
      <c r="J672" s="140">
        <v>0</v>
      </c>
      <c r="K672" s="154"/>
      <c r="N672" s="91">
        <f t="shared" si="249"/>
        <v>0</v>
      </c>
      <c r="O672" s="130" t="str">
        <f t="shared" si="261"/>
        <v/>
      </c>
      <c r="P672" s="91">
        <f t="shared" si="250"/>
        <v>-71978176</v>
      </c>
      <c r="Q672" s="130">
        <f t="shared" si="262"/>
        <v>0</v>
      </c>
      <c r="R672" s="91"/>
      <c r="S672" s="132" t="str">
        <f t="shared" si="263"/>
        <v/>
      </c>
      <c r="T672" s="172">
        <f t="shared" si="265"/>
        <v>11</v>
      </c>
    </row>
    <row r="673" spans="1:20" ht="11.25" customHeight="1" x14ac:dyDescent="0.25">
      <c r="A673" s="53" t="s">
        <v>720</v>
      </c>
      <c r="B673" s="53"/>
      <c r="C673" s="51"/>
      <c r="D673" s="51"/>
      <c r="E673" s="282" t="s">
        <v>721</v>
      </c>
      <c r="F673" s="283"/>
      <c r="G673" s="52">
        <f t="shared" ref="G673:K673" si="270">G674+G677</f>
        <v>377757773.86999995</v>
      </c>
      <c r="H673" s="52">
        <f t="shared" si="270"/>
        <v>412942426.13000005</v>
      </c>
      <c r="I673" s="52">
        <f t="shared" si="270"/>
        <v>430369000</v>
      </c>
      <c r="J673" s="147">
        <v>434878899</v>
      </c>
      <c r="K673" s="167">
        <f t="shared" si="270"/>
        <v>454304005.24149996</v>
      </c>
      <c r="L673" s="201">
        <v>0.05</v>
      </c>
      <c r="M673" s="201"/>
      <c r="N673" s="193">
        <f t="shared" si="249"/>
        <v>23935005.24149996</v>
      </c>
      <c r="O673" s="194">
        <f t="shared" si="261"/>
        <v>1.0556150773905648</v>
      </c>
      <c r="P673" s="193">
        <f t="shared" si="250"/>
        <v>41361579.111499906</v>
      </c>
      <c r="Q673" s="194">
        <f t="shared" si="262"/>
        <v>1.1001630651011836</v>
      </c>
      <c r="R673" s="193">
        <f t="shared" si="256"/>
        <v>19425106.24149996</v>
      </c>
      <c r="S673" s="195">
        <f t="shared" si="263"/>
        <v>1.0446678518690324</v>
      </c>
      <c r="T673" s="172">
        <f t="shared" si="265"/>
        <v>4</v>
      </c>
    </row>
    <row r="674" spans="1:20" ht="11.25" customHeight="1" x14ac:dyDescent="0.25">
      <c r="A674" s="57" t="s">
        <v>1510</v>
      </c>
      <c r="B674" s="57"/>
      <c r="C674" s="55"/>
      <c r="D674" s="55"/>
      <c r="E674" s="288" t="s">
        <v>722</v>
      </c>
      <c r="F674" s="289"/>
      <c r="G674" s="56">
        <f t="shared" ref="G674:K674" si="271">SUM(G675:G676)</f>
        <v>2565334.52</v>
      </c>
      <c r="H674" s="56">
        <f t="shared" si="271"/>
        <v>4228457.8500000006</v>
      </c>
      <c r="I674" s="56">
        <f t="shared" si="271"/>
        <v>4468999.9999999804</v>
      </c>
      <c r="J674" s="148">
        <f t="shared" si="271"/>
        <v>0</v>
      </c>
      <c r="K674" s="168">
        <f t="shared" si="271"/>
        <v>4547000</v>
      </c>
      <c r="N674" s="91">
        <f t="shared" si="249"/>
        <v>78000.000000019558</v>
      </c>
      <c r="O674" s="130">
        <f t="shared" si="261"/>
        <v>1.0174535690311075</v>
      </c>
      <c r="P674" s="91">
        <f t="shared" si="250"/>
        <v>318542.14999999944</v>
      </c>
      <c r="Q674" s="130">
        <f t="shared" si="262"/>
        <v>1.0753329372787763</v>
      </c>
      <c r="R674" s="91"/>
      <c r="S674" s="132" t="str">
        <f t="shared" si="263"/>
        <v/>
      </c>
      <c r="T674" s="172">
        <f t="shared" si="265"/>
        <v>7</v>
      </c>
    </row>
    <row r="675" spans="1:20" ht="11.25" customHeight="1" x14ac:dyDescent="0.25">
      <c r="A675" s="42" t="s">
        <v>1511</v>
      </c>
      <c r="B675" s="27" t="s">
        <v>916</v>
      </c>
      <c r="C675" s="28" t="s">
        <v>923</v>
      </c>
      <c r="D675" s="28" t="s">
        <v>917</v>
      </c>
      <c r="E675" s="290" t="s">
        <v>723</v>
      </c>
      <c r="F675" s="291"/>
      <c r="G675" s="11">
        <v>2376387.29</v>
      </c>
      <c r="H675" s="11">
        <v>3999993.62</v>
      </c>
      <c r="I675" s="11">
        <v>4153999.9999999902</v>
      </c>
      <c r="J675" s="140">
        <v>0</v>
      </c>
      <c r="K675" s="155">
        <f>3297000+1010000</f>
        <v>4307000</v>
      </c>
      <c r="N675" s="91">
        <f t="shared" si="249"/>
        <v>153000.00000000978</v>
      </c>
      <c r="O675" s="130">
        <f t="shared" si="261"/>
        <v>1.0368319691863288</v>
      </c>
      <c r="P675" s="91">
        <f t="shared" si="250"/>
        <v>307006.37999999989</v>
      </c>
      <c r="Q675" s="130">
        <f t="shared" si="262"/>
        <v>1.0767517174189893</v>
      </c>
      <c r="R675" s="91"/>
      <c r="S675" s="132" t="str">
        <f t="shared" si="263"/>
        <v/>
      </c>
      <c r="T675" s="172">
        <f t="shared" si="265"/>
        <v>11</v>
      </c>
    </row>
    <row r="676" spans="1:20" ht="11.25" customHeight="1" x14ac:dyDescent="0.25">
      <c r="A676" s="42" t="s">
        <v>1512</v>
      </c>
      <c r="B676" s="27" t="s">
        <v>916</v>
      </c>
      <c r="C676" s="28" t="s">
        <v>919</v>
      </c>
      <c r="D676" s="28" t="s">
        <v>917</v>
      </c>
      <c r="E676" s="290" t="s">
        <v>184</v>
      </c>
      <c r="F676" s="291"/>
      <c r="G676" s="11">
        <v>188947.23</v>
      </c>
      <c r="H676" s="11">
        <v>228464.23</v>
      </c>
      <c r="I676" s="11">
        <v>314999.99999998999</v>
      </c>
      <c r="J676" s="140">
        <v>0</v>
      </c>
      <c r="K676" s="155">
        <v>240000</v>
      </c>
      <c r="N676" s="91">
        <f t="shared" si="249"/>
        <v>-74999.999999989988</v>
      </c>
      <c r="O676" s="130">
        <f t="shared" si="261"/>
        <v>0.76190476190478607</v>
      </c>
      <c r="P676" s="91">
        <f t="shared" si="250"/>
        <v>11535.76999999999</v>
      </c>
      <c r="Q676" s="130">
        <f t="shared" si="262"/>
        <v>1.0504926744987606</v>
      </c>
      <c r="R676" s="91"/>
      <c r="S676" s="132" t="str">
        <f t="shared" si="263"/>
        <v/>
      </c>
      <c r="T676" s="172">
        <f t="shared" si="265"/>
        <v>11</v>
      </c>
    </row>
    <row r="677" spans="1:20" ht="11.25" customHeight="1" x14ac:dyDescent="0.25">
      <c r="A677" s="57" t="s">
        <v>1513</v>
      </c>
      <c r="B677" s="57"/>
      <c r="C677" s="55"/>
      <c r="D677" s="55"/>
      <c r="E677" s="288" t="s">
        <v>724</v>
      </c>
      <c r="F677" s="289"/>
      <c r="G677" s="56">
        <f t="shared" ref="G677:K677" si="272">SUM(G678:G695)</f>
        <v>375192439.34999996</v>
      </c>
      <c r="H677" s="56">
        <f t="shared" si="272"/>
        <v>408713968.28000003</v>
      </c>
      <c r="I677" s="56">
        <f t="shared" si="272"/>
        <v>425900000</v>
      </c>
      <c r="J677" s="148">
        <f t="shared" si="272"/>
        <v>0</v>
      </c>
      <c r="K677" s="168">
        <f t="shared" si="272"/>
        <v>449757005.24149996</v>
      </c>
      <c r="N677" s="91">
        <f t="shared" si="249"/>
        <v>23857005.24149996</v>
      </c>
      <c r="O677" s="130">
        <f t="shared" si="261"/>
        <v>1.0560155089023244</v>
      </c>
      <c r="P677" s="91">
        <f t="shared" si="250"/>
        <v>41043036.961499929</v>
      </c>
      <c r="Q677" s="130">
        <f t="shared" si="262"/>
        <v>1.1004199517188566</v>
      </c>
      <c r="R677" s="91"/>
      <c r="S677" s="132" t="str">
        <f t="shared" si="263"/>
        <v/>
      </c>
      <c r="T677" s="172">
        <f t="shared" si="265"/>
        <v>7</v>
      </c>
    </row>
    <row r="678" spans="1:20" ht="11.25" customHeight="1" x14ac:dyDescent="0.25">
      <c r="A678" s="42" t="s">
        <v>1514</v>
      </c>
      <c r="B678" s="20" t="s">
        <v>922</v>
      </c>
      <c r="C678" s="20" t="s">
        <v>923</v>
      </c>
      <c r="D678" s="20" t="s">
        <v>1114</v>
      </c>
      <c r="E678" s="290" t="s">
        <v>725</v>
      </c>
      <c r="F678" s="291"/>
      <c r="G678" s="11">
        <v>28803425.780000001</v>
      </c>
      <c r="H678" s="11">
        <v>33321246.829999998</v>
      </c>
      <c r="I678" s="11">
        <v>34300000</v>
      </c>
      <c r="J678" s="140">
        <v>0</v>
      </c>
      <c r="K678" s="155">
        <v>38920396.004050002</v>
      </c>
      <c r="N678" s="91">
        <f t="shared" si="249"/>
        <v>4620396.0040500015</v>
      </c>
      <c r="O678" s="130">
        <f t="shared" si="261"/>
        <v>1.1347054228586007</v>
      </c>
      <c r="P678" s="91">
        <f t="shared" si="250"/>
        <v>5599149.1740500033</v>
      </c>
      <c r="Q678" s="130">
        <f t="shared" si="262"/>
        <v>1.16803540403563</v>
      </c>
      <c r="R678" s="91"/>
      <c r="S678" s="132" t="str">
        <f t="shared" si="263"/>
        <v/>
      </c>
      <c r="T678" s="172">
        <f t="shared" si="265"/>
        <v>11</v>
      </c>
    </row>
    <row r="679" spans="1:20" ht="11.25" customHeight="1" x14ac:dyDescent="0.25">
      <c r="A679" s="42" t="s">
        <v>1515</v>
      </c>
      <c r="B679" s="20" t="s">
        <v>922</v>
      </c>
      <c r="C679" s="20" t="s">
        <v>923</v>
      </c>
      <c r="D679" s="20" t="s">
        <v>1114</v>
      </c>
      <c r="E679" s="290" t="s">
        <v>726</v>
      </c>
      <c r="F679" s="291"/>
      <c r="G679" s="11">
        <v>1079488.8</v>
      </c>
      <c r="H679" s="11">
        <v>1394878.33</v>
      </c>
      <c r="I679" s="11">
        <v>1400000</v>
      </c>
      <c r="J679" s="140">
        <v>0</v>
      </c>
      <c r="K679" s="155">
        <v>1952586.7845000001</v>
      </c>
      <c r="N679" s="91">
        <f t="shared" si="249"/>
        <v>552586.78450000007</v>
      </c>
      <c r="O679" s="130">
        <f t="shared" si="261"/>
        <v>1.3947048460714286</v>
      </c>
      <c r="P679" s="91">
        <f t="shared" si="250"/>
        <v>557708.45449999999</v>
      </c>
      <c r="Q679" s="130">
        <f t="shared" si="262"/>
        <v>1.3998258790786433</v>
      </c>
      <c r="R679" s="91"/>
      <c r="S679" s="132" t="str">
        <f t="shared" si="263"/>
        <v/>
      </c>
      <c r="T679" s="172">
        <f t="shared" si="265"/>
        <v>11</v>
      </c>
    </row>
    <row r="680" spans="1:20" ht="11.25" customHeight="1" x14ac:dyDescent="0.25">
      <c r="A680" s="42" t="s">
        <v>1516</v>
      </c>
      <c r="B680" s="20" t="s">
        <v>922</v>
      </c>
      <c r="C680" s="20" t="s">
        <v>923</v>
      </c>
      <c r="D680" s="20" t="s">
        <v>1114</v>
      </c>
      <c r="E680" s="290" t="s">
        <v>727</v>
      </c>
      <c r="F680" s="291"/>
      <c r="G680" s="11">
        <v>6172310.8099999996</v>
      </c>
      <c r="H680" s="11">
        <v>4617057.9800000004</v>
      </c>
      <c r="I680" s="11">
        <v>5299999.9999999898</v>
      </c>
      <c r="J680" s="140">
        <v>0</v>
      </c>
      <c r="K680" s="155">
        <v>1507442.7318499999</v>
      </c>
      <c r="N680" s="91">
        <f t="shared" si="249"/>
        <v>-3792557.2681499897</v>
      </c>
      <c r="O680" s="130">
        <f t="shared" si="261"/>
        <v>0.28442315695283071</v>
      </c>
      <c r="P680" s="91">
        <f t="shared" si="250"/>
        <v>-3109615.2481500003</v>
      </c>
      <c r="Q680" s="130">
        <f t="shared" si="262"/>
        <v>0.32649421739555451</v>
      </c>
      <c r="R680" s="91"/>
      <c r="S680" s="132" t="str">
        <f t="shared" si="263"/>
        <v/>
      </c>
      <c r="T680" s="172">
        <f t="shared" si="265"/>
        <v>11</v>
      </c>
    </row>
    <row r="681" spans="1:20" ht="11.25" customHeight="1" x14ac:dyDescent="0.25">
      <c r="A681" s="42" t="s">
        <v>1517</v>
      </c>
      <c r="B681" s="20" t="s">
        <v>922</v>
      </c>
      <c r="C681" s="20" t="s">
        <v>923</v>
      </c>
      <c r="D681" s="20" t="s">
        <v>1114</v>
      </c>
      <c r="E681" s="290" t="s">
        <v>728</v>
      </c>
      <c r="F681" s="291"/>
      <c r="G681" s="11">
        <v>161199697.06</v>
      </c>
      <c r="H681" s="11">
        <v>179798752.49000001</v>
      </c>
      <c r="I681" s="11">
        <v>315100000</v>
      </c>
      <c r="J681" s="140">
        <v>0</v>
      </c>
      <c r="K681" s="155">
        <v>331398848.32339996</v>
      </c>
      <c r="N681" s="91">
        <f t="shared" si="249"/>
        <v>16298848.323399961</v>
      </c>
      <c r="O681" s="130">
        <f t="shared" si="261"/>
        <v>1.0517259546918438</v>
      </c>
      <c r="P681" s="91">
        <f t="shared" si="250"/>
        <v>151600095.83339995</v>
      </c>
      <c r="Q681" s="130">
        <f t="shared" si="262"/>
        <v>1.8431654487804725</v>
      </c>
      <c r="R681" s="91"/>
      <c r="S681" s="132" t="str">
        <f t="shared" si="263"/>
        <v/>
      </c>
      <c r="T681" s="172">
        <f t="shared" si="265"/>
        <v>11</v>
      </c>
    </row>
    <row r="682" spans="1:20" ht="11.25" customHeight="1" x14ac:dyDescent="0.25">
      <c r="A682" s="42" t="s">
        <v>1518</v>
      </c>
      <c r="B682" s="20" t="s">
        <v>922</v>
      </c>
      <c r="C682" s="20" t="s">
        <v>923</v>
      </c>
      <c r="D682" s="20" t="s">
        <v>1114</v>
      </c>
      <c r="E682" s="290" t="s">
        <v>729</v>
      </c>
      <c r="F682" s="291"/>
      <c r="G682" s="11">
        <v>5646116.9800000004</v>
      </c>
      <c r="H682" s="11">
        <v>6695984.21</v>
      </c>
      <c r="I682" s="11">
        <v>6999999.9999999898</v>
      </c>
      <c r="J682" s="140">
        <v>0</v>
      </c>
      <c r="K682" s="155">
        <v>7710128.8896499993</v>
      </c>
      <c r="N682" s="91">
        <f t="shared" ref="N682:N745" si="273">+K682-I682</f>
        <v>710128.88965000957</v>
      </c>
      <c r="O682" s="130">
        <f t="shared" si="261"/>
        <v>1.1014469842357157</v>
      </c>
      <c r="P682" s="91">
        <f t="shared" ref="P682:P745" si="274">+K682-H682</f>
        <v>1014144.6796499994</v>
      </c>
      <c r="Q682" s="130">
        <f t="shared" si="262"/>
        <v>1.1514556557847677</v>
      </c>
      <c r="R682" s="91"/>
      <c r="S682" s="132" t="str">
        <f t="shared" si="263"/>
        <v/>
      </c>
      <c r="T682" s="172">
        <f t="shared" si="265"/>
        <v>11</v>
      </c>
    </row>
    <row r="683" spans="1:20" ht="11.25" customHeight="1" x14ac:dyDescent="0.25">
      <c r="A683" s="42" t="s">
        <v>1519</v>
      </c>
      <c r="B683" s="20" t="s">
        <v>922</v>
      </c>
      <c r="C683" s="20" t="s">
        <v>923</v>
      </c>
      <c r="D683" s="20" t="s">
        <v>1114</v>
      </c>
      <c r="E683" s="290" t="s">
        <v>730</v>
      </c>
      <c r="F683" s="291"/>
      <c r="G683" s="11">
        <v>22115759.140000001</v>
      </c>
      <c r="H683" s="11">
        <v>24788679.289999999</v>
      </c>
      <c r="I683" s="11">
        <v>46800000</v>
      </c>
      <c r="J683" s="140">
        <v>0</v>
      </c>
      <c r="K683" s="155">
        <v>50627060.116599992</v>
      </c>
      <c r="N683" s="91">
        <f t="shared" si="273"/>
        <v>3827060.1165999919</v>
      </c>
      <c r="O683" s="130">
        <f t="shared" si="261"/>
        <v>1.0817747888162392</v>
      </c>
      <c r="P683" s="91">
        <f t="shared" si="274"/>
        <v>25838380.826599993</v>
      </c>
      <c r="Q683" s="130">
        <f t="shared" si="262"/>
        <v>2.0423460049775</v>
      </c>
      <c r="R683" s="91"/>
      <c r="S683" s="132" t="str">
        <f t="shared" si="263"/>
        <v/>
      </c>
      <c r="T683" s="172">
        <f t="shared" si="265"/>
        <v>11</v>
      </c>
    </row>
    <row r="684" spans="1:20" ht="11.25" customHeight="1" x14ac:dyDescent="0.25">
      <c r="A684" s="42" t="s">
        <v>1520</v>
      </c>
      <c r="B684" s="35" t="s">
        <v>922</v>
      </c>
      <c r="C684" s="35" t="s">
        <v>923</v>
      </c>
      <c r="D684" s="35" t="s">
        <v>1114</v>
      </c>
      <c r="E684" s="290" t="s">
        <v>731</v>
      </c>
      <c r="F684" s="291"/>
      <c r="G684" s="11">
        <v>780387.44</v>
      </c>
      <c r="H684" s="11">
        <v>516002.58</v>
      </c>
      <c r="I684" s="11">
        <v>599999.99999998196</v>
      </c>
      <c r="J684" s="140">
        <v>0</v>
      </c>
      <c r="K684" s="155">
        <v>2441391.8776499997</v>
      </c>
      <c r="N684" s="91">
        <f t="shared" si="273"/>
        <v>1841391.8776500179</v>
      </c>
      <c r="O684" s="130">
        <f t="shared" si="261"/>
        <v>4.0689864627501215</v>
      </c>
      <c r="P684" s="91">
        <f t="shared" si="274"/>
        <v>1925389.2976499996</v>
      </c>
      <c r="Q684" s="130">
        <f t="shared" si="262"/>
        <v>4.731355951069081</v>
      </c>
      <c r="R684" s="91"/>
      <c r="S684" s="132" t="str">
        <f t="shared" si="263"/>
        <v/>
      </c>
      <c r="T684" s="172">
        <f t="shared" si="265"/>
        <v>11</v>
      </c>
    </row>
    <row r="685" spans="1:20" ht="11.25" customHeight="1" x14ac:dyDescent="0.25">
      <c r="A685" s="42" t="s">
        <v>1521</v>
      </c>
      <c r="B685" s="20" t="s">
        <v>922</v>
      </c>
      <c r="C685" s="20" t="s">
        <v>923</v>
      </c>
      <c r="D685" s="20" t="s">
        <v>1114</v>
      </c>
      <c r="E685" s="290" t="s">
        <v>732</v>
      </c>
      <c r="F685" s="291"/>
      <c r="G685" s="11">
        <v>234599.4</v>
      </c>
      <c r="H685" s="11">
        <v>178250.91</v>
      </c>
      <c r="I685" s="11">
        <v>399999.999999994</v>
      </c>
      <c r="J685" s="140">
        <v>0</v>
      </c>
      <c r="K685" s="155">
        <v>386485.37069999997</v>
      </c>
      <c r="N685" s="91">
        <f t="shared" si="273"/>
        <v>-13514.629299994034</v>
      </c>
      <c r="O685" s="130">
        <f t="shared" si="261"/>
        <v>0.96621342675001443</v>
      </c>
      <c r="P685" s="91">
        <f t="shared" si="274"/>
        <v>208234.46069999997</v>
      </c>
      <c r="Q685" s="130">
        <f t="shared" si="262"/>
        <v>2.1682098043707039</v>
      </c>
      <c r="R685" s="91"/>
      <c r="S685" s="132" t="str">
        <f t="shared" si="263"/>
        <v/>
      </c>
      <c r="T685" s="172">
        <f t="shared" si="265"/>
        <v>11</v>
      </c>
    </row>
    <row r="686" spans="1:20" ht="11.25" customHeight="1" x14ac:dyDescent="0.25">
      <c r="A686" s="42" t="s">
        <v>1522</v>
      </c>
      <c r="B686" s="20" t="s">
        <v>922</v>
      </c>
      <c r="C686" s="20" t="s">
        <v>923</v>
      </c>
      <c r="D686" s="20" t="s">
        <v>1114</v>
      </c>
      <c r="E686" s="290" t="s">
        <v>733</v>
      </c>
      <c r="F686" s="291"/>
      <c r="G686" s="11">
        <v>650769.47</v>
      </c>
      <c r="H686" s="11">
        <v>625566.81999999995</v>
      </c>
      <c r="I686" s="11">
        <v>1350000</v>
      </c>
      <c r="J686" s="140">
        <v>0</v>
      </c>
      <c r="K686" s="155">
        <v>913640.44859999989</v>
      </c>
      <c r="N686" s="91">
        <f t="shared" si="273"/>
        <v>-436359.55140000011</v>
      </c>
      <c r="O686" s="130">
        <f t="shared" si="261"/>
        <v>0.67677070266666661</v>
      </c>
      <c r="P686" s="91">
        <f t="shared" si="274"/>
        <v>288073.62859999994</v>
      </c>
      <c r="Q686" s="130">
        <f t="shared" si="262"/>
        <v>1.460500172627442</v>
      </c>
      <c r="R686" s="91"/>
      <c r="S686" s="132" t="str">
        <f t="shared" si="263"/>
        <v/>
      </c>
      <c r="T686" s="172">
        <f t="shared" si="265"/>
        <v>11</v>
      </c>
    </row>
    <row r="687" spans="1:20" ht="11.25" customHeight="1" x14ac:dyDescent="0.25">
      <c r="A687" s="42" t="s">
        <v>1524</v>
      </c>
      <c r="B687" s="20" t="s">
        <v>922</v>
      </c>
      <c r="C687" s="20" t="s">
        <v>923</v>
      </c>
      <c r="D687" s="20" t="s">
        <v>1114</v>
      </c>
      <c r="E687" s="290" t="s">
        <v>734</v>
      </c>
      <c r="F687" s="291"/>
      <c r="G687" s="11">
        <v>1576511.28</v>
      </c>
      <c r="H687" s="11">
        <v>1693233.32</v>
      </c>
      <c r="I687" s="11">
        <v>1700000</v>
      </c>
      <c r="J687" s="140">
        <v>0</v>
      </c>
      <c r="K687" s="155">
        <v>165440.32449999999</v>
      </c>
      <c r="N687" s="91">
        <f t="shared" si="273"/>
        <v>-1534559.6754999999</v>
      </c>
      <c r="O687" s="130">
        <f t="shared" si="261"/>
        <v>9.731783794117646E-2</v>
      </c>
      <c r="P687" s="91">
        <f t="shared" si="274"/>
        <v>-1527792.9955000002</v>
      </c>
      <c r="Q687" s="130">
        <f t="shared" si="262"/>
        <v>9.7706749888432379E-2</v>
      </c>
      <c r="R687" s="91"/>
      <c r="S687" s="132" t="str">
        <f t="shared" si="263"/>
        <v/>
      </c>
      <c r="T687" s="172">
        <f t="shared" si="265"/>
        <v>11</v>
      </c>
    </row>
    <row r="688" spans="1:20" ht="11.25" customHeight="1" x14ac:dyDescent="0.25">
      <c r="A688" s="42" t="s">
        <v>1525</v>
      </c>
      <c r="B688" s="20" t="s">
        <v>922</v>
      </c>
      <c r="C688" s="20" t="s">
        <v>923</v>
      </c>
      <c r="D688" s="20" t="s">
        <v>1114</v>
      </c>
      <c r="E688" s="290" t="s">
        <v>735</v>
      </c>
      <c r="F688" s="291"/>
      <c r="G688" s="11">
        <v>9916638.8399999999</v>
      </c>
      <c r="H688" s="11">
        <v>11565783.83</v>
      </c>
      <c r="I688" s="11">
        <v>11700000</v>
      </c>
      <c r="J688" s="140">
        <v>0</v>
      </c>
      <c r="K688" s="155">
        <v>13733584.369999999</v>
      </c>
      <c r="N688" s="91">
        <f t="shared" si="273"/>
        <v>2033584.3699999992</v>
      </c>
      <c r="O688" s="130">
        <f t="shared" si="261"/>
        <v>1.1738106299145299</v>
      </c>
      <c r="P688" s="91">
        <f t="shared" si="274"/>
        <v>2167800.5399999991</v>
      </c>
      <c r="Q688" s="130">
        <f t="shared" si="262"/>
        <v>1.1874322200607825</v>
      </c>
      <c r="R688" s="91"/>
      <c r="S688" s="132" t="str">
        <f t="shared" si="263"/>
        <v/>
      </c>
      <c r="T688" s="172">
        <f t="shared" si="265"/>
        <v>11</v>
      </c>
    </row>
    <row r="689" spans="1:20" ht="11.25" customHeight="1" x14ac:dyDescent="0.25">
      <c r="A689" s="42" t="s">
        <v>1526</v>
      </c>
      <c r="B689" s="20" t="s">
        <v>922</v>
      </c>
      <c r="C689" s="20" t="s">
        <v>923</v>
      </c>
      <c r="D689" s="20" t="s">
        <v>1114</v>
      </c>
      <c r="E689" s="290" t="s">
        <v>1674</v>
      </c>
      <c r="F689" s="291"/>
      <c r="G689" s="11">
        <v>89739.42</v>
      </c>
      <c r="H689" s="11">
        <v>148034.46</v>
      </c>
      <c r="I689" s="11">
        <v>249999.999999997</v>
      </c>
      <c r="J689" s="140">
        <v>0</v>
      </c>
      <c r="K689" s="154"/>
      <c r="N689" s="91">
        <f t="shared" si="273"/>
        <v>-249999.999999997</v>
      </c>
      <c r="O689" s="130">
        <f t="shared" si="261"/>
        <v>0</v>
      </c>
      <c r="P689" s="91">
        <f t="shared" si="274"/>
        <v>-148034.46</v>
      </c>
      <c r="Q689" s="130">
        <f t="shared" si="262"/>
        <v>0</v>
      </c>
      <c r="R689" s="91"/>
      <c r="S689" s="132" t="str">
        <f t="shared" si="263"/>
        <v/>
      </c>
      <c r="T689" s="172">
        <f t="shared" si="265"/>
        <v>11</v>
      </c>
    </row>
    <row r="690" spans="1:20" ht="11.25" customHeight="1" x14ac:dyDescent="0.25">
      <c r="A690" s="42" t="s">
        <v>1527</v>
      </c>
      <c r="B690" s="35"/>
      <c r="C690" s="35"/>
      <c r="D690" s="35"/>
      <c r="E690" s="290" t="s">
        <v>736</v>
      </c>
      <c r="F690" s="291"/>
      <c r="G690" s="11">
        <v>117632581.48999999</v>
      </c>
      <c r="H690" s="11">
        <v>122455356.63</v>
      </c>
      <c r="I690" s="11">
        <v>0</v>
      </c>
      <c r="J690" s="140">
        <v>0</v>
      </c>
      <c r="K690" s="154"/>
      <c r="N690" s="91">
        <f t="shared" si="273"/>
        <v>0</v>
      </c>
      <c r="O690" s="130" t="str">
        <f t="shared" si="261"/>
        <v/>
      </c>
      <c r="P690" s="91">
        <f t="shared" si="274"/>
        <v>-122455356.63</v>
      </c>
      <c r="Q690" s="130">
        <f t="shared" si="262"/>
        <v>0</v>
      </c>
      <c r="R690" s="91"/>
      <c r="S690" s="132" t="str">
        <f t="shared" si="263"/>
        <v/>
      </c>
      <c r="T690" s="172">
        <f t="shared" si="265"/>
        <v>11</v>
      </c>
    </row>
    <row r="691" spans="1:20" ht="11.25" customHeight="1" x14ac:dyDescent="0.25">
      <c r="A691" s="42" t="s">
        <v>1528</v>
      </c>
      <c r="B691" s="20"/>
      <c r="C691" s="20"/>
      <c r="D691" s="20"/>
      <c r="E691" s="290" t="s">
        <v>737</v>
      </c>
      <c r="F691" s="291"/>
      <c r="G691" s="11">
        <v>18056580.140000001</v>
      </c>
      <c r="H691" s="11">
        <v>20084519.359999999</v>
      </c>
      <c r="I691" s="11">
        <v>0</v>
      </c>
      <c r="J691" s="140">
        <v>0</v>
      </c>
      <c r="K691" s="154"/>
      <c r="N691" s="91">
        <f t="shared" si="273"/>
        <v>0</v>
      </c>
      <c r="O691" s="130" t="str">
        <f t="shared" si="261"/>
        <v/>
      </c>
      <c r="P691" s="91">
        <f t="shared" si="274"/>
        <v>-20084519.359999999</v>
      </c>
      <c r="Q691" s="130">
        <f t="shared" si="262"/>
        <v>0</v>
      </c>
      <c r="R691" s="91"/>
      <c r="S691" s="132" t="str">
        <f t="shared" si="263"/>
        <v/>
      </c>
      <c r="T691" s="172">
        <f t="shared" si="265"/>
        <v>11</v>
      </c>
    </row>
    <row r="692" spans="1:20" ht="11.25" customHeight="1" x14ac:dyDescent="0.25">
      <c r="A692" s="86" t="s">
        <v>1672</v>
      </c>
      <c r="B692" s="21" t="s">
        <v>922</v>
      </c>
      <c r="C692" s="21" t="s">
        <v>923</v>
      </c>
      <c r="D692" s="21" t="s">
        <v>1114</v>
      </c>
      <c r="E692" s="292" t="s">
        <v>1673</v>
      </c>
      <c r="F692" s="293"/>
      <c r="G692" s="87"/>
      <c r="H692" s="87"/>
      <c r="I692" s="87"/>
      <c r="J692" s="141"/>
      <c r="K692" s="188"/>
      <c r="N692" s="91">
        <f t="shared" si="273"/>
        <v>0</v>
      </c>
      <c r="O692" s="130" t="str">
        <f t="shared" si="261"/>
        <v/>
      </c>
      <c r="P692" s="91">
        <f t="shared" si="274"/>
        <v>0</v>
      </c>
      <c r="Q692" s="130" t="str">
        <f t="shared" si="262"/>
        <v/>
      </c>
      <c r="R692" s="91"/>
      <c r="S692" s="132" t="str">
        <f t="shared" si="263"/>
        <v/>
      </c>
      <c r="T692" s="172">
        <f t="shared" si="265"/>
        <v>11</v>
      </c>
    </row>
    <row r="693" spans="1:20" ht="11.25" customHeight="1" x14ac:dyDescent="0.25">
      <c r="A693" s="42" t="s">
        <v>1529</v>
      </c>
      <c r="B693" s="20" t="s">
        <v>922</v>
      </c>
      <c r="C693" s="20" t="s">
        <v>923</v>
      </c>
      <c r="D693" s="20" t="s">
        <v>1114</v>
      </c>
      <c r="E693" s="290" t="s">
        <v>738</v>
      </c>
      <c r="F693" s="291"/>
      <c r="G693" s="11">
        <v>0</v>
      </c>
      <c r="H693" s="11">
        <v>4491.0200000000004</v>
      </c>
      <c r="I693" s="11">
        <v>0</v>
      </c>
      <c r="J693" s="140">
        <v>0</v>
      </c>
      <c r="K693" s="154"/>
      <c r="N693" s="91">
        <f t="shared" si="273"/>
        <v>0</v>
      </c>
      <c r="O693" s="130" t="str">
        <f t="shared" si="261"/>
        <v/>
      </c>
      <c r="P693" s="91">
        <f t="shared" si="274"/>
        <v>-4491.0200000000004</v>
      </c>
      <c r="Q693" s="130">
        <f t="shared" si="262"/>
        <v>0</v>
      </c>
      <c r="R693" s="91"/>
      <c r="S693" s="132" t="str">
        <f t="shared" si="263"/>
        <v/>
      </c>
      <c r="T693" s="172">
        <f t="shared" si="265"/>
        <v>11</v>
      </c>
    </row>
    <row r="694" spans="1:20" ht="11.25" customHeight="1" x14ac:dyDescent="0.25">
      <c r="A694" s="42" t="s">
        <v>1530</v>
      </c>
      <c r="B694" s="20"/>
      <c r="C694" s="20"/>
      <c r="D694" s="20"/>
      <c r="E694" s="290" t="s">
        <v>739</v>
      </c>
      <c r="F694" s="291"/>
      <c r="G694" s="11">
        <v>506311.86</v>
      </c>
      <c r="H694" s="11">
        <v>163105</v>
      </c>
      <c r="I694" s="11">
        <v>0</v>
      </c>
      <c r="J694" s="140">
        <v>0</v>
      </c>
      <c r="K694" s="154"/>
      <c r="N694" s="91">
        <f t="shared" si="273"/>
        <v>0</v>
      </c>
      <c r="O694" s="130" t="str">
        <f t="shared" si="261"/>
        <v/>
      </c>
      <c r="P694" s="91">
        <f t="shared" si="274"/>
        <v>-163105</v>
      </c>
      <c r="Q694" s="130">
        <f t="shared" si="262"/>
        <v>0</v>
      </c>
      <c r="R694" s="91"/>
      <c r="S694" s="132" t="str">
        <f t="shared" si="263"/>
        <v/>
      </c>
      <c r="T694" s="172">
        <f t="shared" si="265"/>
        <v>11</v>
      </c>
    </row>
    <row r="695" spans="1:20" ht="11.25" customHeight="1" x14ac:dyDescent="0.25">
      <c r="A695" s="42" t="s">
        <v>1531</v>
      </c>
      <c r="B695" s="20"/>
      <c r="C695" s="20"/>
      <c r="D695" s="20"/>
      <c r="E695" s="290" t="s">
        <v>740</v>
      </c>
      <c r="F695" s="291"/>
      <c r="G695" s="11">
        <v>731521.44</v>
      </c>
      <c r="H695" s="11">
        <v>663025.22</v>
      </c>
      <c r="I695" s="11">
        <v>0</v>
      </c>
      <c r="J695" s="140">
        <v>0</v>
      </c>
      <c r="K695" s="154"/>
      <c r="N695" s="91">
        <f t="shared" si="273"/>
        <v>0</v>
      </c>
      <c r="O695" s="130" t="str">
        <f t="shared" si="261"/>
        <v/>
      </c>
      <c r="P695" s="91">
        <f t="shared" si="274"/>
        <v>-663025.22</v>
      </c>
      <c r="Q695" s="130">
        <f t="shared" si="262"/>
        <v>0</v>
      </c>
      <c r="R695" s="91"/>
      <c r="S695" s="132" t="str">
        <f t="shared" si="263"/>
        <v/>
      </c>
      <c r="T695" s="172">
        <f t="shared" si="265"/>
        <v>11</v>
      </c>
    </row>
    <row r="696" spans="1:20" ht="11.25" customHeight="1" x14ac:dyDescent="0.25">
      <c r="A696" s="53" t="s">
        <v>741</v>
      </c>
      <c r="B696" s="53"/>
      <c r="C696" s="51"/>
      <c r="D696" s="51"/>
      <c r="E696" s="282" t="s">
        <v>742</v>
      </c>
      <c r="F696" s="283"/>
      <c r="G696" s="52">
        <f t="shared" ref="G696:K696" si="275">G697</f>
        <v>20878811.559999999</v>
      </c>
      <c r="H696" s="52">
        <f t="shared" si="275"/>
        <v>20547568.760000005</v>
      </c>
      <c r="I696" s="52">
        <f t="shared" si="275"/>
        <v>20459999.99999994</v>
      </c>
      <c r="J696" s="147">
        <v>21951148</v>
      </c>
      <c r="K696" s="167">
        <f t="shared" si="275"/>
        <v>22604150</v>
      </c>
      <c r="N696" s="193">
        <f t="shared" si="273"/>
        <v>2144150.0000000596</v>
      </c>
      <c r="O696" s="194">
        <f t="shared" si="261"/>
        <v>1.1047971652003943</v>
      </c>
      <c r="P696" s="193">
        <f t="shared" si="274"/>
        <v>2056581.2399999946</v>
      </c>
      <c r="Q696" s="194">
        <f t="shared" si="262"/>
        <v>1.1000887873412812</v>
      </c>
      <c r="R696" s="193">
        <f t="shared" ref="R696:R743" si="276">K696-J696</f>
        <v>653002</v>
      </c>
      <c r="S696" s="195">
        <f t="shared" si="263"/>
        <v>1.0297479658011508</v>
      </c>
      <c r="T696" s="172">
        <f t="shared" si="265"/>
        <v>4</v>
      </c>
    </row>
    <row r="697" spans="1:20" ht="11.25" customHeight="1" x14ac:dyDescent="0.25">
      <c r="A697" s="57" t="s">
        <v>1532</v>
      </c>
      <c r="B697" s="57"/>
      <c r="C697" s="55"/>
      <c r="D697" s="55"/>
      <c r="E697" s="288" t="s">
        <v>743</v>
      </c>
      <c r="F697" s="289"/>
      <c r="G697" s="56">
        <f t="shared" ref="G697:K697" si="277">SUM(G698:G703)</f>
        <v>20878811.559999999</v>
      </c>
      <c r="H697" s="56">
        <f t="shared" si="277"/>
        <v>20547568.760000005</v>
      </c>
      <c r="I697" s="56">
        <f t="shared" si="277"/>
        <v>20459999.99999994</v>
      </c>
      <c r="J697" s="148">
        <f t="shared" si="277"/>
        <v>0</v>
      </c>
      <c r="K697" s="168">
        <f t="shared" si="277"/>
        <v>22604150</v>
      </c>
      <c r="N697" s="91">
        <f t="shared" si="273"/>
        <v>2144150.0000000596</v>
      </c>
      <c r="O697" s="130">
        <f t="shared" si="261"/>
        <v>1.1047971652003943</v>
      </c>
      <c r="P697" s="91">
        <f t="shared" si="274"/>
        <v>2056581.2399999946</v>
      </c>
      <c r="Q697" s="130">
        <f t="shared" si="262"/>
        <v>1.1000887873412812</v>
      </c>
      <c r="R697" s="91"/>
      <c r="S697" s="132" t="str">
        <f t="shared" si="263"/>
        <v/>
      </c>
      <c r="T697" s="172">
        <f t="shared" si="265"/>
        <v>7</v>
      </c>
    </row>
    <row r="698" spans="1:20" ht="11.25" customHeight="1" x14ac:dyDescent="0.25">
      <c r="A698" s="42" t="s">
        <v>1533</v>
      </c>
      <c r="B698" s="27" t="s">
        <v>916</v>
      </c>
      <c r="C698" s="28" t="s">
        <v>919</v>
      </c>
      <c r="D698" s="28" t="s">
        <v>917</v>
      </c>
      <c r="E698" s="290" t="s">
        <v>744</v>
      </c>
      <c r="F698" s="291"/>
      <c r="G698" s="11">
        <v>9351870.8499999996</v>
      </c>
      <c r="H698" s="11">
        <v>9573251.9600000009</v>
      </c>
      <c r="I698" s="11">
        <v>9500000</v>
      </c>
      <c r="J698" s="140">
        <v>0</v>
      </c>
      <c r="K698" s="155">
        <v>10296000</v>
      </c>
      <c r="N698" s="91">
        <f t="shared" si="273"/>
        <v>796000</v>
      </c>
      <c r="O698" s="130">
        <f t="shared" si="261"/>
        <v>1.0837894736842106</v>
      </c>
      <c r="P698" s="91">
        <f t="shared" si="274"/>
        <v>722748.03999999911</v>
      </c>
      <c r="Q698" s="130">
        <f t="shared" si="262"/>
        <v>1.0754966069022172</v>
      </c>
      <c r="R698" s="91"/>
      <c r="S698" s="132" t="str">
        <f t="shared" si="263"/>
        <v/>
      </c>
      <c r="T698" s="172">
        <f t="shared" si="265"/>
        <v>11</v>
      </c>
    </row>
    <row r="699" spans="1:20" ht="11.25" customHeight="1" x14ac:dyDescent="0.25">
      <c r="A699" s="42" t="s">
        <v>1534</v>
      </c>
      <c r="B699" s="27" t="s">
        <v>916</v>
      </c>
      <c r="C699" s="28" t="s">
        <v>919</v>
      </c>
      <c r="D699" s="28" t="s">
        <v>917</v>
      </c>
      <c r="E699" s="290" t="s">
        <v>745</v>
      </c>
      <c r="F699" s="291"/>
      <c r="G699" s="11">
        <v>917676</v>
      </c>
      <c r="H699" s="11">
        <v>902736</v>
      </c>
      <c r="I699" s="11">
        <v>949999.99999999604</v>
      </c>
      <c r="J699" s="140">
        <v>0</v>
      </c>
      <c r="K699" s="155">
        <v>962000</v>
      </c>
      <c r="N699" s="91">
        <f t="shared" si="273"/>
        <v>12000.000000003958</v>
      </c>
      <c r="O699" s="130">
        <f t="shared" si="261"/>
        <v>1.0126315789473725</v>
      </c>
      <c r="P699" s="91">
        <f t="shared" si="274"/>
        <v>59264</v>
      </c>
      <c r="Q699" s="130">
        <f t="shared" si="262"/>
        <v>1.0656493149713759</v>
      </c>
      <c r="R699" s="91"/>
      <c r="S699" s="132" t="str">
        <f t="shared" si="263"/>
        <v/>
      </c>
      <c r="T699" s="172">
        <f t="shared" si="265"/>
        <v>11</v>
      </c>
    </row>
    <row r="700" spans="1:20" ht="11.25" customHeight="1" x14ac:dyDescent="0.25">
      <c r="A700" s="42" t="s">
        <v>1535</v>
      </c>
      <c r="B700" s="27" t="s">
        <v>916</v>
      </c>
      <c r="C700" s="28" t="s">
        <v>919</v>
      </c>
      <c r="D700" s="28" t="s">
        <v>917</v>
      </c>
      <c r="E700" s="290" t="s">
        <v>746</v>
      </c>
      <c r="F700" s="291"/>
      <c r="G700" s="11">
        <v>8029264.2199999997</v>
      </c>
      <c r="H700" s="11">
        <v>7718707.6699999999</v>
      </c>
      <c r="I700" s="11">
        <v>7629999.9999999898</v>
      </c>
      <c r="J700" s="140">
        <v>0</v>
      </c>
      <c r="K700" s="155">
        <f>8716000*1.025</f>
        <v>8933900</v>
      </c>
      <c r="L700" s="109" t="s">
        <v>1751</v>
      </c>
      <c r="M700" s="109"/>
      <c r="N700" s="91">
        <f t="shared" si="273"/>
        <v>1303900.0000000102</v>
      </c>
      <c r="O700" s="130">
        <f t="shared" si="261"/>
        <v>1.1708912188728717</v>
      </c>
      <c r="P700" s="91">
        <f t="shared" si="274"/>
        <v>1215192.33</v>
      </c>
      <c r="Q700" s="130">
        <f t="shared" si="262"/>
        <v>1.1574346875090296</v>
      </c>
      <c r="R700" s="91"/>
      <c r="S700" s="132" t="str">
        <f t="shared" si="263"/>
        <v/>
      </c>
      <c r="T700" s="172">
        <f t="shared" si="265"/>
        <v>11</v>
      </c>
    </row>
    <row r="701" spans="1:20" ht="11.25" customHeight="1" x14ac:dyDescent="0.25">
      <c r="A701" s="42" t="s">
        <v>1536</v>
      </c>
      <c r="B701" s="27" t="s">
        <v>916</v>
      </c>
      <c r="C701" s="28" t="s">
        <v>919</v>
      </c>
      <c r="D701" s="28" t="s">
        <v>917</v>
      </c>
      <c r="E701" s="290" t="s">
        <v>747</v>
      </c>
      <c r="F701" s="291"/>
      <c r="G701" s="11">
        <v>1805187.84</v>
      </c>
      <c r="H701" s="11">
        <v>1526135.94</v>
      </c>
      <c r="I701" s="11">
        <v>1589999.99999999</v>
      </c>
      <c r="J701" s="140">
        <v>0</v>
      </c>
      <c r="K701" s="155">
        <v>1590000</v>
      </c>
      <c r="N701" s="91">
        <f t="shared" si="273"/>
        <v>1.0011717677116394E-8</v>
      </c>
      <c r="O701" s="130">
        <f t="shared" si="261"/>
        <v>1.0000000000000062</v>
      </c>
      <c r="P701" s="91">
        <f t="shared" si="274"/>
        <v>63864.060000000056</v>
      </c>
      <c r="Q701" s="130">
        <f t="shared" si="262"/>
        <v>1.0418469012662135</v>
      </c>
      <c r="R701" s="91"/>
      <c r="S701" s="132" t="str">
        <f t="shared" si="263"/>
        <v/>
      </c>
      <c r="T701" s="172">
        <f t="shared" si="265"/>
        <v>11</v>
      </c>
    </row>
    <row r="702" spans="1:20" ht="11.25" customHeight="1" x14ac:dyDescent="0.25">
      <c r="A702" s="42" t="s">
        <v>1537</v>
      </c>
      <c r="B702" s="27" t="s">
        <v>916</v>
      </c>
      <c r="C702" s="28" t="s">
        <v>919</v>
      </c>
      <c r="D702" s="28" t="s">
        <v>917</v>
      </c>
      <c r="E702" s="290" t="s">
        <v>748</v>
      </c>
      <c r="F702" s="291"/>
      <c r="G702" s="11">
        <v>364880.49</v>
      </c>
      <c r="H702" s="11">
        <v>325047.34000000003</v>
      </c>
      <c r="I702" s="11">
        <v>319999.99999997701</v>
      </c>
      <c r="J702" s="140">
        <v>0</v>
      </c>
      <c r="K702" s="155">
        <v>320000</v>
      </c>
      <c r="N702" s="91">
        <f t="shared" si="273"/>
        <v>2.2992026060819626E-8</v>
      </c>
      <c r="O702" s="130">
        <f t="shared" si="261"/>
        <v>1.0000000000000719</v>
      </c>
      <c r="P702" s="91">
        <f t="shared" si="274"/>
        <v>-5047.3400000000256</v>
      </c>
      <c r="Q702" s="130">
        <f t="shared" si="262"/>
        <v>0.98447198491149002</v>
      </c>
      <c r="R702" s="91"/>
      <c r="S702" s="132" t="str">
        <f t="shared" si="263"/>
        <v/>
      </c>
      <c r="T702" s="172">
        <f t="shared" si="265"/>
        <v>11</v>
      </c>
    </row>
    <row r="703" spans="1:20" ht="11.25" customHeight="1" x14ac:dyDescent="0.25">
      <c r="A703" s="42" t="s">
        <v>1538</v>
      </c>
      <c r="B703" s="27" t="s">
        <v>916</v>
      </c>
      <c r="C703" s="28" t="s">
        <v>919</v>
      </c>
      <c r="D703" s="28" t="s">
        <v>917</v>
      </c>
      <c r="E703" s="290" t="s">
        <v>749</v>
      </c>
      <c r="F703" s="291"/>
      <c r="G703" s="11">
        <v>409932.16</v>
      </c>
      <c r="H703" s="11">
        <v>501689.85</v>
      </c>
      <c r="I703" s="11">
        <v>469999.999999989</v>
      </c>
      <c r="J703" s="140">
        <v>0</v>
      </c>
      <c r="K703" s="155">
        <f>490000*1.025</f>
        <v>502249.99999999994</v>
      </c>
      <c r="N703" s="91">
        <f t="shared" si="273"/>
        <v>32250.000000010943</v>
      </c>
      <c r="O703" s="130">
        <f t="shared" si="261"/>
        <v>1.0686170212766206</v>
      </c>
      <c r="P703" s="91">
        <f t="shared" si="274"/>
        <v>560.14999999996508</v>
      </c>
      <c r="Q703" s="130">
        <f t="shared" si="262"/>
        <v>1.0011165264754709</v>
      </c>
      <c r="R703" s="91"/>
      <c r="S703" s="132" t="str">
        <f t="shared" si="263"/>
        <v/>
      </c>
      <c r="T703" s="172">
        <f t="shared" si="265"/>
        <v>11</v>
      </c>
    </row>
    <row r="704" spans="1:20" ht="11.25" customHeight="1" x14ac:dyDescent="0.25">
      <c r="A704" s="53" t="s">
        <v>750</v>
      </c>
      <c r="B704" s="53"/>
      <c r="C704" s="51"/>
      <c r="D704" s="51"/>
      <c r="E704" s="282" t="s">
        <v>751</v>
      </c>
      <c r="F704" s="283"/>
      <c r="G704" s="52">
        <f t="shared" ref="G704:K704" si="278">G705</f>
        <v>5438009</v>
      </c>
      <c r="H704" s="52">
        <f t="shared" si="278"/>
        <v>5848049.25</v>
      </c>
      <c r="I704" s="52">
        <f t="shared" si="278"/>
        <v>5800000</v>
      </c>
      <c r="J704" s="147">
        <v>5947220</v>
      </c>
      <c r="K704" s="167">
        <f t="shared" si="278"/>
        <v>5900000</v>
      </c>
      <c r="N704" s="193">
        <f t="shared" si="273"/>
        <v>100000</v>
      </c>
      <c r="O704" s="194">
        <f t="shared" si="261"/>
        <v>1.0172413793103448</v>
      </c>
      <c r="P704" s="193">
        <f t="shared" si="274"/>
        <v>51950.75</v>
      </c>
      <c r="Q704" s="194">
        <f t="shared" si="262"/>
        <v>1.0088834323684945</v>
      </c>
      <c r="R704" s="193">
        <f t="shared" si="276"/>
        <v>-47220</v>
      </c>
      <c r="S704" s="195">
        <f t="shared" si="263"/>
        <v>0.99206015583751739</v>
      </c>
      <c r="T704" s="172">
        <f t="shared" si="265"/>
        <v>4</v>
      </c>
    </row>
    <row r="705" spans="1:20" ht="11.25" customHeight="1" x14ac:dyDescent="0.25">
      <c r="A705" s="57" t="s">
        <v>1539</v>
      </c>
      <c r="B705" s="57"/>
      <c r="C705" s="55"/>
      <c r="D705" s="55"/>
      <c r="E705" s="288" t="s">
        <v>752</v>
      </c>
      <c r="F705" s="289"/>
      <c r="G705" s="56">
        <f t="shared" ref="G705:K705" si="279">SUM(G706)</f>
        <v>5438009</v>
      </c>
      <c r="H705" s="56">
        <f t="shared" si="279"/>
        <v>5848049.25</v>
      </c>
      <c r="I705" s="56">
        <f t="shared" si="279"/>
        <v>5800000</v>
      </c>
      <c r="J705" s="148">
        <f t="shared" si="279"/>
        <v>5900000</v>
      </c>
      <c r="K705" s="168">
        <f t="shared" si="279"/>
        <v>5900000</v>
      </c>
      <c r="N705" s="91">
        <f t="shared" si="273"/>
        <v>100000</v>
      </c>
      <c r="O705" s="130">
        <f t="shared" si="261"/>
        <v>1.0172413793103448</v>
      </c>
      <c r="P705" s="91">
        <f t="shared" si="274"/>
        <v>51950.75</v>
      </c>
      <c r="Q705" s="130">
        <f t="shared" si="262"/>
        <v>1.0088834323684945</v>
      </c>
      <c r="R705" s="91"/>
      <c r="S705" s="132">
        <f t="shared" si="263"/>
        <v>1</v>
      </c>
      <c r="T705" s="172">
        <f t="shared" si="265"/>
        <v>7</v>
      </c>
    </row>
    <row r="706" spans="1:20" ht="11.25" customHeight="1" x14ac:dyDescent="0.25">
      <c r="A706" s="42" t="s">
        <v>1540</v>
      </c>
      <c r="B706" s="20" t="s">
        <v>916</v>
      </c>
      <c r="C706" s="20" t="s">
        <v>920</v>
      </c>
      <c r="D706" s="20" t="s">
        <v>1523</v>
      </c>
      <c r="E706" s="290" t="s">
        <v>753</v>
      </c>
      <c r="F706" s="291"/>
      <c r="G706" s="11">
        <v>5438009</v>
      </c>
      <c r="H706" s="11">
        <v>5848049.25</v>
      </c>
      <c r="I706" s="11">
        <v>5800000</v>
      </c>
      <c r="J706" s="140">
        <v>5900000</v>
      </c>
      <c r="K706" s="154">
        <v>5900000</v>
      </c>
      <c r="N706" s="91">
        <f t="shared" si="273"/>
        <v>100000</v>
      </c>
      <c r="O706" s="130">
        <f t="shared" si="261"/>
        <v>1.0172413793103448</v>
      </c>
      <c r="P706" s="91">
        <f t="shared" si="274"/>
        <v>51950.75</v>
      </c>
      <c r="Q706" s="130">
        <f t="shared" si="262"/>
        <v>1.0088834323684945</v>
      </c>
      <c r="R706" s="91"/>
      <c r="S706" s="132">
        <f t="shared" si="263"/>
        <v>1</v>
      </c>
      <c r="T706" s="172">
        <f t="shared" si="265"/>
        <v>11</v>
      </c>
    </row>
    <row r="707" spans="1:20" ht="11.25" customHeight="1" x14ac:dyDescent="0.25">
      <c r="A707" s="60" t="s">
        <v>754</v>
      </c>
      <c r="B707" s="60"/>
      <c r="C707" s="61"/>
      <c r="D707" s="61"/>
      <c r="E707" s="284" t="s">
        <v>755</v>
      </c>
      <c r="F707" s="285"/>
      <c r="G707" s="63">
        <f>G708</f>
        <v>0</v>
      </c>
      <c r="H707" s="63">
        <f>H708</f>
        <v>0</v>
      </c>
      <c r="I707" s="63">
        <f>I708</f>
        <v>0</v>
      </c>
      <c r="J707" s="145">
        <f t="shared" ref="J707:K707" si="280">J708</f>
        <v>0</v>
      </c>
      <c r="K707" s="165">
        <f t="shared" si="280"/>
        <v>0</v>
      </c>
      <c r="N707" s="91">
        <f t="shared" si="273"/>
        <v>0</v>
      </c>
      <c r="O707" s="130" t="str">
        <f t="shared" si="261"/>
        <v/>
      </c>
      <c r="P707" s="91">
        <f t="shared" si="274"/>
        <v>0</v>
      </c>
      <c r="Q707" s="130" t="str">
        <f t="shared" si="262"/>
        <v/>
      </c>
      <c r="R707" s="91"/>
      <c r="S707" s="132" t="str">
        <f t="shared" si="263"/>
        <v/>
      </c>
      <c r="T707" s="172">
        <f t="shared" si="265"/>
        <v>3</v>
      </c>
    </row>
    <row r="708" spans="1:20" ht="11.25" customHeight="1" x14ac:dyDescent="0.25">
      <c r="A708" s="53" t="s">
        <v>756</v>
      </c>
      <c r="B708" s="53"/>
      <c r="C708" s="51"/>
      <c r="D708" s="51"/>
      <c r="E708" s="282" t="s">
        <v>757</v>
      </c>
      <c r="F708" s="283"/>
      <c r="G708" s="52">
        <v>0</v>
      </c>
      <c r="H708" s="52">
        <v>0</v>
      </c>
      <c r="I708" s="52">
        <v>0</v>
      </c>
      <c r="J708" s="147">
        <v>0</v>
      </c>
      <c r="K708" s="167">
        <v>0</v>
      </c>
      <c r="N708" s="193">
        <f t="shared" si="273"/>
        <v>0</v>
      </c>
      <c r="O708" s="194" t="str">
        <f t="shared" si="261"/>
        <v/>
      </c>
      <c r="P708" s="193">
        <f t="shared" si="274"/>
        <v>0</v>
      </c>
      <c r="Q708" s="194" t="str">
        <f t="shared" si="262"/>
        <v/>
      </c>
      <c r="R708" s="193"/>
      <c r="S708" s="195" t="str">
        <f t="shared" si="263"/>
        <v/>
      </c>
      <c r="T708" s="172">
        <f t="shared" si="265"/>
        <v>4</v>
      </c>
    </row>
    <row r="709" spans="1:20" ht="11.25" customHeight="1" x14ac:dyDescent="0.25">
      <c r="A709" s="60" t="s">
        <v>758</v>
      </c>
      <c r="B709" s="60"/>
      <c r="C709" s="61"/>
      <c r="D709" s="61"/>
      <c r="E709" s="284" t="s">
        <v>759</v>
      </c>
      <c r="F709" s="285"/>
      <c r="G709" s="63">
        <f>G710+G711+G712+G713</f>
        <v>0</v>
      </c>
      <c r="H709" s="63">
        <f>H710+H711+H712+H713</f>
        <v>0</v>
      </c>
      <c r="I709" s="63">
        <f>I710+I711+I712+I713</f>
        <v>0</v>
      </c>
      <c r="J709" s="145">
        <f t="shared" ref="J709:K709" si="281">J710+J711+J712+J713</f>
        <v>0</v>
      </c>
      <c r="K709" s="165">
        <f t="shared" si="281"/>
        <v>0</v>
      </c>
      <c r="N709" s="91">
        <f t="shared" si="273"/>
        <v>0</v>
      </c>
      <c r="O709" s="130" t="str">
        <f t="shared" si="261"/>
        <v/>
      </c>
      <c r="P709" s="91">
        <f t="shared" si="274"/>
        <v>0</v>
      </c>
      <c r="Q709" s="130" t="str">
        <f t="shared" si="262"/>
        <v/>
      </c>
      <c r="R709" s="91"/>
      <c r="S709" s="132" t="str">
        <f t="shared" si="263"/>
        <v/>
      </c>
      <c r="T709" s="172">
        <f t="shared" si="265"/>
        <v>3</v>
      </c>
    </row>
    <row r="710" spans="1:20" ht="11.25" customHeight="1" x14ac:dyDescent="0.25">
      <c r="A710" s="53" t="s">
        <v>760</v>
      </c>
      <c r="B710" s="53"/>
      <c r="C710" s="51"/>
      <c r="D710" s="51"/>
      <c r="E710" s="282" t="s">
        <v>635</v>
      </c>
      <c r="F710" s="283"/>
      <c r="G710" s="52">
        <v>0</v>
      </c>
      <c r="H710" s="52">
        <v>0</v>
      </c>
      <c r="I710" s="52">
        <v>0</v>
      </c>
      <c r="J710" s="147">
        <v>0</v>
      </c>
      <c r="K710" s="167">
        <v>0</v>
      </c>
      <c r="N710" s="193">
        <f t="shared" si="273"/>
        <v>0</v>
      </c>
      <c r="O710" s="194" t="str">
        <f t="shared" si="261"/>
        <v/>
      </c>
      <c r="P710" s="193">
        <f t="shared" si="274"/>
        <v>0</v>
      </c>
      <c r="Q710" s="194" t="str">
        <f t="shared" si="262"/>
        <v/>
      </c>
      <c r="R710" s="193"/>
      <c r="S710" s="195" t="str">
        <f t="shared" si="263"/>
        <v/>
      </c>
      <c r="T710" s="172">
        <f t="shared" si="265"/>
        <v>4</v>
      </c>
    </row>
    <row r="711" spans="1:20" ht="11.25" customHeight="1" x14ac:dyDescent="0.25">
      <c r="A711" s="53" t="s">
        <v>761</v>
      </c>
      <c r="B711" s="53"/>
      <c r="C711" s="51"/>
      <c r="D711" s="51"/>
      <c r="E711" s="282" t="s">
        <v>637</v>
      </c>
      <c r="F711" s="283"/>
      <c r="G711" s="52">
        <v>0</v>
      </c>
      <c r="H711" s="52">
        <v>0</v>
      </c>
      <c r="I711" s="52">
        <v>0</v>
      </c>
      <c r="J711" s="147">
        <v>0</v>
      </c>
      <c r="K711" s="167">
        <v>0</v>
      </c>
      <c r="N711" s="193">
        <f t="shared" si="273"/>
        <v>0</v>
      </c>
      <c r="O711" s="194" t="str">
        <f t="shared" si="261"/>
        <v/>
      </c>
      <c r="P711" s="193">
        <f t="shared" si="274"/>
        <v>0</v>
      </c>
      <c r="Q711" s="194" t="str">
        <f t="shared" si="262"/>
        <v/>
      </c>
      <c r="R711" s="193"/>
      <c r="S711" s="195" t="str">
        <f t="shared" si="263"/>
        <v/>
      </c>
      <c r="T711" s="172">
        <f t="shared" si="265"/>
        <v>4</v>
      </c>
    </row>
    <row r="712" spans="1:20" ht="11.25" customHeight="1" x14ac:dyDescent="0.25">
      <c r="A712" s="53" t="s">
        <v>762</v>
      </c>
      <c r="B712" s="53"/>
      <c r="C712" s="51"/>
      <c r="D712" s="51"/>
      <c r="E712" s="282" t="s">
        <v>639</v>
      </c>
      <c r="F712" s="283"/>
      <c r="G712" s="52">
        <v>0</v>
      </c>
      <c r="H712" s="52">
        <v>0</v>
      </c>
      <c r="I712" s="52">
        <v>0</v>
      </c>
      <c r="J712" s="147">
        <v>0</v>
      </c>
      <c r="K712" s="167">
        <v>0</v>
      </c>
      <c r="N712" s="193">
        <f t="shared" si="273"/>
        <v>0</v>
      </c>
      <c r="O712" s="194" t="str">
        <f t="shared" si="261"/>
        <v/>
      </c>
      <c r="P712" s="193">
        <f t="shared" si="274"/>
        <v>0</v>
      </c>
      <c r="Q712" s="194" t="str">
        <f t="shared" si="262"/>
        <v/>
      </c>
      <c r="R712" s="193"/>
      <c r="S712" s="195" t="str">
        <f t="shared" si="263"/>
        <v/>
      </c>
      <c r="T712" s="172">
        <f t="shared" si="265"/>
        <v>4</v>
      </c>
    </row>
    <row r="713" spans="1:20" ht="11.25" customHeight="1" x14ac:dyDescent="0.25">
      <c r="A713" s="53" t="s">
        <v>763</v>
      </c>
      <c r="B713" s="53"/>
      <c r="C713" s="51"/>
      <c r="D713" s="51"/>
      <c r="E713" s="282" t="s">
        <v>764</v>
      </c>
      <c r="F713" s="283"/>
      <c r="G713" s="52">
        <v>0</v>
      </c>
      <c r="H713" s="52">
        <v>0</v>
      </c>
      <c r="I713" s="52">
        <v>0</v>
      </c>
      <c r="J713" s="147">
        <v>0</v>
      </c>
      <c r="K713" s="167">
        <v>0</v>
      </c>
      <c r="N713" s="193">
        <f t="shared" si="273"/>
        <v>0</v>
      </c>
      <c r="O713" s="194" t="str">
        <f t="shared" si="261"/>
        <v/>
      </c>
      <c r="P713" s="193">
        <f t="shared" si="274"/>
        <v>0</v>
      </c>
      <c r="Q713" s="194" t="str">
        <f t="shared" si="262"/>
        <v/>
      </c>
      <c r="R713" s="193"/>
      <c r="S713" s="195" t="str">
        <f t="shared" si="263"/>
        <v/>
      </c>
      <c r="T713" s="172">
        <f t="shared" si="265"/>
        <v>4</v>
      </c>
    </row>
    <row r="714" spans="1:20" ht="11.25" customHeight="1" x14ac:dyDescent="0.25">
      <c r="A714" s="60" t="s">
        <v>765</v>
      </c>
      <c r="B714" s="60"/>
      <c r="C714" s="61"/>
      <c r="D714" s="61"/>
      <c r="E714" s="284" t="s">
        <v>766</v>
      </c>
      <c r="F714" s="285"/>
      <c r="G714" s="63">
        <f t="shared" ref="G714:K714" si="282">G715+G720+G721+G724+G731+G734+G743</f>
        <v>182493026.52000004</v>
      </c>
      <c r="H714" s="63">
        <f t="shared" si="282"/>
        <v>382642646.09999996</v>
      </c>
      <c r="I714" s="63">
        <f t="shared" si="282"/>
        <v>357626409.02527046</v>
      </c>
      <c r="J714" s="145">
        <f t="shared" si="282"/>
        <v>362073467.54359996</v>
      </c>
      <c r="K714" s="165">
        <f t="shared" si="282"/>
        <v>348407520</v>
      </c>
      <c r="N714" s="91">
        <f t="shared" si="273"/>
        <v>-9218889.025270462</v>
      </c>
      <c r="O714" s="130">
        <f t="shared" si="261"/>
        <v>0.97422201271321929</v>
      </c>
      <c r="P714" s="91">
        <f t="shared" si="274"/>
        <v>-34235126.099999964</v>
      </c>
      <c r="Q714" s="130">
        <f t="shared" si="262"/>
        <v>0.91052976857406287</v>
      </c>
      <c r="R714" s="91">
        <f t="shared" si="276"/>
        <v>-13665947.543599963</v>
      </c>
      <c r="S714" s="132">
        <f t="shared" si="263"/>
        <v>0.96225642371336051</v>
      </c>
      <c r="T714" s="172">
        <f t="shared" si="265"/>
        <v>3</v>
      </c>
    </row>
    <row r="715" spans="1:20" ht="11.25" customHeight="1" x14ac:dyDescent="0.25">
      <c r="A715" s="53" t="s">
        <v>767</v>
      </c>
      <c r="B715" s="53"/>
      <c r="C715" s="51"/>
      <c r="D715" s="51"/>
      <c r="E715" s="282" t="s">
        <v>768</v>
      </c>
      <c r="F715" s="283"/>
      <c r="G715" s="52">
        <f t="shared" ref="G715:K715" si="283">G716</f>
        <v>1377677.5</v>
      </c>
      <c r="H715" s="52">
        <f t="shared" si="283"/>
        <v>2046673.74</v>
      </c>
      <c r="I715" s="52">
        <f t="shared" si="283"/>
        <v>0</v>
      </c>
      <c r="J715" s="147">
        <v>9603745</v>
      </c>
      <c r="K715" s="167">
        <f t="shared" si="283"/>
        <v>0</v>
      </c>
      <c r="N715" s="193">
        <f t="shared" si="273"/>
        <v>0</v>
      </c>
      <c r="O715" s="194" t="str">
        <f t="shared" ref="O715:O777" si="284">IF(I715=0,"",K715/I715)</f>
        <v/>
      </c>
      <c r="P715" s="193">
        <f t="shared" si="274"/>
        <v>-2046673.74</v>
      </c>
      <c r="Q715" s="194">
        <f t="shared" ref="Q715:Q777" si="285">IF(H715=0,"",K715/H715)</f>
        <v>0</v>
      </c>
      <c r="R715" s="193">
        <f t="shared" si="276"/>
        <v>-9603745</v>
      </c>
      <c r="S715" s="195">
        <f t="shared" si="263"/>
        <v>0</v>
      </c>
      <c r="T715" s="172">
        <f t="shared" si="265"/>
        <v>4</v>
      </c>
    </row>
    <row r="716" spans="1:20" ht="11.25" customHeight="1" x14ac:dyDescent="0.25">
      <c r="A716" s="57" t="s">
        <v>1541</v>
      </c>
      <c r="B716" s="57"/>
      <c r="C716" s="55"/>
      <c r="D716" s="55"/>
      <c r="E716" s="288" t="s">
        <v>769</v>
      </c>
      <c r="F716" s="289"/>
      <c r="G716" s="56">
        <f t="shared" ref="G716:K716" si="286">SUM(G717:G719)</f>
        <v>1377677.5</v>
      </c>
      <c r="H716" s="56">
        <f t="shared" si="286"/>
        <v>2046673.74</v>
      </c>
      <c r="I716" s="56">
        <f t="shared" si="286"/>
        <v>0</v>
      </c>
      <c r="J716" s="148">
        <f t="shared" si="286"/>
        <v>0</v>
      </c>
      <c r="K716" s="168">
        <f t="shared" si="286"/>
        <v>0</v>
      </c>
      <c r="N716" s="91">
        <f t="shared" si="273"/>
        <v>0</v>
      </c>
      <c r="O716" s="130" t="str">
        <f t="shared" si="284"/>
        <v/>
      </c>
      <c r="P716" s="91">
        <f t="shared" si="274"/>
        <v>-2046673.74</v>
      </c>
      <c r="Q716" s="130">
        <f t="shared" si="285"/>
        <v>0</v>
      </c>
      <c r="R716" s="91"/>
      <c r="S716" s="132" t="str">
        <f t="shared" si="263"/>
        <v/>
      </c>
      <c r="T716" s="172">
        <f t="shared" si="265"/>
        <v>7</v>
      </c>
    </row>
    <row r="717" spans="1:20" ht="11.25" customHeight="1" x14ac:dyDescent="0.25">
      <c r="A717" s="42" t="s">
        <v>1542</v>
      </c>
      <c r="B717" s="14"/>
      <c r="C717" s="13"/>
      <c r="D717" s="13"/>
      <c r="E717" s="290" t="s">
        <v>770</v>
      </c>
      <c r="F717" s="291"/>
      <c r="G717" s="11">
        <v>1352429.85</v>
      </c>
      <c r="H717" s="11">
        <v>1130327.3600000001</v>
      </c>
      <c r="I717" s="11">
        <v>0</v>
      </c>
      <c r="J717" s="140">
        <v>0</v>
      </c>
      <c r="K717" s="154"/>
      <c r="N717" s="91">
        <f t="shared" si="273"/>
        <v>0</v>
      </c>
      <c r="O717" s="130" t="str">
        <f t="shared" si="284"/>
        <v/>
      </c>
      <c r="P717" s="91">
        <f t="shared" si="274"/>
        <v>-1130327.3600000001</v>
      </c>
      <c r="Q717" s="130">
        <f t="shared" si="285"/>
        <v>0</v>
      </c>
      <c r="R717" s="91"/>
      <c r="S717" s="132" t="str">
        <f t="shared" ref="S717:S779" si="287">IF(J717=0,"",K717/J717)</f>
        <v/>
      </c>
      <c r="T717" s="172">
        <f t="shared" si="265"/>
        <v>11</v>
      </c>
    </row>
    <row r="718" spans="1:20" ht="11.25" customHeight="1" x14ac:dyDescent="0.25">
      <c r="A718" s="42" t="s">
        <v>1543</v>
      </c>
      <c r="B718" s="14"/>
      <c r="C718" s="13"/>
      <c r="D718" s="13"/>
      <c r="E718" s="290" t="s">
        <v>771</v>
      </c>
      <c r="F718" s="291"/>
      <c r="G718" s="11">
        <v>0</v>
      </c>
      <c r="H718" s="11">
        <v>898246.39</v>
      </c>
      <c r="I718" s="11">
        <v>0</v>
      </c>
      <c r="J718" s="140">
        <v>0</v>
      </c>
      <c r="K718" s="154"/>
      <c r="N718" s="91">
        <f t="shared" si="273"/>
        <v>0</v>
      </c>
      <c r="O718" s="130" t="str">
        <f t="shared" si="284"/>
        <v/>
      </c>
      <c r="P718" s="91">
        <f t="shared" si="274"/>
        <v>-898246.39</v>
      </c>
      <c r="Q718" s="130">
        <f t="shared" si="285"/>
        <v>0</v>
      </c>
      <c r="R718" s="91"/>
      <c r="S718" s="132" t="str">
        <f t="shared" si="287"/>
        <v/>
      </c>
      <c r="T718" s="172">
        <f t="shared" si="265"/>
        <v>11</v>
      </c>
    </row>
    <row r="719" spans="1:20" ht="11.25" customHeight="1" x14ac:dyDescent="0.25">
      <c r="A719" s="42" t="s">
        <v>1544</v>
      </c>
      <c r="B719" s="14"/>
      <c r="C719" s="13"/>
      <c r="D719" s="13"/>
      <c r="E719" s="290" t="s">
        <v>772</v>
      </c>
      <c r="F719" s="291"/>
      <c r="G719" s="11">
        <v>25247.65</v>
      </c>
      <c r="H719" s="11">
        <v>18099.990000000002</v>
      </c>
      <c r="I719" s="11">
        <v>0</v>
      </c>
      <c r="J719" s="140">
        <v>0</v>
      </c>
      <c r="K719" s="154"/>
      <c r="N719" s="91">
        <f t="shared" si="273"/>
        <v>0</v>
      </c>
      <c r="O719" s="130" t="str">
        <f t="shared" si="284"/>
        <v/>
      </c>
      <c r="P719" s="91">
        <f t="shared" si="274"/>
        <v>-18099.990000000002</v>
      </c>
      <c r="Q719" s="130">
        <f t="shared" si="285"/>
        <v>0</v>
      </c>
      <c r="R719" s="91"/>
      <c r="S719" s="132" t="str">
        <f t="shared" si="287"/>
        <v/>
      </c>
      <c r="T719" s="172">
        <f t="shared" ref="T719:T781" si="288">LEN(A719)</f>
        <v>11</v>
      </c>
    </row>
    <row r="720" spans="1:20" ht="11.25" customHeight="1" x14ac:dyDescent="0.25">
      <c r="A720" s="53" t="s">
        <v>773</v>
      </c>
      <c r="B720" s="53"/>
      <c r="C720" s="51"/>
      <c r="D720" s="51"/>
      <c r="E720" s="282" t="s">
        <v>774</v>
      </c>
      <c r="F720" s="283"/>
      <c r="G720" s="52">
        <v>0</v>
      </c>
      <c r="H720" s="52">
        <v>0</v>
      </c>
      <c r="I720" s="52">
        <v>0</v>
      </c>
      <c r="J720" s="147">
        <v>0</v>
      </c>
      <c r="K720" s="167">
        <v>0</v>
      </c>
      <c r="N720" s="193">
        <f t="shared" si="273"/>
        <v>0</v>
      </c>
      <c r="O720" s="194" t="str">
        <f t="shared" si="284"/>
        <v/>
      </c>
      <c r="P720" s="193">
        <f t="shared" si="274"/>
        <v>0</v>
      </c>
      <c r="Q720" s="194" t="str">
        <f t="shared" si="285"/>
        <v/>
      </c>
      <c r="R720" s="193"/>
      <c r="S720" s="195" t="str">
        <f t="shared" si="287"/>
        <v/>
      </c>
      <c r="T720" s="172">
        <f t="shared" si="288"/>
        <v>4</v>
      </c>
    </row>
    <row r="721" spans="1:20" ht="11.25" customHeight="1" x14ac:dyDescent="0.25">
      <c r="A721" s="53" t="s">
        <v>775</v>
      </c>
      <c r="B721" s="53"/>
      <c r="C721" s="51"/>
      <c r="D721" s="51"/>
      <c r="E721" s="282" t="s">
        <v>425</v>
      </c>
      <c r="F721" s="283"/>
      <c r="G721" s="52">
        <f>G722</f>
        <v>450</v>
      </c>
      <c r="H721" s="52">
        <f>H722</f>
        <v>90</v>
      </c>
      <c r="I721" s="52">
        <f>I722</f>
        <v>0</v>
      </c>
      <c r="J721" s="147">
        <v>90</v>
      </c>
      <c r="K721" s="167">
        <f t="shared" ref="K721" si="289">K722</f>
        <v>0</v>
      </c>
      <c r="N721" s="193">
        <f t="shared" si="273"/>
        <v>0</v>
      </c>
      <c r="O721" s="194" t="str">
        <f t="shared" si="284"/>
        <v/>
      </c>
      <c r="P721" s="193">
        <f t="shared" si="274"/>
        <v>-90</v>
      </c>
      <c r="Q721" s="194">
        <f t="shared" si="285"/>
        <v>0</v>
      </c>
      <c r="R721" s="193">
        <f t="shared" si="276"/>
        <v>-90</v>
      </c>
      <c r="S721" s="195">
        <f t="shared" si="287"/>
        <v>0</v>
      </c>
      <c r="T721" s="172">
        <f t="shared" si="288"/>
        <v>4</v>
      </c>
    </row>
    <row r="722" spans="1:20" ht="11.25" customHeight="1" x14ac:dyDescent="0.25">
      <c r="A722" s="57" t="s">
        <v>1545</v>
      </c>
      <c r="B722" s="57"/>
      <c r="C722" s="55"/>
      <c r="D722" s="55"/>
      <c r="E722" s="288" t="s">
        <v>776</v>
      </c>
      <c r="F722" s="289"/>
      <c r="G722" s="56">
        <f t="shared" ref="G722:K722" si="290">SUM(G723)</f>
        <v>450</v>
      </c>
      <c r="H722" s="56">
        <f t="shared" si="290"/>
        <v>90</v>
      </c>
      <c r="I722" s="56">
        <f t="shared" si="290"/>
        <v>0</v>
      </c>
      <c r="J722" s="148">
        <f t="shared" si="290"/>
        <v>0</v>
      </c>
      <c r="K722" s="168">
        <f t="shared" si="290"/>
        <v>0</v>
      </c>
      <c r="N722" s="91">
        <f t="shared" si="273"/>
        <v>0</v>
      </c>
      <c r="O722" s="130" t="str">
        <f t="shared" si="284"/>
        <v/>
      </c>
      <c r="P722" s="91">
        <f t="shared" si="274"/>
        <v>-90</v>
      </c>
      <c r="Q722" s="130">
        <f t="shared" si="285"/>
        <v>0</v>
      </c>
      <c r="R722" s="91"/>
      <c r="S722" s="132" t="str">
        <f t="shared" si="287"/>
        <v/>
      </c>
      <c r="T722" s="172">
        <f t="shared" si="288"/>
        <v>7</v>
      </c>
    </row>
    <row r="723" spans="1:20" ht="11.25" customHeight="1" x14ac:dyDescent="0.25">
      <c r="A723" s="42" t="s">
        <v>1546</v>
      </c>
      <c r="B723" s="14"/>
      <c r="C723" s="13"/>
      <c r="D723" s="13"/>
      <c r="E723" s="290" t="s">
        <v>777</v>
      </c>
      <c r="F723" s="291"/>
      <c r="G723" s="11">
        <v>450</v>
      </c>
      <c r="H723" s="11">
        <v>90</v>
      </c>
      <c r="I723" s="11">
        <v>0</v>
      </c>
      <c r="J723" s="140">
        <v>0</v>
      </c>
      <c r="K723" s="154"/>
      <c r="N723" s="91">
        <f t="shared" si="273"/>
        <v>0</v>
      </c>
      <c r="O723" s="130" t="str">
        <f t="shared" si="284"/>
        <v/>
      </c>
      <c r="P723" s="91">
        <f t="shared" si="274"/>
        <v>-90</v>
      </c>
      <c r="Q723" s="130">
        <f t="shared" si="285"/>
        <v>0</v>
      </c>
      <c r="R723" s="91"/>
      <c r="S723" s="132" t="str">
        <f t="shared" si="287"/>
        <v/>
      </c>
      <c r="T723" s="172">
        <f t="shared" si="288"/>
        <v>11</v>
      </c>
    </row>
    <row r="724" spans="1:20" ht="11.25" customHeight="1" x14ac:dyDescent="0.25">
      <c r="A724" s="53" t="s">
        <v>778</v>
      </c>
      <c r="B724" s="53"/>
      <c r="C724" s="51"/>
      <c r="D724" s="51"/>
      <c r="E724" s="282" t="s">
        <v>427</v>
      </c>
      <c r="F724" s="283"/>
      <c r="G724" s="52">
        <f t="shared" ref="G724:K724" si="291">G725</f>
        <v>55014527.550000004</v>
      </c>
      <c r="H724" s="52">
        <f t="shared" si="291"/>
        <v>57819164.979999997</v>
      </c>
      <c r="I724" s="52">
        <f t="shared" si="291"/>
        <v>58919999.999999993</v>
      </c>
      <c r="J724" s="147">
        <v>53900490</v>
      </c>
      <c r="K724" s="167">
        <f t="shared" si="291"/>
        <v>59269000</v>
      </c>
      <c r="N724" s="193">
        <f t="shared" si="273"/>
        <v>349000.00000000745</v>
      </c>
      <c r="O724" s="194">
        <f t="shared" si="284"/>
        <v>1.0059232858112697</v>
      </c>
      <c r="P724" s="193">
        <f t="shared" si="274"/>
        <v>1449835.0200000033</v>
      </c>
      <c r="Q724" s="194">
        <f t="shared" si="285"/>
        <v>1.0250753365342014</v>
      </c>
      <c r="R724" s="193">
        <f t="shared" si="276"/>
        <v>5368510</v>
      </c>
      <c r="S724" s="195">
        <f t="shared" si="287"/>
        <v>1.0996003932431784</v>
      </c>
      <c r="T724" s="172">
        <f t="shared" si="288"/>
        <v>4</v>
      </c>
    </row>
    <row r="725" spans="1:20" ht="11.25" customHeight="1" x14ac:dyDescent="0.25">
      <c r="A725" s="57" t="s">
        <v>1547</v>
      </c>
      <c r="B725" s="57"/>
      <c r="C725" s="55"/>
      <c r="D725" s="55"/>
      <c r="E725" s="288" t="s">
        <v>779</v>
      </c>
      <c r="F725" s="289"/>
      <c r="G725" s="56">
        <f t="shared" ref="G725:K725" si="292">SUM(G726:G730)</f>
        <v>55014527.550000004</v>
      </c>
      <c r="H725" s="56">
        <f t="shared" si="292"/>
        <v>57819164.979999997</v>
      </c>
      <c r="I725" s="56">
        <f t="shared" si="292"/>
        <v>58919999.999999993</v>
      </c>
      <c r="J725" s="148">
        <f t="shared" si="292"/>
        <v>0</v>
      </c>
      <c r="K725" s="168">
        <f t="shared" si="292"/>
        <v>59269000</v>
      </c>
      <c r="N725" s="91">
        <f t="shared" si="273"/>
        <v>349000.00000000745</v>
      </c>
      <c r="O725" s="130">
        <f t="shared" si="284"/>
        <v>1.0059232858112697</v>
      </c>
      <c r="P725" s="91">
        <f t="shared" si="274"/>
        <v>1449835.0200000033</v>
      </c>
      <c r="Q725" s="130">
        <f t="shared" si="285"/>
        <v>1.0250753365342014</v>
      </c>
      <c r="R725" s="91"/>
      <c r="S725" s="132" t="str">
        <f t="shared" si="287"/>
        <v/>
      </c>
      <c r="T725" s="172">
        <f t="shared" si="288"/>
        <v>7</v>
      </c>
    </row>
    <row r="726" spans="1:20" ht="11.25" customHeight="1" x14ac:dyDescent="0.25">
      <c r="A726" s="42" t="s">
        <v>1548</v>
      </c>
      <c r="B726" s="20" t="s">
        <v>922</v>
      </c>
      <c r="C726" s="20" t="s">
        <v>919</v>
      </c>
      <c r="D726" s="20" t="s">
        <v>924</v>
      </c>
      <c r="E726" s="290" t="s">
        <v>780</v>
      </c>
      <c r="F726" s="291"/>
      <c r="G726" s="11">
        <v>12349544.5</v>
      </c>
      <c r="H726" s="11">
        <v>12770397.5</v>
      </c>
      <c r="I726" s="11">
        <v>14800000</v>
      </c>
      <c r="J726" s="140">
        <v>0</v>
      </c>
      <c r="K726" s="155">
        <v>14997000</v>
      </c>
      <c r="N726" s="91">
        <f t="shared" si="273"/>
        <v>197000</v>
      </c>
      <c r="O726" s="130">
        <f t="shared" si="284"/>
        <v>1.0133108108108109</v>
      </c>
      <c r="P726" s="91">
        <f t="shared" si="274"/>
        <v>2226602.5</v>
      </c>
      <c r="Q726" s="130">
        <f t="shared" si="285"/>
        <v>1.1743565538974021</v>
      </c>
      <c r="R726" s="91"/>
      <c r="S726" s="132" t="str">
        <f t="shared" si="287"/>
        <v/>
      </c>
      <c r="T726" s="172">
        <f t="shared" si="288"/>
        <v>11</v>
      </c>
    </row>
    <row r="727" spans="1:20" ht="11.25" customHeight="1" x14ac:dyDescent="0.25">
      <c r="A727" s="42" t="s">
        <v>1549</v>
      </c>
      <c r="B727" s="20" t="s">
        <v>922</v>
      </c>
      <c r="C727" s="20" t="s">
        <v>919</v>
      </c>
      <c r="D727" s="20" t="s">
        <v>924</v>
      </c>
      <c r="E727" s="290" t="s">
        <v>781</v>
      </c>
      <c r="F727" s="291"/>
      <c r="G727" s="11">
        <v>42448350.149999999</v>
      </c>
      <c r="H727" s="11">
        <v>44883799.149999999</v>
      </c>
      <c r="I727" s="11">
        <v>44000000</v>
      </c>
      <c r="J727" s="140">
        <v>0</v>
      </c>
      <c r="K727" s="155">
        <v>43878000</v>
      </c>
      <c r="N727" s="91">
        <f t="shared" si="273"/>
        <v>-122000</v>
      </c>
      <c r="O727" s="130">
        <f t="shared" si="284"/>
        <v>0.99722727272727274</v>
      </c>
      <c r="P727" s="91">
        <f t="shared" si="274"/>
        <v>-1005799.1499999985</v>
      </c>
      <c r="Q727" s="130">
        <f t="shared" si="285"/>
        <v>0.97759104244632555</v>
      </c>
      <c r="R727" s="91"/>
      <c r="S727" s="132" t="str">
        <f t="shared" si="287"/>
        <v/>
      </c>
      <c r="T727" s="172">
        <f t="shared" si="288"/>
        <v>11</v>
      </c>
    </row>
    <row r="728" spans="1:20" ht="11.25" customHeight="1" x14ac:dyDescent="0.25">
      <c r="A728" s="42" t="s">
        <v>1550</v>
      </c>
      <c r="B728" s="20" t="s">
        <v>922</v>
      </c>
      <c r="C728" s="20" t="s">
        <v>919</v>
      </c>
      <c r="D728" s="20" t="s">
        <v>924</v>
      </c>
      <c r="E728" s="290" t="s">
        <v>782</v>
      </c>
      <c r="F728" s="291"/>
      <c r="G728" s="11">
        <v>172533.6</v>
      </c>
      <c r="H728" s="11">
        <v>77306.41</v>
      </c>
      <c r="I728" s="11">
        <v>100000</v>
      </c>
      <c r="J728" s="140">
        <v>0</v>
      </c>
      <c r="K728" s="155">
        <v>374000</v>
      </c>
      <c r="N728" s="91">
        <f t="shared" si="273"/>
        <v>274000</v>
      </c>
      <c r="O728" s="130">
        <f t="shared" si="284"/>
        <v>3.74</v>
      </c>
      <c r="P728" s="91">
        <f t="shared" si="274"/>
        <v>296693.58999999997</v>
      </c>
      <c r="Q728" s="130">
        <f t="shared" si="285"/>
        <v>4.837891191687727</v>
      </c>
      <c r="R728" s="91"/>
      <c r="S728" s="132" t="str">
        <f t="shared" si="287"/>
        <v/>
      </c>
      <c r="T728" s="172">
        <f t="shared" si="288"/>
        <v>11</v>
      </c>
    </row>
    <row r="729" spans="1:20" ht="11.25" customHeight="1" x14ac:dyDescent="0.25">
      <c r="A729" s="42" t="s">
        <v>1551</v>
      </c>
      <c r="B729" s="20" t="s">
        <v>916</v>
      </c>
      <c r="C729" s="20" t="s">
        <v>919</v>
      </c>
      <c r="D729" s="20" t="s">
        <v>1649</v>
      </c>
      <c r="E729" s="290" t="s">
        <v>783</v>
      </c>
      <c r="F729" s="291"/>
      <c r="G729" s="11">
        <v>38727.699999999997</v>
      </c>
      <c r="H729" s="11">
        <v>82455.600000000006</v>
      </c>
      <c r="I729" s="11">
        <v>19999.999999994001</v>
      </c>
      <c r="J729" s="140">
        <v>0</v>
      </c>
      <c r="K729" s="155">
        <v>20000</v>
      </c>
      <c r="N729" s="91">
        <f t="shared" si="273"/>
        <v>5.9990270528942347E-9</v>
      </c>
      <c r="O729" s="130">
        <f t="shared" si="284"/>
        <v>1.0000000000003</v>
      </c>
      <c r="P729" s="91">
        <f t="shared" si="274"/>
        <v>-62455.600000000006</v>
      </c>
      <c r="Q729" s="130">
        <f t="shared" si="285"/>
        <v>0.24255478099728822</v>
      </c>
      <c r="R729" s="91"/>
      <c r="S729" s="132" t="str">
        <f t="shared" si="287"/>
        <v/>
      </c>
      <c r="T729" s="172">
        <f t="shared" si="288"/>
        <v>11</v>
      </c>
    </row>
    <row r="730" spans="1:20" ht="11.25" customHeight="1" x14ac:dyDescent="0.25">
      <c r="A730" s="42" t="s">
        <v>1552</v>
      </c>
      <c r="B730" s="14"/>
      <c r="C730" s="13"/>
      <c r="D730" s="13"/>
      <c r="E730" s="290" t="s">
        <v>784</v>
      </c>
      <c r="F730" s="291"/>
      <c r="G730" s="11">
        <v>5371.6</v>
      </c>
      <c r="H730" s="11">
        <v>5206.32</v>
      </c>
      <c r="I730" s="11">
        <v>0</v>
      </c>
      <c r="J730" s="140">
        <v>0</v>
      </c>
      <c r="K730" s="154"/>
      <c r="N730" s="91">
        <f t="shared" si="273"/>
        <v>0</v>
      </c>
      <c r="O730" s="130" t="str">
        <f t="shared" si="284"/>
        <v/>
      </c>
      <c r="P730" s="91">
        <f t="shared" si="274"/>
        <v>-5206.32</v>
      </c>
      <c r="Q730" s="130">
        <f t="shared" si="285"/>
        <v>0</v>
      </c>
      <c r="R730" s="91"/>
      <c r="S730" s="132" t="str">
        <f t="shared" si="287"/>
        <v/>
      </c>
      <c r="T730" s="172">
        <f t="shared" si="288"/>
        <v>11</v>
      </c>
    </row>
    <row r="731" spans="1:20" ht="11.25" customHeight="1" x14ac:dyDescent="0.25">
      <c r="A731" s="53" t="s">
        <v>785</v>
      </c>
      <c r="B731" s="53"/>
      <c r="C731" s="51"/>
      <c r="D731" s="51"/>
      <c r="E731" s="282" t="s">
        <v>786</v>
      </c>
      <c r="F731" s="283"/>
      <c r="G731" s="52">
        <f>G732</f>
        <v>24793.39</v>
      </c>
      <c r="H731" s="52">
        <f>H732</f>
        <v>37190</v>
      </c>
      <c r="I731" s="52">
        <f>I732</f>
        <v>0</v>
      </c>
      <c r="J731" s="147">
        <f t="shared" ref="J731:K731" si="293">J732</f>
        <v>0</v>
      </c>
      <c r="K731" s="167">
        <f t="shared" si="293"/>
        <v>0</v>
      </c>
      <c r="N731" s="193">
        <f t="shared" si="273"/>
        <v>0</v>
      </c>
      <c r="O731" s="194" t="str">
        <f t="shared" si="284"/>
        <v/>
      </c>
      <c r="P731" s="193">
        <f t="shared" si="274"/>
        <v>-37190</v>
      </c>
      <c r="Q731" s="194">
        <f t="shared" si="285"/>
        <v>0</v>
      </c>
      <c r="R731" s="193">
        <f t="shared" si="276"/>
        <v>0</v>
      </c>
      <c r="S731" s="195" t="str">
        <f t="shared" si="287"/>
        <v/>
      </c>
      <c r="T731" s="172">
        <f t="shared" si="288"/>
        <v>4</v>
      </c>
    </row>
    <row r="732" spans="1:20" ht="11.25" customHeight="1" x14ac:dyDescent="0.25">
      <c r="A732" s="57" t="s">
        <v>1553</v>
      </c>
      <c r="B732" s="57"/>
      <c r="C732" s="55"/>
      <c r="D732" s="55"/>
      <c r="E732" s="288" t="s">
        <v>787</v>
      </c>
      <c r="F732" s="289"/>
      <c r="G732" s="56">
        <f t="shared" ref="G732:K732" si="294">SUM(G733)</f>
        <v>24793.39</v>
      </c>
      <c r="H732" s="56">
        <f t="shared" si="294"/>
        <v>37190</v>
      </c>
      <c r="I732" s="56">
        <f t="shared" si="294"/>
        <v>0</v>
      </c>
      <c r="J732" s="148">
        <f t="shared" si="294"/>
        <v>0</v>
      </c>
      <c r="K732" s="168">
        <f t="shared" si="294"/>
        <v>0</v>
      </c>
      <c r="N732" s="91">
        <f t="shared" si="273"/>
        <v>0</v>
      </c>
      <c r="O732" s="130" t="str">
        <f t="shared" si="284"/>
        <v/>
      </c>
      <c r="P732" s="91">
        <f t="shared" si="274"/>
        <v>-37190</v>
      </c>
      <c r="Q732" s="130">
        <f t="shared" si="285"/>
        <v>0</v>
      </c>
      <c r="R732" s="91"/>
      <c r="S732" s="132" t="str">
        <f t="shared" si="287"/>
        <v/>
      </c>
      <c r="T732" s="172">
        <f t="shared" si="288"/>
        <v>7</v>
      </c>
    </row>
    <row r="733" spans="1:20" ht="11.25" customHeight="1" x14ac:dyDescent="0.25">
      <c r="A733" s="42" t="s">
        <v>1554</v>
      </c>
      <c r="B733" s="14"/>
      <c r="C733" s="13"/>
      <c r="D733" s="13"/>
      <c r="E733" s="290" t="s">
        <v>788</v>
      </c>
      <c r="F733" s="291"/>
      <c r="G733" s="11">
        <v>24793.39</v>
      </c>
      <c r="H733" s="11">
        <v>37190</v>
      </c>
      <c r="I733" s="11">
        <v>0</v>
      </c>
      <c r="J733" s="140">
        <v>0</v>
      </c>
      <c r="K733" s="154"/>
      <c r="N733" s="91">
        <f t="shared" si="273"/>
        <v>0</v>
      </c>
      <c r="O733" s="130" t="str">
        <f t="shared" si="284"/>
        <v/>
      </c>
      <c r="P733" s="91">
        <f t="shared" si="274"/>
        <v>-37190</v>
      </c>
      <c r="Q733" s="130">
        <f t="shared" si="285"/>
        <v>0</v>
      </c>
      <c r="R733" s="91"/>
      <c r="S733" s="132" t="str">
        <f t="shared" si="287"/>
        <v/>
      </c>
      <c r="T733" s="172">
        <f t="shared" si="288"/>
        <v>11</v>
      </c>
    </row>
    <row r="734" spans="1:20" ht="11.25" customHeight="1" x14ac:dyDescent="0.25">
      <c r="A734" s="53" t="s">
        <v>789</v>
      </c>
      <c r="B734" s="53"/>
      <c r="C734" s="51"/>
      <c r="D734" s="51"/>
      <c r="E734" s="282" t="s">
        <v>790</v>
      </c>
      <c r="F734" s="283"/>
      <c r="G734" s="52">
        <f t="shared" ref="G734:K734" si="295">G735+G737+G739</f>
        <v>12609879.220000001</v>
      </c>
      <c r="H734" s="52">
        <f t="shared" si="295"/>
        <v>11192220.67</v>
      </c>
      <c r="I734" s="52">
        <f t="shared" si="295"/>
        <v>11064000</v>
      </c>
      <c r="J734" s="52">
        <f t="shared" si="295"/>
        <v>4530329.5436000004</v>
      </c>
      <c r="K734" s="167">
        <f t="shared" si="295"/>
        <v>13281122</v>
      </c>
      <c r="N734" s="193">
        <f t="shared" si="273"/>
        <v>2217122</v>
      </c>
      <c r="O734" s="194">
        <f t="shared" si="284"/>
        <v>1.2003906362979031</v>
      </c>
      <c r="P734" s="193">
        <f t="shared" si="274"/>
        <v>2088901.33</v>
      </c>
      <c r="Q734" s="194">
        <f t="shared" si="285"/>
        <v>1.1866386833847156</v>
      </c>
      <c r="R734" s="193">
        <f t="shared" si="276"/>
        <v>8750792.4563999996</v>
      </c>
      <c r="S734" s="195">
        <f t="shared" si="287"/>
        <v>2.9316017460059278</v>
      </c>
      <c r="T734" s="172">
        <f t="shared" si="288"/>
        <v>4</v>
      </c>
    </row>
    <row r="735" spans="1:20" ht="11.25" customHeight="1" x14ac:dyDescent="0.25">
      <c r="A735" s="57" t="s">
        <v>1555</v>
      </c>
      <c r="B735" s="57"/>
      <c r="C735" s="55"/>
      <c r="D735" s="55"/>
      <c r="E735" s="288" t="s">
        <v>791</v>
      </c>
      <c r="F735" s="289"/>
      <c r="G735" s="56">
        <f>SUM(G736)</f>
        <v>3697558</v>
      </c>
      <c r="H735" s="56">
        <f>SUM(H736)</f>
        <v>0</v>
      </c>
      <c r="I735" s="56">
        <f>SUM(I736)</f>
        <v>0</v>
      </c>
      <c r="J735" s="176">
        <v>0</v>
      </c>
      <c r="K735" s="189"/>
      <c r="N735" s="91">
        <f t="shared" si="273"/>
        <v>0</v>
      </c>
      <c r="O735" s="130" t="str">
        <f t="shared" si="284"/>
        <v/>
      </c>
      <c r="P735" s="91">
        <f t="shared" si="274"/>
        <v>0</v>
      </c>
      <c r="Q735" s="130" t="str">
        <f t="shared" si="285"/>
        <v/>
      </c>
      <c r="R735" s="91"/>
      <c r="S735" s="132" t="str">
        <f t="shared" si="287"/>
        <v/>
      </c>
      <c r="T735" s="172">
        <f t="shared" si="288"/>
        <v>7</v>
      </c>
    </row>
    <row r="736" spans="1:20" ht="11.25" customHeight="1" x14ac:dyDescent="0.25">
      <c r="A736" s="42" t="s">
        <v>1556</v>
      </c>
      <c r="B736" s="27"/>
      <c r="C736" s="28"/>
      <c r="D736" s="28"/>
      <c r="E736" s="290" t="s">
        <v>792</v>
      </c>
      <c r="F736" s="291"/>
      <c r="G736" s="11">
        <v>3697558</v>
      </c>
      <c r="H736" s="11">
        <v>0</v>
      </c>
      <c r="I736" s="11">
        <v>0</v>
      </c>
      <c r="J736" s="140">
        <v>0</v>
      </c>
      <c r="K736" s="154"/>
      <c r="N736" s="91">
        <f t="shared" si="273"/>
        <v>0</v>
      </c>
      <c r="O736" s="130" t="str">
        <f t="shared" si="284"/>
        <v/>
      </c>
      <c r="P736" s="91">
        <f t="shared" si="274"/>
        <v>0</v>
      </c>
      <c r="Q736" s="130" t="str">
        <f t="shared" si="285"/>
        <v/>
      </c>
      <c r="R736" s="91"/>
      <c r="S736" s="132" t="str">
        <f t="shared" si="287"/>
        <v/>
      </c>
      <c r="T736" s="172">
        <f t="shared" si="288"/>
        <v>11</v>
      </c>
    </row>
    <row r="737" spans="1:20" ht="11.25" customHeight="1" x14ac:dyDescent="0.25">
      <c r="A737" s="57" t="s">
        <v>1557</v>
      </c>
      <c r="B737" s="57"/>
      <c r="C737" s="55"/>
      <c r="D737" s="55"/>
      <c r="E737" s="288" t="s">
        <v>793</v>
      </c>
      <c r="F737" s="289"/>
      <c r="G737" s="56">
        <f t="shared" ref="G737:K737" si="296">SUM(G738)</f>
        <v>3336710.32</v>
      </c>
      <c r="H737" s="56">
        <f t="shared" si="296"/>
        <v>2280883.4</v>
      </c>
      <c r="I737" s="56">
        <f t="shared" si="296"/>
        <v>2000000</v>
      </c>
      <c r="J737" s="148">
        <v>0</v>
      </c>
      <c r="K737" s="168">
        <f t="shared" si="296"/>
        <v>2500000</v>
      </c>
      <c r="N737" s="91">
        <f t="shared" si="273"/>
        <v>500000</v>
      </c>
      <c r="O737" s="130">
        <f t="shared" si="284"/>
        <v>1.25</v>
      </c>
      <c r="P737" s="91">
        <f t="shared" si="274"/>
        <v>219116.60000000009</v>
      </c>
      <c r="Q737" s="130">
        <f t="shared" si="285"/>
        <v>1.0960665503550073</v>
      </c>
      <c r="R737" s="91"/>
      <c r="S737" s="132" t="str">
        <f t="shared" si="287"/>
        <v/>
      </c>
      <c r="T737" s="172">
        <f t="shared" si="288"/>
        <v>7</v>
      </c>
    </row>
    <row r="738" spans="1:20" ht="11.25" customHeight="1" x14ac:dyDescent="0.25">
      <c r="A738" s="42" t="s">
        <v>1558</v>
      </c>
      <c r="B738" s="27" t="s">
        <v>916</v>
      </c>
      <c r="C738" s="28" t="s">
        <v>920</v>
      </c>
      <c r="D738" s="28" t="s">
        <v>917</v>
      </c>
      <c r="E738" s="290" t="s">
        <v>794</v>
      </c>
      <c r="F738" s="291"/>
      <c r="G738" s="11">
        <v>3336710.32</v>
      </c>
      <c r="H738" s="11">
        <v>2280883.4</v>
      </c>
      <c r="I738" s="11">
        <v>2000000</v>
      </c>
      <c r="J738" s="140">
        <v>0</v>
      </c>
      <c r="K738" s="155">
        <v>2500000</v>
      </c>
      <c r="N738" s="91">
        <f t="shared" si="273"/>
        <v>500000</v>
      </c>
      <c r="O738" s="130">
        <f t="shared" si="284"/>
        <v>1.25</v>
      </c>
      <c r="P738" s="91">
        <f t="shared" si="274"/>
        <v>219116.60000000009</v>
      </c>
      <c r="Q738" s="130">
        <f t="shared" si="285"/>
        <v>1.0960665503550073</v>
      </c>
      <c r="R738" s="91"/>
      <c r="S738" s="132" t="str">
        <f t="shared" si="287"/>
        <v/>
      </c>
      <c r="T738" s="172">
        <f t="shared" si="288"/>
        <v>11</v>
      </c>
    </row>
    <row r="739" spans="1:20" ht="11.25" customHeight="1" x14ac:dyDescent="0.25">
      <c r="A739" s="57" t="s">
        <v>1559</v>
      </c>
      <c r="B739" s="57"/>
      <c r="C739" s="55"/>
      <c r="D739" s="55"/>
      <c r="E739" s="288" t="s">
        <v>795</v>
      </c>
      <c r="F739" s="289"/>
      <c r="G739" s="56">
        <f t="shared" ref="G739:K739" si="297">SUM(G740:G742)</f>
        <v>5575610.9000000004</v>
      </c>
      <c r="H739" s="56">
        <f t="shared" si="297"/>
        <v>8911337.2699999996</v>
      </c>
      <c r="I739" s="56">
        <f t="shared" si="297"/>
        <v>9064000</v>
      </c>
      <c r="J739" s="148">
        <f t="shared" si="297"/>
        <v>4530329.5436000004</v>
      </c>
      <c r="K739" s="168">
        <f t="shared" si="297"/>
        <v>10781122</v>
      </c>
      <c r="N739" s="91">
        <f t="shared" si="273"/>
        <v>1717122</v>
      </c>
      <c r="O739" s="130">
        <f t="shared" si="284"/>
        <v>1.1894441747572815</v>
      </c>
      <c r="P739" s="91">
        <f t="shared" si="274"/>
        <v>1869784.7300000004</v>
      </c>
      <c r="Q739" s="130">
        <f t="shared" si="285"/>
        <v>1.2098208914496624</v>
      </c>
      <c r="R739" s="91"/>
      <c r="S739" s="132">
        <f t="shared" si="287"/>
        <v>2.3797655107078244</v>
      </c>
      <c r="T739" s="172">
        <f t="shared" si="288"/>
        <v>7</v>
      </c>
    </row>
    <row r="740" spans="1:20" ht="11.25" customHeight="1" x14ac:dyDescent="0.25">
      <c r="A740" s="42" t="s">
        <v>1560</v>
      </c>
      <c r="B740" s="27" t="s">
        <v>916</v>
      </c>
      <c r="C740" s="28" t="s">
        <v>919</v>
      </c>
      <c r="D740" s="28" t="s">
        <v>917</v>
      </c>
      <c r="E740" s="290" t="s">
        <v>796</v>
      </c>
      <c r="F740" s="291"/>
      <c r="G740" s="11">
        <v>2425000</v>
      </c>
      <c r="H740" s="11">
        <v>3813500</v>
      </c>
      <c r="I740" s="11">
        <v>4064000</v>
      </c>
      <c r="J740" s="213">
        <v>4530329.5436000004</v>
      </c>
      <c r="K740" s="155">
        <v>4505330</v>
      </c>
      <c r="L740" s="214"/>
      <c r="N740" s="91">
        <f t="shared" si="273"/>
        <v>441330</v>
      </c>
      <c r="O740" s="130">
        <f t="shared" si="284"/>
        <v>1.1085949803149606</v>
      </c>
      <c r="P740" s="91">
        <f t="shared" si="274"/>
        <v>691830</v>
      </c>
      <c r="Q740" s="130">
        <f t="shared" si="285"/>
        <v>1.1814160220270093</v>
      </c>
      <c r="R740" s="91"/>
      <c r="S740" s="132">
        <f t="shared" si="287"/>
        <v>0.99448173839024201</v>
      </c>
      <c r="T740" s="172">
        <f t="shared" si="288"/>
        <v>11</v>
      </c>
    </row>
    <row r="741" spans="1:20" ht="11.25" customHeight="1" x14ac:dyDescent="0.25">
      <c r="A741" s="42" t="s">
        <v>1561</v>
      </c>
      <c r="B741" s="27" t="s">
        <v>916</v>
      </c>
      <c r="C741" s="28" t="s">
        <v>919</v>
      </c>
      <c r="D741" s="28" t="s">
        <v>917</v>
      </c>
      <c r="E741" s="290" t="s">
        <v>797</v>
      </c>
      <c r="F741" s="291"/>
      <c r="G741" s="11">
        <v>3150610.9</v>
      </c>
      <c r="H741" s="11">
        <v>5038216.2699999996</v>
      </c>
      <c r="I741" s="11">
        <v>5000000</v>
      </c>
      <c r="J741" s="140">
        <v>0</v>
      </c>
      <c r="K741" s="155">
        <f>6006529+196541+72722</f>
        <v>6275792</v>
      </c>
      <c r="L741" s="112" t="s">
        <v>1712</v>
      </c>
      <c r="M741" s="112"/>
      <c r="N741" s="91">
        <f t="shared" si="273"/>
        <v>1275792</v>
      </c>
      <c r="O741" s="130">
        <f t="shared" si="284"/>
        <v>1.2551584</v>
      </c>
      <c r="P741" s="91">
        <f t="shared" si="274"/>
        <v>1237575.7300000004</v>
      </c>
      <c r="Q741" s="130">
        <f t="shared" si="285"/>
        <v>1.2456376748590827</v>
      </c>
      <c r="R741" s="91"/>
      <c r="S741" s="132" t="str">
        <f t="shared" si="287"/>
        <v/>
      </c>
      <c r="T741" s="172">
        <f t="shared" si="288"/>
        <v>11</v>
      </c>
    </row>
    <row r="742" spans="1:20" ht="11.25" customHeight="1" x14ac:dyDescent="0.25">
      <c r="A742" s="42" t="s">
        <v>1562</v>
      </c>
      <c r="B742" s="27" t="s">
        <v>916</v>
      </c>
      <c r="C742" s="28" t="s">
        <v>919</v>
      </c>
      <c r="D742" s="96" t="s">
        <v>917</v>
      </c>
      <c r="E742" s="290" t="s">
        <v>798</v>
      </c>
      <c r="F742" s="291"/>
      <c r="G742" s="11">
        <v>0</v>
      </c>
      <c r="H742" s="11">
        <v>59621</v>
      </c>
      <c r="I742" s="11">
        <v>0</v>
      </c>
      <c r="J742" s="140">
        <v>0</v>
      </c>
      <c r="K742" s="155">
        <v>0</v>
      </c>
      <c r="N742" s="91">
        <f t="shared" si="273"/>
        <v>0</v>
      </c>
      <c r="O742" s="130" t="str">
        <f t="shared" si="284"/>
        <v/>
      </c>
      <c r="P742" s="91">
        <f t="shared" si="274"/>
        <v>-59621</v>
      </c>
      <c r="Q742" s="130">
        <f t="shared" si="285"/>
        <v>0</v>
      </c>
      <c r="R742" s="91"/>
      <c r="S742" s="132" t="str">
        <f t="shared" si="287"/>
        <v/>
      </c>
      <c r="T742" s="172">
        <f t="shared" si="288"/>
        <v>11</v>
      </c>
    </row>
    <row r="743" spans="1:20" ht="11.25" customHeight="1" x14ac:dyDescent="0.25">
      <c r="A743" s="53" t="s">
        <v>799</v>
      </c>
      <c r="B743" s="53"/>
      <c r="C743" s="51"/>
      <c r="D743" s="51"/>
      <c r="E743" s="282" t="s">
        <v>800</v>
      </c>
      <c r="F743" s="283"/>
      <c r="G743" s="52">
        <f>G744+G746+G755+G760+G785+G792</f>
        <v>113465698.86000001</v>
      </c>
      <c r="H743" s="52">
        <f>H744+H746+H755+H760+H785+H792</f>
        <v>311547306.70999998</v>
      </c>
      <c r="I743" s="52">
        <f>I744+I746+I755+I760+I785+I792</f>
        <v>287642409.02527046</v>
      </c>
      <c r="J743" s="147">
        <f>282258813+11780000</f>
        <v>294038813</v>
      </c>
      <c r="K743" s="167">
        <f>K744+K746+K755+K760+K785+K792</f>
        <v>275857398</v>
      </c>
      <c r="N743" s="193">
        <f t="shared" si="273"/>
        <v>-11785011.025270462</v>
      </c>
      <c r="O743" s="194">
        <f t="shared" si="284"/>
        <v>0.95902895172792446</v>
      </c>
      <c r="P743" s="193">
        <f t="shared" si="274"/>
        <v>-35689908.709999979</v>
      </c>
      <c r="Q743" s="194">
        <f t="shared" si="285"/>
        <v>0.88544305169287985</v>
      </c>
      <c r="R743" s="193">
        <f t="shared" si="276"/>
        <v>-18181415</v>
      </c>
      <c r="S743" s="195">
        <f t="shared" si="287"/>
        <v>0.93816661543930258</v>
      </c>
      <c r="T743" s="172">
        <f t="shared" si="288"/>
        <v>4</v>
      </c>
    </row>
    <row r="744" spans="1:20" ht="11.25" customHeight="1" x14ac:dyDescent="0.25">
      <c r="A744" s="57" t="s">
        <v>1563</v>
      </c>
      <c r="B744" s="57"/>
      <c r="C744" s="55"/>
      <c r="D744" s="55"/>
      <c r="E744" s="288" t="s">
        <v>801</v>
      </c>
      <c r="F744" s="289"/>
      <c r="G744" s="56">
        <f t="shared" ref="G744:K744" si="298">SUM(G745)</f>
        <v>61612.3</v>
      </c>
      <c r="H744" s="56">
        <f t="shared" si="298"/>
        <v>77944.570000000007</v>
      </c>
      <c r="I744" s="56">
        <f t="shared" si="298"/>
        <v>0</v>
      </c>
      <c r="J744" s="148">
        <f t="shared" si="298"/>
        <v>0</v>
      </c>
      <c r="K744" s="168">
        <f t="shared" si="298"/>
        <v>0</v>
      </c>
      <c r="N744" s="91">
        <f t="shared" si="273"/>
        <v>0</v>
      </c>
      <c r="O744" s="130" t="str">
        <f t="shared" si="284"/>
        <v/>
      </c>
      <c r="P744" s="91">
        <f t="shared" si="274"/>
        <v>-77944.570000000007</v>
      </c>
      <c r="Q744" s="130">
        <f t="shared" si="285"/>
        <v>0</v>
      </c>
      <c r="R744" s="91"/>
      <c r="S744" s="132" t="str">
        <f t="shared" si="287"/>
        <v/>
      </c>
      <c r="T744" s="172">
        <f t="shared" si="288"/>
        <v>7</v>
      </c>
    </row>
    <row r="745" spans="1:20" ht="11.25" customHeight="1" x14ac:dyDescent="0.25">
      <c r="A745" s="42" t="s">
        <v>1564</v>
      </c>
      <c r="B745" s="14"/>
      <c r="C745" s="13"/>
      <c r="D745" s="13"/>
      <c r="E745" s="290" t="s">
        <v>802</v>
      </c>
      <c r="F745" s="291"/>
      <c r="G745" s="11">
        <v>61612.3</v>
      </c>
      <c r="H745" s="11">
        <v>77944.570000000007</v>
      </c>
      <c r="I745" s="11">
        <v>0</v>
      </c>
      <c r="J745" s="140">
        <v>0</v>
      </c>
      <c r="K745" s="154"/>
      <c r="N745" s="91">
        <f t="shared" si="273"/>
        <v>0</v>
      </c>
      <c r="O745" s="130" t="str">
        <f t="shared" si="284"/>
        <v/>
      </c>
      <c r="P745" s="91">
        <f t="shared" si="274"/>
        <v>-77944.570000000007</v>
      </c>
      <c r="Q745" s="130">
        <f t="shared" si="285"/>
        <v>0</v>
      </c>
      <c r="R745" s="91"/>
      <c r="S745" s="132" t="str">
        <f t="shared" si="287"/>
        <v/>
      </c>
      <c r="T745" s="172">
        <f t="shared" si="288"/>
        <v>11</v>
      </c>
    </row>
    <row r="746" spans="1:20" ht="11.25" customHeight="1" x14ac:dyDescent="0.25">
      <c r="A746" s="57" t="s">
        <v>1565</v>
      </c>
      <c r="B746" s="57"/>
      <c r="C746" s="55"/>
      <c r="D746" s="55"/>
      <c r="E746" s="288" t="s">
        <v>803</v>
      </c>
      <c r="F746" s="289"/>
      <c r="G746" s="56">
        <f t="shared" ref="G746:K746" si="299">SUM(G747:G754)</f>
        <v>10665776.24</v>
      </c>
      <c r="H746" s="56">
        <f t="shared" si="299"/>
        <v>6956960.8100000005</v>
      </c>
      <c r="I746" s="56">
        <f t="shared" si="299"/>
        <v>999999.99999999499</v>
      </c>
      <c r="J746" s="148">
        <f t="shared" si="299"/>
        <v>0</v>
      </c>
      <c r="K746" s="168">
        <f t="shared" si="299"/>
        <v>17109449</v>
      </c>
      <c r="N746" s="91">
        <f t="shared" ref="N746:N808" si="300">+K746-I746</f>
        <v>16109449.000000006</v>
      </c>
      <c r="O746" s="130">
        <f t="shared" si="284"/>
        <v>17.109449000000087</v>
      </c>
      <c r="P746" s="91">
        <f t="shared" ref="P746:P808" si="301">+K746-H746</f>
        <v>10152488.189999999</v>
      </c>
      <c r="Q746" s="130">
        <f t="shared" si="285"/>
        <v>2.4593280697235951</v>
      </c>
      <c r="R746" s="91"/>
      <c r="S746" s="132" t="str">
        <f t="shared" si="287"/>
        <v/>
      </c>
      <c r="T746" s="172">
        <f t="shared" si="288"/>
        <v>7</v>
      </c>
    </row>
    <row r="747" spans="1:20" ht="11.25" customHeight="1" x14ac:dyDescent="0.25">
      <c r="A747" s="42" t="s">
        <v>1566</v>
      </c>
      <c r="B747" s="14"/>
      <c r="C747" s="13"/>
      <c r="D747" s="13"/>
      <c r="E747" s="290" t="s">
        <v>804</v>
      </c>
      <c r="F747" s="291"/>
      <c r="G747" s="11">
        <v>1312.59</v>
      </c>
      <c r="H747" s="11">
        <v>409.35</v>
      </c>
      <c r="I747" s="11">
        <v>0</v>
      </c>
      <c r="J747" s="140">
        <v>0</v>
      </c>
      <c r="K747" s="154"/>
      <c r="N747" s="91">
        <f t="shared" si="300"/>
        <v>0</v>
      </c>
      <c r="O747" s="130" t="str">
        <f t="shared" si="284"/>
        <v/>
      </c>
      <c r="P747" s="91">
        <f t="shared" si="301"/>
        <v>-409.35</v>
      </c>
      <c r="Q747" s="130">
        <f t="shared" si="285"/>
        <v>0</v>
      </c>
      <c r="R747" s="91"/>
      <c r="S747" s="132" t="str">
        <f t="shared" si="287"/>
        <v/>
      </c>
      <c r="T747" s="172">
        <f t="shared" si="288"/>
        <v>11</v>
      </c>
    </row>
    <row r="748" spans="1:20" ht="11.25" customHeight="1" x14ac:dyDescent="0.25">
      <c r="A748" s="42" t="s">
        <v>1567</v>
      </c>
      <c r="B748" s="27" t="s">
        <v>916</v>
      </c>
      <c r="C748" s="28" t="s">
        <v>920</v>
      </c>
      <c r="D748" s="28" t="s">
        <v>917</v>
      </c>
      <c r="E748" s="290" t="s">
        <v>805</v>
      </c>
      <c r="F748" s="291"/>
      <c r="G748" s="11">
        <v>671796.09</v>
      </c>
      <c r="H748" s="11">
        <v>1615940.71</v>
      </c>
      <c r="I748" s="11">
        <v>0</v>
      </c>
      <c r="J748" s="140">
        <v>0</v>
      </c>
      <c r="K748" s="200">
        <v>5000000</v>
      </c>
      <c r="N748" s="91">
        <f t="shared" si="300"/>
        <v>5000000</v>
      </c>
      <c r="O748" s="130" t="str">
        <f t="shared" si="284"/>
        <v/>
      </c>
      <c r="P748" s="91">
        <f t="shared" si="301"/>
        <v>3384059.29</v>
      </c>
      <c r="Q748" s="130">
        <f t="shared" si="285"/>
        <v>3.0941729291540652</v>
      </c>
      <c r="R748" s="91"/>
      <c r="S748" s="132" t="str">
        <f t="shared" si="287"/>
        <v/>
      </c>
      <c r="T748" s="172">
        <f t="shared" si="288"/>
        <v>11</v>
      </c>
    </row>
    <row r="749" spans="1:20" ht="11.25" customHeight="1" x14ac:dyDescent="0.25">
      <c r="A749" s="42" t="s">
        <v>1568</v>
      </c>
      <c r="B749" s="27" t="s">
        <v>916</v>
      </c>
      <c r="C749" s="28" t="s">
        <v>923</v>
      </c>
      <c r="D749" s="28" t="s">
        <v>1633</v>
      </c>
      <c r="E749" s="290" t="s">
        <v>806</v>
      </c>
      <c r="F749" s="291"/>
      <c r="G749" s="11">
        <v>-0.04</v>
      </c>
      <c r="H749" s="11">
        <v>85101</v>
      </c>
      <c r="I749" s="11">
        <v>0</v>
      </c>
      <c r="J749" s="140">
        <v>0</v>
      </c>
      <c r="K749" s="155">
        <f>10472000+720000</f>
        <v>11192000</v>
      </c>
      <c r="N749" s="91">
        <f t="shared" si="300"/>
        <v>11192000</v>
      </c>
      <c r="O749" s="130" t="str">
        <f t="shared" si="284"/>
        <v/>
      </c>
      <c r="P749" s="91">
        <f t="shared" si="301"/>
        <v>11106899</v>
      </c>
      <c r="Q749" s="130">
        <f t="shared" si="285"/>
        <v>131.51431828063124</v>
      </c>
      <c r="R749" s="91"/>
      <c r="S749" s="132" t="str">
        <f t="shared" si="287"/>
        <v/>
      </c>
      <c r="T749" s="172">
        <f t="shared" si="288"/>
        <v>11</v>
      </c>
    </row>
    <row r="750" spans="1:20" ht="11.25" customHeight="1" x14ac:dyDescent="0.25">
      <c r="A750" s="42" t="s">
        <v>1569</v>
      </c>
      <c r="B750" s="14"/>
      <c r="C750" s="13"/>
      <c r="D750" s="13"/>
      <c r="E750" s="290" t="s">
        <v>807</v>
      </c>
      <c r="F750" s="291"/>
      <c r="G750" s="11">
        <v>806953</v>
      </c>
      <c r="H750" s="11">
        <v>3110379</v>
      </c>
      <c r="I750" s="11">
        <v>0</v>
      </c>
      <c r="J750" s="140">
        <v>0</v>
      </c>
      <c r="K750" s="154"/>
      <c r="N750" s="91">
        <f t="shared" si="300"/>
        <v>0</v>
      </c>
      <c r="O750" s="130" t="str">
        <f t="shared" si="284"/>
        <v/>
      </c>
      <c r="P750" s="91">
        <f t="shared" si="301"/>
        <v>-3110379</v>
      </c>
      <c r="Q750" s="130">
        <f t="shared" si="285"/>
        <v>0</v>
      </c>
      <c r="R750" s="91"/>
      <c r="S750" s="132" t="str">
        <f t="shared" si="287"/>
        <v/>
      </c>
      <c r="T750" s="172">
        <f t="shared" si="288"/>
        <v>11</v>
      </c>
    </row>
    <row r="751" spans="1:20" ht="11.25" customHeight="1" x14ac:dyDescent="0.25">
      <c r="A751" s="42" t="s">
        <v>1570</v>
      </c>
      <c r="B751" s="14"/>
      <c r="C751" s="13"/>
      <c r="D751" s="13"/>
      <c r="E751" s="290" t="s">
        <v>808</v>
      </c>
      <c r="F751" s="291"/>
      <c r="G751" s="11">
        <v>915069</v>
      </c>
      <c r="H751" s="11">
        <v>956280</v>
      </c>
      <c r="I751" s="11">
        <v>0</v>
      </c>
      <c r="J751" s="140">
        <v>0</v>
      </c>
      <c r="K751" s="154"/>
      <c r="N751" s="91">
        <f t="shared" si="300"/>
        <v>0</v>
      </c>
      <c r="O751" s="130" t="str">
        <f t="shared" si="284"/>
        <v/>
      </c>
      <c r="P751" s="91">
        <f t="shared" si="301"/>
        <v>-956280</v>
      </c>
      <c r="Q751" s="130">
        <f t="shared" si="285"/>
        <v>0</v>
      </c>
      <c r="R751" s="91"/>
      <c r="S751" s="132" t="str">
        <f t="shared" si="287"/>
        <v/>
      </c>
      <c r="T751" s="172">
        <f t="shared" si="288"/>
        <v>11</v>
      </c>
    </row>
    <row r="752" spans="1:20" ht="11.25" customHeight="1" x14ac:dyDescent="0.25">
      <c r="A752" s="42" t="s">
        <v>1571</v>
      </c>
      <c r="B752" s="27" t="s">
        <v>916</v>
      </c>
      <c r="C752" s="28" t="s">
        <v>919</v>
      </c>
      <c r="D752" s="28" t="s">
        <v>917</v>
      </c>
      <c r="E752" s="290" t="s">
        <v>809</v>
      </c>
      <c r="F752" s="291"/>
      <c r="G752" s="11">
        <v>992850.4</v>
      </c>
      <c r="H752" s="11">
        <v>1095219.25</v>
      </c>
      <c r="I752" s="11">
        <v>999999.99999999499</v>
      </c>
      <c r="J752" s="140">
        <v>0</v>
      </c>
      <c r="K752" s="155">
        <v>917449</v>
      </c>
      <c r="N752" s="91">
        <f t="shared" si="300"/>
        <v>-82550.999999994994</v>
      </c>
      <c r="O752" s="130">
        <f t="shared" si="284"/>
        <v>0.91744900000000462</v>
      </c>
      <c r="P752" s="91">
        <f t="shared" si="301"/>
        <v>-177770.25</v>
      </c>
      <c r="Q752" s="130">
        <f t="shared" si="285"/>
        <v>0.83768523973624465</v>
      </c>
      <c r="R752" s="91"/>
      <c r="S752" s="132" t="str">
        <f t="shared" si="287"/>
        <v/>
      </c>
      <c r="T752" s="172">
        <f t="shared" si="288"/>
        <v>11</v>
      </c>
    </row>
    <row r="753" spans="1:20" ht="11.25" customHeight="1" x14ac:dyDescent="0.25">
      <c r="A753" s="42" t="s">
        <v>1572</v>
      </c>
      <c r="B753" s="14"/>
      <c r="C753" s="13"/>
      <c r="D753" s="13"/>
      <c r="E753" s="290" t="s">
        <v>810</v>
      </c>
      <c r="F753" s="291"/>
      <c r="G753" s="11">
        <v>5803823.2000000002</v>
      </c>
      <c r="H753" s="11">
        <v>0</v>
      </c>
      <c r="I753" s="11">
        <v>0</v>
      </c>
      <c r="J753" s="140">
        <v>0</v>
      </c>
      <c r="K753" s="155">
        <v>0</v>
      </c>
      <c r="N753" s="91">
        <f t="shared" si="300"/>
        <v>0</v>
      </c>
      <c r="O753" s="130" t="str">
        <f t="shared" si="284"/>
        <v/>
      </c>
      <c r="P753" s="91">
        <f t="shared" si="301"/>
        <v>0</v>
      </c>
      <c r="Q753" s="130" t="str">
        <f t="shared" si="285"/>
        <v/>
      </c>
      <c r="R753" s="91"/>
      <c r="S753" s="132" t="str">
        <f t="shared" si="287"/>
        <v/>
      </c>
      <c r="T753" s="172">
        <f t="shared" si="288"/>
        <v>11</v>
      </c>
    </row>
    <row r="754" spans="1:20" ht="11.25" customHeight="1" x14ac:dyDescent="0.25">
      <c r="A754" s="42" t="s">
        <v>1573</v>
      </c>
      <c r="B754" s="14"/>
      <c r="C754" s="13"/>
      <c r="D754" s="13"/>
      <c r="E754" s="290" t="s">
        <v>811</v>
      </c>
      <c r="F754" s="291"/>
      <c r="G754" s="11">
        <v>1473972</v>
      </c>
      <c r="H754" s="11">
        <v>93631.5</v>
      </c>
      <c r="I754" s="11">
        <v>0</v>
      </c>
      <c r="J754" s="140">
        <v>0</v>
      </c>
      <c r="K754" s="155">
        <v>0</v>
      </c>
      <c r="N754" s="91">
        <f t="shared" si="300"/>
        <v>0</v>
      </c>
      <c r="O754" s="130" t="str">
        <f t="shared" si="284"/>
        <v/>
      </c>
      <c r="P754" s="91">
        <f t="shared" si="301"/>
        <v>-93631.5</v>
      </c>
      <c r="Q754" s="130">
        <f t="shared" si="285"/>
        <v>0</v>
      </c>
      <c r="R754" s="91"/>
      <c r="S754" s="132" t="str">
        <f t="shared" si="287"/>
        <v/>
      </c>
      <c r="T754" s="172">
        <f t="shared" si="288"/>
        <v>11</v>
      </c>
    </row>
    <row r="755" spans="1:20" ht="11.25" customHeight="1" x14ac:dyDescent="0.25">
      <c r="A755" s="57" t="s">
        <v>1574</v>
      </c>
      <c r="B755" s="57"/>
      <c r="C755" s="55"/>
      <c r="D755" s="55"/>
      <c r="E755" s="288" t="s">
        <v>812</v>
      </c>
      <c r="F755" s="289"/>
      <c r="G755" s="56">
        <f>SUM(G756:G759)</f>
        <v>0</v>
      </c>
      <c r="H755" s="56">
        <f>SUM(H756:H759)</f>
        <v>191105603.09999999</v>
      </c>
      <c r="I755" s="56">
        <f>SUM(I756:I759)</f>
        <v>170500000</v>
      </c>
      <c r="J755" s="148">
        <f>SUM(J756:J759)</f>
        <v>0</v>
      </c>
      <c r="K755" s="168">
        <f>SUM(K756:K759)</f>
        <v>130500000</v>
      </c>
      <c r="N755" s="91">
        <f t="shared" si="300"/>
        <v>-40000000</v>
      </c>
      <c r="O755" s="130">
        <f t="shared" si="284"/>
        <v>0.76539589442815248</v>
      </c>
      <c r="P755" s="91">
        <f t="shared" si="301"/>
        <v>-60605603.099999994</v>
      </c>
      <c r="Q755" s="130">
        <f t="shared" si="285"/>
        <v>0.68286851815492378</v>
      </c>
      <c r="R755" s="91"/>
      <c r="S755" s="132" t="str">
        <f t="shared" si="287"/>
        <v/>
      </c>
      <c r="T755" s="172">
        <f t="shared" si="288"/>
        <v>7</v>
      </c>
    </row>
    <row r="756" spans="1:20" ht="11.25" customHeight="1" x14ac:dyDescent="0.25">
      <c r="A756" s="42" t="s">
        <v>1575</v>
      </c>
      <c r="B756" s="28" t="s">
        <v>922</v>
      </c>
      <c r="C756" s="28" t="s">
        <v>923</v>
      </c>
      <c r="D756" s="28" t="s">
        <v>1631</v>
      </c>
      <c r="E756" s="290" t="s">
        <v>813</v>
      </c>
      <c r="F756" s="291"/>
      <c r="G756" s="11">
        <v>0</v>
      </c>
      <c r="H756" s="11">
        <v>72261739.390000001</v>
      </c>
      <c r="I756" s="11">
        <v>75000000</v>
      </c>
      <c r="J756" s="140">
        <v>0</v>
      </c>
      <c r="K756" s="155">
        <v>50000000</v>
      </c>
      <c r="N756" s="91">
        <f t="shared" si="300"/>
        <v>-25000000</v>
      </c>
      <c r="O756" s="130">
        <f t="shared" si="284"/>
        <v>0.66666666666666663</v>
      </c>
      <c r="P756" s="91">
        <f t="shared" si="301"/>
        <v>-22261739.390000001</v>
      </c>
      <c r="Q756" s="130">
        <f t="shared" si="285"/>
        <v>0.69192909584071394</v>
      </c>
      <c r="R756" s="91"/>
      <c r="S756" s="132" t="str">
        <f t="shared" si="287"/>
        <v/>
      </c>
      <c r="T756" s="172">
        <f t="shared" si="288"/>
        <v>11</v>
      </c>
    </row>
    <row r="757" spans="1:20" ht="11.25" customHeight="1" x14ac:dyDescent="0.25">
      <c r="A757" s="42" t="s">
        <v>1576</v>
      </c>
      <c r="B757" s="28" t="s">
        <v>922</v>
      </c>
      <c r="C757" s="28" t="s">
        <v>920</v>
      </c>
      <c r="D757" s="28" t="s">
        <v>1433</v>
      </c>
      <c r="E757" s="290" t="s">
        <v>814</v>
      </c>
      <c r="F757" s="291"/>
      <c r="G757" s="11">
        <v>0</v>
      </c>
      <c r="H757" s="11">
        <v>85053975.120000005</v>
      </c>
      <c r="I757" s="11">
        <v>70000000</v>
      </c>
      <c r="J757" s="140">
        <v>0</v>
      </c>
      <c r="K757" s="155">
        <v>60000000</v>
      </c>
      <c r="N757" s="91">
        <f t="shared" si="300"/>
        <v>-10000000</v>
      </c>
      <c r="O757" s="130">
        <f t="shared" si="284"/>
        <v>0.8571428571428571</v>
      </c>
      <c r="P757" s="91">
        <f t="shared" si="301"/>
        <v>-25053975.120000005</v>
      </c>
      <c r="Q757" s="130">
        <f t="shared" si="285"/>
        <v>0.70543440110057021</v>
      </c>
      <c r="R757" s="91"/>
      <c r="S757" s="132" t="str">
        <f t="shared" si="287"/>
        <v/>
      </c>
      <c r="T757" s="172">
        <f t="shared" si="288"/>
        <v>11</v>
      </c>
    </row>
    <row r="758" spans="1:20" ht="11.25" customHeight="1" x14ac:dyDescent="0.25">
      <c r="A758" s="42" t="s">
        <v>1577</v>
      </c>
      <c r="B758" s="20" t="s">
        <v>922</v>
      </c>
      <c r="C758" s="20" t="s">
        <v>923</v>
      </c>
      <c r="D758" s="20" t="s">
        <v>1631</v>
      </c>
      <c r="E758" s="290" t="s">
        <v>815</v>
      </c>
      <c r="F758" s="291"/>
      <c r="G758" s="11">
        <v>0</v>
      </c>
      <c r="H758" s="11">
        <v>32834754.280000001</v>
      </c>
      <c r="I758" s="11">
        <v>25000000</v>
      </c>
      <c r="J758" s="140">
        <v>0</v>
      </c>
      <c r="K758" s="155">
        <v>20000000</v>
      </c>
      <c r="N758" s="91">
        <f t="shared" si="300"/>
        <v>-5000000</v>
      </c>
      <c r="O758" s="130">
        <f t="shared" si="284"/>
        <v>0.8</v>
      </c>
      <c r="P758" s="91">
        <f t="shared" si="301"/>
        <v>-12834754.280000001</v>
      </c>
      <c r="Q758" s="130">
        <f t="shared" si="285"/>
        <v>0.60911069501081094</v>
      </c>
      <c r="R758" s="91"/>
      <c r="S758" s="132" t="str">
        <f t="shared" si="287"/>
        <v/>
      </c>
      <c r="T758" s="172">
        <f t="shared" si="288"/>
        <v>11</v>
      </c>
    </row>
    <row r="759" spans="1:20" ht="11.25" customHeight="1" x14ac:dyDescent="0.25">
      <c r="A759" s="42" t="s">
        <v>1578</v>
      </c>
      <c r="B759" s="20" t="s">
        <v>922</v>
      </c>
      <c r="C759" s="20" t="s">
        <v>923</v>
      </c>
      <c r="D759" s="20" t="s">
        <v>917</v>
      </c>
      <c r="E759" s="290" t="s">
        <v>816</v>
      </c>
      <c r="F759" s="291"/>
      <c r="G759" s="11">
        <v>0</v>
      </c>
      <c r="H759" s="11">
        <v>955134.31</v>
      </c>
      <c r="I759" s="11">
        <v>499999.99999999203</v>
      </c>
      <c r="J759" s="140">
        <v>0</v>
      </c>
      <c r="K759" s="155">
        <v>500000</v>
      </c>
      <c r="N759" s="91">
        <f t="shared" si="300"/>
        <v>7.9744495451450348E-9</v>
      </c>
      <c r="O759" s="130">
        <f t="shared" si="284"/>
        <v>1.000000000000016</v>
      </c>
      <c r="P759" s="91">
        <f t="shared" si="301"/>
        <v>-455134.31000000006</v>
      </c>
      <c r="Q759" s="130">
        <f t="shared" si="285"/>
        <v>0.52348658692828232</v>
      </c>
      <c r="R759" s="91"/>
      <c r="S759" s="132" t="str">
        <f t="shared" si="287"/>
        <v/>
      </c>
      <c r="T759" s="172">
        <f t="shared" si="288"/>
        <v>11</v>
      </c>
    </row>
    <row r="760" spans="1:20" ht="11.25" customHeight="1" x14ac:dyDescent="0.25">
      <c r="A760" s="57" t="s">
        <v>1579</v>
      </c>
      <c r="B760" s="57"/>
      <c r="C760" s="55"/>
      <c r="D760" s="55"/>
      <c r="E760" s="288" t="s">
        <v>817</v>
      </c>
      <c r="F760" s="289"/>
      <c r="G760" s="56">
        <f t="shared" ref="G760:K760" si="302">SUM(G761:G784)</f>
        <v>97851268.320000008</v>
      </c>
      <c r="H760" s="56">
        <f t="shared" si="302"/>
        <v>106529755.35999998</v>
      </c>
      <c r="I760" s="56">
        <f t="shared" si="302"/>
        <v>109277409.02527058</v>
      </c>
      <c r="J760" s="148">
        <v>0</v>
      </c>
      <c r="K760" s="168">
        <f t="shared" si="302"/>
        <v>120892949</v>
      </c>
      <c r="N760" s="91">
        <f t="shared" si="300"/>
        <v>11615539.974729419</v>
      </c>
      <c r="O760" s="130">
        <f t="shared" si="284"/>
        <v>1.1062940646043622</v>
      </c>
      <c r="P760" s="91">
        <f t="shared" si="301"/>
        <v>14363193.640000015</v>
      </c>
      <c r="Q760" s="130">
        <f t="shared" si="285"/>
        <v>1.1348279979754194</v>
      </c>
      <c r="R760" s="91"/>
      <c r="S760" s="132" t="str">
        <f t="shared" si="287"/>
        <v/>
      </c>
      <c r="T760" s="172">
        <f t="shared" si="288"/>
        <v>7</v>
      </c>
    </row>
    <row r="761" spans="1:20" ht="11.25" customHeight="1" x14ac:dyDescent="0.25">
      <c r="A761" s="42" t="s">
        <v>1580</v>
      </c>
      <c r="B761" s="27" t="s">
        <v>922</v>
      </c>
      <c r="C761" s="28" t="s">
        <v>923</v>
      </c>
      <c r="D761" s="28" t="s">
        <v>1249</v>
      </c>
      <c r="E761" s="290" t="s">
        <v>818</v>
      </c>
      <c r="F761" s="291"/>
      <c r="G761" s="11">
        <v>293000</v>
      </c>
      <c r="H761" s="11">
        <v>277000</v>
      </c>
      <c r="I761" s="11">
        <v>207409.02527075799</v>
      </c>
      <c r="J761" s="140">
        <v>0</v>
      </c>
      <c r="K761" s="155">
        <v>230000</v>
      </c>
      <c r="N761" s="91">
        <f t="shared" si="300"/>
        <v>22590.974729242007</v>
      </c>
      <c r="O761" s="130">
        <f t="shared" si="284"/>
        <v>1.1089199213956629</v>
      </c>
      <c r="P761" s="91">
        <f t="shared" si="301"/>
        <v>-47000</v>
      </c>
      <c r="Q761" s="130">
        <f t="shared" si="285"/>
        <v>0.83032490974729245</v>
      </c>
      <c r="R761" s="91"/>
      <c r="S761" s="132" t="str">
        <f t="shared" si="287"/>
        <v/>
      </c>
      <c r="T761" s="172">
        <f t="shared" si="288"/>
        <v>11</v>
      </c>
    </row>
    <row r="762" spans="1:20" ht="11.25" customHeight="1" x14ac:dyDescent="0.25">
      <c r="A762" s="42" t="s">
        <v>1581</v>
      </c>
      <c r="B762" s="27" t="s">
        <v>916</v>
      </c>
      <c r="C762" s="28" t="s">
        <v>920</v>
      </c>
      <c r="D762" s="28" t="s">
        <v>917</v>
      </c>
      <c r="E762" s="290" t="s">
        <v>819</v>
      </c>
      <c r="F762" s="291"/>
      <c r="G762" s="11">
        <v>18505.580000000002</v>
      </c>
      <c r="H762" s="11">
        <v>3302</v>
      </c>
      <c r="I762" s="11">
        <v>0</v>
      </c>
      <c r="J762" s="140">
        <v>0</v>
      </c>
      <c r="K762" s="154"/>
      <c r="N762" s="91">
        <f t="shared" si="300"/>
        <v>0</v>
      </c>
      <c r="O762" s="130" t="str">
        <f t="shared" si="284"/>
        <v/>
      </c>
      <c r="P762" s="91">
        <f t="shared" si="301"/>
        <v>-3302</v>
      </c>
      <c r="Q762" s="130">
        <f t="shared" si="285"/>
        <v>0</v>
      </c>
      <c r="R762" s="91"/>
      <c r="S762" s="132" t="str">
        <f t="shared" si="287"/>
        <v/>
      </c>
      <c r="T762" s="172">
        <f t="shared" si="288"/>
        <v>11</v>
      </c>
    </row>
    <row r="763" spans="1:20" ht="11.25" customHeight="1" x14ac:dyDescent="0.25">
      <c r="A763" s="42" t="s">
        <v>1582</v>
      </c>
      <c r="B763" s="27" t="s">
        <v>922</v>
      </c>
      <c r="C763" s="28" t="s">
        <v>923</v>
      </c>
      <c r="D763" s="28" t="s">
        <v>1249</v>
      </c>
      <c r="E763" s="290" t="s">
        <v>820</v>
      </c>
      <c r="F763" s="291"/>
      <c r="G763" s="11">
        <v>6506849</v>
      </c>
      <c r="H763" s="11">
        <v>5990000</v>
      </c>
      <c r="I763" s="11">
        <v>6300000</v>
      </c>
      <c r="J763" s="140">
        <v>0</v>
      </c>
      <c r="K763" s="155">
        <f>6000000+300000</f>
        <v>6300000</v>
      </c>
      <c r="N763" s="91">
        <f t="shared" si="300"/>
        <v>0</v>
      </c>
      <c r="O763" s="130">
        <f t="shared" si="284"/>
        <v>1</v>
      </c>
      <c r="P763" s="91">
        <f t="shared" si="301"/>
        <v>310000</v>
      </c>
      <c r="Q763" s="130">
        <f t="shared" si="285"/>
        <v>1.0517529215358932</v>
      </c>
      <c r="R763" s="91"/>
      <c r="S763" s="132" t="str">
        <f t="shared" si="287"/>
        <v/>
      </c>
      <c r="T763" s="172">
        <f t="shared" si="288"/>
        <v>11</v>
      </c>
    </row>
    <row r="764" spans="1:20" ht="11.25" customHeight="1" x14ac:dyDescent="0.25">
      <c r="A764" s="42" t="s">
        <v>1583</v>
      </c>
      <c r="B764" s="27" t="s">
        <v>916</v>
      </c>
      <c r="C764" s="20" t="s">
        <v>919</v>
      </c>
      <c r="D764" s="28" t="s">
        <v>917</v>
      </c>
      <c r="E764" s="290" t="s">
        <v>821</v>
      </c>
      <c r="F764" s="291"/>
      <c r="G764" s="11">
        <v>11982445.699999999</v>
      </c>
      <c r="H764" s="11">
        <v>11263413.48</v>
      </c>
      <c r="I764" s="11">
        <v>11500000</v>
      </c>
      <c r="J764" s="140">
        <v>0</v>
      </c>
      <c r="K764" s="155">
        <f>11474856+375639</f>
        <v>11850495</v>
      </c>
      <c r="N764" s="91">
        <f t="shared" si="300"/>
        <v>350495</v>
      </c>
      <c r="O764" s="130">
        <f t="shared" si="284"/>
        <v>1.0304778260869565</v>
      </c>
      <c r="P764" s="91">
        <f t="shared" si="301"/>
        <v>587081.51999999955</v>
      </c>
      <c r="Q764" s="130">
        <f t="shared" si="285"/>
        <v>1.0521228774067877</v>
      </c>
      <c r="R764" s="91"/>
      <c r="S764" s="132" t="str">
        <f t="shared" si="287"/>
        <v/>
      </c>
      <c r="T764" s="172">
        <f t="shared" si="288"/>
        <v>11</v>
      </c>
    </row>
    <row r="765" spans="1:20" ht="11.25" customHeight="1" x14ac:dyDescent="0.25">
      <c r="A765" s="42" t="s">
        <v>1584</v>
      </c>
      <c r="B765" s="27" t="s">
        <v>916</v>
      </c>
      <c r="C765" s="20" t="s">
        <v>919</v>
      </c>
      <c r="D765" s="28" t="s">
        <v>917</v>
      </c>
      <c r="E765" s="290" t="s">
        <v>822</v>
      </c>
      <c r="F765" s="291"/>
      <c r="G765" s="11">
        <v>1894295.65</v>
      </c>
      <c r="H765" s="11">
        <v>2121114.79</v>
      </c>
      <c r="I765" s="11">
        <v>1800000</v>
      </c>
      <c r="J765" s="140">
        <v>0</v>
      </c>
      <c r="K765" s="155">
        <v>1759764</v>
      </c>
      <c r="N765" s="91">
        <f t="shared" si="300"/>
        <v>-40236</v>
      </c>
      <c r="O765" s="130">
        <f t="shared" si="284"/>
        <v>0.97764666666666666</v>
      </c>
      <c r="P765" s="91">
        <f t="shared" si="301"/>
        <v>-361350.79000000004</v>
      </c>
      <c r="Q765" s="130">
        <f t="shared" si="285"/>
        <v>0.82964109641609729</v>
      </c>
      <c r="R765" s="91"/>
      <c r="S765" s="132" t="str">
        <f t="shared" si="287"/>
        <v/>
      </c>
      <c r="T765" s="172">
        <f t="shared" si="288"/>
        <v>11</v>
      </c>
    </row>
    <row r="766" spans="1:20" ht="11.25" customHeight="1" x14ac:dyDescent="0.25">
      <c r="A766" s="42" t="s">
        <v>1585</v>
      </c>
      <c r="B766" s="27" t="s">
        <v>916</v>
      </c>
      <c r="C766" s="28" t="s">
        <v>923</v>
      </c>
      <c r="D766" s="28" t="s">
        <v>917</v>
      </c>
      <c r="E766" s="290" t="s">
        <v>823</v>
      </c>
      <c r="F766" s="291"/>
      <c r="G766" s="11">
        <v>271494</v>
      </c>
      <c r="H766" s="11">
        <v>202327</v>
      </c>
      <c r="I766" s="11">
        <v>299999.99999999499</v>
      </c>
      <c r="J766" s="140">
        <v>0</v>
      </c>
      <c r="K766" s="155">
        <v>170000</v>
      </c>
      <c r="N766" s="91">
        <f t="shared" si="300"/>
        <v>-129999.99999999499</v>
      </c>
      <c r="O766" s="130">
        <f t="shared" si="284"/>
        <v>0.56666666666667609</v>
      </c>
      <c r="P766" s="91">
        <f t="shared" si="301"/>
        <v>-32327</v>
      </c>
      <c r="Q766" s="130">
        <f t="shared" si="285"/>
        <v>0.84022399383176738</v>
      </c>
      <c r="R766" s="91"/>
      <c r="S766" s="132" t="str">
        <f t="shared" si="287"/>
        <v/>
      </c>
      <c r="T766" s="172">
        <f t="shared" si="288"/>
        <v>11</v>
      </c>
    </row>
    <row r="767" spans="1:20" ht="11.25" customHeight="1" x14ac:dyDescent="0.25">
      <c r="A767" s="42" t="s">
        <v>1586</v>
      </c>
      <c r="B767" s="27" t="s">
        <v>916</v>
      </c>
      <c r="C767" s="28" t="s">
        <v>923</v>
      </c>
      <c r="D767" s="28" t="s">
        <v>1633</v>
      </c>
      <c r="E767" s="290" t="s">
        <v>824</v>
      </c>
      <c r="F767" s="291"/>
      <c r="G767" s="11">
        <v>2580000</v>
      </c>
      <c r="H767" s="11">
        <v>2860000</v>
      </c>
      <c r="I767" s="11">
        <v>2700000</v>
      </c>
      <c r="J767" s="140">
        <v>0</v>
      </c>
      <c r="K767" s="155">
        <v>2300000</v>
      </c>
      <c r="N767" s="91">
        <f t="shared" si="300"/>
        <v>-400000</v>
      </c>
      <c r="O767" s="130">
        <f t="shared" si="284"/>
        <v>0.85185185185185186</v>
      </c>
      <c r="P767" s="91">
        <f t="shared" si="301"/>
        <v>-560000</v>
      </c>
      <c r="Q767" s="130">
        <f t="shared" si="285"/>
        <v>0.80419580419580416</v>
      </c>
      <c r="R767" s="91"/>
      <c r="S767" s="132" t="str">
        <f t="shared" si="287"/>
        <v/>
      </c>
      <c r="T767" s="172">
        <f t="shared" si="288"/>
        <v>11</v>
      </c>
    </row>
    <row r="768" spans="1:20" ht="11.25" customHeight="1" x14ac:dyDescent="0.25">
      <c r="A768" s="42" t="s">
        <v>1587</v>
      </c>
      <c r="B768" s="27" t="s">
        <v>916</v>
      </c>
      <c r="C768" s="28" t="s">
        <v>923</v>
      </c>
      <c r="D768" s="28" t="s">
        <v>1633</v>
      </c>
      <c r="E768" s="290" t="s">
        <v>825</v>
      </c>
      <c r="F768" s="291"/>
      <c r="G768" s="11">
        <v>33352055.420000002</v>
      </c>
      <c r="H768" s="11">
        <v>39182396.700000003</v>
      </c>
      <c r="I768" s="11">
        <v>34999999.999999903</v>
      </c>
      <c r="J768" s="140">
        <v>0</v>
      </c>
      <c r="K768" s="155">
        <v>44960000</v>
      </c>
      <c r="L768" s="324" t="s">
        <v>1734</v>
      </c>
      <c r="M768" s="205"/>
      <c r="N768" s="91">
        <f t="shared" si="300"/>
        <v>9960000.0000000969</v>
      </c>
      <c r="O768" s="130">
        <f t="shared" si="284"/>
        <v>1.284571428571432</v>
      </c>
      <c r="P768" s="91">
        <f t="shared" si="301"/>
        <v>5777603.299999997</v>
      </c>
      <c r="Q768" s="130">
        <f t="shared" si="285"/>
        <v>1.1474540555606185</v>
      </c>
      <c r="R768" s="91"/>
      <c r="S768" s="132" t="str">
        <f t="shared" si="287"/>
        <v/>
      </c>
      <c r="T768" s="172">
        <f t="shared" si="288"/>
        <v>11</v>
      </c>
    </row>
    <row r="769" spans="1:20" ht="11.25" customHeight="1" x14ac:dyDescent="0.25">
      <c r="A769" s="42" t="s">
        <v>1588</v>
      </c>
      <c r="B769" s="27" t="s">
        <v>916</v>
      </c>
      <c r="C769" s="28" t="s">
        <v>923</v>
      </c>
      <c r="D769" s="28" t="s">
        <v>1633</v>
      </c>
      <c r="E769" s="290" t="s">
        <v>826</v>
      </c>
      <c r="F769" s="291"/>
      <c r="G769" s="11">
        <v>11404249.289999999</v>
      </c>
      <c r="H769" s="11">
        <v>10310353.34</v>
      </c>
      <c r="I769" s="11">
        <v>10500000</v>
      </c>
      <c r="J769" s="140">
        <v>0</v>
      </c>
      <c r="K769" s="155">
        <v>10900000</v>
      </c>
      <c r="L769" s="325"/>
      <c r="M769" s="206"/>
      <c r="N769" s="91">
        <f t="shared" si="300"/>
        <v>400000</v>
      </c>
      <c r="O769" s="130">
        <f t="shared" si="284"/>
        <v>1.0380952380952382</v>
      </c>
      <c r="P769" s="91">
        <f t="shared" si="301"/>
        <v>589646.66000000015</v>
      </c>
      <c r="Q769" s="130">
        <f t="shared" si="285"/>
        <v>1.0571897626158369</v>
      </c>
      <c r="R769" s="91"/>
      <c r="S769" s="132" t="str">
        <f t="shared" si="287"/>
        <v/>
      </c>
      <c r="T769" s="172">
        <f t="shared" si="288"/>
        <v>11</v>
      </c>
    </row>
    <row r="770" spans="1:20" ht="11.25" customHeight="1" x14ac:dyDescent="0.25">
      <c r="A770" s="42" t="s">
        <v>1589</v>
      </c>
      <c r="B770" s="27" t="s">
        <v>916</v>
      </c>
      <c r="C770" s="28" t="s">
        <v>923</v>
      </c>
      <c r="D770" s="28" t="s">
        <v>1633</v>
      </c>
      <c r="E770" s="290" t="s">
        <v>827</v>
      </c>
      <c r="F770" s="291"/>
      <c r="G770" s="11">
        <v>4579639.25</v>
      </c>
      <c r="H770" s="11">
        <v>5646703.3200000003</v>
      </c>
      <c r="I770" s="11">
        <v>6299999.9999999804</v>
      </c>
      <c r="J770" s="140">
        <v>0</v>
      </c>
      <c r="K770" s="155">
        <v>8000000</v>
      </c>
      <c r="L770" s="325"/>
      <c r="M770" s="206"/>
      <c r="N770" s="91">
        <f t="shared" si="300"/>
        <v>1700000.0000000196</v>
      </c>
      <c r="O770" s="130">
        <f t="shared" si="284"/>
        <v>1.2698412698412738</v>
      </c>
      <c r="P770" s="91">
        <f t="shared" si="301"/>
        <v>2353296.6799999997</v>
      </c>
      <c r="Q770" s="130">
        <f t="shared" si="285"/>
        <v>1.4167558567606842</v>
      </c>
      <c r="R770" s="91"/>
      <c r="S770" s="132" t="str">
        <f t="shared" si="287"/>
        <v/>
      </c>
      <c r="T770" s="172">
        <f t="shared" si="288"/>
        <v>11</v>
      </c>
    </row>
    <row r="771" spans="1:20" ht="11.25" customHeight="1" x14ac:dyDescent="0.25">
      <c r="A771" s="42" t="s">
        <v>1590</v>
      </c>
      <c r="B771" s="20" t="s">
        <v>1654</v>
      </c>
      <c r="C771" s="20" t="s">
        <v>919</v>
      </c>
      <c r="D771" s="20" t="s">
        <v>1655</v>
      </c>
      <c r="E771" s="290" t="s">
        <v>828</v>
      </c>
      <c r="F771" s="291"/>
      <c r="G771" s="11">
        <v>23642.07</v>
      </c>
      <c r="H771" s="11">
        <v>29467.21</v>
      </c>
      <c r="I771" s="11">
        <v>39999.999999995998</v>
      </c>
      <c r="J771" s="140">
        <v>0</v>
      </c>
      <c r="K771" s="155">
        <v>20000</v>
      </c>
      <c r="N771" s="91">
        <f t="shared" si="300"/>
        <v>-19999.999999995998</v>
      </c>
      <c r="O771" s="130">
        <f t="shared" si="284"/>
        <v>0.50000000000005007</v>
      </c>
      <c r="P771" s="91">
        <f t="shared" si="301"/>
        <v>-9467.2099999999991</v>
      </c>
      <c r="Q771" s="130">
        <f t="shared" si="285"/>
        <v>0.67872051680495038</v>
      </c>
      <c r="R771" s="91"/>
      <c r="S771" s="132" t="str">
        <f t="shared" si="287"/>
        <v/>
      </c>
      <c r="T771" s="172">
        <f t="shared" si="288"/>
        <v>11</v>
      </c>
    </row>
    <row r="772" spans="1:20" ht="11.25" customHeight="1" x14ac:dyDescent="0.25">
      <c r="A772" s="42" t="s">
        <v>1591</v>
      </c>
      <c r="B772" s="27" t="s">
        <v>916</v>
      </c>
      <c r="C772" s="28" t="s">
        <v>923</v>
      </c>
      <c r="D772" s="28" t="s">
        <v>917</v>
      </c>
      <c r="E772" s="290" t="s">
        <v>829</v>
      </c>
      <c r="F772" s="291"/>
      <c r="G772" s="11">
        <v>1214065</v>
      </c>
      <c r="H772" s="11">
        <v>1434118.11</v>
      </c>
      <c r="I772" s="11">
        <v>1199999.99999999</v>
      </c>
      <c r="J772" s="140">
        <v>0</v>
      </c>
      <c r="K772" s="155">
        <v>1400000</v>
      </c>
      <c r="N772" s="91">
        <f t="shared" si="300"/>
        <v>200000.00000001001</v>
      </c>
      <c r="O772" s="130">
        <f t="shared" si="284"/>
        <v>1.1666666666666765</v>
      </c>
      <c r="P772" s="91">
        <f t="shared" si="301"/>
        <v>-34118.110000000102</v>
      </c>
      <c r="Q772" s="130">
        <f t="shared" si="285"/>
        <v>0.97620969307751082</v>
      </c>
      <c r="R772" s="91"/>
      <c r="S772" s="132" t="str">
        <f t="shared" si="287"/>
        <v/>
      </c>
      <c r="T772" s="172">
        <f t="shared" si="288"/>
        <v>11</v>
      </c>
    </row>
    <row r="773" spans="1:20" ht="11.25" customHeight="1" x14ac:dyDescent="0.25">
      <c r="A773" s="42" t="s">
        <v>1592</v>
      </c>
      <c r="B773" s="27" t="s">
        <v>916</v>
      </c>
      <c r="C773" s="20" t="s">
        <v>919</v>
      </c>
      <c r="D773" s="28" t="s">
        <v>917</v>
      </c>
      <c r="E773" s="290" t="s">
        <v>830</v>
      </c>
      <c r="F773" s="291"/>
      <c r="G773" s="11">
        <v>6013704.5599999996</v>
      </c>
      <c r="H773" s="11">
        <v>6807839.6600000001</v>
      </c>
      <c r="I773" s="11">
        <v>7000000</v>
      </c>
      <c r="J773" s="140">
        <v>0</v>
      </c>
      <c r="K773" s="155">
        <v>8020000</v>
      </c>
      <c r="N773" s="91">
        <f t="shared" si="300"/>
        <v>1020000</v>
      </c>
      <c r="O773" s="130">
        <f t="shared" si="284"/>
        <v>1.1457142857142857</v>
      </c>
      <c r="P773" s="91">
        <f t="shared" si="301"/>
        <v>1212160.3399999999</v>
      </c>
      <c r="Q773" s="130">
        <f t="shared" si="285"/>
        <v>1.1780535971083665</v>
      </c>
      <c r="R773" s="91"/>
      <c r="S773" s="132" t="str">
        <f t="shared" si="287"/>
        <v/>
      </c>
      <c r="T773" s="172">
        <f t="shared" si="288"/>
        <v>11</v>
      </c>
    </row>
    <row r="774" spans="1:20" ht="11.25" customHeight="1" x14ac:dyDescent="0.25">
      <c r="A774" s="42" t="s">
        <v>1593</v>
      </c>
      <c r="B774" s="27" t="s">
        <v>916</v>
      </c>
      <c r="C774" s="20" t="s">
        <v>919</v>
      </c>
      <c r="D774" s="28" t="s">
        <v>917</v>
      </c>
      <c r="E774" s="290" t="s">
        <v>831</v>
      </c>
      <c r="F774" s="291"/>
      <c r="G774" s="11">
        <v>453689.79</v>
      </c>
      <c r="H774" s="11">
        <v>1140552.28</v>
      </c>
      <c r="I774" s="11">
        <v>1800000</v>
      </c>
      <c r="J774" s="140">
        <v>0</v>
      </c>
      <c r="K774" s="155">
        <v>1100000</v>
      </c>
      <c r="N774" s="91">
        <f t="shared" si="300"/>
        <v>-700000</v>
      </c>
      <c r="O774" s="130">
        <f t="shared" si="284"/>
        <v>0.61111111111111116</v>
      </c>
      <c r="P774" s="91">
        <f t="shared" si="301"/>
        <v>-40552.280000000028</v>
      </c>
      <c r="Q774" s="130">
        <f t="shared" si="285"/>
        <v>0.96444504937555342</v>
      </c>
      <c r="R774" s="91"/>
      <c r="S774" s="132" t="str">
        <f t="shared" si="287"/>
        <v/>
      </c>
      <c r="T774" s="172">
        <f t="shared" si="288"/>
        <v>11</v>
      </c>
    </row>
    <row r="775" spans="1:20" ht="11.25" customHeight="1" x14ac:dyDescent="0.25">
      <c r="A775" s="42" t="s">
        <v>1594</v>
      </c>
      <c r="B775" s="27" t="s">
        <v>916</v>
      </c>
      <c r="C775" s="28" t="s">
        <v>923</v>
      </c>
      <c r="D775" s="28" t="s">
        <v>917</v>
      </c>
      <c r="E775" s="290" t="s">
        <v>832</v>
      </c>
      <c r="F775" s="291"/>
      <c r="G775" s="11">
        <v>66451.23</v>
      </c>
      <c r="H775" s="11">
        <v>440587.56</v>
      </c>
      <c r="I775" s="11">
        <v>569999.99999999697</v>
      </c>
      <c r="J775" s="140">
        <v>0</v>
      </c>
      <c r="K775" s="155">
        <v>550000</v>
      </c>
      <c r="N775" s="91">
        <f t="shared" si="300"/>
        <v>-19999.999999996973</v>
      </c>
      <c r="O775" s="130">
        <f t="shared" si="284"/>
        <v>0.96491228070175949</v>
      </c>
      <c r="P775" s="91">
        <f t="shared" si="301"/>
        <v>109412.44</v>
      </c>
      <c r="Q775" s="130">
        <f t="shared" si="285"/>
        <v>1.2483330214770476</v>
      </c>
      <c r="R775" s="91"/>
      <c r="S775" s="132" t="str">
        <f t="shared" si="287"/>
        <v/>
      </c>
      <c r="T775" s="172">
        <f t="shared" si="288"/>
        <v>11</v>
      </c>
    </row>
    <row r="776" spans="1:20" ht="11.25" customHeight="1" x14ac:dyDescent="0.25">
      <c r="A776" s="42" t="s">
        <v>1595</v>
      </c>
      <c r="B776" s="27" t="s">
        <v>916</v>
      </c>
      <c r="C776" s="20" t="s">
        <v>919</v>
      </c>
      <c r="D776" s="28" t="s">
        <v>917</v>
      </c>
      <c r="E776" s="290" t="s">
        <v>833</v>
      </c>
      <c r="F776" s="291"/>
      <c r="G776" s="11">
        <v>8741827.0999999996</v>
      </c>
      <c r="H776" s="11">
        <v>3158819.29</v>
      </c>
      <c r="I776" s="11">
        <v>2499999.9999999702</v>
      </c>
      <c r="J776" s="140">
        <v>0</v>
      </c>
      <c r="K776" s="155">
        <v>3000000</v>
      </c>
      <c r="N776" s="91">
        <f t="shared" si="300"/>
        <v>500000.0000000298</v>
      </c>
      <c r="O776" s="130">
        <f t="shared" si="284"/>
        <v>1.2000000000000144</v>
      </c>
      <c r="P776" s="91">
        <f t="shared" si="301"/>
        <v>-158819.29000000004</v>
      </c>
      <c r="Q776" s="130">
        <f t="shared" si="285"/>
        <v>0.94972194499926588</v>
      </c>
      <c r="R776" s="91"/>
      <c r="S776" s="132" t="str">
        <f t="shared" si="287"/>
        <v/>
      </c>
      <c r="T776" s="172">
        <f t="shared" si="288"/>
        <v>11</v>
      </c>
    </row>
    <row r="777" spans="1:20" ht="11.25" customHeight="1" x14ac:dyDescent="0.25">
      <c r="A777" s="42" t="s">
        <v>1596</v>
      </c>
      <c r="B777" s="27" t="s">
        <v>916</v>
      </c>
      <c r="C777" s="28" t="s">
        <v>920</v>
      </c>
      <c r="D777" s="28" t="s">
        <v>917</v>
      </c>
      <c r="E777" s="290" t="s">
        <v>834</v>
      </c>
      <c r="F777" s="291"/>
      <c r="G777" s="11">
        <v>11147.92</v>
      </c>
      <c r="H777" s="11">
        <v>5082.6099999999997</v>
      </c>
      <c r="I777" s="11">
        <v>9999.999999996</v>
      </c>
      <c r="J777" s="140">
        <v>0</v>
      </c>
      <c r="K777" s="154"/>
      <c r="N777" s="91">
        <f t="shared" si="300"/>
        <v>-9999.999999996</v>
      </c>
      <c r="O777" s="130">
        <f t="shared" si="284"/>
        <v>0</v>
      </c>
      <c r="P777" s="91">
        <f t="shared" si="301"/>
        <v>-5082.6099999999997</v>
      </c>
      <c r="Q777" s="130">
        <f t="shared" si="285"/>
        <v>0</v>
      </c>
      <c r="R777" s="91"/>
      <c r="S777" s="132" t="str">
        <f t="shared" si="287"/>
        <v/>
      </c>
      <c r="T777" s="172">
        <f t="shared" si="288"/>
        <v>11</v>
      </c>
    </row>
    <row r="778" spans="1:20" ht="11.25" customHeight="1" x14ac:dyDescent="0.25">
      <c r="A778" s="42" t="s">
        <v>1597</v>
      </c>
      <c r="B778" s="27" t="s">
        <v>916</v>
      </c>
      <c r="C778" s="20" t="s">
        <v>919</v>
      </c>
      <c r="D778" s="28" t="s">
        <v>917</v>
      </c>
      <c r="E778" s="290" t="s">
        <v>835</v>
      </c>
      <c r="F778" s="291"/>
      <c r="G778" s="11">
        <v>110255.33</v>
      </c>
      <c r="H778" s="11">
        <v>186024.35</v>
      </c>
      <c r="I778" s="11">
        <v>269999.99999999499</v>
      </c>
      <c r="J778" s="140">
        <v>0</v>
      </c>
      <c r="K778" s="155">
        <v>230000</v>
      </c>
      <c r="N778" s="91">
        <f t="shared" si="300"/>
        <v>-39999.999999994994</v>
      </c>
      <c r="O778" s="130">
        <f t="shared" ref="O778:O837" si="303">IF(I778=0,"",K778/I778)</f>
        <v>0.85185185185186763</v>
      </c>
      <c r="P778" s="91">
        <f t="shared" si="301"/>
        <v>43975.649999999994</v>
      </c>
      <c r="Q778" s="130">
        <f t="shared" ref="Q778:Q837" si="304">IF(H778=0,"",K778/H778)</f>
        <v>1.2363972780982704</v>
      </c>
      <c r="R778" s="91"/>
      <c r="S778" s="132" t="str">
        <f t="shared" si="287"/>
        <v/>
      </c>
      <c r="T778" s="172">
        <f t="shared" si="288"/>
        <v>11</v>
      </c>
    </row>
    <row r="779" spans="1:20" ht="11.25" customHeight="1" x14ac:dyDescent="0.25">
      <c r="A779" s="42" t="s">
        <v>1598</v>
      </c>
      <c r="B779" s="20" t="s">
        <v>1243</v>
      </c>
      <c r="C779" s="20" t="s">
        <v>920</v>
      </c>
      <c r="D779" s="20" t="s">
        <v>1245</v>
      </c>
      <c r="E779" s="290" t="s">
        <v>836</v>
      </c>
      <c r="F779" s="291"/>
      <c r="G779" s="11">
        <v>3428917.62</v>
      </c>
      <c r="H779" s="11">
        <v>4687927.1699999897</v>
      </c>
      <c r="I779" s="11">
        <v>4000000</v>
      </c>
      <c r="J779" s="140">
        <v>0</v>
      </c>
      <c r="K779" s="155">
        <v>4400000</v>
      </c>
      <c r="N779" s="91">
        <f t="shared" si="300"/>
        <v>400000</v>
      </c>
      <c r="O779" s="130">
        <f t="shared" si="303"/>
        <v>1.1000000000000001</v>
      </c>
      <c r="P779" s="91">
        <f t="shared" si="301"/>
        <v>-287927.16999998968</v>
      </c>
      <c r="Q779" s="130">
        <f t="shared" si="304"/>
        <v>0.93858113414334665</v>
      </c>
      <c r="R779" s="91"/>
      <c r="S779" s="132" t="str">
        <f t="shared" si="287"/>
        <v/>
      </c>
      <c r="T779" s="172">
        <f t="shared" si="288"/>
        <v>11</v>
      </c>
    </row>
    <row r="780" spans="1:20" ht="11.25" customHeight="1" x14ac:dyDescent="0.25">
      <c r="A780" s="42" t="s">
        <v>1599</v>
      </c>
      <c r="B780" s="27" t="s">
        <v>916</v>
      </c>
      <c r="C780" s="28" t="s">
        <v>923</v>
      </c>
      <c r="D780" s="28" t="s">
        <v>917</v>
      </c>
      <c r="E780" s="290" t="s">
        <v>837</v>
      </c>
      <c r="F780" s="291"/>
      <c r="G780" s="11">
        <v>185659.02</v>
      </c>
      <c r="H780" s="11">
        <v>120594.93</v>
      </c>
      <c r="I780" s="11">
        <v>199999.99999998699</v>
      </c>
      <c r="J780" s="140">
        <v>0</v>
      </c>
      <c r="K780" s="155">
        <v>130000</v>
      </c>
      <c r="N780" s="91">
        <f t="shared" si="300"/>
        <v>-69999.999999986991</v>
      </c>
      <c r="O780" s="130">
        <f t="shared" si="303"/>
        <v>0.65000000000004232</v>
      </c>
      <c r="P780" s="91">
        <f t="shared" si="301"/>
        <v>9405.070000000007</v>
      </c>
      <c r="Q780" s="130">
        <f t="shared" si="304"/>
        <v>1.0779889336972956</v>
      </c>
      <c r="R780" s="91"/>
      <c r="S780" s="132" t="str">
        <f t="shared" ref="S780:S837" si="305">IF(J780=0,"",K780/J780)</f>
        <v/>
      </c>
      <c r="T780" s="172">
        <f t="shared" si="288"/>
        <v>11</v>
      </c>
    </row>
    <row r="781" spans="1:20" ht="11.25" customHeight="1" x14ac:dyDescent="0.25">
      <c r="A781" s="42" t="s">
        <v>1632</v>
      </c>
      <c r="B781" s="27" t="s">
        <v>916</v>
      </c>
      <c r="C781" s="20" t="s">
        <v>919</v>
      </c>
      <c r="D781" s="28" t="s">
        <v>917</v>
      </c>
      <c r="E781" s="290" t="s">
        <v>838</v>
      </c>
      <c r="F781" s="291"/>
      <c r="G781" s="11">
        <v>3110616.86</v>
      </c>
      <c r="H781" s="11">
        <v>3394424.64</v>
      </c>
      <c r="I781" s="11">
        <v>3300000</v>
      </c>
      <c r="J781" s="140">
        <v>0</v>
      </c>
      <c r="K781" s="155">
        <v>3785690</v>
      </c>
      <c r="N781" s="91">
        <f t="shared" si="300"/>
        <v>485690</v>
      </c>
      <c r="O781" s="130">
        <f t="shared" si="303"/>
        <v>1.1471787878787878</v>
      </c>
      <c r="P781" s="91">
        <f t="shared" si="301"/>
        <v>391265.35999999987</v>
      </c>
      <c r="Q781" s="130">
        <f t="shared" si="304"/>
        <v>1.1152670633453803</v>
      </c>
      <c r="R781" s="91"/>
      <c r="S781" s="132" t="str">
        <f t="shared" si="305"/>
        <v/>
      </c>
      <c r="T781" s="172">
        <f t="shared" si="288"/>
        <v>11</v>
      </c>
    </row>
    <row r="782" spans="1:20" ht="11.25" customHeight="1" x14ac:dyDescent="0.25">
      <c r="A782" s="42" t="s">
        <v>1600</v>
      </c>
      <c r="B782" s="27" t="s">
        <v>916</v>
      </c>
      <c r="C782" s="20" t="s">
        <v>919</v>
      </c>
      <c r="D782" s="28" t="s">
        <v>917</v>
      </c>
      <c r="E782" s="290" t="s">
        <v>839</v>
      </c>
      <c r="F782" s="291"/>
      <c r="G782" s="11">
        <v>1580757.93</v>
      </c>
      <c r="H782" s="11">
        <v>1269286.92</v>
      </c>
      <c r="I782" s="11">
        <v>2000000</v>
      </c>
      <c r="J782" s="140">
        <v>0</v>
      </c>
      <c r="K782" s="155">
        <v>7000</v>
      </c>
      <c r="L782" s="108" t="s">
        <v>1750</v>
      </c>
      <c r="N782" s="91">
        <f t="shared" si="300"/>
        <v>-1993000</v>
      </c>
      <c r="O782" s="130">
        <f t="shared" si="303"/>
        <v>3.5000000000000001E-3</v>
      </c>
      <c r="P782" s="91">
        <f t="shared" si="301"/>
        <v>-1262286.92</v>
      </c>
      <c r="Q782" s="130">
        <f t="shared" si="304"/>
        <v>5.5149075356421386E-3</v>
      </c>
      <c r="R782" s="91"/>
      <c r="S782" s="132" t="str">
        <f t="shared" si="305"/>
        <v/>
      </c>
      <c r="T782" s="172">
        <f t="shared" ref="T782:T837" si="306">LEN(A782)</f>
        <v>11</v>
      </c>
    </row>
    <row r="783" spans="1:20" ht="11.25" customHeight="1" x14ac:dyDescent="0.25">
      <c r="A783" s="42" t="s">
        <v>1601</v>
      </c>
      <c r="B783" s="27" t="s">
        <v>916</v>
      </c>
      <c r="C783" s="28" t="s">
        <v>923</v>
      </c>
      <c r="D783" s="34" t="s">
        <v>917</v>
      </c>
      <c r="E783" s="290" t="s">
        <v>1683</v>
      </c>
      <c r="F783" s="291"/>
      <c r="G783" s="11">
        <v>28000</v>
      </c>
      <c r="H783" s="11">
        <v>5998420</v>
      </c>
      <c r="I783" s="11">
        <v>11780000</v>
      </c>
      <c r="J783" s="140">
        <v>11780000</v>
      </c>
      <c r="K783" s="155">
        <v>11780000</v>
      </c>
      <c r="N783" s="91">
        <f t="shared" si="300"/>
        <v>0</v>
      </c>
      <c r="O783" s="130">
        <f t="shared" si="303"/>
        <v>1</v>
      </c>
      <c r="P783" s="91">
        <f t="shared" si="301"/>
        <v>5781580</v>
      </c>
      <c r="Q783" s="130">
        <f t="shared" si="304"/>
        <v>1.9638504806265651</v>
      </c>
      <c r="R783" s="91">
        <f t="shared" ref="R783:R814" si="307">K783-J783</f>
        <v>0</v>
      </c>
      <c r="S783" s="132">
        <f t="shared" si="305"/>
        <v>1</v>
      </c>
      <c r="T783" s="172">
        <f t="shared" si="306"/>
        <v>11</v>
      </c>
    </row>
    <row r="784" spans="1:20" ht="11.25" customHeight="1" x14ac:dyDescent="0.25">
      <c r="A784" s="42" t="s">
        <v>1602</v>
      </c>
      <c r="B784" s="27"/>
      <c r="C784" s="28"/>
      <c r="D784" s="28"/>
      <c r="E784" s="290" t="s">
        <v>840</v>
      </c>
      <c r="F784" s="291"/>
      <c r="G784" s="11">
        <v>0</v>
      </c>
      <c r="H784" s="11">
        <v>0</v>
      </c>
      <c r="I784" s="11">
        <v>0</v>
      </c>
      <c r="J784" s="140">
        <v>0</v>
      </c>
      <c r="K784" s="155">
        <v>0</v>
      </c>
      <c r="N784" s="91">
        <f t="shared" si="300"/>
        <v>0</v>
      </c>
      <c r="O784" s="130" t="str">
        <f t="shared" si="303"/>
        <v/>
      </c>
      <c r="P784" s="91">
        <f t="shared" si="301"/>
        <v>0</v>
      </c>
      <c r="Q784" s="130" t="str">
        <f t="shared" si="304"/>
        <v/>
      </c>
      <c r="R784" s="91"/>
      <c r="S784" s="132" t="str">
        <f t="shared" si="305"/>
        <v/>
      </c>
      <c r="T784" s="172">
        <f t="shared" si="306"/>
        <v>11</v>
      </c>
    </row>
    <row r="785" spans="1:20" ht="11.25" customHeight="1" x14ac:dyDescent="0.25">
      <c r="A785" s="57" t="s">
        <v>1603</v>
      </c>
      <c r="B785" s="57"/>
      <c r="C785" s="55"/>
      <c r="D785" s="55"/>
      <c r="E785" s="288" t="s">
        <v>841</v>
      </c>
      <c r="F785" s="289"/>
      <c r="G785" s="56">
        <f t="shared" ref="G785:K785" si="308">SUM(G786:G791)</f>
        <v>3969098.2500000005</v>
      </c>
      <c r="H785" s="56">
        <f t="shared" si="308"/>
        <v>5332812.47</v>
      </c>
      <c r="I785" s="56">
        <f t="shared" si="308"/>
        <v>5864999.9999998836</v>
      </c>
      <c r="J785" s="148">
        <f t="shared" si="308"/>
        <v>0</v>
      </c>
      <c r="K785" s="168">
        <f t="shared" si="308"/>
        <v>5855000</v>
      </c>
      <c r="N785" s="91">
        <f t="shared" si="300"/>
        <v>-9999.9999998835847</v>
      </c>
      <c r="O785" s="130">
        <f t="shared" si="303"/>
        <v>0.99829497016199764</v>
      </c>
      <c r="P785" s="91">
        <f t="shared" si="301"/>
        <v>522187.53000000026</v>
      </c>
      <c r="Q785" s="130">
        <f t="shared" si="304"/>
        <v>1.0979197248989332</v>
      </c>
      <c r="R785" s="91"/>
      <c r="S785" s="132" t="str">
        <f t="shared" si="305"/>
        <v/>
      </c>
      <c r="T785" s="172">
        <f t="shared" si="306"/>
        <v>7</v>
      </c>
    </row>
    <row r="786" spans="1:20" ht="11.25" customHeight="1" x14ac:dyDescent="0.25">
      <c r="A786" s="42" t="s">
        <v>1604</v>
      </c>
      <c r="B786" s="20" t="s">
        <v>916</v>
      </c>
      <c r="C786" s="20" t="s">
        <v>919</v>
      </c>
      <c r="D786" s="20" t="s">
        <v>1089</v>
      </c>
      <c r="E786" s="290" t="s">
        <v>842</v>
      </c>
      <c r="F786" s="291"/>
      <c r="G786" s="11">
        <v>143687.91</v>
      </c>
      <c r="H786" s="11">
        <v>102908.2</v>
      </c>
      <c r="I786" s="11">
        <v>104999.99999999101</v>
      </c>
      <c r="J786" s="140">
        <v>0</v>
      </c>
      <c r="K786" s="155">
        <v>105000</v>
      </c>
      <c r="N786" s="91">
        <f t="shared" si="300"/>
        <v>8.9930836111307144E-9</v>
      </c>
      <c r="O786" s="130">
        <f t="shared" si="303"/>
        <v>1.0000000000000857</v>
      </c>
      <c r="P786" s="91">
        <f t="shared" si="301"/>
        <v>2091.8000000000029</v>
      </c>
      <c r="Q786" s="130">
        <f t="shared" si="304"/>
        <v>1.0203268544197643</v>
      </c>
      <c r="R786" s="91"/>
      <c r="S786" s="132" t="str">
        <f t="shared" si="305"/>
        <v/>
      </c>
      <c r="T786" s="172">
        <f t="shared" si="306"/>
        <v>11</v>
      </c>
    </row>
    <row r="787" spans="1:20" ht="11.25" customHeight="1" x14ac:dyDescent="0.25">
      <c r="A787" s="42" t="s">
        <v>1605</v>
      </c>
      <c r="B787" s="20" t="s">
        <v>916</v>
      </c>
      <c r="C787" s="20" t="s">
        <v>919</v>
      </c>
      <c r="D787" s="20" t="s">
        <v>1089</v>
      </c>
      <c r="E787" s="290" t="s">
        <v>843</v>
      </c>
      <c r="F787" s="291"/>
      <c r="G787" s="11">
        <v>1773117.54</v>
      </c>
      <c r="H787" s="11">
        <v>1750537.99</v>
      </c>
      <c r="I787" s="11">
        <v>1949999.99999997</v>
      </c>
      <c r="J787" s="140">
        <v>0</v>
      </c>
      <c r="K787" s="155">
        <v>1950000</v>
      </c>
      <c r="N787" s="91">
        <f t="shared" si="300"/>
        <v>3.0035153031349182E-8</v>
      </c>
      <c r="O787" s="130">
        <f t="shared" si="303"/>
        <v>1.0000000000000153</v>
      </c>
      <c r="P787" s="91">
        <f t="shared" si="301"/>
        <v>199462.01</v>
      </c>
      <c r="Q787" s="130">
        <f t="shared" si="304"/>
        <v>1.1139432626652108</v>
      </c>
      <c r="R787" s="91"/>
      <c r="S787" s="132" t="str">
        <f t="shared" si="305"/>
        <v/>
      </c>
      <c r="T787" s="172">
        <f t="shared" si="306"/>
        <v>11</v>
      </c>
    </row>
    <row r="788" spans="1:20" ht="11.25" customHeight="1" x14ac:dyDescent="0.25">
      <c r="A788" s="42" t="s">
        <v>1606</v>
      </c>
      <c r="B788" s="20" t="s">
        <v>916</v>
      </c>
      <c r="C788" s="20" t="s">
        <v>919</v>
      </c>
      <c r="D788" s="20" t="s">
        <v>1089</v>
      </c>
      <c r="E788" s="290" t="s">
        <v>844</v>
      </c>
      <c r="F788" s="291"/>
      <c r="G788" s="11">
        <v>1184571.1100000001</v>
      </c>
      <c r="H788" s="11">
        <v>1536035.57</v>
      </c>
      <c r="I788" s="11">
        <v>1799999.99999999</v>
      </c>
      <c r="J788" s="140">
        <v>0</v>
      </c>
      <c r="K788" s="155">
        <v>1500000</v>
      </c>
      <c r="N788" s="91">
        <f t="shared" si="300"/>
        <v>-299999.99999998999</v>
      </c>
      <c r="O788" s="130">
        <f t="shared" si="303"/>
        <v>0.83333333333333792</v>
      </c>
      <c r="P788" s="91">
        <f t="shared" si="301"/>
        <v>-36035.570000000065</v>
      </c>
      <c r="Q788" s="130">
        <f t="shared" si="304"/>
        <v>0.97653988572673478</v>
      </c>
      <c r="R788" s="91"/>
      <c r="S788" s="132" t="str">
        <f t="shared" si="305"/>
        <v/>
      </c>
      <c r="T788" s="172">
        <f t="shared" si="306"/>
        <v>11</v>
      </c>
    </row>
    <row r="789" spans="1:20" ht="11.25" customHeight="1" x14ac:dyDescent="0.25">
      <c r="A789" s="42" t="s">
        <v>1607</v>
      </c>
      <c r="B789" s="20" t="s">
        <v>916</v>
      </c>
      <c r="C789" s="20" t="s">
        <v>919</v>
      </c>
      <c r="D789" s="20" t="s">
        <v>1649</v>
      </c>
      <c r="E789" s="290" t="s">
        <v>845</v>
      </c>
      <c r="F789" s="291"/>
      <c r="G789" s="11">
        <v>663134.14</v>
      </c>
      <c r="H789" s="11">
        <v>893514.08</v>
      </c>
      <c r="I789" s="11">
        <v>989999.99999997194</v>
      </c>
      <c r="J789" s="140">
        <v>0</v>
      </c>
      <c r="K789" s="155">
        <v>990000</v>
      </c>
      <c r="N789" s="91">
        <f t="shared" si="300"/>
        <v>2.805609256029129E-8</v>
      </c>
      <c r="O789" s="130">
        <f t="shared" si="303"/>
        <v>1.0000000000000284</v>
      </c>
      <c r="P789" s="91">
        <f t="shared" si="301"/>
        <v>96485.920000000042</v>
      </c>
      <c r="Q789" s="130">
        <f t="shared" si="304"/>
        <v>1.1079847784827297</v>
      </c>
      <c r="R789" s="91"/>
      <c r="S789" s="132" t="str">
        <f t="shared" si="305"/>
        <v/>
      </c>
      <c r="T789" s="172">
        <f t="shared" si="306"/>
        <v>11</v>
      </c>
    </row>
    <row r="790" spans="1:20" ht="11.25" customHeight="1" x14ac:dyDescent="0.25">
      <c r="A790" s="42" t="s">
        <v>1608</v>
      </c>
      <c r="B790" s="28" t="s">
        <v>916</v>
      </c>
      <c r="C790" s="20" t="s">
        <v>919</v>
      </c>
      <c r="D790" s="28" t="s">
        <v>1089</v>
      </c>
      <c r="E790" s="290" t="s">
        <v>846</v>
      </c>
      <c r="F790" s="291"/>
      <c r="G790" s="11">
        <v>191790.41</v>
      </c>
      <c r="H790" s="11">
        <v>206487.92</v>
      </c>
      <c r="I790" s="11">
        <v>199999.99999998501</v>
      </c>
      <c r="J790" s="140">
        <v>0</v>
      </c>
      <c r="K790" s="155">
        <v>200000</v>
      </c>
      <c r="N790" s="91">
        <f t="shared" si="300"/>
        <v>1.4988472685217857E-8</v>
      </c>
      <c r="O790" s="130">
        <f t="shared" si="303"/>
        <v>1.0000000000000751</v>
      </c>
      <c r="P790" s="91">
        <f t="shared" si="301"/>
        <v>-6487.9200000000128</v>
      </c>
      <c r="Q790" s="130">
        <f t="shared" si="304"/>
        <v>0.96857966315898769</v>
      </c>
      <c r="R790" s="91"/>
      <c r="S790" s="132" t="str">
        <f t="shared" si="305"/>
        <v/>
      </c>
      <c r="T790" s="172">
        <f t="shared" si="306"/>
        <v>11</v>
      </c>
    </row>
    <row r="791" spans="1:20" ht="11.25" customHeight="1" x14ac:dyDescent="0.25">
      <c r="A791" s="42" t="s">
        <v>1609</v>
      </c>
      <c r="B791" s="28" t="s">
        <v>916</v>
      </c>
      <c r="C791" s="20" t="s">
        <v>919</v>
      </c>
      <c r="D791" s="28" t="s">
        <v>917</v>
      </c>
      <c r="E791" s="290" t="s">
        <v>847</v>
      </c>
      <c r="F791" s="291"/>
      <c r="G791" s="11">
        <v>12797.14</v>
      </c>
      <c r="H791" s="11">
        <v>843328.71</v>
      </c>
      <c r="I791" s="11">
        <v>819999.99999997602</v>
      </c>
      <c r="J791" s="140">
        <v>0</v>
      </c>
      <c r="K791" s="155">
        <v>1110000</v>
      </c>
      <c r="N791" s="91">
        <f t="shared" si="300"/>
        <v>290000.00000002398</v>
      </c>
      <c r="O791" s="130">
        <f t="shared" si="303"/>
        <v>1.3536585365854055</v>
      </c>
      <c r="P791" s="91">
        <f t="shared" si="301"/>
        <v>266671.29000000004</v>
      </c>
      <c r="Q791" s="130">
        <f t="shared" si="304"/>
        <v>1.3162127493560607</v>
      </c>
      <c r="R791" s="91"/>
      <c r="S791" s="132" t="str">
        <f t="shared" si="305"/>
        <v/>
      </c>
      <c r="T791" s="172">
        <f t="shared" si="306"/>
        <v>11</v>
      </c>
    </row>
    <row r="792" spans="1:20" ht="11.25" customHeight="1" x14ac:dyDescent="0.25">
      <c r="A792" s="57" t="s">
        <v>1610</v>
      </c>
      <c r="B792" s="57"/>
      <c r="C792" s="55"/>
      <c r="D792" s="55"/>
      <c r="E792" s="288" t="s">
        <v>848</v>
      </c>
      <c r="F792" s="289"/>
      <c r="G792" s="56">
        <f t="shared" ref="G792:K792" si="309">SUM(G793)</f>
        <v>917943.75</v>
      </c>
      <c r="H792" s="56">
        <f t="shared" si="309"/>
        <v>1544230.4</v>
      </c>
      <c r="I792" s="56">
        <f t="shared" si="309"/>
        <v>999999.99999999604</v>
      </c>
      <c r="J792" s="148">
        <f t="shared" si="309"/>
        <v>0</v>
      </c>
      <c r="K792" s="168">
        <f t="shared" si="309"/>
        <v>1500000</v>
      </c>
      <c r="N792" s="91">
        <f t="shared" si="300"/>
        <v>500000.00000000396</v>
      </c>
      <c r="O792" s="130">
        <f t="shared" si="303"/>
        <v>1.500000000000006</v>
      </c>
      <c r="P792" s="91">
        <f t="shared" si="301"/>
        <v>-44230.399999999907</v>
      </c>
      <c r="Q792" s="130">
        <f t="shared" si="304"/>
        <v>0.97135764196845242</v>
      </c>
      <c r="R792" s="91"/>
      <c r="S792" s="132" t="str">
        <f t="shared" si="305"/>
        <v/>
      </c>
      <c r="T792" s="172">
        <f t="shared" si="306"/>
        <v>7</v>
      </c>
    </row>
    <row r="793" spans="1:20" ht="11.25" customHeight="1" x14ac:dyDescent="0.25">
      <c r="A793" s="42" t="s">
        <v>1611</v>
      </c>
      <c r="B793" s="27" t="s">
        <v>916</v>
      </c>
      <c r="C793" s="28" t="s">
        <v>920</v>
      </c>
      <c r="D793" s="28" t="s">
        <v>917</v>
      </c>
      <c r="E793" s="290" t="s">
        <v>150</v>
      </c>
      <c r="F793" s="291"/>
      <c r="G793" s="11">
        <v>917943.75</v>
      </c>
      <c r="H793" s="11">
        <v>1544230.4</v>
      </c>
      <c r="I793" s="11">
        <v>999999.99999999604</v>
      </c>
      <c r="J793" s="140">
        <v>0</v>
      </c>
      <c r="K793" s="155">
        <v>1500000</v>
      </c>
      <c r="N793" s="91">
        <f t="shared" si="300"/>
        <v>500000.00000000396</v>
      </c>
      <c r="O793" s="130">
        <f t="shared" si="303"/>
        <v>1.500000000000006</v>
      </c>
      <c r="P793" s="91">
        <f t="shared" si="301"/>
        <v>-44230.399999999907</v>
      </c>
      <c r="Q793" s="130">
        <f t="shared" si="304"/>
        <v>0.97135764196845242</v>
      </c>
      <c r="R793" s="91"/>
      <c r="S793" s="132" t="str">
        <f t="shared" si="305"/>
        <v/>
      </c>
      <c r="T793" s="172">
        <f t="shared" si="306"/>
        <v>11</v>
      </c>
    </row>
    <row r="794" spans="1:20" ht="11.25" customHeight="1" x14ac:dyDescent="0.25">
      <c r="A794" s="60" t="s">
        <v>849</v>
      </c>
      <c r="B794" s="60"/>
      <c r="C794" s="61"/>
      <c r="D794" s="61"/>
      <c r="E794" s="284" t="s">
        <v>850</v>
      </c>
      <c r="F794" s="285"/>
      <c r="G794" s="63">
        <f>G795+G796</f>
        <v>0</v>
      </c>
      <c r="H794" s="63">
        <f>H795+H796</f>
        <v>0</v>
      </c>
      <c r="I794" s="63">
        <f>I795+I796</f>
        <v>0</v>
      </c>
      <c r="J794" s="145">
        <f t="shared" ref="J794:K794" si="310">J795+J796</f>
        <v>0</v>
      </c>
      <c r="K794" s="165">
        <f t="shared" si="310"/>
        <v>0</v>
      </c>
      <c r="N794" s="91">
        <f t="shared" si="300"/>
        <v>0</v>
      </c>
      <c r="O794" s="130" t="str">
        <f t="shared" si="303"/>
        <v/>
      </c>
      <c r="P794" s="91">
        <f t="shared" si="301"/>
        <v>0</v>
      </c>
      <c r="Q794" s="130" t="str">
        <f t="shared" si="304"/>
        <v/>
      </c>
      <c r="R794" s="91"/>
      <c r="S794" s="132" t="str">
        <f t="shared" si="305"/>
        <v/>
      </c>
      <c r="T794" s="172">
        <f t="shared" si="306"/>
        <v>3</v>
      </c>
    </row>
    <row r="795" spans="1:20" ht="11.25" customHeight="1" x14ac:dyDescent="0.25">
      <c r="A795" s="53" t="s">
        <v>851</v>
      </c>
      <c r="B795" s="53"/>
      <c r="C795" s="51"/>
      <c r="D795" s="51"/>
      <c r="E795" s="282" t="s">
        <v>852</v>
      </c>
      <c r="F795" s="283"/>
      <c r="G795" s="52">
        <v>0</v>
      </c>
      <c r="H795" s="52">
        <v>0</v>
      </c>
      <c r="I795" s="52">
        <v>0</v>
      </c>
      <c r="J795" s="147">
        <v>0</v>
      </c>
      <c r="K795" s="167">
        <v>0</v>
      </c>
      <c r="N795" s="193">
        <f t="shared" si="300"/>
        <v>0</v>
      </c>
      <c r="O795" s="194" t="str">
        <f t="shared" si="303"/>
        <v/>
      </c>
      <c r="P795" s="193">
        <f t="shared" si="301"/>
        <v>0</v>
      </c>
      <c r="Q795" s="194" t="str">
        <f t="shared" si="304"/>
        <v/>
      </c>
      <c r="R795" s="193">
        <f t="shared" si="307"/>
        <v>0</v>
      </c>
      <c r="S795" s="195" t="str">
        <f t="shared" si="305"/>
        <v/>
      </c>
      <c r="T795" s="172">
        <f t="shared" si="306"/>
        <v>4</v>
      </c>
    </row>
    <row r="796" spans="1:20" ht="11.25" customHeight="1" x14ac:dyDescent="0.25">
      <c r="A796" s="53" t="s">
        <v>853</v>
      </c>
      <c r="B796" s="53"/>
      <c r="C796" s="51"/>
      <c r="D796" s="51"/>
      <c r="E796" s="282" t="s">
        <v>854</v>
      </c>
      <c r="F796" s="283"/>
      <c r="G796" s="52">
        <v>0</v>
      </c>
      <c r="H796" s="52">
        <v>0</v>
      </c>
      <c r="I796" s="52">
        <v>0</v>
      </c>
      <c r="J796" s="147">
        <v>0</v>
      </c>
      <c r="K796" s="167">
        <v>0</v>
      </c>
      <c r="N796" s="193">
        <f t="shared" si="300"/>
        <v>0</v>
      </c>
      <c r="O796" s="194" t="str">
        <f t="shared" si="303"/>
        <v/>
      </c>
      <c r="P796" s="193">
        <f t="shared" si="301"/>
        <v>0</v>
      </c>
      <c r="Q796" s="194" t="str">
        <f t="shared" si="304"/>
        <v/>
      </c>
      <c r="R796" s="193">
        <f t="shared" si="307"/>
        <v>0</v>
      </c>
      <c r="S796" s="195" t="str">
        <f t="shared" si="305"/>
        <v/>
      </c>
      <c r="T796" s="172">
        <f t="shared" si="306"/>
        <v>4</v>
      </c>
    </row>
    <row r="797" spans="1:20" ht="11.25" customHeight="1" x14ac:dyDescent="0.25">
      <c r="A797" s="60" t="s">
        <v>855</v>
      </c>
      <c r="B797" s="60"/>
      <c r="C797" s="61"/>
      <c r="D797" s="61"/>
      <c r="E797" s="284" t="s">
        <v>856</v>
      </c>
      <c r="F797" s="285"/>
      <c r="G797" s="63">
        <f t="shared" ref="G797:K797" si="311">G798+G799+G802+G805+G808+G809+G810+G811+G812</f>
        <v>240737.26</v>
      </c>
      <c r="H797" s="63">
        <f t="shared" si="311"/>
        <v>144229.16999999998</v>
      </c>
      <c r="I797" s="63">
        <f t="shared" si="311"/>
        <v>0</v>
      </c>
      <c r="J797" s="145">
        <f t="shared" si="311"/>
        <v>71815</v>
      </c>
      <c r="K797" s="165">
        <f t="shared" si="311"/>
        <v>80000</v>
      </c>
      <c r="N797" s="91">
        <f t="shared" si="300"/>
        <v>80000</v>
      </c>
      <c r="O797" s="130" t="str">
        <f t="shared" si="303"/>
        <v/>
      </c>
      <c r="P797" s="91">
        <f t="shared" si="301"/>
        <v>-64229.169999999984</v>
      </c>
      <c r="Q797" s="130">
        <f t="shared" si="304"/>
        <v>0.55467281687886028</v>
      </c>
      <c r="R797" s="91"/>
      <c r="S797" s="132">
        <f t="shared" si="305"/>
        <v>1.1139734038849822</v>
      </c>
      <c r="T797" s="172">
        <f t="shared" si="306"/>
        <v>3</v>
      </c>
    </row>
    <row r="798" spans="1:20" ht="11.25" customHeight="1" x14ac:dyDescent="0.25">
      <c r="A798" s="53" t="s">
        <v>857</v>
      </c>
      <c r="B798" s="53"/>
      <c r="C798" s="51"/>
      <c r="D798" s="51"/>
      <c r="E798" s="282" t="s">
        <v>858</v>
      </c>
      <c r="F798" s="283"/>
      <c r="G798" s="52">
        <v>0</v>
      </c>
      <c r="H798" s="52">
        <v>0</v>
      </c>
      <c r="I798" s="52">
        <v>0</v>
      </c>
      <c r="J798" s="147">
        <v>0</v>
      </c>
      <c r="K798" s="167">
        <v>0</v>
      </c>
      <c r="N798" s="193">
        <f t="shared" si="300"/>
        <v>0</v>
      </c>
      <c r="O798" s="194" t="str">
        <f t="shared" si="303"/>
        <v/>
      </c>
      <c r="P798" s="193">
        <f t="shared" si="301"/>
        <v>0</v>
      </c>
      <c r="Q798" s="194" t="str">
        <f t="shared" si="304"/>
        <v/>
      </c>
      <c r="R798" s="193">
        <f t="shared" si="307"/>
        <v>0</v>
      </c>
      <c r="S798" s="195" t="str">
        <f t="shared" si="305"/>
        <v/>
      </c>
      <c r="T798" s="172">
        <f t="shared" si="306"/>
        <v>4</v>
      </c>
    </row>
    <row r="799" spans="1:20" ht="11.25" customHeight="1" x14ac:dyDescent="0.25">
      <c r="A799" s="53" t="s">
        <v>859</v>
      </c>
      <c r="B799" s="53"/>
      <c r="C799" s="51"/>
      <c r="D799" s="51"/>
      <c r="E799" s="282" t="s">
        <v>595</v>
      </c>
      <c r="F799" s="283"/>
      <c r="G799" s="52">
        <f>G800</f>
        <v>27347.48</v>
      </c>
      <c r="H799" s="52">
        <f>H800</f>
        <v>461.64</v>
      </c>
      <c r="I799" s="52">
        <f t="shared" ref="I799:K799" si="312">I800</f>
        <v>0</v>
      </c>
      <c r="J799" s="147">
        <v>386</v>
      </c>
      <c r="K799" s="167">
        <f t="shared" si="312"/>
        <v>0</v>
      </c>
      <c r="N799" s="193">
        <f t="shared" si="300"/>
        <v>0</v>
      </c>
      <c r="O799" s="194" t="str">
        <f t="shared" si="303"/>
        <v/>
      </c>
      <c r="P799" s="193">
        <f t="shared" si="301"/>
        <v>-461.64</v>
      </c>
      <c r="Q799" s="194">
        <f t="shared" si="304"/>
        <v>0</v>
      </c>
      <c r="R799" s="193">
        <f t="shared" si="307"/>
        <v>-386</v>
      </c>
      <c r="S799" s="195">
        <f t="shared" si="305"/>
        <v>0</v>
      </c>
      <c r="T799" s="172">
        <f t="shared" si="306"/>
        <v>4</v>
      </c>
    </row>
    <row r="800" spans="1:20" ht="11.25" customHeight="1" x14ac:dyDescent="0.25">
      <c r="A800" s="57" t="s">
        <v>1612</v>
      </c>
      <c r="B800" s="57"/>
      <c r="C800" s="55"/>
      <c r="D800" s="55"/>
      <c r="E800" s="288" t="s">
        <v>860</v>
      </c>
      <c r="F800" s="289"/>
      <c r="G800" s="56">
        <f t="shared" ref="G800:K800" si="313">SUM(G801)</f>
        <v>27347.48</v>
      </c>
      <c r="H800" s="56">
        <f t="shared" si="313"/>
        <v>461.64</v>
      </c>
      <c r="I800" s="56">
        <f t="shared" si="313"/>
        <v>0</v>
      </c>
      <c r="J800" s="148">
        <f t="shared" si="313"/>
        <v>0</v>
      </c>
      <c r="K800" s="168">
        <f t="shared" si="313"/>
        <v>0</v>
      </c>
      <c r="N800" s="91">
        <f t="shared" si="300"/>
        <v>0</v>
      </c>
      <c r="O800" s="130" t="str">
        <f t="shared" si="303"/>
        <v/>
      </c>
      <c r="P800" s="91">
        <f t="shared" si="301"/>
        <v>-461.64</v>
      </c>
      <c r="Q800" s="130">
        <f t="shared" si="304"/>
        <v>0</v>
      </c>
      <c r="R800" s="91"/>
      <c r="S800" s="132" t="str">
        <f t="shared" si="305"/>
        <v/>
      </c>
      <c r="T800" s="172">
        <f t="shared" si="306"/>
        <v>7</v>
      </c>
    </row>
    <row r="801" spans="1:20" ht="11.25" customHeight="1" x14ac:dyDescent="0.25">
      <c r="A801" s="42" t="s">
        <v>1613</v>
      </c>
      <c r="B801" s="27" t="s">
        <v>916</v>
      </c>
      <c r="C801" s="28" t="s">
        <v>923</v>
      </c>
      <c r="D801" s="28" t="s">
        <v>1643</v>
      </c>
      <c r="E801" s="290" t="s">
        <v>861</v>
      </c>
      <c r="F801" s="291"/>
      <c r="G801" s="11">
        <v>27347.48</v>
      </c>
      <c r="H801" s="11">
        <v>461.64</v>
      </c>
      <c r="I801" s="11">
        <v>0</v>
      </c>
      <c r="J801" s="140">
        <v>0</v>
      </c>
      <c r="K801" s="155">
        <v>0</v>
      </c>
      <c r="N801" s="91">
        <f t="shared" si="300"/>
        <v>0</v>
      </c>
      <c r="O801" s="130" t="str">
        <f t="shared" si="303"/>
        <v/>
      </c>
      <c r="P801" s="91">
        <f t="shared" si="301"/>
        <v>-461.64</v>
      </c>
      <c r="Q801" s="130">
        <f t="shared" si="304"/>
        <v>0</v>
      </c>
      <c r="R801" s="91"/>
      <c r="S801" s="132" t="str">
        <f t="shared" si="305"/>
        <v/>
      </c>
      <c r="T801" s="172">
        <f t="shared" si="306"/>
        <v>11</v>
      </c>
    </row>
    <row r="802" spans="1:20" ht="11.25" customHeight="1" x14ac:dyDescent="0.25">
      <c r="A802" s="53" t="s">
        <v>862</v>
      </c>
      <c r="B802" s="53"/>
      <c r="C802" s="51"/>
      <c r="D802" s="51"/>
      <c r="E802" s="282" t="s">
        <v>863</v>
      </c>
      <c r="F802" s="283"/>
      <c r="G802" s="52">
        <f t="shared" ref="G802:K802" si="314">G803</f>
        <v>186789.78</v>
      </c>
      <c r="H802" s="52">
        <f t="shared" si="314"/>
        <v>78567.53</v>
      </c>
      <c r="I802" s="52">
        <f t="shared" si="314"/>
        <v>0</v>
      </c>
      <c r="J802" s="147">
        <v>71429</v>
      </c>
      <c r="K802" s="167">
        <f t="shared" si="314"/>
        <v>80000</v>
      </c>
      <c r="N802" s="193">
        <f t="shared" si="300"/>
        <v>80000</v>
      </c>
      <c r="O802" s="194" t="str">
        <f t="shared" si="303"/>
        <v/>
      </c>
      <c r="P802" s="193">
        <f t="shared" si="301"/>
        <v>1432.4700000000012</v>
      </c>
      <c r="Q802" s="194">
        <f t="shared" si="304"/>
        <v>1.018232341019248</v>
      </c>
      <c r="R802" s="193">
        <f t="shared" si="307"/>
        <v>8571</v>
      </c>
      <c r="S802" s="195">
        <f t="shared" si="305"/>
        <v>1.1199932800403198</v>
      </c>
      <c r="T802" s="172">
        <f t="shared" si="306"/>
        <v>4</v>
      </c>
    </row>
    <row r="803" spans="1:20" ht="11.25" customHeight="1" x14ac:dyDescent="0.25">
      <c r="A803" s="57" t="s">
        <v>1614</v>
      </c>
      <c r="B803" s="57"/>
      <c r="C803" s="55"/>
      <c r="D803" s="55"/>
      <c r="E803" s="288" t="s">
        <v>864</v>
      </c>
      <c r="F803" s="289"/>
      <c r="G803" s="56">
        <f t="shared" ref="G803:K803" si="315">SUM(G804)</f>
        <v>186789.78</v>
      </c>
      <c r="H803" s="56">
        <f t="shared" si="315"/>
        <v>78567.53</v>
      </c>
      <c r="I803" s="56">
        <f t="shared" si="315"/>
        <v>0</v>
      </c>
      <c r="J803" s="148">
        <f t="shared" si="315"/>
        <v>0</v>
      </c>
      <c r="K803" s="168">
        <f t="shared" si="315"/>
        <v>80000</v>
      </c>
      <c r="N803" s="91">
        <f t="shared" si="300"/>
        <v>80000</v>
      </c>
      <c r="O803" s="130" t="str">
        <f t="shared" si="303"/>
        <v/>
      </c>
      <c r="P803" s="91">
        <f t="shared" si="301"/>
        <v>1432.4700000000012</v>
      </c>
      <c r="Q803" s="130">
        <f t="shared" si="304"/>
        <v>1.018232341019248</v>
      </c>
      <c r="R803" s="91"/>
      <c r="S803" s="132" t="str">
        <f t="shared" si="305"/>
        <v/>
      </c>
      <c r="T803" s="172">
        <f t="shared" si="306"/>
        <v>7</v>
      </c>
    </row>
    <row r="804" spans="1:20" ht="11.25" customHeight="1" x14ac:dyDescent="0.25">
      <c r="A804" s="42" t="s">
        <v>1615</v>
      </c>
      <c r="B804" s="27" t="s">
        <v>916</v>
      </c>
      <c r="C804" s="28" t="s">
        <v>923</v>
      </c>
      <c r="D804" s="28" t="s">
        <v>1643</v>
      </c>
      <c r="E804" s="290" t="s">
        <v>865</v>
      </c>
      <c r="F804" s="291"/>
      <c r="G804" s="11">
        <v>186789.78</v>
      </c>
      <c r="H804" s="11">
        <v>78567.53</v>
      </c>
      <c r="I804" s="11">
        <v>0</v>
      </c>
      <c r="J804" s="140">
        <v>0</v>
      </c>
      <c r="K804" s="155">
        <v>80000</v>
      </c>
      <c r="N804" s="91">
        <f t="shared" si="300"/>
        <v>80000</v>
      </c>
      <c r="O804" s="130" t="str">
        <f t="shared" si="303"/>
        <v/>
      </c>
      <c r="P804" s="91">
        <f t="shared" si="301"/>
        <v>1432.4700000000012</v>
      </c>
      <c r="Q804" s="130">
        <f t="shared" si="304"/>
        <v>1.018232341019248</v>
      </c>
      <c r="R804" s="91"/>
      <c r="S804" s="132" t="str">
        <f t="shared" si="305"/>
        <v/>
      </c>
      <c r="T804" s="172">
        <f t="shared" si="306"/>
        <v>11</v>
      </c>
    </row>
    <row r="805" spans="1:20" ht="11.25" customHeight="1" x14ac:dyDescent="0.25">
      <c r="A805" s="53" t="s">
        <v>866</v>
      </c>
      <c r="B805" s="53"/>
      <c r="C805" s="51"/>
      <c r="D805" s="51"/>
      <c r="E805" s="282" t="s">
        <v>867</v>
      </c>
      <c r="F805" s="283"/>
      <c r="G805" s="52">
        <f>G806</f>
        <v>26600</v>
      </c>
      <c r="H805" s="52">
        <f>H806</f>
        <v>65200</v>
      </c>
      <c r="I805" s="52">
        <f>I806</f>
        <v>0</v>
      </c>
      <c r="J805" s="147">
        <f t="shared" ref="J805:K805" si="316">J806</f>
        <v>0</v>
      </c>
      <c r="K805" s="167">
        <f t="shared" si="316"/>
        <v>0</v>
      </c>
      <c r="N805" s="193">
        <f t="shared" si="300"/>
        <v>0</v>
      </c>
      <c r="O805" s="194" t="str">
        <f t="shared" si="303"/>
        <v/>
      </c>
      <c r="P805" s="193">
        <f t="shared" si="301"/>
        <v>-65200</v>
      </c>
      <c r="Q805" s="194">
        <f t="shared" si="304"/>
        <v>0</v>
      </c>
      <c r="R805" s="193">
        <f t="shared" si="307"/>
        <v>0</v>
      </c>
      <c r="S805" s="195" t="str">
        <f t="shared" si="305"/>
        <v/>
      </c>
      <c r="T805" s="172">
        <f t="shared" si="306"/>
        <v>4</v>
      </c>
    </row>
    <row r="806" spans="1:20" ht="11.25" customHeight="1" x14ac:dyDescent="0.25">
      <c r="A806" s="57" t="s">
        <v>1616</v>
      </c>
      <c r="B806" s="57"/>
      <c r="C806" s="55"/>
      <c r="D806" s="55"/>
      <c r="E806" s="288" t="s">
        <v>868</v>
      </c>
      <c r="F806" s="289"/>
      <c r="G806" s="56">
        <f>SUM(G807)</f>
        <v>26600</v>
      </c>
      <c r="H806" s="56">
        <f>SUM(H807)</f>
        <v>65200</v>
      </c>
      <c r="I806" s="56">
        <f>SUM(I807)</f>
        <v>0</v>
      </c>
      <c r="J806" s="148">
        <f t="shared" ref="J806:K806" si="317">SUM(J807)</f>
        <v>0</v>
      </c>
      <c r="K806" s="168">
        <f t="shared" si="317"/>
        <v>0</v>
      </c>
      <c r="N806" s="91">
        <f t="shared" si="300"/>
        <v>0</v>
      </c>
      <c r="O806" s="130" t="str">
        <f t="shared" si="303"/>
        <v/>
      </c>
      <c r="P806" s="91">
        <f t="shared" si="301"/>
        <v>-65200</v>
      </c>
      <c r="Q806" s="130">
        <f t="shared" si="304"/>
        <v>0</v>
      </c>
      <c r="R806" s="91">
        <f t="shared" si="307"/>
        <v>0</v>
      </c>
      <c r="S806" s="132" t="str">
        <f t="shared" si="305"/>
        <v/>
      </c>
      <c r="T806" s="172">
        <f t="shared" si="306"/>
        <v>7</v>
      </c>
    </row>
    <row r="807" spans="1:20" ht="11.25" customHeight="1" x14ac:dyDescent="0.25">
      <c r="A807" s="42" t="s">
        <v>1617</v>
      </c>
      <c r="B807" s="14"/>
      <c r="C807" s="13"/>
      <c r="D807" s="13"/>
      <c r="E807" s="290" t="s">
        <v>869</v>
      </c>
      <c r="F807" s="291"/>
      <c r="G807" s="11">
        <v>26600</v>
      </c>
      <c r="H807" s="11">
        <v>65200</v>
      </c>
      <c r="I807" s="11">
        <v>0</v>
      </c>
      <c r="J807" s="140">
        <v>0</v>
      </c>
      <c r="K807" s="154"/>
      <c r="N807" s="91">
        <f t="shared" si="300"/>
        <v>0</v>
      </c>
      <c r="O807" s="130" t="str">
        <f t="shared" si="303"/>
        <v/>
      </c>
      <c r="P807" s="91">
        <f t="shared" si="301"/>
        <v>-65200</v>
      </c>
      <c r="Q807" s="130">
        <f t="shared" si="304"/>
        <v>0</v>
      </c>
      <c r="R807" s="91">
        <f t="shared" si="307"/>
        <v>0</v>
      </c>
      <c r="S807" s="132" t="str">
        <f t="shared" si="305"/>
        <v/>
      </c>
      <c r="T807" s="172">
        <f t="shared" si="306"/>
        <v>10</v>
      </c>
    </row>
    <row r="808" spans="1:20" ht="11.25" customHeight="1" x14ac:dyDescent="0.25">
      <c r="A808" s="53" t="s">
        <v>870</v>
      </c>
      <c r="B808" s="53"/>
      <c r="C808" s="51"/>
      <c r="D808" s="51"/>
      <c r="E808" s="282" t="s">
        <v>871</v>
      </c>
      <c r="F808" s="283"/>
      <c r="G808" s="52">
        <v>0</v>
      </c>
      <c r="H808" s="52">
        <v>0</v>
      </c>
      <c r="I808" s="52">
        <v>0</v>
      </c>
      <c r="J808" s="147">
        <v>0</v>
      </c>
      <c r="K808" s="167">
        <v>0</v>
      </c>
      <c r="N808" s="193">
        <f t="shared" si="300"/>
        <v>0</v>
      </c>
      <c r="O808" s="194" t="str">
        <f t="shared" si="303"/>
        <v/>
      </c>
      <c r="P808" s="193">
        <f t="shared" si="301"/>
        <v>0</v>
      </c>
      <c r="Q808" s="194" t="str">
        <f t="shared" si="304"/>
        <v/>
      </c>
      <c r="R808" s="193">
        <f t="shared" si="307"/>
        <v>0</v>
      </c>
      <c r="S808" s="195" t="str">
        <f t="shared" si="305"/>
        <v/>
      </c>
      <c r="T808" s="172">
        <f t="shared" si="306"/>
        <v>4</v>
      </c>
    </row>
    <row r="809" spans="1:20" ht="11.25" customHeight="1" x14ac:dyDescent="0.25">
      <c r="A809" s="53" t="s">
        <v>872</v>
      </c>
      <c r="B809" s="53"/>
      <c r="C809" s="51"/>
      <c r="D809" s="51"/>
      <c r="E809" s="282" t="s">
        <v>873</v>
      </c>
      <c r="F809" s="283"/>
      <c r="G809" s="52">
        <v>0</v>
      </c>
      <c r="H809" s="52">
        <v>0</v>
      </c>
      <c r="I809" s="52">
        <v>0</v>
      </c>
      <c r="J809" s="147">
        <v>0</v>
      </c>
      <c r="K809" s="167">
        <v>0</v>
      </c>
      <c r="N809" s="193">
        <f t="shared" ref="N809:N837" si="318">+K809-I809</f>
        <v>0</v>
      </c>
      <c r="O809" s="194" t="str">
        <f t="shared" si="303"/>
        <v/>
      </c>
      <c r="P809" s="193">
        <f t="shared" ref="P809:P837" si="319">+K809-H809</f>
        <v>0</v>
      </c>
      <c r="Q809" s="194" t="str">
        <f t="shared" si="304"/>
        <v/>
      </c>
      <c r="R809" s="193">
        <f t="shared" si="307"/>
        <v>0</v>
      </c>
      <c r="S809" s="195" t="str">
        <f t="shared" si="305"/>
        <v/>
      </c>
      <c r="T809" s="172">
        <f t="shared" si="306"/>
        <v>4</v>
      </c>
    </row>
    <row r="810" spans="1:20" ht="11.25" customHeight="1" x14ac:dyDescent="0.25">
      <c r="A810" s="53" t="s">
        <v>874</v>
      </c>
      <c r="B810" s="53"/>
      <c r="C810" s="51"/>
      <c r="D810" s="51"/>
      <c r="E810" s="282" t="s">
        <v>875</v>
      </c>
      <c r="F810" s="283"/>
      <c r="G810" s="52">
        <v>0</v>
      </c>
      <c r="H810" s="52">
        <v>0</v>
      </c>
      <c r="I810" s="52">
        <v>0</v>
      </c>
      <c r="J810" s="147">
        <v>0</v>
      </c>
      <c r="K810" s="167">
        <v>0</v>
      </c>
      <c r="N810" s="193">
        <f t="shared" si="318"/>
        <v>0</v>
      </c>
      <c r="O810" s="194" t="str">
        <f t="shared" si="303"/>
        <v/>
      </c>
      <c r="P810" s="193">
        <f t="shared" si="319"/>
        <v>0</v>
      </c>
      <c r="Q810" s="194" t="str">
        <f t="shared" si="304"/>
        <v/>
      </c>
      <c r="R810" s="193">
        <f t="shared" si="307"/>
        <v>0</v>
      </c>
      <c r="S810" s="195" t="str">
        <f t="shared" si="305"/>
        <v/>
      </c>
      <c r="T810" s="172">
        <f t="shared" si="306"/>
        <v>4</v>
      </c>
    </row>
    <row r="811" spans="1:20" ht="11.25" customHeight="1" x14ac:dyDescent="0.25">
      <c r="A811" s="53" t="s">
        <v>876</v>
      </c>
      <c r="B811" s="53"/>
      <c r="C811" s="51"/>
      <c r="D811" s="51"/>
      <c r="E811" s="282" t="s">
        <v>877</v>
      </c>
      <c r="F811" s="283"/>
      <c r="G811" s="52">
        <v>0</v>
      </c>
      <c r="H811" s="52">
        <v>0</v>
      </c>
      <c r="I811" s="52">
        <v>0</v>
      </c>
      <c r="J811" s="147">
        <v>0</v>
      </c>
      <c r="K811" s="167">
        <v>0</v>
      </c>
      <c r="N811" s="193">
        <f t="shared" si="318"/>
        <v>0</v>
      </c>
      <c r="O811" s="194" t="str">
        <f t="shared" si="303"/>
        <v/>
      </c>
      <c r="P811" s="193">
        <f t="shared" si="319"/>
        <v>0</v>
      </c>
      <c r="Q811" s="194" t="str">
        <f t="shared" si="304"/>
        <v/>
      </c>
      <c r="R811" s="193">
        <f t="shared" si="307"/>
        <v>0</v>
      </c>
      <c r="S811" s="195" t="str">
        <f t="shared" si="305"/>
        <v/>
      </c>
      <c r="T811" s="172">
        <f t="shared" si="306"/>
        <v>4</v>
      </c>
    </row>
    <row r="812" spans="1:20" ht="11.25" customHeight="1" x14ac:dyDescent="0.25">
      <c r="A812" s="53" t="s">
        <v>878</v>
      </c>
      <c r="B812" s="53"/>
      <c r="C812" s="51"/>
      <c r="D812" s="51"/>
      <c r="E812" s="282" t="s">
        <v>879</v>
      </c>
      <c r="F812" s="283"/>
      <c r="G812" s="52">
        <v>0</v>
      </c>
      <c r="H812" s="52">
        <v>0</v>
      </c>
      <c r="I812" s="52">
        <v>0</v>
      </c>
      <c r="J812" s="147">
        <v>0</v>
      </c>
      <c r="K812" s="167">
        <v>0</v>
      </c>
      <c r="N812" s="193">
        <f t="shared" si="318"/>
        <v>0</v>
      </c>
      <c r="O812" s="194" t="str">
        <f t="shared" si="303"/>
        <v/>
      </c>
      <c r="P812" s="193">
        <f t="shared" si="319"/>
        <v>0</v>
      </c>
      <c r="Q812" s="194" t="str">
        <f t="shared" si="304"/>
        <v/>
      </c>
      <c r="R812" s="193">
        <f t="shared" si="307"/>
        <v>0</v>
      </c>
      <c r="S812" s="195" t="str">
        <f t="shared" si="305"/>
        <v/>
      </c>
      <c r="T812" s="172">
        <f t="shared" si="306"/>
        <v>4</v>
      </c>
    </row>
    <row r="813" spans="1:20" ht="11.25" customHeight="1" x14ac:dyDescent="0.25">
      <c r="A813" s="60" t="s">
        <v>880</v>
      </c>
      <c r="B813" s="60"/>
      <c r="C813" s="61"/>
      <c r="D813" s="61"/>
      <c r="E813" s="284" t="s">
        <v>850</v>
      </c>
      <c r="F813" s="285"/>
      <c r="G813" s="63">
        <f t="shared" ref="G813:K813" si="320">G814+G815</f>
        <v>56838944.920000002</v>
      </c>
      <c r="H813" s="63">
        <f t="shared" si="320"/>
        <v>46881225.180000007</v>
      </c>
      <c r="I813" s="63">
        <f t="shared" si="320"/>
        <v>42792999.999999978</v>
      </c>
      <c r="J813" s="145">
        <f t="shared" si="320"/>
        <v>60176244</v>
      </c>
      <c r="K813" s="165">
        <f t="shared" si="320"/>
        <v>53438000</v>
      </c>
      <c r="N813" s="91">
        <f t="shared" si="318"/>
        <v>10645000.000000022</v>
      </c>
      <c r="O813" s="130">
        <f t="shared" si="303"/>
        <v>1.2487556376042817</v>
      </c>
      <c r="P813" s="91">
        <f t="shared" si="319"/>
        <v>6556774.8199999928</v>
      </c>
      <c r="Q813" s="130">
        <f t="shared" si="304"/>
        <v>1.1398592889760308</v>
      </c>
      <c r="R813" s="91">
        <f t="shared" si="307"/>
        <v>-6738244</v>
      </c>
      <c r="S813" s="132">
        <f t="shared" si="305"/>
        <v>0.88802484914146518</v>
      </c>
      <c r="T813" s="172">
        <f t="shared" si="306"/>
        <v>3</v>
      </c>
    </row>
    <row r="814" spans="1:20" ht="11.25" customHeight="1" x14ac:dyDescent="0.25">
      <c r="A814" s="53" t="s">
        <v>881</v>
      </c>
      <c r="B814" s="53"/>
      <c r="C814" s="51"/>
      <c r="D814" s="51"/>
      <c r="E814" s="282" t="s">
        <v>882</v>
      </c>
      <c r="F814" s="283"/>
      <c r="G814" s="52">
        <v>0</v>
      </c>
      <c r="H814" s="52">
        <v>0</v>
      </c>
      <c r="I814" s="52">
        <v>0</v>
      </c>
      <c r="J814" s="147">
        <v>0</v>
      </c>
      <c r="K814" s="167">
        <v>0</v>
      </c>
      <c r="N814" s="193">
        <f t="shared" si="318"/>
        <v>0</v>
      </c>
      <c r="O814" s="194" t="str">
        <f t="shared" si="303"/>
        <v/>
      </c>
      <c r="P814" s="193">
        <f t="shared" si="319"/>
        <v>0</v>
      </c>
      <c r="Q814" s="194" t="str">
        <f t="shared" si="304"/>
        <v/>
      </c>
      <c r="R814" s="193">
        <f t="shared" si="307"/>
        <v>0</v>
      </c>
      <c r="S814" s="195" t="str">
        <f t="shared" si="305"/>
        <v/>
      </c>
      <c r="T814" s="172">
        <f t="shared" si="306"/>
        <v>4</v>
      </c>
    </row>
    <row r="815" spans="1:20" ht="11.25" customHeight="1" x14ac:dyDescent="0.25">
      <c r="A815" s="53" t="s">
        <v>883</v>
      </c>
      <c r="B815" s="53"/>
      <c r="C815" s="51"/>
      <c r="D815" s="51"/>
      <c r="E815" s="282" t="s">
        <v>884</v>
      </c>
      <c r="F815" s="283"/>
      <c r="G815" s="52">
        <f t="shared" ref="G815:I815" si="321">G816+G824+G827</f>
        <v>56838944.920000002</v>
      </c>
      <c r="H815" s="52">
        <f t="shared" si="321"/>
        <v>46881225.180000007</v>
      </c>
      <c r="I815" s="52">
        <f t="shared" si="321"/>
        <v>42792999.999999978</v>
      </c>
      <c r="J815" s="147">
        <v>60176244</v>
      </c>
      <c r="K815" s="167">
        <f>K816+K824+K827</f>
        <v>53438000</v>
      </c>
      <c r="N815" s="193">
        <f t="shared" si="318"/>
        <v>10645000.000000022</v>
      </c>
      <c r="O815" s="194">
        <f t="shared" si="303"/>
        <v>1.2487556376042817</v>
      </c>
      <c r="P815" s="193">
        <f t="shared" si="319"/>
        <v>6556774.8199999928</v>
      </c>
      <c r="Q815" s="194">
        <f t="shared" si="304"/>
        <v>1.1398592889760308</v>
      </c>
      <c r="R815" s="193">
        <f t="shared" ref="R815:R837" si="322">K815-J815</f>
        <v>-6738244</v>
      </c>
      <c r="S815" s="195">
        <f t="shared" si="305"/>
        <v>0.88802484914146518</v>
      </c>
      <c r="T815" s="172">
        <f t="shared" si="306"/>
        <v>4</v>
      </c>
    </row>
    <row r="816" spans="1:20" ht="11.25" customHeight="1" x14ac:dyDescent="0.25">
      <c r="A816" s="57" t="s">
        <v>1618</v>
      </c>
      <c r="B816" s="57"/>
      <c r="C816" s="55"/>
      <c r="D816" s="55"/>
      <c r="E816" s="288" t="s">
        <v>885</v>
      </c>
      <c r="F816" s="289"/>
      <c r="G816" s="56">
        <f t="shared" ref="G816:K816" si="323">SUM(G817:G823)</f>
        <v>40116648.200000003</v>
      </c>
      <c r="H816" s="56">
        <f t="shared" si="323"/>
        <v>25075007.230000004</v>
      </c>
      <c r="I816" s="56">
        <f t="shared" si="323"/>
        <v>19961999.999999989</v>
      </c>
      <c r="J816" s="148">
        <f t="shared" si="323"/>
        <v>0</v>
      </c>
      <c r="K816" s="168">
        <f t="shared" si="323"/>
        <v>29988000</v>
      </c>
      <c r="N816" s="91">
        <f t="shared" si="318"/>
        <v>10026000.000000011</v>
      </c>
      <c r="O816" s="130">
        <f t="shared" si="303"/>
        <v>1.5022542831379631</v>
      </c>
      <c r="P816" s="91">
        <f t="shared" si="319"/>
        <v>4912992.7699999958</v>
      </c>
      <c r="Q816" s="130">
        <f t="shared" si="304"/>
        <v>1.1959318585608238</v>
      </c>
      <c r="R816" s="91"/>
      <c r="S816" s="132" t="str">
        <f t="shared" si="305"/>
        <v/>
      </c>
      <c r="T816" s="172">
        <f t="shared" si="306"/>
        <v>7</v>
      </c>
    </row>
    <row r="817" spans="1:20" ht="11.25" customHeight="1" x14ac:dyDescent="0.25">
      <c r="A817" s="42" t="s">
        <v>1619</v>
      </c>
      <c r="B817" s="58" t="s">
        <v>916</v>
      </c>
      <c r="C817" s="34" t="s">
        <v>923</v>
      </c>
      <c r="D817" s="34" t="s">
        <v>1633</v>
      </c>
      <c r="E817" s="286" t="s">
        <v>886</v>
      </c>
      <c r="F817" s="287"/>
      <c r="G817" s="59">
        <v>23515319.640000001</v>
      </c>
      <c r="H817" s="59">
        <v>8728675.8800000008</v>
      </c>
      <c r="I817" s="59">
        <v>3886000</v>
      </c>
      <c r="J817" s="140">
        <v>0</v>
      </c>
      <c r="K817" s="155">
        <f>690000+3621000</f>
        <v>4311000</v>
      </c>
      <c r="N817" s="91">
        <f t="shared" si="318"/>
        <v>425000</v>
      </c>
      <c r="O817" s="130">
        <f t="shared" si="303"/>
        <v>1.1093669583118888</v>
      </c>
      <c r="P817" s="91">
        <f t="shared" si="319"/>
        <v>-4417675.8800000008</v>
      </c>
      <c r="Q817" s="130">
        <f t="shared" si="304"/>
        <v>0.49388934350028812</v>
      </c>
      <c r="R817" s="91"/>
      <c r="S817" s="132" t="str">
        <f t="shared" si="305"/>
        <v/>
      </c>
      <c r="T817" s="172">
        <f t="shared" si="306"/>
        <v>11</v>
      </c>
    </row>
    <row r="818" spans="1:20" ht="11.25" customHeight="1" x14ac:dyDescent="0.25">
      <c r="A818" s="42" t="s">
        <v>1620</v>
      </c>
      <c r="B818" s="58" t="s">
        <v>916</v>
      </c>
      <c r="C818" s="34" t="s">
        <v>923</v>
      </c>
      <c r="D818" s="34" t="s">
        <v>1633</v>
      </c>
      <c r="E818" s="286" t="s">
        <v>887</v>
      </c>
      <c r="F818" s="287"/>
      <c r="G818" s="59">
        <v>2334107.37</v>
      </c>
      <c r="H818" s="59">
        <v>2565888.88</v>
      </c>
      <c r="I818" s="59">
        <v>2452000</v>
      </c>
      <c r="J818" s="140">
        <v>0</v>
      </c>
      <c r="K818" s="156">
        <v>3498000</v>
      </c>
      <c r="L818" s="280" t="s">
        <v>1735</v>
      </c>
      <c r="M818" s="207"/>
      <c r="N818" s="91">
        <f t="shared" si="318"/>
        <v>1046000</v>
      </c>
      <c r="O818" s="130">
        <f t="shared" si="303"/>
        <v>1.4265905383360522</v>
      </c>
      <c r="P818" s="91">
        <f t="shared" si="319"/>
        <v>932111.12000000011</v>
      </c>
      <c r="Q818" s="130">
        <f t="shared" si="304"/>
        <v>1.3632702597783581</v>
      </c>
      <c r="R818" s="91"/>
      <c r="S818" s="132" t="str">
        <f t="shared" si="305"/>
        <v/>
      </c>
      <c r="T818" s="172">
        <f t="shared" si="306"/>
        <v>11</v>
      </c>
    </row>
    <row r="819" spans="1:20" ht="11.25" customHeight="1" x14ac:dyDescent="0.25">
      <c r="A819" s="42" t="s">
        <v>1621</v>
      </c>
      <c r="B819" s="58" t="s">
        <v>916</v>
      </c>
      <c r="C819" s="34" t="s">
        <v>923</v>
      </c>
      <c r="D819" s="34" t="s">
        <v>1633</v>
      </c>
      <c r="E819" s="286" t="s">
        <v>888</v>
      </c>
      <c r="F819" s="287"/>
      <c r="G819" s="59">
        <v>4747694.55</v>
      </c>
      <c r="H819" s="59">
        <v>5042825.37</v>
      </c>
      <c r="I819" s="59">
        <v>4804000</v>
      </c>
      <c r="J819" s="140">
        <v>0</v>
      </c>
      <c r="K819" s="156">
        <v>6190000</v>
      </c>
      <c r="L819" s="281"/>
      <c r="M819" s="208"/>
      <c r="N819" s="91">
        <f t="shared" si="318"/>
        <v>1386000</v>
      </c>
      <c r="O819" s="130">
        <f t="shared" si="303"/>
        <v>1.2885095753538718</v>
      </c>
      <c r="P819" s="91">
        <f t="shared" si="319"/>
        <v>1147174.6299999999</v>
      </c>
      <c r="Q819" s="130">
        <f t="shared" si="304"/>
        <v>1.2274864874014069</v>
      </c>
      <c r="R819" s="91"/>
      <c r="S819" s="132" t="str">
        <f t="shared" si="305"/>
        <v/>
      </c>
      <c r="T819" s="172">
        <f t="shared" si="306"/>
        <v>11</v>
      </c>
    </row>
    <row r="820" spans="1:20" ht="11.25" customHeight="1" x14ac:dyDescent="0.25">
      <c r="A820" s="42" t="s">
        <v>1622</v>
      </c>
      <c r="B820" s="58"/>
      <c r="C820" s="34"/>
      <c r="D820" s="34"/>
      <c r="E820" s="286" t="s">
        <v>889</v>
      </c>
      <c r="F820" s="287"/>
      <c r="G820" s="59">
        <v>0</v>
      </c>
      <c r="H820" s="59">
        <v>0</v>
      </c>
      <c r="I820" s="59">
        <v>0</v>
      </c>
      <c r="J820" s="140">
        <v>0</v>
      </c>
      <c r="K820" s="154"/>
      <c r="N820" s="91">
        <f t="shared" si="318"/>
        <v>0</v>
      </c>
      <c r="O820" s="130" t="str">
        <f t="shared" si="303"/>
        <v/>
      </c>
      <c r="P820" s="91">
        <f t="shared" si="319"/>
        <v>0</v>
      </c>
      <c r="Q820" s="130" t="str">
        <f t="shared" si="304"/>
        <v/>
      </c>
      <c r="R820" s="91"/>
      <c r="S820" s="132" t="str">
        <f t="shared" si="305"/>
        <v/>
      </c>
      <c r="T820" s="172">
        <f t="shared" si="306"/>
        <v>11</v>
      </c>
    </row>
    <row r="821" spans="1:20" ht="11.25" customHeight="1" x14ac:dyDescent="0.25">
      <c r="A821" s="42" t="s">
        <v>1623</v>
      </c>
      <c r="B821" s="34" t="s">
        <v>916</v>
      </c>
      <c r="C821" s="34" t="s">
        <v>923</v>
      </c>
      <c r="D821" s="34" t="s">
        <v>1633</v>
      </c>
      <c r="E821" s="286" t="s">
        <v>890</v>
      </c>
      <c r="F821" s="287"/>
      <c r="G821" s="59">
        <v>5458924.9699999997</v>
      </c>
      <c r="H821" s="59">
        <v>5871236.1600000001</v>
      </c>
      <c r="I821" s="59">
        <v>8000000</v>
      </c>
      <c r="J821" s="140">
        <v>0</v>
      </c>
      <c r="K821" s="156">
        <v>8000000</v>
      </c>
      <c r="N821" s="91">
        <f t="shared" si="318"/>
        <v>0</v>
      </c>
      <c r="O821" s="130">
        <f t="shared" si="303"/>
        <v>1</v>
      </c>
      <c r="P821" s="91">
        <f t="shared" si="319"/>
        <v>2128763.84</v>
      </c>
      <c r="Q821" s="130">
        <f t="shared" si="304"/>
        <v>1.3625750663042653</v>
      </c>
      <c r="R821" s="91"/>
      <c r="S821" s="132" t="str">
        <f t="shared" si="305"/>
        <v/>
      </c>
      <c r="T821" s="172">
        <f t="shared" si="306"/>
        <v>11</v>
      </c>
    </row>
    <row r="822" spans="1:20" ht="11.25" customHeight="1" x14ac:dyDescent="0.25">
      <c r="A822" s="42" t="s">
        <v>1624</v>
      </c>
      <c r="B822" s="58" t="s">
        <v>916</v>
      </c>
      <c r="C822" s="34" t="s">
        <v>923</v>
      </c>
      <c r="D822" s="34" t="s">
        <v>1633</v>
      </c>
      <c r="E822" s="286" t="s">
        <v>1690</v>
      </c>
      <c r="F822" s="287"/>
      <c r="G822" s="59">
        <v>1052762</v>
      </c>
      <c r="H822" s="59">
        <v>1140705</v>
      </c>
      <c r="I822" s="59">
        <v>819999.99999998999</v>
      </c>
      <c r="J822" s="140">
        <v>0</v>
      </c>
      <c r="K822" s="156">
        <v>4545000</v>
      </c>
      <c r="N822" s="91">
        <f t="shared" si="318"/>
        <v>3725000.0000000102</v>
      </c>
      <c r="O822" s="130">
        <f t="shared" si="303"/>
        <v>5.5426829268293361</v>
      </c>
      <c r="P822" s="91">
        <f t="shared" si="319"/>
        <v>3404295</v>
      </c>
      <c r="Q822" s="130">
        <f t="shared" si="304"/>
        <v>3.9843780819756205</v>
      </c>
      <c r="R822" s="91"/>
      <c r="S822" s="132" t="str">
        <f t="shared" si="305"/>
        <v/>
      </c>
      <c r="T822" s="172">
        <f t="shared" si="306"/>
        <v>11</v>
      </c>
    </row>
    <row r="823" spans="1:20" ht="11.25" customHeight="1" x14ac:dyDescent="0.25">
      <c r="A823" s="42" t="s">
        <v>1625</v>
      </c>
      <c r="B823" s="58" t="s">
        <v>916</v>
      </c>
      <c r="C823" s="34" t="s">
        <v>923</v>
      </c>
      <c r="D823" s="34" t="s">
        <v>1633</v>
      </c>
      <c r="E823" s="286" t="s">
        <v>891</v>
      </c>
      <c r="F823" s="287"/>
      <c r="G823" s="59">
        <v>3007839.67</v>
      </c>
      <c r="H823" s="59">
        <v>1725675.94</v>
      </c>
      <c r="I823" s="59">
        <v>0</v>
      </c>
      <c r="J823" s="140">
        <v>0</v>
      </c>
      <c r="K823" s="156">
        <v>3444000</v>
      </c>
      <c r="N823" s="91">
        <f t="shared" si="318"/>
        <v>3444000</v>
      </c>
      <c r="O823" s="130" t="str">
        <f t="shared" si="303"/>
        <v/>
      </c>
      <c r="P823" s="91">
        <f t="shared" si="319"/>
        <v>1718324.06</v>
      </c>
      <c r="Q823" s="130">
        <f t="shared" si="304"/>
        <v>1.9957397099712708</v>
      </c>
      <c r="R823" s="91"/>
      <c r="S823" s="132" t="str">
        <f t="shared" si="305"/>
        <v/>
      </c>
      <c r="T823" s="172">
        <f t="shared" si="306"/>
        <v>11</v>
      </c>
    </row>
    <row r="824" spans="1:20" ht="11.25" customHeight="1" x14ac:dyDescent="0.25">
      <c r="A824" s="57" t="s">
        <v>1626</v>
      </c>
      <c r="B824" s="57"/>
      <c r="C824" s="55"/>
      <c r="D824" s="55"/>
      <c r="E824" s="288" t="s">
        <v>892</v>
      </c>
      <c r="F824" s="289"/>
      <c r="G824" s="56">
        <f t="shared" ref="G824:K824" si="324">SUM(G825:G826)</f>
        <v>16228203.720000001</v>
      </c>
      <c r="H824" s="56">
        <f t="shared" si="324"/>
        <v>21240900.949999999</v>
      </c>
      <c r="I824" s="56">
        <f t="shared" si="324"/>
        <v>22280999.999999993</v>
      </c>
      <c r="J824" s="148">
        <f t="shared" si="324"/>
        <v>0</v>
      </c>
      <c r="K824" s="168">
        <f t="shared" si="324"/>
        <v>22900000</v>
      </c>
      <c r="N824" s="91">
        <f t="shared" si="318"/>
        <v>619000.00000000745</v>
      </c>
      <c r="O824" s="130">
        <f t="shared" si="303"/>
        <v>1.0277815178851939</v>
      </c>
      <c r="P824" s="91">
        <f t="shared" si="319"/>
        <v>1659099.0500000007</v>
      </c>
      <c r="Q824" s="130">
        <f t="shared" si="304"/>
        <v>1.0781086948197458</v>
      </c>
      <c r="R824" s="91"/>
      <c r="S824" s="132" t="str">
        <f t="shared" si="305"/>
        <v/>
      </c>
      <c r="T824" s="172">
        <f t="shared" si="306"/>
        <v>7</v>
      </c>
    </row>
    <row r="825" spans="1:20" ht="11.25" customHeight="1" x14ac:dyDescent="0.25">
      <c r="A825" s="42" t="s">
        <v>1627</v>
      </c>
      <c r="B825" s="58" t="s">
        <v>916</v>
      </c>
      <c r="C825" s="34" t="s">
        <v>923</v>
      </c>
      <c r="D825" s="34" t="s">
        <v>1633</v>
      </c>
      <c r="E825" s="286" t="s">
        <v>893</v>
      </c>
      <c r="F825" s="287"/>
      <c r="G825" s="59">
        <v>6077912.2400000002</v>
      </c>
      <c r="H825" s="59">
        <v>7877201.7199999997</v>
      </c>
      <c r="I825" s="59">
        <v>8866999.9999999907</v>
      </c>
      <c r="J825" s="140">
        <v>0</v>
      </c>
      <c r="K825" s="156">
        <v>8429000</v>
      </c>
      <c r="N825" s="91">
        <f t="shared" si="318"/>
        <v>-437999.99999999069</v>
      </c>
      <c r="O825" s="130">
        <f t="shared" si="303"/>
        <v>0.95060336077591168</v>
      </c>
      <c r="P825" s="91">
        <f t="shared" si="319"/>
        <v>551798.28000000026</v>
      </c>
      <c r="Q825" s="130">
        <f t="shared" si="304"/>
        <v>1.0700500380228932</v>
      </c>
      <c r="R825" s="91"/>
      <c r="S825" s="132" t="str">
        <f t="shared" si="305"/>
        <v/>
      </c>
      <c r="T825" s="172">
        <f t="shared" si="306"/>
        <v>11</v>
      </c>
    </row>
    <row r="826" spans="1:20" ht="11.25" customHeight="1" x14ac:dyDescent="0.25">
      <c r="A826" s="42" t="s">
        <v>1628</v>
      </c>
      <c r="B826" s="58" t="s">
        <v>916</v>
      </c>
      <c r="C826" s="34" t="s">
        <v>923</v>
      </c>
      <c r="D826" s="34" t="s">
        <v>1633</v>
      </c>
      <c r="E826" s="286" t="s">
        <v>894</v>
      </c>
      <c r="F826" s="287"/>
      <c r="G826" s="59">
        <v>10150291.48</v>
      </c>
      <c r="H826" s="59">
        <v>13363699.23</v>
      </c>
      <c r="I826" s="59">
        <v>13414000</v>
      </c>
      <c r="J826" s="140">
        <v>0</v>
      </c>
      <c r="K826" s="156">
        <v>14471000</v>
      </c>
      <c r="N826" s="91">
        <f t="shared" si="318"/>
        <v>1057000</v>
      </c>
      <c r="O826" s="130">
        <f t="shared" si="303"/>
        <v>1.0787982704636947</v>
      </c>
      <c r="P826" s="91">
        <f t="shared" si="319"/>
        <v>1107300.7699999996</v>
      </c>
      <c r="Q826" s="130">
        <f t="shared" si="304"/>
        <v>1.0828588515008055</v>
      </c>
      <c r="R826" s="91"/>
      <c r="S826" s="132" t="str">
        <f t="shared" si="305"/>
        <v/>
      </c>
      <c r="T826" s="172">
        <f t="shared" si="306"/>
        <v>11</v>
      </c>
    </row>
    <row r="827" spans="1:20" ht="11.25" customHeight="1" x14ac:dyDescent="0.25">
      <c r="A827" s="57" t="s">
        <v>1629</v>
      </c>
      <c r="B827" s="57"/>
      <c r="C827" s="55"/>
      <c r="D827" s="55"/>
      <c r="E827" s="288" t="s">
        <v>895</v>
      </c>
      <c r="F827" s="289"/>
      <c r="G827" s="56">
        <f t="shared" ref="G827:K827" si="325">SUM(G828)</f>
        <v>494093</v>
      </c>
      <c r="H827" s="56">
        <f t="shared" si="325"/>
        <v>565317</v>
      </c>
      <c r="I827" s="56">
        <f t="shared" si="325"/>
        <v>549999.99999999604</v>
      </c>
      <c r="J827" s="148">
        <f t="shared" si="325"/>
        <v>0</v>
      </c>
      <c r="K827" s="168">
        <f t="shared" si="325"/>
        <v>550000</v>
      </c>
      <c r="N827" s="91">
        <f t="shared" si="318"/>
        <v>3.9581209421157837E-9</v>
      </c>
      <c r="O827" s="130">
        <f t="shared" si="303"/>
        <v>1.0000000000000071</v>
      </c>
      <c r="P827" s="91">
        <f t="shared" si="319"/>
        <v>-15317</v>
      </c>
      <c r="Q827" s="130">
        <f t="shared" si="304"/>
        <v>0.97290546719804993</v>
      </c>
      <c r="R827" s="91"/>
      <c r="S827" s="132" t="str">
        <f t="shared" si="305"/>
        <v/>
      </c>
      <c r="T827" s="172">
        <f t="shared" si="306"/>
        <v>7</v>
      </c>
    </row>
    <row r="828" spans="1:20" ht="11.25" customHeight="1" x14ac:dyDescent="0.25">
      <c r="A828" s="42" t="s">
        <v>1630</v>
      </c>
      <c r="B828" s="58" t="s">
        <v>916</v>
      </c>
      <c r="C828" s="34" t="s">
        <v>920</v>
      </c>
      <c r="D828" s="34" t="s">
        <v>917</v>
      </c>
      <c r="E828" s="286" t="s">
        <v>896</v>
      </c>
      <c r="F828" s="287"/>
      <c r="G828" s="59">
        <v>494093</v>
      </c>
      <c r="H828" s="59">
        <v>565317</v>
      </c>
      <c r="I828" s="59">
        <v>549999.99999999604</v>
      </c>
      <c r="J828" s="140">
        <v>0</v>
      </c>
      <c r="K828" s="158">
        <v>550000</v>
      </c>
      <c r="N828" s="91">
        <f t="shared" si="318"/>
        <v>3.9581209421157837E-9</v>
      </c>
      <c r="O828" s="130">
        <f t="shared" si="303"/>
        <v>1.0000000000000071</v>
      </c>
      <c r="P828" s="91">
        <f t="shared" si="319"/>
        <v>-15317</v>
      </c>
      <c r="Q828" s="130">
        <f t="shared" si="304"/>
        <v>0.97290546719804993</v>
      </c>
      <c r="R828" s="91"/>
      <c r="S828" s="132" t="str">
        <f t="shared" si="305"/>
        <v/>
      </c>
      <c r="T828" s="172">
        <f t="shared" si="306"/>
        <v>11</v>
      </c>
    </row>
    <row r="829" spans="1:20" ht="11.25" customHeight="1" x14ac:dyDescent="0.25">
      <c r="A829" s="60" t="s">
        <v>897</v>
      </c>
      <c r="B829" s="60"/>
      <c r="C829" s="61"/>
      <c r="D829" s="61"/>
      <c r="E829" s="284" t="s">
        <v>898</v>
      </c>
      <c r="F829" s="285"/>
      <c r="G829" s="54">
        <f>G830+G831+G832+G833</f>
        <v>0</v>
      </c>
      <c r="H829" s="54">
        <f>H830+H831+H832+H833</f>
        <v>0</v>
      </c>
      <c r="I829" s="54">
        <f>I830+I831+I832+I833</f>
        <v>0</v>
      </c>
      <c r="J829" s="149">
        <f t="shared" ref="J829:K829" si="326">J830+J831+J832+J833</f>
        <v>0</v>
      </c>
      <c r="K829" s="169">
        <f t="shared" si="326"/>
        <v>0</v>
      </c>
      <c r="N829" s="91">
        <f t="shared" si="318"/>
        <v>0</v>
      </c>
      <c r="O829" s="130" t="str">
        <f t="shared" si="303"/>
        <v/>
      </c>
      <c r="P829" s="91">
        <f t="shared" si="319"/>
        <v>0</v>
      </c>
      <c r="Q829" s="130" t="str">
        <f t="shared" si="304"/>
        <v/>
      </c>
      <c r="R829" s="91"/>
      <c r="S829" s="132" t="str">
        <f t="shared" si="305"/>
        <v/>
      </c>
      <c r="T829" s="172">
        <f t="shared" si="306"/>
        <v>3</v>
      </c>
    </row>
    <row r="830" spans="1:20" ht="11.25" customHeight="1" x14ac:dyDescent="0.25">
      <c r="A830" s="53" t="s">
        <v>899</v>
      </c>
      <c r="B830" s="53"/>
      <c r="C830" s="51"/>
      <c r="D830" s="51"/>
      <c r="E830" s="282" t="s">
        <v>900</v>
      </c>
      <c r="F830" s="283"/>
      <c r="G830" s="52">
        <v>0</v>
      </c>
      <c r="H830" s="52">
        <v>0</v>
      </c>
      <c r="I830" s="52">
        <v>0</v>
      </c>
      <c r="J830" s="147">
        <v>0</v>
      </c>
      <c r="K830" s="167">
        <v>0</v>
      </c>
      <c r="N830" s="193">
        <f t="shared" si="318"/>
        <v>0</v>
      </c>
      <c r="O830" s="194" t="str">
        <f t="shared" si="303"/>
        <v/>
      </c>
      <c r="P830" s="193">
        <f t="shared" si="319"/>
        <v>0</v>
      </c>
      <c r="Q830" s="194" t="str">
        <f t="shared" si="304"/>
        <v/>
      </c>
      <c r="R830" s="193">
        <f t="shared" si="322"/>
        <v>0</v>
      </c>
      <c r="S830" s="195" t="str">
        <f t="shared" si="305"/>
        <v/>
      </c>
      <c r="T830" s="172">
        <f t="shared" si="306"/>
        <v>4</v>
      </c>
    </row>
    <row r="831" spans="1:20" ht="11.25" customHeight="1" x14ac:dyDescent="0.25">
      <c r="A831" s="53" t="s">
        <v>901</v>
      </c>
      <c r="B831" s="53"/>
      <c r="C831" s="51"/>
      <c r="D831" s="51"/>
      <c r="E831" s="282" t="s">
        <v>882</v>
      </c>
      <c r="F831" s="283"/>
      <c r="G831" s="52">
        <v>0</v>
      </c>
      <c r="H831" s="52">
        <v>0</v>
      </c>
      <c r="I831" s="52">
        <v>0</v>
      </c>
      <c r="J831" s="147">
        <v>0</v>
      </c>
      <c r="K831" s="167">
        <v>0</v>
      </c>
      <c r="N831" s="193">
        <f t="shared" si="318"/>
        <v>0</v>
      </c>
      <c r="O831" s="194" t="str">
        <f t="shared" si="303"/>
        <v/>
      </c>
      <c r="P831" s="193">
        <f t="shared" si="319"/>
        <v>0</v>
      </c>
      <c r="Q831" s="194" t="str">
        <f t="shared" si="304"/>
        <v/>
      </c>
      <c r="R831" s="193">
        <f t="shared" si="322"/>
        <v>0</v>
      </c>
      <c r="S831" s="195" t="str">
        <f t="shared" si="305"/>
        <v/>
      </c>
      <c r="T831" s="172">
        <f t="shared" si="306"/>
        <v>4</v>
      </c>
    </row>
    <row r="832" spans="1:20" ht="11.25" customHeight="1" x14ac:dyDescent="0.25">
      <c r="A832" s="53" t="s">
        <v>902</v>
      </c>
      <c r="B832" s="53"/>
      <c r="C832" s="51"/>
      <c r="D832" s="51"/>
      <c r="E832" s="282" t="s">
        <v>903</v>
      </c>
      <c r="F832" s="283"/>
      <c r="G832" s="52">
        <v>0</v>
      </c>
      <c r="H832" s="52">
        <v>0</v>
      </c>
      <c r="I832" s="52">
        <v>0</v>
      </c>
      <c r="J832" s="147">
        <v>0</v>
      </c>
      <c r="K832" s="167">
        <v>0</v>
      </c>
      <c r="N832" s="193">
        <f t="shared" si="318"/>
        <v>0</v>
      </c>
      <c r="O832" s="194" t="str">
        <f t="shared" si="303"/>
        <v/>
      </c>
      <c r="P832" s="193">
        <f t="shared" si="319"/>
        <v>0</v>
      </c>
      <c r="Q832" s="194" t="str">
        <f t="shared" si="304"/>
        <v/>
      </c>
      <c r="R832" s="193">
        <f t="shared" si="322"/>
        <v>0</v>
      </c>
      <c r="S832" s="195" t="str">
        <f t="shared" si="305"/>
        <v/>
      </c>
      <c r="T832" s="172">
        <f t="shared" si="306"/>
        <v>4</v>
      </c>
    </row>
    <row r="833" spans="1:20" ht="11.25" customHeight="1" x14ac:dyDescent="0.25">
      <c r="A833" s="53" t="s">
        <v>904</v>
      </c>
      <c r="B833" s="53"/>
      <c r="C833" s="51"/>
      <c r="D833" s="51"/>
      <c r="E833" s="282" t="s">
        <v>905</v>
      </c>
      <c r="F833" s="283"/>
      <c r="G833" s="52">
        <v>0</v>
      </c>
      <c r="H833" s="52">
        <v>0</v>
      </c>
      <c r="I833" s="52">
        <v>0</v>
      </c>
      <c r="J833" s="147">
        <v>0</v>
      </c>
      <c r="K833" s="167">
        <v>0</v>
      </c>
      <c r="N833" s="193">
        <f t="shared" si="318"/>
        <v>0</v>
      </c>
      <c r="O833" s="194" t="str">
        <f t="shared" si="303"/>
        <v/>
      </c>
      <c r="P833" s="193">
        <f t="shared" si="319"/>
        <v>0</v>
      </c>
      <c r="Q833" s="194" t="str">
        <f t="shared" si="304"/>
        <v/>
      </c>
      <c r="R833" s="193">
        <f t="shared" si="322"/>
        <v>0</v>
      </c>
      <c r="S833" s="195" t="str">
        <f t="shared" si="305"/>
        <v/>
      </c>
      <c r="T833" s="172">
        <f t="shared" si="306"/>
        <v>4</v>
      </c>
    </row>
    <row r="834" spans="1:20" ht="11.25" customHeight="1" x14ac:dyDescent="0.25">
      <c r="A834" s="60" t="s">
        <v>906</v>
      </c>
      <c r="B834" s="60"/>
      <c r="C834" s="61"/>
      <c r="D834" s="61"/>
      <c r="E834" s="284" t="s">
        <v>907</v>
      </c>
      <c r="F834" s="285"/>
      <c r="G834" s="54">
        <f>G835+G836+G837</f>
        <v>0</v>
      </c>
      <c r="H834" s="54">
        <f>H835+H836+H837</f>
        <v>0</v>
      </c>
      <c r="I834" s="54">
        <f>I835+I836+I837</f>
        <v>0</v>
      </c>
      <c r="J834" s="149">
        <f t="shared" ref="J834:K834" si="327">J835+J836+J837</f>
        <v>0</v>
      </c>
      <c r="K834" s="169">
        <f t="shared" si="327"/>
        <v>0</v>
      </c>
      <c r="N834" s="91">
        <f t="shared" si="318"/>
        <v>0</v>
      </c>
      <c r="O834" s="130" t="str">
        <f t="shared" si="303"/>
        <v/>
      </c>
      <c r="P834" s="91">
        <f t="shared" si="319"/>
        <v>0</v>
      </c>
      <c r="Q834" s="130" t="str">
        <f t="shared" si="304"/>
        <v/>
      </c>
      <c r="R834" s="91"/>
      <c r="S834" s="132" t="str">
        <f t="shared" si="305"/>
        <v/>
      </c>
      <c r="T834" s="172">
        <f t="shared" si="306"/>
        <v>3</v>
      </c>
    </row>
    <row r="835" spans="1:20" ht="11.25" customHeight="1" x14ac:dyDescent="0.25">
      <c r="A835" s="53" t="s">
        <v>908</v>
      </c>
      <c r="B835" s="53"/>
      <c r="C835" s="51"/>
      <c r="D835" s="51"/>
      <c r="E835" s="282" t="s">
        <v>909</v>
      </c>
      <c r="F835" s="283"/>
      <c r="G835" s="52">
        <v>0</v>
      </c>
      <c r="H835" s="52">
        <v>0</v>
      </c>
      <c r="I835" s="52">
        <v>0</v>
      </c>
      <c r="J835" s="147">
        <v>0</v>
      </c>
      <c r="K835" s="167">
        <v>0</v>
      </c>
      <c r="N835" s="193">
        <f t="shared" si="318"/>
        <v>0</v>
      </c>
      <c r="O835" s="194" t="str">
        <f t="shared" si="303"/>
        <v/>
      </c>
      <c r="P835" s="193">
        <f t="shared" si="319"/>
        <v>0</v>
      </c>
      <c r="Q835" s="194" t="str">
        <f t="shared" si="304"/>
        <v/>
      </c>
      <c r="R835" s="193">
        <f t="shared" si="322"/>
        <v>0</v>
      </c>
      <c r="S835" s="195" t="str">
        <f t="shared" si="305"/>
        <v/>
      </c>
      <c r="T835" s="172">
        <f t="shared" si="306"/>
        <v>4</v>
      </c>
    </row>
    <row r="836" spans="1:20" ht="11.25" customHeight="1" x14ac:dyDescent="0.25">
      <c r="A836" s="53" t="s">
        <v>910</v>
      </c>
      <c r="B836" s="53"/>
      <c r="C836" s="51"/>
      <c r="D836" s="51"/>
      <c r="E836" s="282" t="s">
        <v>911</v>
      </c>
      <c r="F836" s="283"/>
      <c r="G836" s="52">
        <v>0</v>
      </c>
      <c r="H836" s="52">
        <v>0</v>
      </c>
      <c r="I836" s="52">
        <v>0</v>
      </c>
      <c r="J836" s="147">
        <v>0</v>
      </c>
      <c r="K836" s="167">
        <v>0</v>
      </c>
      <c r="N836" s="193">
        <f t="shared" si="318"/>
        <v>0</v>
      </c>
      <c r="O836" s="194" t="str">
        <f t="shared" si="303"/>
        <v/>
      </c>
      <c r="P836" s="193">
        <f t="shared" si="319"/>
        <v>0</v>
      </c>
      <c r="Q836" s="194" t="str">
        <f t="shared" si="304"/>
        <v/>
      </c>
      <c r="R836" s="193">
        <f t="shared" si="322"/>
        <v>0</v>
      </c>
      <c r="S836" s="195" t="str">
        <f t="shared" si="305"/>
        <v/>
      </c>
      <c r="T836" s="172">
        <f t="shared" si="306"/>
        <v>4</v>
      </c>
    </row>
    <row r="837" spans="1:20" ht="11.25" customHeight="1" thickBot="1" x14ac:dyDescent="0.3">
      <c r="A837" s="53" t="s">
        <v>912</v>
      </c>
      <c r="B837" s="53"/>
      <c r="C837" s="51"/>
      <c r="D837" s="51"/>
      <c r="E837" s="282" t="s">
        <v>582</v>
      </c>
      <c r="F837" s="283"/>
      <c r="G837" s="52">
        <v>0</v>
      </c>
      <c r="H837" s="52">
        <v>0</v>
      </c>
      <c r="I837" s="52">
        <v>0</v>
      </c>
      <c r="J837" s="147">
        <v>0</v>
      </c>
      <c r="K837" s="170">
        <v>0</v>
      </c>
      <c r="N837" s="193">
        <f t="shared" si="318"/>
        <v>0</v>
      </c>
      <c r="O837" s="194" t="str">
        <f t="shared" si="303"/>
        <v/>
      </c>
      <c r="P837" s="193">
        <f t="shared" si="319"/>
        <v>0</v>
      </c>
      <c r="Q837" s="194" t="str">
        <f t="shared" si="304"/>
        <v/>
      </c>
      <c r="R837" s="193">
        <f t="shared" si="322"/>
        <v>0</v>
      </c>
      <c r="S837" s="195" t="str">
        <f t="shared" si="305"/>
        <v/>
      </c>
      <c r="T837" s="172">
        <f t="shared" si="306"/>
        <v>4</v>
      </c>
    </row>
    <row r="838" spans="1:20" ht="12.75" customHeight="1" thickTop="1" x14ac:dyDescent="0.25">
      <c r="A838" s="12"/>
      <c r="B838" s="12"/>
      <c r="C838" s="13"/>
      <c r="D838" s="13"/>
      <c r="E838" s="13"/>
      <c r="F838" s="13"/>
      <c r="G838" s="13"/>
      <c r="H838" s="13"/>
      <c r="I838" s="13"/>
      <c r="J838" s="13"/>
      <c r="K838" s="13"/>
      <c r="L838" s="110"/>
      <c r="M838" s="110"/>
    </row>
  </sheetData>
  <mergeCells count="833">
    <mergeCell ref="L27:L30"/>
    <mergeCell ref="L49:L52"/>
    <mergeCell ref="N5:N8"/>
    <mergeCell ref="N3:N4"/>
    <mergeCell ref="L768:L770"/>
    <mergeCell ref="A3:K3"/>
    <mergeCell ref="E21:F21"/>
    <mergeCell ref="E22:F22"/>
    <mergeCell ref="E23:F23"/>
    <mergeCell ref="E24:F24"/>
    <mergeCell ref="E25:F25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81:F281"/>
    <mergeCell ref="E282:F282"/>
    <mergeCell ref="E283:F283"/>
    <mergeCell ref="E284:F284"/>
    <mergeCell ref="E285:F285"/>
    <mergeCell ref="E276:F276"/>
    <mergeCell ref="E277:F277"/>
    <mergeCell ref="E278:F278"/>
    <mergeCell ref="E279:F279"/>
    <mergeCell ref="E280:F280"/>
    <mergeCell ref="E291:F291"/>
    <mergeCell ref="E292:F292"/>
    <mergeCell ref="E293:F293"/>
    <mergeCell ref="E295:F295"/>
    <mergeCell ref="E296:F296"/>
    <mergeCell ref="E286:F286"/>
    <mergeCell ref="E287:F287"/>
    <mergeCell ref="E288:F288"/>
    <mergeCell ref="E289:F289"/>
    <mergeCell ref="E290:F290"/>
    <mergeCell ref="E294:F294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312:F312"/>
    <mergeCell ref="E313:F313"/>
    <mergeCell ref="E314:F314"/>
    <mergeCell ref="E315:F315"/>
    <mergeCell ref="E316:F316"/>
    <mergeCell ref="E307:F307"/>
    <mergeCell ref="E308:F308"/>
    <mergeCell ref="E309:F309"/>
    <mergeCell ref="E310:F310"/>
    <mergeCell ref="E311:F311"/>
    <mergeCell ref="E322:F322"/>
    <mergeCell ref="E323:F323"/>
    <mergeCell ref="E325:F325"/>
    <mergeCell ref="E326:F326"/>
    <mergeCell ref="E327:F327"/>
    <mergeCell ref="E317:F317"/>
    <mergeCell ref="E318:F318"/>
    <mergeCell ref="E319:F319"/>
    <mergeCell ref="E320:F320"/>
    <mergeCell ref="E321:F321"/>
    <mergeCell ref="E324:F324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83:F383"/>
    <mergeCell ref="E384:F384"/>
    <mergeCell ref="E385:F385"/>
    <mergeCell ref="E386:F386"/>
    <mergeCell ref="E387:F387"/>
    <mergeCell ref="E378:F378"/>
    <mergeCell ref="E379:F379"/>
    <mergeCell ref="E380:F380"/>
    <mergeCell ref="E381:F381"/>
    <mergeCell ref="E382:F382"/>
    <mergeCell ref="E393:F393"/>
    <mergeCell ref="E394:F394"/>
    <mergeCell ref="E395:F395"/>
    <mergeCell ref="E396:F396"/>
    <mergeCell ref="E397:F397"/>
    <mergeCell ref="E388:F388"/>
    <mergeCell ref="E389:F389"/>
    <mergeCell ref="E390:F390"/>
    <mergeCell ref="E391:F391"/>
    <mergeCell ref="E392:F392"/>
    <mergeCell ref="E403:F403"/>
    <mergeCell ref="E404:F404"/>
    <mergeCell ref="E405:F405"/>
    <mergeCell ref="E406:F406"/>
    <mergeCell ref="E407:F407"/>
    <mergeCell ref="E398:F398"/>
    <mergeCell ref="E399:F399"/>
    <mergeCell ref="E400:F400"/>
    <mergeCell ref="E401:F401"/>
    <mergeCell ref="E402:F402"/>
    <mergeCell ref="E413:F413"/>
    <mergeCell ref="E414:F414"/>
    <mergeCell ref="E415:F415"/>
    <mergeCell ref="E416:F416"/>
    <mergeCell ref="E417:F417"/>
    <mergeCell ref="E408:F408"/>
    <mergeCell ref="E409:F409"/>
    <mergeCell ref="E410:F410"/>
    <mergeCell ref="E411:F411"/>
    <mergeCell ref="E412:F412"/>
    <mergeCell ref="E423:F423"/>
    <mergeCell ref="E424:F424"/>
    <mergeCell ref="E425:F425"/>
    <mergeCell ref="E426:F426"/>
    <mergeCell ref="E427:F427"/>
    <mergeCell ref="E418:F418"/>
    <mergeCell ref="E419:F419"/>
    <mergeCell ref="E420:F420"/>
    <mergeCell ref="E421:F421"/>
    <mergeCell ref="E422:F422"/>
    <mergeCell ref="E433:F433"/>
    <mergeCell ref="E434:F434"/>
    <mergeCell ref="E435:F435"/>
    <mergeCell ref="E436:F436"/>
    <mergeCell ref="E437:F437"/>
    <mergeCell ref="E428:F428"/>
    <mergeCell ref="E429:F429"/>
    <mergeCell ref="E430:F430"/>
    <mergeCell ref="E431:F431"/>
    <mergeCell ref="E432:F432"/>
    <mergeCell ref="E443:F443"/>
    <mergeCell ref="E444:F444"/>
    <mergeCell ref="E445:F445"/>
    <mergeCell ref="E446:F446"/>
    <mergeCell ref="E447:F447"/>
    <mergeCell ref="E438:F438"/>
    <mergeCell ref="E439:F439"/>
    <mergeCell ref="E440:F440"/>
    <mergeCell ref="E441:F441"/>
    <mergeCell ref="E442:F442"/>
    <mergeCell ref="E453:F453"/>
    <mergeCell ref="E454:F454"/>
    <mergeCell ref="E455:F455"/>
    <mergeCell ref="E456:F456"/>
    <mergeCell ref="E457:F457"/>
    <mergeCell ref="E448:F448"/>
    <mergeCell ref="E449:F449"/>
    <mergeCell ref="E450:F450"/>
    <mergeCell ref="E451:F451"/>
    <mergeCell ref="E452:F452"/>
    <mergeCell ref="E463:F463"/>
    <mergeCell ref="E464:F464"/>
    <mergeCell ref="E465:F465"/>
    <mergeCell ref="E466:F466"/>
    <mergeCell ref="E467:F467"/>
    <mergeCell ref="E458:F458"/>
    <mergeCell ref="E459:F459"/>
    <mergeCell ref="E460:F460"/>
    <mergeCell ref="E461:F461"/>
    <mergeCell ref="E462:F462"/>
    <mergeCell ref="E473:F473"/>
    <mergeCell ref="E474:F474"/>
    <mergeCell ref="E475:F475"/>
    <mergeCell ref="E476:F476"/>
    <mergeCell ref="E477:F477"/>
    <mergeCell ref="E468:F468"/>
    <mergeCell ref="E469:F469"/>
    <mergeCell ref="E470:F470"/>
    <mergeCell ref="E471:F471"/>
    <mergeCell ref="E472:F472"/>
    <mergeCell ref="E483:F483"/>
    <mergeCell ref="E484:F484"/>
    <mergeCell ref="E485:F485"/>
    <mergeCell ref="E486:F486"/>
    <mergeCell ref="E487:F487"/>
    <mergeCell ref="E478:F478"/>
    <mergeCell ref="E479:F479"/>
    <mergeCell ref="E480:F480"/>
    <mergeCell ref="E481:F481"/>
    <mergeCell ref="E482:F482"/>
    <mergeCell ref="E493:F493"/>
    <mergeCell ref="E494:F494"/>
    <mergeCell ref="E495:F495"/>
    <mergeCell ref="E496:F496"/>
    <mergeCell ref="E497:F497"/>
    <mergeCell ref="E488:F488"/>
    <mergeCell ref="E489:F489"/>
    <mergeCell ref="E490:F490"/>
    <mergeCell ref="E491:F491"/>
    <mergeCell ref="E492:F492"/>
    <mergeCell ref="E503:F503"/>
    <mergeCell ref="E504:F504"/>
    <mergeCell ref="E505:F505"/>
    <mergeCell ref="E506:F506"/>
    <mergeCell ref="E507:F507"/>
    <mergeCell ref="E498:F498"/>
    <mergeCell ref="E499:F499"/>
    <mergeCell ref="E500:F500"/>
    <mergeCell ref="E501:F501"/>
    <mergeCell ref="E502:F502"/>
    <mergeCell ref="E513:F513"/>
    <mergeCell ref="E514:F514"/>
    <mergeCell ref="E515:F515"/>
    <mergeCell ref="E516:F516"/>
    <mergeCell ref="E517:F517"/>
    <mergeCell ref="E508:F508"/>
    <mergeCell ref="E509:F509"/>
    <mergeCell ref="E510:F510"/>
    <mergeCell ref="E511:F511"/>
    <mergeCell ref="E512:F512"/>
    <mergeCell ref="E523:F523"/>
    <mergeCell ref="E524:F524"/>
    <mergeCell ref="E525:F525"/>
    <mergeCell ref="E526:F526"/>
    <mergeCell ref="E527:F527"/>
    <mergeCell ref="E518:F518"/>
    <mergeCell ref="E519:F519"/>
    <mergeCell ref="E520:F520"/>
    <mergeCell ref="E521:F521"/>
    <mergeCell ref="E522:F522"/>
    <mergeCell ref="E533:F533"/>
    <mergeCell ref="E534:F534"/>
    <mergeCell ref="E535:F535"/>
    <mergeCell ref="E536:F536"/>
    <mergeCell ref="E537:F537"/>
    <mergeCell ref="E528:F528"/>
    <mergeCell ref="E529:F529"/>
    <mergeCell ref="E530:F530"/>
    <mergeCell ref="E531:F531"/>
    <mergeCell ref="E532:F532"/>
    <mergeCell ref="E543:F543"/>
    <mergeCell ref="E544:F544"/>
    <mergeCell ref="E545:F545"/>
    <mergeCell ref="E546:F546"/>
    <mergeCell ref="E547:F547"/>
    <mergeCell ref="E538:F538"/>
    <mergeCell ref="E539:F539"/>
    <mergeCell ref="E540:F540"/>
    <mergeCell ref="E541:F541"/>
    <mergeCell ref="E542:F542"/>
    <mergeCell ref="E553:F553"/>
    <mergeCell ref="E554:F554"/>
    <mergeCell ref="E555:F555"/>
    <mergeCell ref="E556:F556"/>
    <mergeCell ref="E557:F557"/>
    <mergeCell ref="E548:F548"/>
    <mergeCell ref="E549:F549"/>
    <mergeCell ref="E550:F550"/>
    <mergeCell ref="E551:F551"/>
    <mergeCell ref="E552:F552"/>
    <mergeCell ref="E563:F563"/>
    <mergeCell ref="E564:F564"/>
    <mergeCell ref="E565:F565"/>
    <mergeCell ref="E566:F566"/>
    <mergeCell ref="E567:F567"/>
    <mergeCell ref="E558:F558"/>
    <mergeCell ref="E559:F559"/>
    <mergeCell ref="E560:F560"/>
    <mergeCell ref="E561:F561"/>
    <mergeCell ref="E562:F562"/>
    <mergeCell ref="E573:F573"/>
    <mergeCell ref="E574:F574"/>
    <mergeCell ref="E575:F575"/>
    <mergeCell ref="E576:F576"/>
    <mergeCell ref="E577:F577"/>
    <mergeCell ref="E568:F568"/>
    <mergeCell ref="E569:F569"/>
    <mergeCell ref="E570:F570"/>
    <mergeCell ref="E571:F571"/>
    <mergeCell ref="E572:F572"/>
    <mergeCell ref="E583:F583"/>
    <mergeCell ref="E584:F584"/>
    <mergeCell ref="E585:F585"/>
    <mergeCell ref="E586:F586"/>
    <mergeCell ref="E587:F587"/>
    <mergeCell ref="E578:F578"/>
    <mergeCell ref="E579:F579"/>
    <mergeCell ref="E580:F580"/>
    <mergeCell ref="E581:F581"/>
    <mergeCell ref="E582:F582"/>
    <mergeCell ref="E593:F593"/>
    <mergeCell ref="E594:F594"/>
    <mergeCell ref="E595:F595"/>
    <mergeCell ref="E596:F596"/>
    <mergeCell ref="E597:F597"/>
    <mergeCell ref="E588:F588"/>
    <mergeCell ref="E589:F589"/>
    <mergeCell ref="E590:F590"/>
    <mergeCell ref="E591:F591"/>
    <mergeCell ref="E592:F592"/>
    <mergeCell ref="E603:F603"/>
    <mergeCell ref="E604:F604"/>
    <mergeCell ref="E605:F605"/>
    <mergeCell ref="E606:F606"/>
    <mergeCell ref="E607:F607"/>
    <mergeCell ref="E598:F598"/>
    <mergeCell ref="E599:F599"/>
    <mergeCell ref="E600:F600"/>
    <mergeCell ref="E601:F601"/>
    <mergeCell ref="E602:F602"/>
    <mergeCell ref="E613:F613"/>
    <mergeCell ref="E614:F614"/>
    <mergeCell ref="E615:F615"/>
    <mergeCell ref="E616:F616"/>
    <mergeCell ref="E617:F617"/>
    <mergeCell ref="E608:F608"/>
    <mergeCell ref="E609:F609"/>
    <mergeCell ref="E610:F610"/>
    <mergeCell ref="E611:F611"/>
    <mergeCell ref="E612:F612"/>
    <mergeCell ref="E623:F623"/>
    <mergeCell ref="E624:F624"/>
    <mergeCell ref="E625:F625"/>
    <mergeCell ref="E626:F626"/>
    <mergeCell ref="E627:F627"/>
    <mergeCell ref="E618:F618"/>
    <mergeCell ref="E619:F619"/>
    <mergeCell ref="E620:F620"/>
    <mergeCell ref="E621:F621"/>
    <mergeCell ref="E622:F622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43:F643"/>
    <mergeCell ref="E644:F644"/>
    <mergeCell ref="E645:F645"/>
    <mergeCell ref="E646:F646"/>
    <mergeCell ref="E647:F647"/>
    <mergeCell ref="E638:F638"/>
    <mergeCell ref="E639:F639"/>
    <mergeCell ref="E640:F640"/>
    <mergeCell ref="E641:F641"/>
    <mergeCell ref="E642:F642"/>
    <mergeCell ref="E653:F653"/>
    <mergeCell ref="E654:F654"/>
    <mergeCell ref="E655:F655"/>
    <mergeCell ref="E656:F656"/>
    <mergeCell ref="E657:F657"/>
    <mergeCell ref="E648:F648"/>
    <mergeCell ref="E649:F649"/>
    <mergeCell ref="E650:F650"/>
    <mergeCell ref="E651:F651"/>
    <mergeCell ref="E652:F652"/>
    <mergeCell ref="E663:F663"/>
    <mergeCell ref="E664:F664"/>
    <mergeCell ref="E665:F665"/>
    <mergeCell ref="E666:F666"/>
    <mergeCell ref="E667:F667"/>
    <mergeCell ref="E658:F658"/>
    <mergeCell ref="E659:F659"/>
    <mergeCell ref="E660:F660"/>
    <mergeCell ref="E661:F661"/>
    <mergeCell ref="E662:F662"/>
    <mergeCell ref="E673:F673"/>
    <mergeCell ref="E674:F674"/>
    <mergeCell ref="E675:F675"/>
    <mergeCell ref="E676:F676"/>
    <mergeCell ref="E677:F677"/>
    <mergeCell ref="E668:F668"/>
    <mergeCell ref="E669:F669"/>
    <mergeCell ref="E670:F670"/>
    <mergeCell ref="E671:F671"/>
    <mergeCell ref="E672:F672"/>
    <mergeCell ref="E683:F683"/>
    <mergeCell ref="E684:F684"/>
    <mergeCell ref="E685:F685"/>
    <mergeCell ref="E686:F686"/>
    <mergeCell ref="E687:F687"/>
    <mergeCell ref="E678:F678"/>
    <mergeCell ref="E679:F679"/>
    <mergeCell ref="E680:F680"/>
    <mergeCell ref="E681:F681"/>
    <mergeCell ref="E682:F682"/>
    <mergeCell ref="E693:F693"/>
    <mergeCell ref="E694:F694"/>
    <mergeCell ref="E695:F695"/>
    <mergeCell ref="E696:F696"/>
    <mergeCell ref="E697:F697"/>
    <mergeCell ref="E688:F688"/>
    <mergeCell ref="E689:F689"/>
    <mergeCell ref="E690:F690"/>
    <mergeCell ref="E691:F691"/>
    <mergeCell ref="E692:F692"/>
    <mergeCell ref="E703:F703"/>
    <mergeCell ref="E704:F704"/>
    <mergeCell ref="E705:F705"/>
    <mergeCell ref="E706:F706"/>
    <mergeCell ref="E707:F707"/>
    <mergeCell ref="E698:F698"/>
    <mergeCell ref="E699:F699"/>
    <mergeCell ref="E700:F700"/>
    <mergeCell ref="E701:F701"/>
    <mergeCell ref="E702:F702"/>
    <mergeCell ref="E713:F713"/>
    <mergeCell ref="E714:F714"/>
    <mergeCell ref="E715:F715"/>
    <mergeCell ref="E716:F716"/>
    <mergeCell ref="E717:F717"/>
    <mergeCell ref="E708:F708"/>
    <mergeCell ref="E709:F709"/>
    <mergeCell ref="E710:F710"/>
    <mergeCell ref="E711:F711"/>
    <mergeCell ref="E712:F712"/>
    <mergeCell ref="E723:F723"/>
    <mergeCell ref="E724:F724"/>
    <mergeCell ref="E725:F725"/>
    <mergeCell ref="E726:F726"/>
    <mergeCell ref="E727:F727"/>
    <mergeCell ref="E718:F718"/>
    <mergeCell ref="E719:F719"/>
    <mergeCell ref="E720:F720"/>
    <mergeCell ref="E721:F721"/>
    <mergeCell ref="E722:F722"/>
    <mergeCell ref="E733:F733"/>
    <mergeCell ref="E734:F734"/>
    <mergeCell ref="E735:F735"/>
    <mergeCell ref="E736:F736"/>
    <mergeCell ref="E737:F737"/>
    <mergeCell ref="E728:F728"/>
    <mergeCell ref="E729:F729"/>
    <mergeCell ref="E730:F730"/>
    <mergeCell ref="E731:F731"/>
    <mergeCell ref="E732:F732"/>
    <mergeCell ref="E743:F743"/>
    <mergeCell ref="E744:F744"/>
    <mergeCell ref="E745:F745"/>
    <mergeCell ref="E746:F746"/>
    <mergeCell ref="E747:F747"/>
    <mergeCell ref="E738:F738"/>
    <mergeCell ref="E739:F739"/>
    <mergeCell ref="E740:F740"/>
    <mergeCell ref="E741:F741"/>
    <mergeCell ref="E742:F742"/>
    <mergeCell ref="E753:F753"/>
    <mergeCell ref="E754:F754"/>
    <mergeCell ref="E755:F755"/>
    <mergeCell ref="E756:F756"/>
    <mergeCell ref="E757:F757"/>
    <mergeCell ref="E748:F748"/>
    <mergeCell ref="E749:F749"/>
    <mergeCell ref="E750:F750"/>
    <mergeCell ref="E751:F751"/>
    <mergeCell ref="E752:F752"/>
    <mergeCell ref="E758:F758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E759:F759"/>
    <mergeCell ref="E760:F760"/>
    <mergeCell ref="E761:F761"/>
    <mergeCell ref="E762:F762"/>
    <mergeCell ref="E783:F783"/>
    <mergeCell ref="E784:F784"/>
    <mergeCell ref="E785:F785"/>
    <mergeCell ref="E786:F786"/>
    <mergeCell ref="E787:F787"/>
    <mergeCell ref="E778:F778"/>
    <mergeCell ref="E779:F779"/>
    <mergeCell ref="E780:F780"/>
    <mergeCell ref="E781:F781"/>
    <mergeCell ref="E782:F782"/>
    <mergeCell ref="E793:F793"/>
    <mergeCell ref="E794:F794"/>
    <mergeCell ref="E795:F795"/>
    <mergeCell ref="E796:F796"/>
    <mergeCell ref="E797:F797"/>
    <mergeCell ref="E788:F788"/>
    <mergeCell ref="E789:F789"/>
    <mergeCell ref="E790:F790"/>
    <mergeCell ref="E791:F791"/>
    <mergeCell ref="E792:F792"/>
    <mergeCell ref="E803:F803"/>
    <mergeCell ref="E804:F804"/>
    <mergeCell ref="E805:F805"/>
    <mergeCell ref="E806:F806"/>
    <mergeCell ref="E807:F807"/>
    <mergeCell ref="E798:F798"/>
    <mergeCell ref="E799:F799"/>
    <mergeCell ref="E800:F800"/>
    <mergeCell ref="E801:F801"/>
    <mergeCell ref="E802:F802"/>
    <mergeCell ref="E813:F813"/>
    <mergeCell ref="E814:F814"/>
    <mergeCell ref="E815:F815"/>
    <mergeCell ref="E816:F816"/>
    <mergeCell ref="E817:F817"/>
    <mergeCell ref="E808:F808"/>
    <mergeCell ref="E809:F809"/>
    <mergeCell ref="E810:F810"/>
    <mergeCell ref="E811:F811"/>
    <mergeCell ref="E812:F812"/>
    <mergeCell ref="L818:L819"/>
    <mergeCell ref="E833:F833"/>
    <mergeCell ref="E834:F834"/>
    <mergeCell ref="E835:F835"/>
    <mergeCell ref="E836:F836"/>
    <mergeCell ref="E837:F837"/>
    <mergeCell ref="E828:F828"/>
    <mergeCell ref="E829:F829"/>
    <mergeCell ref="E830:F830"/>
    <mergeCell ref="E831:F831"/>
    <mergeCell ref="E832:F832"/>
    <mergeCell ref="E823:F823"/>
    <mergeCell ref="E824:F824"/>
    <mergeCell ref="E825:F825"/>
    <mergeCell ref="E826:F826"/>
    <mergeCell ref="E827:F827"/>
    <mergeCell ref="E818:F818"/>
    <mergeCell ref="E819:F819"/>
    <mergeCell ref="E820:F820"/>
    <mergeCell ref="E821:F821"/>
    <mergeCell ref="E822:F822"/>
  </mergeCells>
  <phoneticPr fontId="10" type="noConversion"/>
  <conditionalFormatting sqref="G10:G144 H573:I617 H571:I571 H569:I569 H558:I560 H554:I556 H549:I552 H544:I547 H536:I542 H531:I534 H526:I526 H524:I524 H517:I521 H510:I515 H502:I508 H500:I500 H494:I496 H490:I492 H488:I488 H486:I486 H484:I484 H482:I482 H480:I480 H478:I478 H476:I476 H474:I474 H471:I472 H469:I469 H467:I467 H462:I465 H447:I460 H445:I445 H441:I443 H438:I439 H436:I436 H432:I433 H430:I430 H428:I428 H421:I425 H412:I418 H410:I410 H407:I407 H405:I405 H397:I401 H394:I394 H391:I391 H386:I387 H383:I383 H381:I381 H379:I379 H374:I376 H370:I371 H368:I368 H366:I366 H364:I364 H362:I362 H360:I360 H352:I357 H350:I350 H346:I346 H344:I344 H342:I342 H340:I340 H338:I338 H336:I336 H334:I334 H332:I332 H324:I328 H321:I322 H304:I319 H302:I302 H300:I300 H287:I298 H283:I285 H274:I281 H272:I272 H266:I270 H262:I264 H260:I260 H258:I258 H254:I255 H251:I251 H248:I249 H246:I246 H243:I244 H239:I240 H225:I237 H223:I223 H219:I219 H215:I217 H210:I213 H190:I207 H188:I188 H184:I186 H178:I181 H173:I176 H171:I171 H167:I168 H165:I165 H158:I163 H156:I156 H152:I154 H150:I150 H140:I144 H130:I138 H109:I128 H98:I107 H48:I96 H45:I46 H26:I43 H21:I24 H19:I19 H17:I17 H825:I826 H817:I823 H801:I801 H786:I791 H761:I784 H747:I754 H745:I745 H740:I742 H738:I738 H698:I703 H678:I695 H675:I676 H671:I672 H665:I669 H663:I663 H660:I661 H655:I658 H652:I653 H641:I650 H634:I639 H630:I632 H623:I628 H620:I620 G349:G528 H562:I566 H828:I837 H804:I812 H793:I796 H726:I736 H717:I723 H706:I713 H10:I15 G348:I348 E12:E135 E138:E280 E282:E293 K16:K18 K182 J565:K565 J577:K578 J580:K580 J582:K582 J584:K585 J587:K606 J610:K617 J707:K713 J720:K722 J731:K732 J794:K796 J805:K806 J808:K812 J829:K837 E295:E418 K300 K391 K394 K441 K581 K801 K804 K272 K502 K510 K29 K749 K818:K819 K821:K823 K825:K826 K152:K154 K321:K322 K488 K738 K793 K248:K249 K244 K454 K478 K480 K482 K490:K492 K531:K534 K21:K23 K158:K163 K156 K251 K254:K255 K150 K474 K698:K703 K113 K554 K549:K550 K142:K144 K536:K542 K109 K115:K118 K398 K410 K451 K430 K456:K457 K467 K494 K305:K308 K459 K761 K302 E759:E837 G759:G837 H759:I759 K204:K205 K215:K217 K630:K631 K665 K334 K362 K364 K374 K381 K235:K237 K126:K127 K42 K623:K628 K173:K176 K229:K233 K274:K281 K120:K124 K544:K547 K558 K266:K270 K246 K260 K400:K401 K438 K447:K448 K471:K472 K184:K186 K675:K676 K786:K791 K130:K137 K225:K227 K462:K465 K287:K296 K310:K318 K283:K285 K740:K742 K752:K754 K763:K776 K778:K784 K262:K264 K45:K46 K211:K213 K421:K423 K469 K726:K729 K100:K107 H146:I148 G146:G347 H18:J18 H16:J16 H20:K20 H155:K155 H157:K157 H164:K164 H166:K166 H172:K172 H177:K177 H187:K187 H218:K218 H238:K238 H245:K245 H247:K247 H250:K250 H259:K259 H261:K261 H323:K323 H333:K333 H335:K335 H337:K337 H339:K339 H341:K341 H343:K343 H345:K345 H347:K347 H349:K349 H351:K351 H365:K365 H367:K367 H369:K369 H382:K382 H395:K396 H402:K404 H406:K406 H408:K409 H411:K411 H419:K420 H426:K427 H429:K429 H431:K431 H434:K435 H437:K437 H440:K440 H444:K444 H446:K446 H461:K461 H466:K466 H468:K468 H470:K470 H473:K473 H475:K475 H477:K477 H479:K479 H481:K481 H483:K483 H485:K485 H487:K487 H489:K489 H493:K493 H501:K501 H509:K509 H516:K516 H525:K525 H527:K528 H530:K530 H535:K535 H543:K543 H548:K548 H553:K553 H557:K557 H561:K561 H567:K568 H570:K570 H572:K572 H618:K619 H621:K622 H629:K629 H633:K633 H640:K640 H651:K651 H654:K654 H659:K659 H662:K662 H670:K670 H673:K674 H677:K677 H696:K697 H704:K705 H714:K716 H724:K725 H737:K737 H739:K739 H743:K744 H746:K746 H755:K755 H760:K760 H785:K785 H792:K792 H797:K800 H802:K803 H813:K816 H824:K824 H827:K827 E420:E433 E435:E493 H522:K523 H664:K664 H756:I757 E495:E757 K756:K759 G530:G757 K678:K688 K190:K201 H497:K499 J734:K734 J11:K14 H25:K25 H44:K44 H47:K47 H97:K97 H108:K108 H129:K129 H139:K139 H149:K149 H151:K151 H169:K170 H182:J183 H189:K189 H208:K209 H214:K214 H220:K222 H224:K224 H241:K242 H252:K253 H256:K257 H265:K265 H271:K271 H273:K273 H282:K282 H286:K286 H299:K299 H301:K301 H303:K303 H320:K320 H329:K331 H358:K359 H361:K361 H363:K363 H372:K373 H377:K378 H380:K380 H384:K385 H388:K390 H392:K393">
    <cfRule type="expression" dxfId="309" priority="662">
      <formula>AND(#REF!=0,#REF!=1,LEFT($A10,1)="A")</formula>
    </cfRule>
    <cfRule type="expression" dxfId="308" priority="663">
      <formula>#REF!=3</formula>
    </cfRule>
    <cfRule type="expression" dxfId="307" priority="664">
      <formula>#REF!=2</formula>
    </cfRule>
    <cfRule type="expression" dxfId="306" priority="665">
      <formula>AND(#REF!=1,OR(#REF!&lt;&gt;0,LEFT($A10,1)="I",LEFT($A10,1)="C",RIGHT($A10,1)="X"))</formula>
    </cfRule>
    <cfRule type="expression" dxfId="305" priority="666">
      <formula>#REF!=0</formula>
    </cfRule>
  </conditionalFormatting>
  <conditionalFormatting sqref="E10">
    <cfRule type="expression" dxfId="304" priority="2387">
      <formula>AND(#REF!=0,#REF!=1,LEFT($A11,1)="A")</formula>
    </cfRule>
    <cfRule type="expression" dxfId="303" priority="2388">
      <formula>#REF!=3</formula>
    </cfRule>
    <cfRule type="expression" dxfId="302" priority="2389">
      <formula>#REF!=2</formula>
    </cfRule>
    <cfRule type="expression" dxfId="301" priority="2390">
      <formula>AND(#REF!=1,OR(#REF!&lt;&gt;0,LEFT($A11,1)="I",LEFT($A11,1)="C",RIGHT($A11,1)="X"))</formula>
    </cfRule>
    <cfRule type="expression" dxfId="300" priority="2391">
      <formula>#REF!=0</formula>
    </cfRule>
  </conditionalFormatting>
  <conditionalFormatting sqref="E494">
    <cfRule type="expression" dxfId="299" priority="230">
      <formula>AND(#REF!=0,#REF!=1,LEFT($A494,1)="A")</formula>
    </cfRule>
    <cfRule type="expression" dxfId="298" priority="231">
      <formula>#REF!=3</formula>
    </cfRule>
    <cfRule type="expression" dxfId="297" priority="232">
      <formula>#REF!=2</formula>
    </cfRule>
    <cfRule type="expression" dxfId="296" priority="233">
      <formula>AND(#REF!=1,OR(#REF!&lt;&gt;0,LEFT($A494,1)="I",LEFT($A494,1)="C",RIGHT($A494,1)="X"))</formula>
    </cfRule>
    <cfRule type="expression" dxfId="295" priority="234">
      <formula>#REF!=0</formula>
    </cfRule>
  </conditionalFormatting>
  <conditionalFormatting sqref="E136">
    <cfRule type="expression" dxfId="294" priority="225">
      <formula>AND(#REF!=0,#REF!=1,LEFT($A136,1)="A")</formula>
    </cfRule>
    <cfRule type="expression" dxfId="293" priority="226">
      <formula>#REF!=3</formula>
    </cfRule>
    <cfRule type="expression" dxfId="292" priority="227">
      <formula>#REF!=2</formula>
    </cfRule>
    <cfRule type="expression" dxfId="291" priority="228">
      <formula>AND(#REF!=1,OR(#REF!&lt;&gt;0,LEFT($A136,1)="I",LEFT($A136,1)="C",RIGHT($A136,1)="X"))</formula>
    </cfRule>
    <cfRule type="expression" dxfId="290" priority="229">
      <formula>#REF!=0</formula>
    </cfRule>
  </conditionalFormatting>
  <conditionalFormatting sqref="E137">
    <cfRule type="expression" dxfId="289" priority="220">
      <formula>AND(#REF!=0,#REF!=1,LEFT($A137,1)="A")</formula>
    </cfRule>
    <cfRule type="expression" dxfId="288" priority="221">
      <formula>#REF!=3</formula>
    </cfRule>
    <cfRule type="expression" dxfId="287" priority="222">
      <formula>#REF!=2</formula>
    </cfRule>
    <cfRule type="expression" dxfId="286" priority="223">
      <formula>AND(#REF!=1,OR(#REF!&lt;&gt;0,LEFT($A137,1)="I",LEFT($A137,1)="C",RIGHT($A137,1)="X"))</formula>
    </cfRule>
    <cfRule type="expression" dxfId="285" priority="224">
      <formula>#REF!=0</formula>
    </cfRule>
  </conditionalFormatting>
  <conditionalFormatting sqref="E281">
    <cfRule type="expression" dxfId="284" priority="215">
      <formula>AND(#REF!=0,#REF!=1,LEFT($A281,1)="A")</formula>
    </cfRule>
    <cfRule type="expression" dxfId="283" priority="216">
      <formula>#REF!=3</formula>
    </cfRule>
    <cfRule type="expression" dxfId="282" priority="217">
      <formula>#REF!=2</formula>
    </cfRule>
    <cfRule type="expression" dxfId="281" priority="218">
      <formula>AND(#REF!=1,OR(#REF!&lt;&gt;0,LEFT($A281,1)="I",LEFT($A281,1)="C",RIGHT($A281,1)="X"))</formula>
    </cfRule>
    <cfRule type="expression" dxfId="280" priority="219">
      <formula>#REF!=0</formula>
    </cfRule>
  </conditionalFormatting>
  <conditionalFormatting sqref="E294">
    <cfRule type="expression" dxfId="279" priority="210">
      <formula>AND(#REF!=0,#REF!=1,LEFT($A294,1)="A")</formula>
    </cfRule>
    <cfRule type="expression" dxfId="278" priority="211">
      <formula>#REF!=3</formula>
    </cfRule>
    <cfRule type="expression" dxfId="277" priority="212">
      <formula>#REF!=2</formula>
    </cfRule>
    <cfRule type="expression" dxfId="276" priority="213">
      <formula>AND(#REF!=1,OR(#REF!&lt;&gt;0,LEFT($A294,1)="I",LEFT($A294,1)="C",RIGHT($A294,1)="X"))</formula>
    </cfRule>
    <cfRule type="expression" dxfId="275" priority="214">
      <formula>#REF!=0</formula>
    </cfRule>
  </conditionalFormatting>
  <conditionalFormatting sqref="J10">
    <cfRule type="expression" dxfId="274" priority="205">
      <formula>AND(#REF!=0,#REF!=1,LEFT($A10,1)="A")</formula>
    </cfRule>
    <cfRule type="expression" dxfId="273" priority="206">
      <formula>#REF!=3</formula>
    </cfRule>
    <cfRule type="expression" dxfId="272" priority="207">
      <formula>#REF!=2</formula>
    </cfRule>
    <cfRule type="expression" dxfId="271" priority="208">
      <formula>AND(#REF!=1,OR(#REF!&lt;&gt;0,LEFT($A10,1)="I",LEFT($A10,1)="C",RIGHT($A10,1)="X"))</formula>
    </cfRule>
    <cfRule type="expression" dxfId="270" priority="209">
      <formula>#REF!=0</formula>
    </cfRule>
  </conditionalFormatting>
  <conditionalFormatting sqref="K10">
    <cfRule type="expression" dxfId="269" priority="200">
      <formula>AND(#REF!=0,#REF!=1,LEFT($A10,1)="A")</formula>
    </cfRule>
    <cfRule type="expression" dxfId="268" priority="201">
      <formula>#REF!=3</formula>
    </cfRule>
    <cfRule type="expression" dxfId="267" priority="202">
      <formula>#REF!=2</formula>
    </cfRule>
    <cfRule type="expression" dxfId="266" priority="203">
      <formula>AND(#REF!=1,OR(#REF!&lt;&gt;0,LEFT($A10,1)="I",LEFT($A10,1)="C",RIGHT($A10,1)="X"))</formula>
    </cfRule>
    <cfRule type="expression" dxfId="265" priority="204">
      <formula>#REF!=0</formula>
    </cfRule>
  </conditionalFormatting>
  <conditionalFormatting sqref="K817">
    <cfRule type="expression" dxfId="264" priority="195">
      <formula>AND(#REF!=0,#REF!=1,LEFT($A817,1)="A")</formula>
    </cfRule>
    <cfRule type="expression" dxfId="263" priority="196">
      <formula>#REF!=3</formula>
    </cfRule>
    <cfRule type="expression" dxfId="262" priority="197">
      <formula>#REF!=2</formula>
    </cfRule>
    <cfRule type="expression" dxfId="261" priority="198">
      <formula>AND(#REF!=1,OR(#REF!&lt;&gt;0,LEFT($A817,1)="I",LEFT($A817,1)="C",RIGHT($A817,1)="X"))</formula>
    </cfRule>
    <cfRule type="expression" dxfId="260" priority="199">
      <formula>#REF!=0</formula>
    </cfRule>
  </conditionalFormatting>
  <conditionalFormatting sqref="K243">
    <cfRule type="expression" dxfId="259" priority="190">
      <formula>AND(#REF!=0,#REF!=1,LEFT($A243,1)="A")</formula>
    </cfRule>
    <cfRule type="expression" dxfId="258" priority="191">
      <formula>#REF!=3</formula>
    </cfRule>
    <cfRule type="expression" dxfId="257" priority="192">
      <formula>#REF!=2</formula>
    </cfRule>
    <cfRule type="expression" dxfId="256" priority="193">
      <formula>AND(#REF!=1,OR(#REF!&lt;&gt;0,LEFT($A243,1)="I",LEFT($A243,1)="C",RIGHT($A243,1)="X"))</formula>
    </cfRule>
    <cfRule type="expression" dxfId="255" priority="194">
      <formula>#REF!=0</formula>
    </cfRule>
  </conditionalFormatting>
  <conditionalFormatting sqref="K452">
    <cfRule type="expression" dxfId="254" priority="185">
      <formula>AND(#REF!=0,#REF!=1,LEFT($A452,1)="A")</formula>
    </cfRule>
    <cfRule type="expression" dxfId="253" priority="186">
      <formula>#REF!=3</formula>
    </cfRule>
    <cfRule type="expression" dxfId="252" priority="187">
      <formula>#REF!=2</formula>
    </cfRule>
    <cfRule type="expression" dxfId="251" priority="188">
      <formula>AND(#REF!=1,OR(#REF!&lt;&gt;0,LEFT($A452,1)="I",LEFT($A452,1)="C",RIGHT($A452,1)="X"))</formula>
    </cfRule>
    <cfRule type="expression" dxfId="250" priority="189">
      <formula>#REF!=0</formula>
    </cfRule>
  </conditionalFormatting>
  <conditionalFormatting sqref="K453">
    <cfRule type="expression" dxfId="249" priority="180">
      <formula>AND(#REF!=0,#REF!=1,LEFT($A453,1)="A")</formula>
    </cfRule>
    <cfRule type="expression" dxfId="248" priority="181">
      <formula>#REF!=3</formula>
    </cfRule>
    <cfRule type="expression" dxfId="247" priority="182">
      <formula>#REF!=2</formula>
    </cfRule>
    <cfRule type="expression" dxfId="246" priority="183">
      <formula>AND(#REF!=1,OR(#REF!&lt;&gt;0,LEFT($A453,1)="I",LEFT($A453,1)="C",RIGHT($A453,1)="X"))</formula>
    </cfRule>
    <cfRule type="expression" dxfId="245" priority="184">
      <formula>#REF!=0</formula>
    </cfRule>
  </conditionalFormatting>
  <conditionalFormatting sqref="K455">
    <cfRule type="expression" dxfId="244" priority="175">
      <formula>AND(#REF!=0,#REF!=1,LEFT($A455,1)="A")</formula>
    </cfRule>
    <cfRule type="expression" dxfId="243" priority="176">
      <formula>#REF!=3</formula>
    </cfRule>
    <cfRule type="expression" dxfId="242" priority="177">
      <formula>#REF!=2</formula>
    </cfRule>
    <cfRule type="expression" dxfId="241" priority="178">
      <formula>AND(#REF!=1,OR(#REF!&lt;&gt;0,LEFT($A455,1)="I",LEFT($A455,1)="C",RIGHT($A455,1)="X"))</formula>
    </cfRule>
    <cfRule type="expression" dxfId="240" priority="179">
      <formula>#REF!=0</formula>
    </cfRule>
  </conditionalFormatting>
  <conditionalFormatting sqref="K486">
    <cfRule type="expression" dxfId="239" priority="170">
      <formula>AND(#REF!=0,#REF!=1,LEFT($A486,1)="A")</formula>
    </cfRule>
    <cfRule type="expression" dxfId="238" priority="171">
      <formula>#REF!=3</formula>
    </cfRule>
    <cfRule type="expression" dxfId="237" priority="172">
      <formula>#REF!=2</formula>
    </cfRule>
    <cfRule type="expression" dxfId="236" priority="173">
      <formula>AND(#REF!=1,OR(#REF!&lt;&gt;0,LEFT($A486,1)="I",LEFT($A486,1)="C",RIGHT($A486,1)="X"))</formula>
    </cfRule>
    <cfRule type="expression" dxfId="235" priority="174">
      <formula>#REF!=0</formula>
    </cfRule>
  </conditionalFormatting>
  <conditionalFormatting sqref="G758:I758 E758">
    <cfRule type="expression" dxfId="234" priority="165">
      <formula>AND(#REF!=0,#REF!=1,LEFT($A758,1)="A")</formula>
    </cfRule>
    <cfRule type="expression" dxfId="233" priority="166">
      <formula>#REF!=3</formula>
    </cfRule>
    <cfRule type="expression" dxfId="232" priority="167">
      <formula>#REF!=2</formula>
    </cfRule>
    <cfRule type="expression" dxfId="231" priority="168">
      <formula>AND(#REF!=1,OR(#REF!&lt;&gt;0,LEFT($A758,1)="I",LEFT($A758,1)="C",RIGHT($A758,1)="X"))</formula>
    </cfRule>
    <cfRule type="expression" dxfId="230" priority="169">
      <formula>#REF!=0</formula>
    </cfRule>
  </conditionalFormatting>
  <conditionalFormatting sqref="K26:K28">
    <cfRule type="expression" dxfId="229" priority="159">
      <formula>AND($D26=0,$C26=1,LEFT($E26,1)="A")</formula>
    </cfRule>
    <cfRule type="expression" dxfId="228" priority="161">
      <formula>$C26=3</formula>
    </cfRule>
    <cfRule type="expression" dxfId="227" priority="162">
      <formula>$C26=2</formula>
    </cfRule>
    <cfRule type="expression" dxfId="226" priority="163">
      <formula>AND($C26=1,OR($D26&lt;&gt;0,LEFT($E26,1)="I",LEFT($E26,1)="C",RIGHT($E26,1)="X"))</formula>
    </cfRule>
    <cfRule type="expression" dxfId="225" priority="164">
      <formula>$C26=0</formula>
    </cfRule>
  </conditionalFormatting>
  <conditionalFormatting sqref="K26:K28">
    <cfRule type="expression" dxfId="224" priority="160">
      <formula>$C26=4</formula>
    </cfRule>
  </conditionalFormatting>
  <conditionalFormatting sqref="K30:K41 K43">
    <cfRule type="expression" dxfId="223" priority="153">
      <formula>AND($D30=0,$C30=1,LEFT($E30,1)="A")</formula>
    </cfRule>
    <cfRule type="expression" dxfId="222" priority="155">
      <formula>$C30=3</formula>
    </cfRule>
    <cfRule type="expression" dxfId="221" priority="156">
      <formula>$C30=2</formula>
    </cfRule>
    <cfRule type="expression" dxfId="220" priority="157">
      <formula>AND($C30=1,OR($D30&lt;&gt;0,LEFT($E30,1)="I",LEFT($E30,1)="C",RIGHT($E30,1)="X"))</formula>
    </cfRule>
    <cfRule type="expression" dxfId="219" priority="158">
      <formula>$C30=0</formula>
    </cfRule>
  </conditionalFormatting>
  <conditionalFormatting sqref="K30:K41 K43">
    <cfRule type="expression" dxfId="218" priority="154">
      <formula>$C30=4</formula>
    </cfRule>
  </conditionalFormatting>
  <conditionalFormatting sqref="K48:K88">
    <cfRule type="expression" dxfId="217" priority="147">
      <formula>AND($D48=0,$C48=1,LEFT($E48,1)="A")</formula>
    </cfRule>
    <cfRule type="expression" dxfId="216" priority="149">
      <formula>$C48=3</formula>
    </cfRule>
    <cfRule type="expression" dxfId="215" priority="150">
      <formula>$C48=2</formula>
    </cfRule>
    <cfRule type="expression" dxfId="214" priority="151">
      <formula>AND($C48=1,OR($D48&lt;&gt;0,LEFT($E48,1)="I",LEFT($E48,1)="C",RIGHT($E48,1)="X"))</formula>
    </cfRule>
    <cfRule type="expression" dxfId="213" priority="152">
      <formula>$C48=0</formula>
    </cfRule>
  </conditionalFormatting>
  <conditionalFormatting sqref="K48:K88">
    <cfRule type="expression" dxfId="212" priority="148">
      <formula>$C48=4</formula>
    </cfRule>
  </conditionalFormatting>
  <conditionalFormatting sqref="K89:K95">
    <cfRule type="expression" dxfId="211" priority="141">
      <formula>AND($D89=0,$C89=1,LEFT($E89,1)="A")</formula>
    </cfRule>
    <cfRule type="expression" dxfId="210" priority="143">
      <formula>$C89=3</formula>
    </cfRule>
    <cfRule type="expression" dxfId="209" priority="144">
      <formula>$C89=2</formula>
    </cfRule>
    <cfRule type="expression" dxfId="208" priority="145">
      <formula>AND($C89=1,OR($D89&lt;&gt;0,LEFT($E89,1)="I",LEFT($E89,1)="C",RIGHT($E89,1)="X"))</formula>
    </cfRule>
    <cfRule type="expression" dxfId="207" priority="146">
      <formula>$C89=0</formula>
    </cfRule>
  </conditionalFormatting>
  <conditionalFormatting sqref="K89:K95">
    <cfRule type="expression" dxfId="206" priority="142">
      <formula>$C89=4</formula>
    </cfRule>
  </conditionalFormatting>
  <conditionalFormatting sqref="K110:K112">
    <cfRule type="expression" dxfId="205" priority="135">
      <formula>AND($D110=0,$C110=1,LEFT($E110,1)="A")</formula>
    </cfRule>
    <cfRule type="expression" dxfId="204" priority="137">
      <formula>$C110=3</formula>
    </cfRule>
    <cfRule type="expression" dxfId="203" priority="138">
      <formula>$C110=2</formula>
    </cfRule>
    <cfRule type="expression" dxfId="202" priority="139">
      <formula>AND($C110=1,OR($D110&lt;&gt;0,LEFT($E110,1)="I",LEFT($E110,1)="C",RIGHT($E110,1)="X"))</formula>
    </cfRule>
    <cfRule type="expression" dxfId="201" priority="140">
      <formula>$C110=0</formula>
    </cfRule>
  </conditionalFormatting>
  <conditionalFormatting sqref="K110:K112">
    <cfRule type="expression" dxfId="200" priority="136">
      <formula>$C110=4</formula>
    </cfRule>
  </conditionalFormatting>
  <conditionalFormatting sqref="K119">
    <cfRule type="expression" dxfId="199" priority="129">
      <formula>AND($D119=0,$C119=1,LEFT($E119,1)="A")</formula>
    </cfRule>
    <cfRule type="expression" dxfId="198" priority="131">
      <formula>$C119=3</formula>
    </cfRule>
    <cfRule type="expression" dxfId="197" priority="132">
      <formula>$C119=2</formula>
    </cfRule>
    <cfRule type="expression" dxfId="196" priority="133">
      <formula>AND($C119=1,OR($D119&lt;&gt;0,LEFT($E119,1)="I",LEFT($E119,1)="C",RIGHT($E119,1)="X"))</formula>
    </cfRule>
    <cfRule type="expression" dxfId="195" priority="134">
      <formula>$C119=0</formula>
    </cfRule>
  </conditionalFormatting>
  <conditionalFormatting sqref="K119">
    <cfRule type="expression" dxfId="194" priority="130">
      <formula>$C119=4</formula>
    </cfRule>
  </conditionalFormatting>
  <conditionalFormatting sqref="K125">
    <cfRule type="expression" dxfId="193" priority="123">
      <formula>AND($D125=0,$C125=1,LEFT($E125,1)="A")</formula>
    </cfRule>
    <cfRule type="expression" dxfId="192" priority="125">
      <formula>$C125=3</formula>
    </cfRule>
    <cfRule type="expression" dxfId="191" priority="126">
      <formula>$C125=2</formula>
    </cfRule>
    <cfRule type="expression" dxfId="190" priority="127">
      <formula>AND($C125=1,OR($D125&lt;&gt;0,LEFT($E125,1)="I",LEFT($E125,1)="C",RIGHT($E125,1)="X"))</formula>
    </cfRule>
    <cfRule type="expression" dxfId="189" priority="128">
      <formula>$C125=0</formula>
    </cfRule>
  </conditionalFormatting>
  <conditionalFormatting sqref="K125">
    <cfRule type="expression" dxfId="188" priority="124">
      <formula>$C125=4</formula>
    </cfRule>
  </conditionalFormatting>
  <conditionalFormatting sqref="K146:K148">
    <cfRule type="expression" dxfId="187" priority="117">
      <formula>AND($D146=0,$C146=1,LEFT($E146,1)="A")</formula>
    </cfRule>
    <cfRule type="expression" dxfId="186" priority="119">
      <formula>$C146=3</formula>
    </cfRule>
    <cfRule type="expression" dxfId="185" priority="120">
      <formula>$C146=2</formula>
    </cfRule>
    <cfRule type="expression" dxfId="184" priority="121">
      <formula>AND($C146=1,OR($D146&lt;&gt;0,LEFT($E146,1)="I",LEFT($E146,1)="C",RIGHT($E146,1)="X"))</formula>
    </cfRule>
    <cfRule type="expression" dxfId="183" priority="122">
      <formula>$C146=0</formula>
    </cfRule>
  </conditionalFormatting>
  <conditionalFormatting sqref="K146:K148">
    <cfRule type="expression" dxfId="182" priority="118">
      <formula>$C146=4</formula>
    </cfRule>
  </conditionalFormatting>
  <conditionalFormatting sqref="O7">
    <cfRule type="expression" dxfId="181" priority="112">
      <formula>AND(#REF!=0,#REF!=1,LEFT($A7,1)="A")</formula>
    </cfRule>
    <cfRule type="expression" dxfId="180" priority="113">
      <formula>#REF!=3</formula>
    </cfRule>
    <cfRule type="expression" dxfId="179" priority="114">
      <formula>#REF!=2</formula>
    </cfRule>
    <cfRule type="expression" dxfId="178" priority="115">
      <formula>AND(#REF!=1,OR(#REF!&lt;&gt;0,LEFT($A7,1)="I",LEFT($A7,1)="C",RIGHT($A7,1)="X"))</formula>
    </cfRule>
    <cfRule type="expression" dxfId="177" priority="116">
      <formula>#REF!=0</formula>
    </cfRule>
  </conditionalFormatting>
  <conditionalFormatting sqref="G145:I145">
    <cfRule type="expression" dxfId="176" priority="102">
      <formula>AND(#REF!=0,#REF!=1,LEFT($A145,1)="A")</formula>
    </cfRule>
    <cfRule type="expression" dxfId="175" priority="103">
      <formula>#REF!=3</formula>
    </cfRule>
    <cfRule type="expression" dxfId="174" priority="104">
      <formula>#REF!=2</formula>
    </cfRule>
    <cfRule type="expression" dxfId="173" priority="105">
      <formula>AND(#REF!=1,OR(#REF!&lt;&gt;0,LEFT($A145,1)="I",LEFT($A145,1)="C",RIGHT($A145,1)="X"))</formula>
    </cfRule>
    <cfRule type="expression" dxfId="172" priority="106">
      <formula>#REF!=0</formula>
    </cfRule>
  </conditionalFormatting>
  <conditionalFormatting sqref="O6">
    <cfRule type="expression" dxfId="171" priority="97">
      <formula>AND(#REF!=0,#REF!=1,LEFT($A6,1)="A")</formula>
    </cfRule>
    <cfRule type="expression" dxfId="170" priority="98">
      <formula>#REF!=3</formula>
    </cfRule>
    <cfRule type="expression" dxfId="169" priority="99">
      <formula>#REF!=2</formula>
    </cfRule>
    <cfRule type="expression" dxfId="168" priority="100">
      <formula>AND(#REF!=1,OR(#REF!&lt;&gt;0,LEFT($A6,1)="I",LEFT($A6,1)="C",RIGHT($A6,1)="X"))</formula>
    </cfRule>
    <cfRule type="expression" dxfId="167" priority="101">
      <formula>#REF!=0</formula>
    </cfRule>
  </conditionalFormatting>
  <conditionalFormatting sqref="G529:I529">
    <cfRule type="expression" dxfId="166" priority="87">
      <formula>AND(#REF!=0,#REF!=1,LEFT($A529,1)="A")</formula>
    </cfRule>
    <cfRule type="expression" dxfId="165" priority="88">
      <formula>#REF!=3</formula>
    </cfRule>
    <cfRule type="expression" dxfId="164" priority="89">
      <formula>#REF!=2</formula>
    </cfRule>
    <cfRule type="expression" dxfId="163" priority="90">
      <formula>AND(#REF!=1,OR(#REF!&lt;&gt;0,LEFT($A529,1)="I",LEFT($A529,1)="C",RIGHT($A529,1)="X"))</formula>
    </cfRule>
    <cfRule type="expression" dxfId="162" priority="91">
      <formula>#REF!=0</formula>
    </cfRule>
  </conditionalFormatting>
  <conditionalFormatting sqref="L26:M27 L31:M42 M28:M30">
    <cfRule type="expression" dxfId="161" priority="81">
      <formula>AND($D26=0,$C26=1,LEFT($E26,1)="A")</formula>
    </cfRule>
    <cfRule type="expression" dxfId="160" priority="83">
      <formula>$C26=3</formula>
    </cfRule>
    <cfRule type="expression" dxfId="159" priority="84">
      <formula>$C26=2</formula>
    </cfRule>
    <cfRule type="expression" dxfId="158" priority="85">
      <formula>AND($C26=1,OR($D26&lt;&gt;0,LEFT($E26,1)="I",LEFT($E26,1)="C",RIGHT($E26,1)="X"))</formula>
    </cfRule>
    <cfRule type="expression" dxfId="157" priority="86">
      <formula>$C26=0</formula>
    </cfRule>
  </conditionalFormatting>
  <conditionalFormatting sqref="L26:M27 L31:M42 M28:M30">
    <cfRule type="expression" dxfId="156" priority="82">
      <formula>$C26=4</formula>
    </cfRule>
  </conditionalFormatting>
  <conditionalFormatting sqref="K183">
    <cfRule type="expression" dxfId="155" priority="76">
      <formula>AND(#REF!=0,#REF!=1,LEFT($A183,1)="A")</formula>
    </cfRule>
    <cfRule type="expression" dxfId="154" priority="77">
      <formula>#REF!=3</formula>
    </cfRule>
    <cfRule type="expression" dxfId="153" priority="78">
      <formula>#REF!=2</formula>
    </cfRule>
    <cfRule type="expression" dxfId="152" priority="79">
      <formula>AND(#REF!=1,OR(#REF!&lt;&gt;0,LEFT($A183,1)="I",LEFT($A183,1)="C",RIGHT($A183,1)="X"))</formula>
    </cfRule>
    <cfRule type="expression" dxfId="151" priority="80">
      <formula>#REF!=0</formula>
    </cfRule>
  </conditionalFormatting>
  <conditionalFormatting sqref="E419">
    <cfRule type="expression" dxfId="150" priority="71">
      <formula>AND(#REF!=0,#REF!=1,LEFT($A419,1)="A")</formula>
    </cfRule>
    <cfRule type="expression" dxfId="149" priority="72">
      <formula>#REF!=3</formula>
    </cfRule>
    <cfRule type="expression" dxfId="148" priority="73">
      <formula>#REF!=2</formula>
    </cfRule>
    <cfRule type="expression" dxfId="147" priority="74">
      <formula>AND(#REF!=1,OR(#REF!&lt;&gt;0,LEFT($A419,1)="I",LEFT($A419,1)="C",RIGHT($A419,1)="X"))</formula>
    </cfRule>
    <cfRule type="expression" dxfId="146" priority="75">
      <formula>#REF!=0</formula>
    </cfRule>
  </conditionalFormatting>
  <conditionalFormatting sqref="E434">
    <cfRule type="expression" dxfId="145" priority="66">
      <formula>AND(#REF!=0,#REF!=1,LEFT($A434,1)="A")</formula>
    </cfRule>
    <cfRule type="expression" dxfId="144" priority="67">
      <formula>#REF!=3</formula>
    </cfRule>
    <cfRule type="expression" dxfId="143" priority="68">
      <formula>#REF!=2</formula>
    </cfRule>
    <cfRule type="expression" dxfId="142" priority="69">
      <formula>AND(#REF!=1,OR(#REF!&lt;&gt;0,LEFT($A434,1)="I",LEFT($A434,1)="C",RIGHT($A434,1)="X"))</formula>
    </cfRule>
    <cfRule type="expression" dxfId="141" priority="70">
      <formula>#REF!=0</formula>
    </cfRule>
  </conditionalFormatting>
  <conditionalFormatting sqref="J334">
    <cfRule type="expression" dxfId="140" priority="60">
      <formula>AND($D334=0,$C334=1,LEFT($E334,1)="A")</formula>
    </cfRule>
    <cfRule type="expression" dxfId="139" priority="62">
      <formula>$C334=3</formula>
    </cfRule>
    <cfRule type="expression" dxfId="138" priority="63">
      <formula>$C334=2</formula>
    </cfRule>
    <cfRule type="expression" dxfId="137" priority="64">
      <formula>AND($C334=1,OR($D334&lt;&gt;0,LEFT($E334,1)="I",LEFT($E334,1)="C",RIGHT($E334,1)="X"))</formula>
    </cfRule>
    <cfRule type="expression" dxfId="136" priority="65">
      <formula>$C334=0</formula>
    </cfRule>
  </conditionalFormatting>
  <conditionalFormatting sqref="J334">
    <cfRule type="expression" dxfId="135" priority="61">
      <formula>$C334=4</formula>
    </cfRule>
  </conditionalFormatting>
  <conditionalFormatting sqref="J344">
    <cfRule type="expression" dxfId="134" priority="54">
      <formula>AND($D344=0,$C344=1,LEFT($E344,1)="A")</formula>
    </cfRule>
    <cfRule type="expression" dxfId="133" priority="56">
      <formula>$C344=3</formula>
    </cfRule>
    <cfRule type="expression" dxfId="132" priority="57">
      <formula>$C344=2</formula>
    </cfRule>
    <cfRule type="expression" dxfId="131" priority="58">
      <formula>AND($C344=1,OR($D344&lt;&gt;0,LEFT($E344,1)="I",LEFT($E344,1)="C",RIGHT($E344,1)="X"))</formula>
    </cfRule>
    <cfRule type="expression" dxfId="130" priority="59">
      <formula>$C344=0</formula>
    </cfRule>
  </conditionalFormatting>
  <conditionalFormatting sqref="J344">
    <cfRule type="expression" dxfId="129" priority="55">
      <formula>$C344=4</formula>
    </cfRule>
  </conditionalFormatting>
  <conditionalFormatting sqref="J348">
    <cfRule type="expression" dxfId="128" priority="48">
      <formula>AND($D348=0,$C348=1,LEFT($E348,1)="A")</formula>
    </cfRule>
    <cfRule type="expression" dxfId="127" priority="50">
      <formula>$C348=3</formula>
    </cfRule>
    <cfRule type="expression" dxfId="126" priority="51">
      <formula>$C348=2</formula>
    </cfRule>
    <cfRule type="expression" dxfId="125" priority="52">
      <formula>AND($C348=1,OR($D348&lt;&gt;0,LEFT($E348,1)="I",LEFT($E348,1)="C",RIGHT($E348,1)="X"))</formula>
    </cfRule>
    <cfRule type="expression" dxfId="124" priority="53">
      <formula>$C348=0</formula>
    </cfRule>
  </conditionalFormatting>
  <conditionalFormatting sqref="J348">
    <cfRule type="expression" dxfId="123" priority="49">
      <formula>$C348=4</formula>
    </cfRule>
  </conditionalFormatting>
  <conditionalFormatting sqref="J350">
    <cfRule type="expression" dxfId="122" priority="42">
      <formula>AND($D350=0,$C350=1,LEFT($E350,1)="A")</formula>
    </cfRule>
    <cfRule type="expression" dxfId="121" priority="44">
      <formula>$C350=3</formula>
    </cfRule>
    <cfRule type="expression" dxfId="120" priority="45">
      <formula>$C350=2</formula>
    </cfRule>
    <cfRule type="expression" dxfId="119" priority="46">
      <formula>AND($C350=1,OR($D350&lt;&gt;0,LEFT($E350,1)="I",LEFT($E350,1)="C",RIGHT($E350,1)="X"))</formula>
    </cfRule>
    <cfRule type="expression" dxfId="118" priority="47">
      <formula>$C350=0</formula>
    </cfRule>
  </conditionalFormatting>
  <conditionalFormatting sqref="J350">
    <cfRule type="expression" dxfId="117" priority="43">
      <formula>$C350=4</formula>
    </cfRule>
  </conditionalFormatting>
  <conditionalFormatting sqref="J362">
    <cfRule type="expression" dxfId="116" priority="36">
      <formula>AND($D362=0,$C362=1,LEFT($E362,1)="A")</formula>
    </cfRule>
    <cfRule type="expression" dxfId="115" priority="38">
      <formula>$C362=3</formula>
    </cfRule>
    <cfRule type="expression" dxfId="114" priority="39">
      <formula>$C362=2</formula>
    </cfRule>
    <cfRule type="expression" dxfId="113" priority="40">
      <formula>AND($C362=1,OR($D362&lt;&gt;0,LEFT($E362,1)="I",LEFT($E362,1)="C",RIGHT($E362,1)="X"))</formula>
    </cfRule>
    <cfRule type="expression" dxfId="112" priority="41">
      <formula>$C362=0</formula>
    </cfRule>
  </conditionalFormatting>
  <conditionalFormatting sqref="J362">
    <cfRule type="expression" dxfId="111" priority="37">
      <formula>$C362=4</formula>
    </cfRule>
  </conditionalFormatting>
  <conditionalFormatting sqref="J364">
    <cfRule type="expression" dxfId="110" priority="30">
      <formula>AND($D364=0,$C364=1,LEFT($E364,1)="A")</formula>
    </cfRule>
    <cfRule type="expression" dxfId="109" priority="32">
      <formula>$C364=3</formula>
    </cfRule>
    <cfRule type="expression" dxfId="108" priority="33">
      <formula>$C364=2</formula>
    </cfRule>
    <cfRule type="expression" dxfId="107" priority="34">
      <formula>AND($C364=1,OR($D364&lt;&gt;0,LEFT($E364,1)="I",LEFT($E364,1)="C",RIGHT($E364,1)="X"))</formula>
    </cfRule>
    <cfRule type="expression" dxfId="106" priority="35">
      <formula>$C364=0</formula>
    </cfRule>
  </conditionalFormatting>
  <conditionalFormatting sqref="J364">
    <cfRule type="expression" dxfId="105" priority="31">
      <formula>$C364=4</formula>
    </cfRule>
  </conditionalFormatting>
  <conditionalFormatting sqref="J374">
    <cfRule type="expression" dxfId="104" priority="24">
      <formula>AND($D374=0,$C374=1,LEFT($E374,1)="A")</formula>
    </cfRule>
    <cfRule type="expression" dxfId="103" priority="26">
      <formula>$C374=3</formula>
    </cfRule>
    <cfRule type="expression" dxfId="102" priority="27">
      <formula>$C374=2</formula>
    </cfRule>
    <cfRule type="expression" dxfId="101" priority="28">
      <formula>AND($C374=1,OR($D374&lt;&gt;0,LEFT($E374,1)="I",LEFT($E374,1)="C",RIGHT($E374,1)="X"))</formula>
    </cfRule>
    <cfRule type="expression" dxfId="100" priority="29">
      <formula>$C374=0</formula>
    </cfRule>
  </conditionalFormatting>
  <conditionalFormatting sqref="J374">
    <cfRule type="expression" dxfId="99" priority="25">
      <formula>$C374=4</formula>
    </cfRule>
  </conditionalFormatting>
  <conditionalFormatting sqref="J381">
    <cfRule type="expression" dxfId="98" priority="18">
      <formula>AND($D381=0,$C381=1,LEFT($E381,1)="A")</formula>
    </cfRule>
    <cfRule type="expression" dxfId="97" priority="20">
      <formula>$C381=3</formula>
    </cfRule>
    <cfRule type="expression" dxfId="96" priority="21">
      <formula>$C381=2</formula>
    </cfRule>
    <cfRule type="expression" dxfId="95" priority="22">
      <formula>AND($C381=1,OR($D381&lt;&gt;0,LEFT($E381,1)="I",LEFT($E381,1)="C",RIGHT($E381,1)="X"))</formula>
    </cfRule>
    <cfRule type="expression" dxfId="94" priority="23">
      <formula>$C381=0</formula>
    </cfRule>
  </conditionalFormatting>
  <conditionalFormatting sqref="J381">
    <cfRule type="expression" dxfId="93" priority="19">
      <formula>$C381=4</formula>
    </cfRule>
  </conditionalFormatting>
  <conditionalFormatting sqref="J740">
    <cfRule type="expression" dxfId="92" priority="12">
      <formula>AND($D740=0,$C740=1,LEFT($E740,1)="A")</formula>
    </cfRule>
    <cfRule type="expression" dxfId="91" priority="14">
      <formula>$C740=3</formula>
    </cfRule>
    <cfRule type="expression" dxfId="90" priority="15">
      <formula>$C740=2</formula>
    </cfRule>
    <cfRule type="expression" dxfId="89" priority="16">
      <formula>AND($C740=1,OR($D740&lt;&gt;0,LEFT($E740,1)="I",LEFT($E740,1)="C",RIGHT($E740,1)="X"))</formula>
    </cfRule>
    <cfRule type="expression" dxfId="88" priority="17">
      <formula>$C740=0</formula>
    </cfRule>
  </conditionalFormatting>
  <conditionalFormatting sqref="J740">
    <cfRule type="expression" dxfId="87" priority="13">
      <formula>$C740=4</formula>
    </cfRule>
  </conditionalFormatting>
  <conditionalFormatting sqref="J356:J357">
    <cfRule type="expression" dxfId="86" priority="7">
      <formula>AND(#REF!=0,#REF!=1,LEFT($A356,1)="A")</formula>
    </cfRule>
    <cfRule type="expression" dxfId="85" priority="8">
      <formula>#REF!=3</formula>
    </cfRule>
    <cfRule type="expression" dxfId="84" priority="9">
      <formula>#REF!=2</formula>
    </cfRule>
    <cfRule type="expression" dxfId="83" priority="10">
      <formula>AND(#REF!=1,OR(#REF!&lt;&gt;0,LEFT($A356,1)="I",LEFT($A356,1)="C",RIGHT($A356,1)="X"))</formula>
    </cfRule>
    <cfRule type="expression" dxfId="82" priority="11">
      <formula>#REF!=0</formula>
    </cfRule>
  </conditionalFormatting>
  <conditionalFormatting sqref="P7:Q8">
    <cfRule type="expression" dxfId="81" priority="2397">
      <formula>AND(#REF!=0,#REF!=1,LEFT($A6,1)="A")</formula>
    </cfRule>
    <cfRule type="expression" dxfId="80" priority="2398">
      <formula>#REF!=3</formula>
    </cfRule>
    <cfRule type="expression" dxfId="79" priority="2399">
      <formula>#REF!=2</formula>
    </cfRule>
    <cfRule type="expression" dxfId="78" priority="2400">
      <formula>AND(#REF!=1,OR(#REF!&lt;&gt;0,LEFT($A6,1)="I",LEFT($A6,1)="C",RIGHT($A6,1)="X"))</formula>
    </cfRule>
    <cfRule type="expression" dxfId="77" priority="2401">
      <formula>#REF!=0</formula>
    </cfRule>
  </conditionalFormatting>
  <conditionalFormatting sqref="L49">
    <cfRule type="expression" dxfId="76" priority="1">
      <formula>AND($D49=0,$C49=1,LEFT($E49,1)="A")</formula>
    </cfRule>
    <cfRule type="expression" dxfId="75" priority="3">
      <formula>$C49=3</formula>
    </cfRule>
    <cfRule type="expression" dxfId="74" priority="4">
      <formula>$C49=2</formula>
    </cfRule>
    <cfRule type="expression" dxfId="73" priority="5">
      <formula>AND($C49=1,OR($D49&lt;&gt;0,LEFT($E49,1)="I",LEFT($E49,1)="C",RIGHT($E49,1)="X"))</formula>
    </cfRule>
    <cfRule type="expression" dxfId="72" priority="6">
      <formula>$C49=0</formula>
    </cfRule>
  </conditionalFormatting>
  <conditionalFormatting sqref="L49">
    <cfRule type="expression" dxfId="71" priority="2">
      <formula>$C49=4</formula>
    </cfRule>
  </conditionalFormatting>
  <pageMargins left="0.16" right="0.16" top="0.12" bottom="0.16" header="0.11" footer="0.16"/>
  <pageSetup paperSize="9" scale="91" fitToHeight="17" orientation="landscape" r:id="rId1"/>
  <ignoredErrors>
    <ignoredError sqref="J785 J746" formula="1"/>
    <ignoredError sqref="G7 I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1"/>
  <sheetViews>
    <sheetView zoomScaleNormal="100" workbookViewId="0">
      <selection activeCell="I27" sqref="I27"/>
    </sheetView>
  </sheetViews>
  <sheetFormatPr defaultRowHeight="15" x14ac:dyDescent="0.25"/>
  <cols>
    <col min="7" max="10" width="19.7109375" customWidth="1"/>
  </cols>
  <sheetData>
    <row r="2" spans="2:10" hidden="1" x14ac:dyDescent="0.25">
      <c r="B2" s="328" t="s">
        <v>1806</v>
      </c>
      <c r="G2" t="s">
        <v>1757</v>
      </c>
    </row>
    <row r="3" spans="2:10" hidden="1" x14ac:dyDescent="0.25">
      <c r="B3" s="328"/>
      <c r="G3" t="s">
        <v>1759</v>
      </c>
      <c r="H3" t="s">
        <v>1760</v>
      </c>
      <c r="I3" t="s">
        <v>1761</v>
      </c>
      <c r="J3" t="s">
        <v>1758</v>
      </c>
    </row>
    <row r="4" spans="2:10" hidden="1" x14ac:dyDescent="0.25">
      <c r="B4" s="328"/>
      <c r="D4" t="s">
        <v>1756</v>
      </c>
      <c r="G4" s="70">
        <f>387039419+3500000</f>
        <v>390539419</v>
      </c>
      <c r="H4" s="70">
        <v>1397870000</v>
      </c>
      <c r="I4" s="70">
        <v>172081800</v>
      </c>
      <c r="J4" s="70">
        <v>1051431262</v>
      </c>
    </row>
    <row r="5" spans="2:10" hidden="1" x14ac:dyDescent="0.25">
      <c r="B5" s="328"/>
      <c r="G5" s="70"/>
    </row>
    <row r="6" spans="2:10" hidden="1" x14ac:dyDescent="0.25">
      <c r="B6" s="328"/>
      <c r="D6" s="211" t="s">
        <v>1767</v>
      </c>
      <c r="E6" s="211"/>
      <c r="F6" s="211"/>
      <c r="G6" s="212">
        <f>+G4-14000000</f>
        <v>376539419</v>
      </c>
      <c r="H6" s="212">
        <f>+H4-47870000</f>
        <v>1350000000</v>
      </c>
      <c r="I6" s="212">
        <f>+I4-58067000</f>
        <v>114014800</v>
      </c>
      <c r="J6" s="212">
        <f>+J4-17745777</f>
        <v>1033685485</v>
      </c>
    </row>
    <row r="7" spans="2:10" hidden="1" x14ac:dyDescent="0.25">
      <c r="B7" s="328"/>
      <c r="D7" s="211"/>
      <c r="E7" s="211"/>
      <c r="F7" s="211"/>
      <c r="G7" s="211"/>
      <c r="H7" s="211"/>
      <c r="I7" s="211"/>
      <c r="J7" s="211"/>
    </row>
    <row r="8" spans="2:10" hidden="1" x14ac:dyDescent="0.25">
      <c r="B8" s="328"/>
      <c r="D8" s="211" t="s">
        <v>1764</v>
      </c>
      <c r="E8" s="211"/>
      <c r="F8" s="211"/>
      <c r="G8" s="212">
        <v>0</v>
      </c>
      <c r="H8" s="211"/>
      <c r="I8" s="211"/>
      <c r="J8" s="211"/>
    </row>
    <row r="9" spans="2:10" hidden="1" x14ac:dyDescent="0.25">
      <c r="B9" s="328"/>
    </row>
    <row r="10" spans="2:10" hidden="1" x14ac:dyDescent="0.25">
      <c r="B10" s="328"/>
      <c r="D10" t="s">
        <v>1762</v>
      </c>
      <c r="E10" t="s">
        <v>1765</v>
      </c>
      <c r="G10" s="70">
        <v>338633130</v>
      </c>
      <c r="H10" s="70">
        <v>1182400000</v>
      </c>
      <c r="I10" s="70">
        <v>56721430</v>
      </c>
      <c r="J10" s="70">
        <v>978174609</v>
      </c>
    </row>
    <row r="11" spans="2:10" hidden="1" x14ac:dyDescent="0.25">
      <c r="B11" s="328"/>
      <c r="E11" t="s">
        <v>1763</v>
      </c>
      <c r="G11" s="70">
        <v>353995852</v>
      </c>
      <c r="H11" s="70">
        <v>1210500000</v>
      </c>
      <c r="I11" s="70">
        <v>61683292</v>
      </c>
      <c r="J11" s="70">
        <v>993060499</v>
      </c>
    </row>
    <row r="12" spans="2:10" hidden="1" x14ac:dyDescent="0.25">
      <c r="B12" s="328"/>
    </row>
    <row r="13" spans="2:10" hidden="1" x14ac:dyDescent="0.25">
      <c r="B13" s="328"/>
      <c r="D13" s="209" t="s">
        <v>1766</v>
      </c>
      <c r="E13" s="209"/>
      <c r="F13" s="209"/>
      <c r="G13" s="209"/>
      <c r="H13" s="209"/>
      <c r="I13" s="209"/>
      <c r="J13" s="209"/>
    </row>
    <row r="14" spans="2:10" hidden="1" x14ac:dyDescent="0.25">
      <c r="B14" s="328"/>
      <c r="D14" s="209"/>
      <c r="E14" s="209" t="s">
        <v>1765</v>
      </c>
      <c r="F14" s="209"/>
      <c r="G14" s="210">
        <f>+G6+G8-G10</f>
        <v>37906289</v>
      </c>
      <c r="H14" s="210"/>
      <c r="I14" s="210"/>
      <c r="J14" s="210">
        <f>+J6+J8-J10</f>
        <v>55510876</v>
      </c>
    </row>
    <row r="15" spans="2:10" hidden="1" x14ac:dyDescent="0.25">
      <c r="B15" s="328"/>
      <c r="D15" s="209"/>
      <c r="E15" s="209" t="s">
        <v>1763</v>
      </c>
      <c r="F15" s="209"/>
      <c r="G15" s="210">
        <f>+G6+G8-G11</f>
        <v>22543567</v>
      </c>
      <c r="H15" s="210"/>
      <c r="I15" s="210"/>
      <c r="J15" s="210">
        <f>+J6+J8-J11</f>
        <v>40624986</v>
      </c>
    </row>
    <row r="16" spans="2:10" hidden="1" x14ac:dyDescent="0.25"/>
    <row r="17" spans="6:9" hidden="1" x14ac:dyDescent="0.25">
      <c r="G17" s="218">
        <f>+G11+10000000+10000000+3500000+(3000000-564652)</f>
        <v>379931200</v>
      </c>
    </row>
    <row r="18" spans="6:9" ht="21" x14ac:dyDescent="0.35">
      <c r="F18" s="217" t="s">
        <v>1757</v>
      </c>
      <c r="G18" t="s">
        <v>1768</v>
      </c>
    </row>
    <row r="19" spans="6:9" x14ac:dyDescent="0.25">
      <c r="G19" t="s">
        <v>1769</v>
      </c>
      <c r="I19" s="218">
        <v>353995852</v>
      </c>
    </row>
    <row r="20" spans="6:9" x14ac:dyDescent="0.25">
      <c r="G20" t="s">
        <v>1764</v>
      </c>
      <c r="I20" s="70">
        <v>3500000</v>
      </c>
    </row>
    <row r="21" spans="6:9" x14ac:dyDescent="0.25">
      <c r="G21" t="s">
        <v>1770</v>
      </c>
      <c r="I21" s="70">
        <v>10000000</v>
      </c>
    </row>
    <row r="22" spans="6:9" x14ac:dyDescent="0.25">
      <c r="G22" t="s">
        <v>1771</v>
      </c>
      <c r="I22" s="70">
        <v>10000000</v>
      </c>
    </row>
    <row r="23" spans="6:9" x14ac:dyDescent="0.25">
      <c r="G23" t="s">
        <v>1772</v>
      </c>
      <c r="I23" s="70">
        <f>3000000-564652+68800</f>
        <v>2504148</v>
      </c>
    </row>
    <row r="24" spans="6:9" x14ac:dyDescent="0.25">
      <c r="I24" s="218">
        <f>SUM(I19:I23)</f>
        <v>380000000</v>
      </c>
    </row>
    <row r="25" spans="6:9" x14ac:dyDescent="0.25">
      <c r="I25" s="70"/>
    </row>
    <row r="27" spans="6:9" ht="18.75" x14ac:dyDescent="0.3">
      <c r="F27" s="216" t="s">
        <v>1773</v>
      </c>
      <c r="G27" t="s">
        <v>1769</v>
      </c>
      <c r="I27" s="218">
        <v>993060499</v>
      </c>
    </row>
    <row r="28" spans="6:9" x14ac:dyDescent="0.25">
      <c r="G28" t="s">
        <v>1770</v>
      </c>
      <c r="I28" s="70">
        <v>20000000</v>
      </c>
    </row>
    <row r="29" spans="6:9" x14ac:dyDescent="0.25">
      <c r="G29" t="s">
        <v>1771</v>
      </c>
      <c r="I29" s="70">
        <v>20000000</v>
      </c>
    </row>
    <row r="30" spans="6:9" x14ac:dyDescent="0.25">
      <c r="G30" t="s">
        <v>1772</v>
      </c>
      <c r="I30" s="70">
        <f>5161540-3222039</f>
        <v>1939501</v>
      </c>
    </row>
    <row r="31" spans="6:9" x14ac:dyDescent="0.25">
      <c r="I31" s="70">
        <f>SUM(I27:I30)</f>
        <v>1035000000</v>
      </c>
    </row>
  </sheetData>
  <mergeCells count="1">
    <mergeCell ref="B2:B15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53"/>
  <sheetViews>
    <sheetView topLeftCell="A16" zoomScale="120" zoomScaleNormal="120" workbookViewId="0">
      <selection activeCell="B31" sqref="B31"/>
    </sheetView>
  </sheetViews>
  <sheetFormatPr defaultRowHeight="15" x14ac:dyDescent="0.25"/>
  <cols>
    <col min="6" max="6" width="11.28515625" customWidth="1"/>
    <col min="7" max="7" width="15.42578125" customWidth="1"/>
    <col min="8" max="8" width="14.85546875" customWidth="1"/>
    <col min="10" max="10" width="13.85546875" customWidth="1"/>
  </cols>
  <sheetData>
    <row r="1" spans="3:10" ht="15.75" thickBot="1" x14ac:dyDescent="0.3"/>
    <row r="2" spans="3:10" ht="24" thickBot="1" x14ac:dyDescent="0.3">
      <c r="C2" s="329" t="s">
        <v>1827</v>
      </c>
      <c r="D2" s="330"/>
      <c r="E2" s="330"/>
      <c r="F2" s="330"/>
      <c r="G2" s="330"/>
      <c r="H2" s="331"/>
      <c r="I2" s="275"/>
    </row>
    <row r="3" spans="3:10" ht="15" customHeight="1" x14ac:dyDescent="0.25">
      <c r="C3" s="275"/>
      <c r="D3" s="275"/>
      <c r="E3" s="275"/>
      <c r="F3" s="275"/>
      <c r="G3" s="275"/>
      <c r="H3" s="275"/>
      <c r="I3" s="275"/>
      <c r="J3" s="113"/>
    </row>
    <row r="4" spans="3:10" ht="15" customHeight="1" x14ac:dyDescent="0.25">
      <c r="C4" s="275"/>
      <c r="D4" s="275"/>
      <c r="E4" s="275"/>
      <c r="F4" s="275"/>
      <c r="G4" s="275"/>
      <c r="H4" s="275"/>
      <c r="I4" s="275"/>
      <c r="J4" s="113"/>
    </row>
    <row r="5" spans="3:10" x14ac:dyDescent="0.25">
      <c r="C5" t="s">
        <v>1809</v>
      </c>
      <c r="H5" s="70">
        <v>380000000</v>
      </c>
    </row>
    <row r="6" spans="3:10" ht="16.5" thickBot="1" x14ac:dyDescent="0.3">
      <c r="D6" s="277" t="s">
        <v>1826</v>
      </c>
      <c r="E6" s="278"/>
      <c r="G6" s="277">
        <v>387039419.00000012</v>
      </c>
      <c r="H6" s="70"/>
    </row>
    <row r="7" spans="3:10" x14ac:dyDescent="0.25">
      <c r="D7" s="276" t="s">
        <v>1805</v>
      </c>
      <c r="E7" t="s">
        <v>1808</v>
      </c>
      <c r="H7" s="70">
        <v>10000000</v>
      </c>
    </row>
    <row r="8" spans="3:10" x14ac:dyDescent="0.25">
      <c r="E8" t="s">
        <v>1810</v>
      </c>
      <c r="H8" s="70">
        <v>10000000</v>
      </c>
    </row>
    <row r="9" spans="3:10" x14ac:dyDescent="0.25">
      <c r="E9" t="s">
        <v>1828</v>
      </c>
      <c r="H9" s="70">
        <f>3500000+353995852</f>
        <v>357495852</v>
      </c>
    </row>
    <row r="10" spans="3:10" x14ac:dyDescent="0.25">
      <c r="E10" t="s">
        <v>1811</v>
      </c>
      <c r="H10" s="70">
        <f>+H5-SUM(H7:H9)</f>
        <v>2504148</v>
      </c>
    </row>
    <row r="11" spans="3:10" x14ac:dyDescent="0.25">
      <c r="H11" s="70"/>
    </row>
    <row r="12" spans="3:10" x14ac:dyDescent="0.25">
      <c r="C12" t="s">
        <v>1812</v>
      </c>
      <c r="H12" s="70">
        <v>1035000000</v>
      </c>
    </row>
    <row r="13" spans="3:10" ht="16.5" thickBot="1" x14ac:dyDescent="0.3">
      <c r="D13" s="277" t="s">
        <v>1826</v>
      </c>
      <c r="E13" s="278"/>
      <c r="G13" s="277">
        <v>1051431262.0000007</v>
      </c>
      <c r="H13" s="70"/>
    </row>
    <row r="14" spans="3:10" x14ac:dyDescent="0.25">
      <c r="D14" s="276" t="s">
        <v>1805</v>
      </c>
      <c r="E14" t="s">
        <v>1808</v>
      </c>
      <c r="H14" s="70">
        <v>20000000</v>
      </c>
    </row>
    <row r="15" spans="3:10" x14ac:dyDescent="0.25">
      <c r="E15" t="s">
        <v>1810</v>
      </c>
      <c r="H15" s="70">
        <v>20000000</v>
      </c>
    </row>
    <row r="16" spans="3:10" x14ac:dyDescent="0.25">
      <c r="E16" t="s">
        <v>1829</v>
      </c>
      <c r="H16" s="70">
        <v>993060499</v>
      </c>
    </row>
    <row r="17" spans="3:10" x14ac:dyDescent="0.25">
      <c r="E17" t="s">
        <v>1811</v>
      </c>
      <c r="H17" s="70">
        <f>+H12-SUM(H14:H16)</f>
        <v>1939501</v>
      </c>
    </row>
    <row r="18" spans="3:10" x14ac:dyDescent="0.25">
      <c r="H18" s="70"/>
    </row>
    <row r="19" spans="3:10" x14ac:dyDescent="0.25">
      <c r="C19" t="s">
        <v>1813</v>
      </c>
      <c r="H19" s="70">
        <v>416424409.90999997</v>
      </c>
    </row>
    <row r="20" spans="3:10" ht="16.5" thickBot="1" x14ac:dyDescent="0.3">
      <c r="D20" s="277" t="s">
        <v>1832</v>
      </c>
      <c r="E20" s="278"/>
      <c r="G20" s="277">
        <v>434424409.91000003</v>
      </c>
      <c r="H20" s="70"/>
    </row>
    <row r="21" spans="3:10" x14ac:dyDescent="0.25">
      <c r="E21" t="s">
        <v>1831</v>
      </c>
      <c r="H21" s="70">
        <v>18000000</v>
      </c>
    </row>
    <row r="22" spans="3:10" x14ac:dyDescent="0.25">
      <c r="E22" t="s">
        <v>1830</v>
      </c>
      <c r="H22" s="70">
        <v>6060000</v>
      </c>
    </row>
    <row r="23" spans="3:10" x14ac:dyDescent="0.25">
      <c r="F23" s="276" t="s">
        <v>1815</v>
      </c>
      <c r="G23" t="s">
        <v>1816</v>
      </c>
      <c r="H23" s="70">
        <v>4060000</v>
      </c>
    </row>
    <row r="24" spans="3:10" x14ac:dyDescent="0.25">
      <c r="G24" t="s">
        <v>1817</v>
      </c>
      <c r="H24" s="70">
        <v>2000000</v>
      </c>
    </row>
    <row r="25" spans="3:10" x14ac:dyDescent="0.25">
      <c r="H25" s="70"/>
    </row>
    <row r="26" spans="3:10" x14ac:dyDescent="0.25">
      <c r="C26" t="s">
        <v>1818</v>
      </c>
      <c r="H26" s="70">
        <f>79562108+2000000</f>
        <v>81562108</v>
      </c>
      <c r="J26" s="70"/>
    </row>
    <row r="27" spans="3:10" ht="16.5" thickBot="1" x14ac:dyDescent="0.3">
      <c r="D27" s="277" t="s">
        <v>1833</v>
      </c>
      <c r="E27" s="278"/>
      <c r="G27" s="277">
        <v>87285108</v>
      </c>
      <c r="H27" s="70"/>
    </row>
    <row r="28" spans="3:10" x14ac:dyDescent="0.25">
      <c r="E28" t="s">
        <v>1831</v>
      </c>
      <c r="H28" s="70">
        <v>5723000</v>
      </c>
    </row>
    <row r="29" spans="3:10" x14ac:dyDescent="0.25">
      <c r="E29" t="s">
        <v>1819</v>
      </c>
      <c r="G29" t="s">
        <v>1820</v>
      </c>
      <c r="H29" s="70">
        <v>2000000</v>
      </c>
    </row>
    <row r="30" spans="3:10" x14ac:dyDescent="0.25">
      <c r="H30" s="70"/>
    </row>
    <row r="31" spans="3:10" x14ac:dyDescent="0.25">
      <c r="C31" t="s">
        <v>1821</v>
      </c>
      <c r="H31" s="70">
        <v>30000000</v>
      </c>
    </row>
    <row r="32" spans="3:10" ht="16.5" thickBot="1" x14ac:dyDescent="0.3">
      <c r="D32" s="277" t="s">
        <v>1833</v>
      </c>
      <c r="E32" s="278"/>
      <c r="G32" s="277">
        <v>48000000</v>
      </c>
      <c r="H32" s="70"/>
    </row>
    <row r="33" spans="3:8" x14ac:dyDescent="0.25">
      <c r="E33" t="s">
        <v>1814</v>
      </c>
      <c r="H33" s="70">
        <v>18000000</v>
      </c>
    </row>
    <row r="34" spans="3:8" x14ac:dyDescent="0.25">
      <c r="E34" t="s">
        <v>1822</v>
      </c>
      <c r="G34" t="s">
        <v>1823</v>
      </c>
      <c r="H34" s="70">
        <v>3000000</v>
      </c>
    </row>
    <row r="35" spans="3:8" x14ac:dyDescent="0.25">
      <c r="H35" s="70"/>
    </row>
    <row r="36" spans="3:8" x14ac:dyDescent="0.25">
      <c r="C36" t="s">
        <v>1824</v>
      </c>
      <c r="H36" s="70"/>
    </row>
    <row r="37" spans="3:8" ht="16.5" thickBot="1" x14ac:dyDescent="0.3">
      <c r="D37" s="277" t="s">
        <v>1838</v>
      </c>
      <c r="E37" s="278"/>
      <c r="G37" s="277">
        <v>6821000</v>
      </c>
      <c r="H37" s="70"/>
    </row>
    <row r="38" spans="3:8" ht="16.5" thickBot="1" x14ac:dyDescent="0.3">
      <c r="D38" s="277" t="s">
        <v>1837</v>
      </c>
      <c r="E38" s="278"/>
      <c r="G38" s="277">
        <v>6230000</v>
      </c>
      <c r="H38" s="70"/>
    </row>
    <row r="39" spans="3:8" x14ac:dyDescent="0.25">
      <c r="E39" t="s">
        <v>1834</v>
      </c>
      <c r="H39" s="70">
        <v>400000</v>
      </c>
    </row>
    <row r="40" spans="3:8" x14ac:dyDescent="0.25">
      <c r="E40" t="s">
        <v>1835</v>
      </c>
      <c r="H40" s="70">
        <v>300000</v>
      </c>
    </row>
    <row r="41" spans="3:8" x14ac:dyDescent="0.25">
      <c r="E41" t="s">
        <v>1836</v>
      </c>
      <c r="G41" t="s">
        <v>1825</v>
      </c>
      <c r="H41" s="70">
        <v>200000</v>
      </c>
    </row>
    <row r="42" spans="3:8" x14ac:dyDescent="0.25">
      <c r="H42" s="70"/>
    </row>
    <row r="43" spans="3:8" x14ac:dyDescent="0.25">
      <c r="H43" s="70"/>
    </row>
    <row r="44" spans="3:8" x14ac:dyDescent="0.25">
      <c r="H44" s="70"/>
    </row>
    <row r="45" spans="3:8" x14ac:dyDescent="0.25">
      <c r="H45" s="70"/>
    </row>
    <row r="46" spans="3:8" x14ac:dyDescent="0.25">
      <c r="H46" s="70"/>
    </row>
    <row r="47" spans="3:8" x14ac:dyDescent="0.25">
      <c r="H47" s="70"/>
    </row>
    <row r="48" spans="3:8" x14ac:dyDescent="0.25">
      <c r="H48" s="70"/>
    </row>
    <row r="49" spans="8:8" x14ac:dyDescent="0.25">
      <c r="H49" s="70"/>
    </row>
    <row r="50" spans="8:8" x14ac:dyDescent="0.25">
      <c r="H50" s="70"/>
    </row>
    <row r="51" spans="8:8" x14ac:dyDescent="0.25">
      <c r="H51" s="70"/>
    </row>
    <row r="52" spans="8:8" x14ac:dyDescent="0.25">
      <c r="H52" s="70"/>
    </row>
    <row r="53" spans="8:8" x14ac:dyDescent="0.25">
      <c r="H53" s="70"/>
    </row>
  </sheetData>
  <mergeCells count="1">
    <mergeCell ref="C2:H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0"/>
  <sheetViews>
    <sheetView zoomScaleNormal="100" workbookViewId="0">
      <pane ySplit="13" topLeftCell="A644" activePane="bottomLeft" state="frozen"/>
      <selection pane="bottomLeft" activeCell="J620" sqref="J620"/>
    </sheetView>
  </sheetViews>
  <sheetFormatPr defaultRowHeight="15" x14ac:dyDescent="0.25"/>
  <cols>
    <col min="1" max="1" width="11" bestFit="1" customWidth="1"/>
    <col min="5" max="5" width="47.5703125" customWidth="1"/>
    <col min="6" max="6" width="19.85546875" customWidth="1"/>
    <col min="7" max="7" width="16.28515625" bestFit="1" customWidth="1"/>
    <col min="8" max="8" width="11.85546875" customWidth="1"/>
    <col min="9" max="9" width="15.85546875" bestFit="1" customWidth="1"/>
    <col min="10" max="10" width="13" customWidth="1"/>
    <col min="11" max="11" width="13.7109375" bestFit="1" customWidth="1"/>
    <col min="12" max="12" width="12.140625" bestFit="1" customWidth="1"/>
    <col min="13" max="13" width="9.5703125" bestFit="1" customWidth="1"/>
  </cols>
  <sheetData>
    <row r="1" spans="1:24" ht="15" customHeight="1" x14ac:dyDescent="0.25">
      <c r="A1" s="78"/>
      <c r="B1" s="78"/>
      <c r="C1" s="13"/>
      <c r="D1" s="13"/>
      <c r="E1" s="89"/>
      <c r="F1" s="89"/>
      <c r="G1" s="89"/>
      <c r="H1" s="89"/>
      <c r="I1" s="89"/>
      <c r="J1" s="89"/>
      <c r="K1" s="89"/>
      <c r="L1" s="89"/>
      <c r="M1" s="90"/>
    </row>
    <row r="2" spans="1:24" ht="15" customHeight="1" x14ac:dyDescent="0.3">
      <c r="A2" s="79" t="s">
        <v>2</v>
      </c>
      <c r="B2" s="79"/>
      <c r="C2" s="82"/>
      <c r="D2" s="332" t="s">
        <v>1670</v>
      </c>
      <c r="E2" s="333"/>
      <c r="F2" s="333"/>
      <c r="G2" s="334"/>
      <c r="H2" s="334"/>
      <c r="I2" s="334"/>
      <c r="J2" s="334"/>
      <c r="K2" s="334"/>
      <c r="L2" s="334"/>
      <c r="M2" s="334"/>
      <c r="N2" s="85"/>
      <c r="X2">
        <v>1000</v>
      </c>
    </row>
    <row r="3" spans="1:24" ht="15" customHeight="1" x14ac:dyDescent="0.25">
      <c r="A3" s="78"/>
      <c r="B3" s="78"/>
      <c r="C3" s="82"/>
      <c r="D3" s="13"/>
      <c r="E3" s="89"/>
      <c r="F3" s="89"/>
      <c r="G3" s="89"/>
      <c r="H3" s="89"/>
      <c r="I3" s="89"/>
      <c r="J3" s="89"/>
      <c r="K3" s="89"/>
      <c r="L3" s="89"/>
      <c r="M3" s="90"/>
      <c r="N3" s="85"/>
    </row>
    <row r="4" spans="1:24" ht="15" customHeight="1" x14ac:dyDescent="0.25">
      <c r="A4" s="78"/>
      <c r="B4" s="78"/>
      <c r="C4" s="82"/>
      <c r="D4" s="13"/>
      <c r="E4" s="3"/>
      <c r="F4" s="3"/>
      <c r="G4" s="3"/>
      <c r="H4" s="3"/>
      <c r="I4" s="3"/>
      <c r="J4" s="3"/>
      <c r="K4" s="3"/>
      <c r="L4" s="3"/>
      <c r="M4" s="67"/>
      <c r="N4" s="85"/>
    </row>
    <row r="5" spans="1:24" ht="15" customHeight="1" x14ac:dyDescent="0.25">
      <c r="A5" s="80"/>
      <c r="B5" s="81"/>
      <c r="C5" s="335"/>
      <c r="D5" s="335"/>
      <c r="E5" s="336"/>
      <c r="F5" s="84"/>
      <c r="G5" s="84"/>
      <c r="H5" s="5"/>
      <c r="I5" s="4"/>
      <c r="J5" s="73"/>
      <c r="K5" s="4"/>
      <c r="L5" s="74"/>
      <c r="M5" s="68"/>
      <c r="N5" s="85"/>
    </row>
    <row r="6" spans="1:24" ht="15" customHeight="1" x14ac:dyDescent="0.25">
      <c r="A6" s="78"/>
      <c r="B6" s="78"/>
      <c r="C6" s="13"/>
      <c r="D6" s="82"/>
      <c r="E6" s="336"/>
      <c r="F6" s="6"/>
      <c r="G6" s="6"/>
      <c r="H6" s="6"/>
      <c r="I6" s="6"/>
      <c r="J6" s="6"/>
      <c r="K6" s="6"/>
      <c r="L6" s="6"/>
      <c r="M6" s="69"/>
      <c r="N6" s="85"/>
    </row>
    <row r="7" spans="1:24" ht="15" customHeight="1" x14ac:dyDescent="0.25">
      <c r="A7" s="78"/>
      <c r="B7" s="78"/>
      <c r="C7" s="82"/>
      <c r="D7" s="82"/>
      <c r="E7" s="336"/>
      <c r="F7" s="7"/>
      <c r="G7" s="6"/>
      <c r="H7" s="6"/>
      <c r="I7" s="6"/>
      <c r="J7" s="6"/>
      <c r="K7" s="6"/>
      <c r="L7" s="6"/>
      <c r="M7" s="69"/>
      <c r="N7" s="85"/>
    </row>
    <row r="8" spans="1:24" ht="15" customHeight="1" x14ac:dyDescent="0.25">
      <c r="A8" s="78"/>
      <c r="B8" s="78"/>
      <c r="C8" s="82"/>
      <c r="D8" s="82"/>
      <c r="E8" s="82"/>
      <c r="F8" s="6"/>
      <c r="G8" s="6"/>
      <c r="H8" s="6"/>
      <c r="I8" s="6"/>
      <c r="J8" s="6"/>
      <c r="K8" s="6"/>
      <c r="L8" s="6"/>
      <c r="M8" s="69"/>
    </row>
    <row r="9" spans="1:24" ht="15" customHeight="1" x14ac:dyDescent="0.25">
      <c r="A9" s="78"/>
      <c r="B9" s="78"/>
      <c r="C9" s="82"/>
      <c r="D9" s="82"/>
      <c r="E9" s="82"/>
      <c r="F9" s="1" t="s">
        <v>3</v>
      </c>
      <c r="G9" s="8" t="s">
        <v>4</v>
      </c>
      <c r="H9" s="8" t="s">
        <v>4</v>
      </c>
      <c r="I9" s="8" t="s">
        <v>4</v>
      </c>
      <c r="J9" s="8" t="s">
        <v>1669</v>
      </c>
      <c r="K9" s="107" t="s">
        <v>1664</v>
      </c>
      <c r="L9" s="77" t="s">
        <v>1665</v>
      </c>
      <c r="M9" s="70"/>
    </row>
    <row r="10" spans="1:24" ht="15" customHeight="1" x14ac:dyDescent="0.25">
      <c r="A10" s="78"/>
      <c r="B10" s="78"/>
      <c r="C10" s="82"/>
      <c r="D10" s="82"/>
      <c r="E10" s="82"/>
      <c r="F10" s="1" t="s">
        <v>5</v>
      </c>
      <c r="G10" s="8" t="s">
        <v>0</v>
      </c>
      <c r="H10" s="8">
        <v>2018</v>
      </c>
      <c r="I10" s="8" t="s">
        <v>1</v>
      </c>
      <c r="J10" s="8" t="s">
        <v>1</v>
      </c>
      <c r="K10" s="71">
        <v>2019</v>
      </c>
      <c r="L10" s="75"/>
      <c r="M10" s="70"/>
    </row>
    <row r="11" spans="1:24" ht="15" customHeight="1" thickBot="1" x14ac:dyDescent="0.3">
      <c r="A11" s="78"/>
      <c r="B11" s="78"/>
      <c r="C11" s="82"/>
      <c r="D11" s="82"/>
      <c r="E11" s="83"/>
      <c r="F11" s="1" t="s">
        <v>6</v>
      </c>
      <c r="G11" s="9" t="s">
        <v>8</v>
      </c>
      <c r="H11" s="9" t="s">
        <v>8</v>
      </c>
      <c r="I11" s="2" t="s">
        <v>7</v>
      </c>
      <c r="J11" s="9" t="s">
        <v>8</v>
      </c>
      <c r="K11" s="72"/>
      <c r="L11" s="76"/>
      <c r="M11" s="70"/>
    </row>
    <row r="12" spans="1:24" ht="15" customHeight="1" x14ac:dyDescent="0.25">
      <c r="A12" s="78"/>
      <c r="B12" s="78"/>
      <c r="C12" s="82"/>
      <c r="D12" s="13"/>
      <c r="E12" s="6"/>
      <c r="F12" s="10"/>
      <c r="G12" s="6"/>
      <c r="H12" s="6"/>
      <c r="I12" s="6"/>
      <c r="J12" s="6"/>
      <c r="K12" s="6"/>
      <c r="L12" s="6"/>
      <c r="M12" s="69"/>
    </row>
    <row r="13" spans="1:24" x14ac:dyDescent="0.25">
      <c r="A13" s="14" t="s">
        <v>9</v>
      </c>
      <c r="B13" s="15" t="s">
        <v>915</v>
      </c>
      <c r="C13" s="16" t="s">
        <v>913</v>
      </c>
      <c r="D13" s="16" t="s">
        <v>914</v>
      </c>
      <c r="E13" s="104" t="s">
        <v>1688</v>
      </c>
      <c r="F13" s="89" t="s">
        <v>1689</v>
      </c>
      <c r="G13" s="105">
        <f>+ROUND(Návrh!G10,-3)/$X$2</f>
        <v>186173</v>
      </c>
      <c r="H13" s="105">
        <f>+ROUND(Návrh!H10,-3)/$X$2</f>
        <v>150989</v>
      </c>
      <c r="I13" s="105">
        <f>+ROUND(Návrh!I10,-3)/$X$2</f>
        <v>0</v>
      </c>
      <c r="J13" s="105" t="e">
        <f>+ROUND(Návrh!#REF!,-3)/$X$2</f>
        <v>#REF!</v>
      </c>
      <c r="K13" s="105">
        <f>+ROUND(Návrh!J10,-3)/$X$2</f>
        <v>2350952</v>
      </c>
      <c r="L13" s="105">
        <f>+ROUND(Návrh!K10,-3)/$X$2</f>
        <v>33644</v>
      </c>
    </row>
    <row r="14" spans="1:24" x14ac:dyDescent="0.25">
      <c r="A14" s="50" t="s">
        <v>10</v>
      </c>
      <c r="B14" s="46"/>
      <c r="C14" s="47"/>
      <c r="D14" s="47"/>
      <c r="E14" s="337"/>
      <c r="F14" s="337"/>
      <c r="G14" s="93">
        <f>+ROUND(Návrh!G11,-3)/$X$2</f>
        <v>-5765412</v>
      </c>
      <c r="H14" s="93">
        <f>+ROUND(Návrh!H11,-3)/$X$2</f>
        <v>-6551767</v>
      </c>
      <c r="I14" s="93">
        <f>+ROUND(Návrh!I11,-3)/$X$2</f>
        <v>-7003666</v>
      </c>
      <c r="J14" s="93" t="e">
        <f>+ROUND(Návrh!#REF!,-3)/$X$2</f>
        <v>#REF!</v>
      </c>
      <c r="K14" s="93">
        <f>+ROUND(Návrh!J11,-3)/$X$2</f>
        <v>-4951832</v>
      </c>
      <c r="L14" s="93">
        <f>+ROUND(Návrh!K11,-3)/$X$2</f>
        <v>-7708640</v>
      </c>
      <c r="M14" s="70"/>
      <c r="N14" s="70"/>
    </row>
    <row r="15" spans="1:24" x14ac:dyDescent="0.25">
      <c r="A15" s="41" t="s">
        <v>11</v>
      </c>
      <c r="B15" s="41"/>
      <c r="C15" s="40"/>
      <c r="D15" s="40"/>
      <c r="E15" s="298" t="s">
        <v>12</v>
      </c>
      <c r="F15" s="299"/>
      <c r="G15" s="92">
        <f>+ROUND(Návrh!G12,-3)/$X$2</f>
        <v>-2525631</v>
      </c>
      <c r="H15" s="92">
        <f>+ROUND(Návrh!H12,-3)/$X$2</f>
        <v>-2947929</v>
      </c>
      <c r="I15" s="92">
        <f>+ROUND(Návrh!I12,-3)/$X$2</f>
        <v>-3074724</v>
      </c>
      <c r="J15" s="92" t="e">
        <f>+ROUND(Návrh!#REF!,-3)/$X$2</f>
        <v>#REF!</v>
      </c>
      <c r="K15" s="92">
        <f>+ROUND(Návrh!J12,-3)/$X$2</f>
        <v>-1275318</v>
      </c>
      <c r="L15" s="92">
        <f>+ROUND(Návrh!K12,-3)/$X$2</f>
        <v>-3452615</v>
      </c>
    </row>
    <row r="16" spans="1:24" x14ac:dyDescent="0.25">
      <c r="A16" s="38" t="s">
        <v>13</v>
      </c>
      <c r="B16" s="38"/>
      <c r="C16" s="22"/>
      <c r="D16" s="22"/>
      <c r="E16" s="296" t="s">
        <v>14</v>
      </c>
      <c r="F16" s="297"/>
      <c r="G16" s="94">
        <f>+ROUND(Návrh!G13,-3)/$X$2</f>
        <v>-2249875</v>
      </c>
      <c r="H16" s="94">
        <f>+ROUND(Návrh!H13,-3)/$X$2</f>
        <v>-2615351</v>
      </c>
      <c r="I16" s="94">
        <f>+ROUND(Návrh!I13,-3)/$X$2</f>
        <v>-2717027</v>
      </c>
      <c r="J16" s="94" t="e">
        <f>+ROUND(Návrh!#REF!,-3)/$X$2</f>
        <v>#REF!</v>
      </c>
      <c r="K16" s="94">
        <f>+ROUND(Návrh!J13,-3)/$X$2</f>
        <v>-1275318</v>
      </c>
      <c r="L16" s="94">
        <f>+ROUND(Návrh!K13,-3)/$X$2</f>
        <v>-3090187</v>
      </c>
    </row>
    <row r="17" spans="1:13" x14ac:dyDescent="0.25">
      <c r="A17" s="26" t="s">
        <v>1667</v>
      </c>
      <c r="B17" s="26"/>
      <c r="C17" s="23"/>
      <c r="D17" s="23"/>
      <c r="E17" s="300" t="s">
        <v>15</v>
      </c>
      <c r="F17" s="301"/>
      <c r="G17" s="95">
        <f>+ROUND(Návrh!G14,-3)/$X$2</f>
        <v>181</v>
      </c>
      <c r="H17" s="95">
        <f>+ROUND(Návrh!H14,-3)/$X$2</f>
        <v>161</v>
      </c>
      <c r="I17" s="95">
        <f>+ROUND(Návrh!I14,-3)/$X$2</f>
        <v>0</v>
      </c>
      <c r="J17" s="95" t="e">
        <f>+ROUND(Návrh!#REF!,-3)/$X$2</f>
        <v>#REF!</v>
      </c>
      <c r="K17" s="95">
        <f>+ROUND(Návrh!J14,-3)/$X$2</f>
        <v>0</v>
      </c>
      <c r="L17" s="95">
        <f>+ROUND(Návrh!K14,-3)/$X$2</f>
        <v>0</v>
      </c>
    </row>
    <row r="18" spans="1:13" x14ac:dyDescent="0.25">
      <c r="A18" s="42" t="s">
        <v>16</v>
      </c>
      <c r="B18" s="14"/>
      <c r="C18" s="13"/>
      <c r="D18" s="13"/>
      <c r="E18" s="290" t="s">
        <v>17</v>
      </c>
      <c r="F18" s="291"/>
      <c r="G18" s="91">
        <f>+ROUND(Návrh!G15,-3)/$X$2</f>
        <v>181</v>
      </c>
      <c r="H18" s="91">
        <f>+ROUND(Návrh!H15,-3)/$X$2</f>
        <v>161</v>
      </c>
      <c r="I18" s="91">
        <f>+ROUND(Návrh!I15,-3)/$X$2</f>
        <v>0</v>
      </c>
      <c r="J18" s="91" t="e">
        <f>+ROUND(Návrh!#REF!,-3)/$X$2</f>
        <v>#REF!</v>
      </c>
      <c r="K18" s="91">
        <f>+ROUND(Návrh!J15,-3)/$X$2</f>
        <v>0</v>
      </c>
      <c r="L18" s="91">
        <f>+ROUND(Návrh!K15,-3)/$X$2</f>
        <v>0</v>
      </c>
      <c r="M18" s="70"/>
    </row>
    <row r="19" spans="1:13" x14ac:dyDescent="0.25">
      <c r="A19" s="26" t="s">
        <v>1666</v>
      </c>
      <c r="B19" s="24"/>
      <c r="C19" s="23"/>
      <c r="D19" s="23"/>
      <c r="E19" s="300" t="s">
        <v>18</v>
      </c>
      <c r="F19" s="301"/>
      <c r="G19" s="95">
        <f>+ROUND(Návrh!G16,-3)/$X$2</f>
        <v>0</v>
      </c>
      <c r="H19" s="95">
        <f>+ROUND(Návrh!H16,-3)/$X$2</f>
        <v>4</v>
      </c>
      <c r="I19" s="95">
        <f>+ROUND(Návrh!I16,-3)/$X$2</f>
        <v>0</v>
      </c>
      <c r="J19" s="95" t="e">
        <f>+ROUND(Návrh!#REF!,-3)/$X$2</f>
        <v>#REF!</v>
      </c>
      <c r="K19" s="95">
        <f>+ROUND(Návrh!J16,-3)/$X$2</f>
        <v>0</v>
      </c>
      <c r="L19" s="95">
        <f>+ROUND(Návrh!K16,-3)/$X$2</f>
        <v>0</v>
      </c>
      <c r="M19" s="70"/>
    </row>
    <row r="20" spans="1:13" x14ac:dyDescent="0.25">
      <c r="A20" s="42" t="s">
        <v>925</v>
      </c>
      <c r="B20" s="27" t="s">
        <v>916</v>
      </c>
      <c r="C20" s="28" t="s">
        <v>917</v>
      </c>
      <c r="D20" s="28" t="s">
        <v>917</v>
      </c>
      <c r="E20" s="290" t="s">
        <v>19</v>
      </c>
      <c r="F20" s="291"/>
      <c r="G20" s="91">
        <f>+ROUND(Návrh!G17,-3)/$X$2</f>
        <v>0</v>
      </c>
      <c r="H20" s="91">
        <f>+ROUND(Návrh!H17,-3)/$X$2</f>
        <v>4</v>
      </c>
      <c r="I20" s="91">
        <f>+ROUND(Návrh!I17,-3)/$X$2</f>
        <v>0</v>
      </c>
      <c r="J20" s="91" t="e">
        <f>+ROUND(Návrh!#REF!,-3)/$X$2</f>
        <v>#REF!</v>
      </c>
      <c r="K20" s="91">
        <f>+ROUND(Návrh!J17,-3)/$X$2</f>
        <v>0</v>
      </c>
      <c r="L20" s="91">
        <f>+ROUND(Návrh!K17,-3)/$X$2</f>
        <v>0</v>
      </c>
      <c r="M20" s="70"/>
    </row>
    <row r="21" spans="1:13" x14ac:dyDescent="0.25">
      <c r="A21" s="26" t="s">
        <v>926</v>
      </c>
      <c r="B21" s="24"/>
      <c r="C21" s="23"/>
      <c r="D21" s="23"/>
      <c r="E21" s="300" t="s">
        <v>20</v>
      </c>
      <c r="F21" s="301"/>
      <c r="G21" s="95">
        <f>+ROUND(Návrh!G18,-3)/$X$2</f>
        <v>-9919</v>
      </c>
      <c r="H21" s="95">
        <f>+ROUND(Návrh!H18,-3)/$X$2</f>
        <v>-9212</v>
      </c>
      <c r="I21" s="95">
        <f>+ROUND(Návrh!I18,-3)/$X$2</f>
        <v>-10000</v>
      </c>
      <c r="J21" s="95" t="e">
        <f>+ROUND(Návrh!#REF!,-3)/$X$2</f>
        <v>#REF!</v>
      </c>
      <c r="K21" s="95">
        <f>+ROUND(Návrh!J18,-3)/$X$2</f>
        <v>0</v>
      </c>
      <c r="L21" s="95">
        <f>+ROUND(Návrh!K18,-3)/$X$2</f>
        <v>-10000</v>
      </c>
      <c r="M21" s="70"/>
    </row>
    <row r="22" spans="1:13" x14ac:dyDescent="0.25">
      <c r="A22" s="42" t="s">
        <v>927</v>
      </c>
      <c r="B22" s="27" t="s">
        <v>916</v>
      </c>
      <c r="C22" s="28" t="s">
        <v>917</v>
      </c>
      <c r="D22" s="28" t="s">
        <v>917</v>
      </c>
      <c r="E22" s="290" t="s">
        <v>21</v>
      </c>
      <c r="F22" s="291"/>
      <c r="G22" s="91">
        <f>+ROUND(Návrh!G19,-3)/$X$2</f>
        <v>-9919</v>
      </c>
      <c r="H22" s="91">
        <f>+ROUND(Návrh!H19,-3)/$X$2</f>
        <v>-9212</v>
      </c>
      <c r="I22" s="91">
        <f>+ROUND(Návrh!I19,-3)/$X$2</f>
        <v>-10000</v>
      </c>
      <c r="J22" s="91" t="e">
        <f>+ROUND(Návrh!#REF!,-3)/$X$2</f>
        <v>#REF!</v>
      </c>
      <c r="K22" s="91">
        <f>+ROUND(Návrh!J19,-3)/$X$2</f>
        <v>0</v>
      </c>
      <c r="L22" s="91">
        <f>+ROUND(Návrh!K19,-3)/$X$2</f>
        <v>-10000</v>
      </c>
      <c r="M22" s="70"/>
    </row>
    <row r="23" spans="1:13" x14ac:dyDescent="0.25">
      <c r="A23" s="26" t="s">
        <v>928</v>
      </c>
      <c r="B23" s="24"/>
      <c r="C23" s="23"/>
      <c r="D23" s="23"/>
      <c r="E23" s="300" t="s">
        <v>22</v>
      </c>
      <c r="F23" s="301"/>
      <c r="G23" s="95">
        <f>+ROUND(Návrh!G20,-3)/$X$2</f>
        <v>-2802</v>
      </c>
      <c r="H23" s="95">
        <f>+ROUND(Návrh!H20,-3)/$X$2</f>
        <v>-2974</v>
      </c>
      <c r="I23" s="95">
        <f>+ROUND(Návrh!I20,-3)/$X$2</f>
        <v>-3040</v>
      </c>
      <c r="J23" s="95" t="e">
        <f>+ROUND(Návrh!#REF!,-3)/$X$2</f>
        <v>#REF!</v>
      </c>
      <c r="K23" s="95">
        <f>+ROUND(Návrh!J20,-3)/$X$2</f>
        <v>0</v>
      </c>
      <c r="L23" s="95">
        <f>+ROUND(Návrh!K20,-3)/$X$2</f>
        <v>-3250</v>
      </c>
      <c r="M23" s="70"/>
    </row>
    <row r="24" spans="1:13" x14ac:dyDescent="0.25">
      <c r="A24" s="42" t="s">
        <v>929</v>
      </c>
      <c r="B24" s="20" t="s">
        <v>916</v>
      </c>
      <c r="C24" s="20" t="s">
        <v>919</v>
      </c>
      <c r="D24" s="20" t="s">
        <v>918</v>
      </c>
      <c r="E24" s="290" t="s">
        <v>23</v>
      </c>
      <c r="F24" s="291"/>
      <c r="G24" s="91">
        <f>+ROUND(Návrh!G21,-3)/$X$2</f>
        <v>-516</v>
      </c>
      <c r="H24" s="91">
        <f>+ROUND(Návrh!H21,-3)/$X$2</f>
        <v>-477</v>
      </c>
      <c r="I24" s="91">
        <f>+ROUND(Návrh!I21,-3)/$X$2</f>
        <v>-550</v>
      </c>
      <c r="J24" s="91" t="e">
        <f>+ROUND(Návrh!#REF!,-3)/$X$2</f>
        <v>#REF!</v>
      </c>
      <c r="K24" s="91">
        <f>+ROUND(Návrh!J21,-3)/$X$2</f>
        <v>0</v>
      </c>
      <c r="L24" s="91">
        <f>+ROUND(Návrh!K21,-3)/$X$2</f>
        <v>-550</v>
      </c>
      <c r="M24" s="70"/>
    </row>
    <row r="25" spans="1:13" x14ac:dyDescent="0.25">
      <c r="A25" s="42" t="s">
        <v>930</v>
      </c>
      <c r="B25" s="20" t="s">
        <v>916</v>
      </c>
      <c r="C25" s="20" t="s">
        <v>919</v>
      </c>
      <c r="D25" s="20" t="s">
        <v>918</v>
      </c>
      <c r="E25" s="290" t="s">
        <v>24</v>
      </c>
      <c r="F25" s="291"/>
      <c r="G25" s="91">
        <f>+ROUND(Návrh!G22,-3)/$X$2</f>
        <v>-2141</v>
      </c>
      <c r="H25" s="91">
        <f>+ROUND(Návrh!H22,-3)/$X$2</f>
        <v>-2322</v>
      </c>
      <c r="I25" s="91">
        <f>+ROUND(Návrh!I22,-3)/$X$2</f>
        <v>-2300</v>
      </c>
      <c r="J25" s="91" t="e">
        <f>+ROUND(Návrh!#REF!,-3)/$X$2</f>
        <v>#REF!</v>
      </c>
      <c r="K25" s="91">
        <f>+ROUND(Návrh!J22,-3)/$X$2</f>
        <v>0</v>
      </c>
      <c r="L25" s="91">
        <f>+ROUND(Návrh!K22,-3)/$X$2</f>
        <v>-2500</v>
      </c>
      <c r="M25" s="70"/>
    </row>
    <row r="26" spans="1:13" x14ac:dyDescent="0.25">
      <c r="A26" s="42" t="s">
        <v>931</v>
      </c>
      <c r="B26" s="20" t="s">
        <v>916</v>
      </c>
      <c r="C26" s="20" t="s">
        <v>919</v>
      </c>
      <c r="D26" s="20" t="s">
        <v>918</v>
      </c>
      <c r="E26" s="290" t="s">
        <v>25</v>
      </c>
      <c r="F26" s="291"/>
      <c r="G26" s="91">
        <f>+ROUND(Návrh!G23,-3)/$X$2</f>
        <v>-145</v>
      </c>
      <c r="H26" s="91">
        <f>+ROUND(Návrh!H23,-3)/$X$2</f>
        <v>-172</v>
      </c>
      <c r="I26" s="91">
        <f>+ROUND(Návrh!I23,-3)/$X$2</f>
        <v>-190</v>
      </c>
      <c r="J26" s="91" t="e">
        <f>+ROUND(Návrh!#REF!,-3)/$X$2</f>
        <v>#REF!</v>
      </c>
      <c r="K26" s="91">
        <f>+ROUND(Návrh!J23,-3)/$X$2</f>
        <v>0</v>
      </c>
      <c r="L26" s="91">
        <f>+ROUND(Návrh!K23,-3)/$X$2</f>
        <v>-200</v>
      </c>
      <c r="M26" s="70"/>
    </row>
    <row r="27" spans="1:13" x14ac:dyDescent="0.25">
      <c r="A27" s="42" t="s">
        <v>932</v>
      </c>
      <c r="B27" s="20"/>
      <c r="C27" s="20"/>
      <c r="D27" s="20"/>
      <c r="E27" s="290" t="s">
        <v>26</v>
      </c>
      <c r="F27" s="291"/>
      <c r="G27" s="91">
        <f>+ROUND(Návrh!G24,-3)/$X$2</f>
        <v>0</v>
      </c>
      <c r="H27" s="91">
        <f>+ROUND(Návrh!H24,-3)/$X$2</f>
        <v>-2</v>
      </c>
      <c r="I27" s="91">
        <f>+ROUND(Návrh!I24,-3)/$X$2</f>
        <v>0</v>
      </c>
      <c r="J27" s="91" t="e">
        <f>+ROUND(Návrh!#REF!,-3)/$X$2</f>
        <v>#REF!</v>
      </c>
      <c r="K27" s="91">
        <f>+ROUND(Návrh!J24,-3)/$X$2</f>
        <v>0</v>
      </c>
      <c r="L27" s="91">
        <f>+ROUND(Návrh!K24,-3)/$X$2</f>
        <v>0</v>
      </c>
      <c r="M27" s="70"/>
    </row>
    <row r="28" spans="1:13" x14ac:dyDescent="0.25">
      <c r="A28" s="26" t="s">
        <v>933</v>
      </c>
      <c r="B28" s="24"/>
      <c r="C28" s="23"/>
      <c r="D28" s="23"/>
      <c r="E28" s="300" t="s">
        <v>27</v>
      </c>
      <c r="F28" s="301"/>
      <c r="G28" s="95">
        <f>+ROUND(Návrh!G25,-3)/$X$2</f>
        <v>-1235315</v>
      </c>
      <c r="H28" s="95">
        <f>+ROUND(Návrh!H25,-3)/$X$2</f>
        <v>-1473358</v>
      </c>
      <c r="I28" s="95">
        <f>+ROUND(Návrh!I25,-3)/$X$2</f>
        <v>-1534708</v>
      </c>
      <c r="J28" s="95" t="e">
        <f>+ROUND(Návrh!#REF!,-3)/$X$2</f>
        <v>#REF!</v>
      </c>
      <c r="K28" s="95">
        <f>+ROUND(Návrh!J25,-3)/$X$2</f>
        <v>-1275318</v>
      </c>
      <c r="L28" s="95">
        <f>+ROUND(Návrh!K25,-3)/$X$2</f>
        <v>-1834015</v>
      </c>
      <c r="M28" s="70"/>
    </row>
    <row r="29" spans="1:13" x14ac:dyDescent="0.25">
      <c r="A29" s="42" t="s">
        <v>934</v>
      </c>
      <c r="B29" s="27" t="s">
        <v>916</v>
      </c>
      <c r="C29" s="28" t="s">
        <v>917</v>
      </c>
      <c r="D29" s="28" t="s">
        <v>917</v>
      </c>
      <c r="E29" s="290" t="s">
        <v>28</v>
      </c>
      <c r="F29" s="291"/>
      <c r="G29" s="91">
        <f>+ROUND(Návrh!G26,-3)/$X$2</f>
        <v>-171055</v>
      </c>
      <c r="H29" s="91">
        <f>+ROUND(Návrh!H26,-3)/$X$2</f>
        <v>-176497</v>
      </c>
      <c r="I29" s="91">
        <f>+ROUND(Návrh!I26,-3)/$X$2</f>
        <v>-184418</v>
      </c>
      <c r="J29" s="91" t="e">
        <f>+ROUND(Návrh!#REF!,-3)/$X$2</f>
        <v>#REF!</v>
      </c>
      <c r="K29" s="91">
        <f>+ROUND(Návrh!J26,-3)/$X$2</f>
        <v>0</v>
      </c>
      <c r="L29" s="91">
        <f>+ROUND(Návrh!K26,-3)/$X$2</f>
        <v>-187244</v>
      </c>
      <c r="M29" s="70"/>
    </row>
    <row r="30" spans="1:13" x14ac:dyDescent="0.25">
      <c r="A30" s="42" t="s">
        <v>935</v>
      </c>
      <c r="B30" s="27" t="s">
        <v>916</v>
      </c>
      <c r="C30" s="28" t="s">
        <v>917</v>
      </c>
      <c r="D30" s="28" t="s">
        <v>917</v>
      </c>
      <c r="E30" s="290" t="s">
        <v>29</v>
      </c>
      <c r="F30" s="291"/>
      <c r="G30" s="91">
        <f>+ROUND(Návrh!G27,-3)/$X$2</f>
        <v>-10145</v>
      </c>
      <c r="H30" s="91">
        <f>+ROUND(Návrh!H27,-3)/$X$2</f>
        <v>-8987</v>
      </c>
      <c r="I30" s="91">
        <f>+ROUND(Návrh!I27,-3)/$X$2</f>
        <v>-8733</v>
      </c>
      <c r="J30" s="91" t="e">
        <f>+ROUND(Návrh!#REF!,-3)/$X$2</f>
        <v>#REF!</v>
      </c>
      <c r="K30" s="91">
        <f>+ROUND(Návrh!J27,-3)/$X$2</f>
        <v>0</v>
      </c>
      <c r="L30" s="91">
        <f>+ROUND(Návrh!K27,-3)/$X$2</f>
        <v>-10069</v>
      </c>
      <c r="M30" s="70"/>
    </row>
    <row r="31" spans="1:13" x14ac:dyDescent="0.25">
      <c r="A31" s="42" t="s">
        <v>936</v>
      </c>
      <c r="B31" s="27" t="s">
        <v>916</v>
      </c>
      <c r="C31" s="28" t="s">
        <v>917</v>
      </c>
      <c r="D31" s="28" t="s">
        <v>917</v>
      </c>
      <c r="E31" s="290" t="s">
        <v>30</v>
      </c>
      <c r="F31" s="291"/>
      <c r="G31" s="91">
        <f>+ROUND(Návrh!G28,-3)/$X$2</f>
        <v>-242</v>
      </c>
      <c r="H31" s="91">
        <f>+ROUND(Návrh!H28,-3)/$X$2</f>
        <v>-386</v>
      </c>
      <c r="I31" s="91">
        <f>+ROUND(Návrh!I28,-3)/$X$2</f>
        <v>-415</v>
      </c>
      <c r="J31" s="91" t="e">
        <f>+ROUND(Návrh!#REF!,-3)/$X$2</f>
        <v>#REF!</v>
      </c>
      <c r="K31" s="91">
        <f>+ROUND(Návrh!J28,-3)/$X$2</f>
        <v>0</v>
      </c>
      <c r="L31" s="91">
        <f>+ROUND(Návrh!K28,-3)/$X$2</f>
        <v>-320</v>
      </c>
      <c r="M31" s="70"/>
    </row>
    <row r="32" spans="1:13" x14ac:dyDescent="0.25">
      <c r="A32" s="42" t="s">
        <v>937</v>
      </c>
      <c r="B32" s="28" t="s">
        <v>916</v>
      </c>
      <c r="C32" s="28" t="s">
        <v>920</v>
      </c>
      <c r="D32" s="28" t="s">
        <v>921</v>
      </c>
      <c r="E32" s="290" t="s">
        <v>31</v>
      </c>
      <c r="F32" s="291"/>
      <c r="G32" s="91">
        <f>+ROUND(Návrh!G29,-3)/$X$2</f>
        <v>-24978</v>
      </c>
      <c r="H32" s="91">
        <f>+ROUND(Návrh!H29,-3)/$X$2</f>
        <v>-26092</v>
      </c>
      <c r="I32" s="91">
        <f>+ROUND(Návrh!I29,-3)/$X$2</f>
        <v>-26000</v>
      </c>
      <c r="J32" s="91" t="e">
        <f>+ROUND(Návrh!#REF!,-3)/$X$2</f>
        <v>#REF!</v>
      </c>
      <c r="K32" s="91">
        <f>+ROUND(Návrh!J29,-3)/$X$2</f>
        <v>0</v>
      </c>
      <c r="L32" s="91">
        <f>+ROUND(Návrh!K29,-3)/$X$2</f>
        <v>-28500</v>
      </c>
      <c r="M32" s="70"/>
    </row>
    <row r="33" spans="1:13" x14ac:dyDescent="0.25">
      <c r="A33" s="42" t="s">
        <v>938</v>
      </c>
      <c r="B33" s="27" t="s">
        <v>916</v>
      </c>
      <c r="C33" s="28" t="s">
        <v>917</v>
      </c>
      <c r="D33" s="28" t="s">
        <v>917</v>
      </c>
      <c r="E33" s="290" t="s">
        <v>32</v>
      </c>
      <c r="F33" s="291"/>
      <c r="G33" s="91">
        <f>+ROUND(Návrh!G30,-3)/$X$2</f>
        <v>-2777</v>
      </c>
      <c r="H33" s="91">
        <f>+ROUND(Návrh!H30,-3)/$X$2</f>
        <v>-2721</v>
      </c>
      <c r="I33" s="91">
        <f>+ROUND(Návrh!I30,-3)/$X$2</f>
        <v>-2521</v>
      </c>
      <c r="J33" s="91" t="e">
        <f>+ROUND(Návrh!#REF!,-3)/$X$2</f>
        <v>#REF!</v>
      </c>
      <c r="K33" s="91">
        <f>+ROUND(Návrh!J30,-3)/$X$2</f>
        <v>0</v>
      </c>
      <c r="L33" s="91">
        <f>+ROUND(Návrh!K30,-3)/$X$2</f>
        <v>-3361</v>
      </c>
      <c r="M33" s="70"/>
    </row>
    <row r="34" spans="1:13" x14ac:dyDescent="0.25">
      <c r="A34" s="42" t="s">
        <v>939</v>
      </c>
      <c r="B34" s="27" t="s">
        <v>916</v>
      </c>
      <c r="C34" s="28" t="s">
        <v>917</v>
      </c>
      <c r="D34" s="28" t="s">
        <v>917</v>
      </c>
      <c r="E34" s="290" t="s">
        <v>33</v>
      </c>
      <c r="F34" s="291"/>
      <c r="G34" s="91">
        <f>+ROUND(Návrh!G31,-3)/$X$2</f>
        <v>-1653</v>
      </c>
      <c r="H34" s="91">
        <f>+ROUND(Návrh!H31,-3)/$X$2</f>
        <v>-1500</v>
      </c>
      <c r="I34" s="91">
        <f>+ROUND(Návrh!I31,-3)/$X$2</f>
        <v>-1768</v>
      </c>
      <c r="J34" s="91" t="e">
        <f>+ROUND(Návrh!#REF!,-3)/$X$2</f>
        <v>#REF!</v>
      </c>
      <c r="K34" s="91">
        <f>+ROUND(Návrh!J31,-3)/$X$2</f>
        <v>0</v>
      </c>
      <c r="L34" s="91">
        <f>+ROUND(Návrh!K31,-3)/$X$2</f>
        <v>-1855</v>
      </c>
      <c r="M34" s="70"/>
    </row>
    <row r="35" spans="1:13" x14ac:dyDescent="0.25">
      <c r="A35" s="42" t="s">
        <v>940</v>
      </c>
      <c r="B35" s="27" t="s">
        <v>916</v>
      </c>
      <c r="C35" s="28" t="s">
        <v>917</v>
      </c>
      <c r="D35" s="28" t="s">
        <v>917</v>
      </c>
      <c r="E35" s="290" t="s">
        <v>34</v>
      </c>
      <c r="F35" s="291"/>
      <c r="G35" s="91">
        <f>+ROUND(Návrh!G32,-3)/$X$2</f>
        <v>-48159</v>
      </c>
      <c r="H35" s="91">
        <f>+ROUND(Návrh!H32,-3)/$X$2</f>
        <v>-50782</v>
      </c>
      <c r="I35" s="91">
        <f>+ROUND(Návrh!I32,-3)/$X$2</f>
        <v>-50448</v>
      </c>
      <c r="J35" s="91" t="e">
        <f>+ROUND(Návrh!#REF!,-3)/$X$2</f>
        <v>#REF!</v>
      </c>
      <c r="K35" s="91">
        <f>+ROUND(Návrh!J32,-3)/$X$2</f>
        <v>0</v>
      </c>
      <c r="L35" s="91">
        <f>+ROUND(Návrh!K32,-3)/$X$2</f>
        <v>-58549</v>
      </c>
      <c r="M35" s="70"/>
    </row>
    <row r="36" spans="1:13" x14ac:dyDescent="0.25">
      <c r="A36" s="42" t="s">
        <v>941</v>
      </c>
      <c r="B36" s="27" t="s">
        <v>916</v>
      </c>
      <c r="C36" s="28" t="s">
        <v>917</v>
      </c>
      <c r="D36" s="28" t="s">
        <v>917</v>
      </c>
      <c r="E36" s="290" t="s">
        <v>35</v>
      </c>
      <c r="F36" s="291"/>
      <c r="G36" s="91">
        <f>+ROUND(Návrh!G33,-3)/$X$2</f>
        <v>-13421</v>
      </c>
      <c r="H36" s="91">
        <f>+ROUND(Návrh!H33,-3)/$X$2</f>
        <v>-12155</v>
      </c>
      <c r="I36" s="91">
        <f>+ROUND(Návrh!I33,-3)/$X$2</f>
        <v>-12041</v>
      </c>
      <c r="J36" s="91" t="e">
        <f>+ROUND(Návrh!#REF!,-3)/$X$2</f>
        <v>#REF!</v>
      </c>
      <c r="K36" s="91">
        <f>+ROUND(Návrh!J33,-3)/$X$2</f>
        <v>0</v>
      </c>
      <c r="L36" s="91">
        <f>+ROUND(Návrh!K33,-3)/$X$2</f>
        <v>-12546</v>
      </c>
      <c r="M36" s="70"/>
    </row>
    <row r="37" spans="1:13" x14ac:dyDescent="0.25">
      <c r="A37" s="42" t="s">
        <v>942</v>
      </c>
      <c r="B37" s="27" t="s">
        <v>916</v>
      </c>
      <c r="C37" s="28" t="s">
        <v>917</v>
      </c>
      <c r="D37" s="28" t="s">
        <v>917</v>
      </c>
      <c r="E37" s="290" t="s">
        <v>36</v>
      </c>
      <c r="F37" s="291"/>
      <c r="G37" s="91">
        <f>+ROUND(Návrh!G34,-3)/$X$2</f>
        <v>-7704</v>
      </c>
      <c r="H37" s="91">
        <f>+ROUND(Návrh!H34,-3)/$X$2</f>
        <v>-7970</v>
      </c>
      <c r="I37" s="91">
        <f>+ROUND(Návrh!I34,-3)/$X$2</f>
        <v>-7960</v>
      </c>
      <c r="J37" s="91" t="e">
        <f>+ROUND(Návrh!#REF!,-3)/$X$2</f>
        <v>#REF!</v>
      </c>
      <c r="K37" s="91">
        <f>+ROUND(Návrh!J34,-3)/$X$2</f>
        <v>0</v>
      </c>
      <c r="L37" s="91">
        <f>+ROUND(Návrh!K34,-3)/$X$2</f>
        <v>-9290</v>
      </c>
      <c r="M37" s="70"/>
    </row>
    <row r="38" spans="1:13" x14ac:dyDescent="0.25">
      <c r="A38" s="42" t="s">
        <v>943</v>
      </c>
      <c r="B38" s="27" t="s">
        <v>916</v>
      </c>
      <c r="C38" s="28" t="s">
        <v>917</v>
      </c>
      <c r="D38" s="28" t="s">
        <v>917</v>
      </c>
      <c r="E38" s="290" t="s">
        <v>37</v>
      </c>
      <c r="F38" s="291"/>
      <c r="G38" s="91">
        <f>+ROUND(Návrh!G35,-3)/$X$2</f>
        <v>-19327</v>
      </c>
      <c r="H38" s="91">
        <f>+ROUND(Návrh!H35,-3)/$X$2</f>
        <v>-20720</v>
      </c>
      <c r="I38" s="91">
        <f>+ROUND(Návrh!I35,-3)/$X$2</f>
        <v>-19610</v>
      </c>
      <c r="J38" s="91" t="e">
        <f>+ROUND(Návrh!#REF!,-3)/$X$2</f>
        <v>#REF!</v>
      </c>
      <c r="K38" s="91">
        <f>+ROUND(Návrh!J35,-3)/$X$2</f>
        <v>0</v>
      </c>
      <c r="L38" s="91">
        <f>+ROUND(Návrh!K35,-3)/$X$2</f>
        <v>-35447</v>
      </c>
      <c r="M38" s="70"/>
    </row>
    <row r="39" spans="1:13" x14ac:dyDescent="0.25">
      <c r="A39" s="42" t="s">
        <v>944</v>
      </c>
      <c r="B39" s="27" t="s">
        <v>916</v>
      </c>
      <c r="C39" s="28" t="s">
        <v>917</v>
      </c>
      <c r="D39" s="28" t="s">
        <v>917</v>
      </c>
      <c r="E39" s="290" t="s">
        <v>38</v>
      </c>
      <c r="F39" s="291"/>
      <c r="G39" s="91">
        <f>+ROUND(Návrh!G36,-3)/$X$2</f>
        <v>-4089</v>
      </c>
      <c r="H39" s="91">
        <f>+ROUND(Návrh!H36,-3)/$X$2</f>
        <v>-3803</v>
      </c>
      <c r="I39" s="91">
        <f>+ROUND(Návrh!I36,-3)/$X$2</f>
        <v>-3807</v>
      </c>
      <c r="J39" s="91" t="e">
        <f>+ROUND(Návrh!#REF!,-3)/$X$2</f>
        <v>#REF!</v>
      </c>
      <c r="K39" s="91">
        <f>+ROUND(Návrh!J36,-3)/$X$2</f>
        <v>0</v>
      </c>
      <c r="L39" s="91">
        <f>+ROUND(Návrh!K36,-3)/$X$2</f>
        <v>-3841</v>
      </c>
      <c r="M39" s="70"/>
    </row>
    <row r="40" spans="1:13" x14ac:dyDescent="0.25">
      <c r="A40" s="42" t="s">
        <v>945</v>
      </c>
      <c r="B40" s="27" t="s">
        <v>916</v>
      </c>
      <c r="C40" s="28" t="s">
        <v>917</v>
      </c>
      <c r="D40" s="28" t="s">
        <v>917</v>
      </c>
      <c r="E40" s="290" t="s">
        <v>39</v>
      </c>
      <c r="F40" s="291"/>
      <c r="G40" s="91">
        <f>+ROUND(Návrh!G37,-3)/$X$2</f>
        <v>-20976</v>
      </c>
      <c r="H40" s="91">
        <f>+ROUND(Návrh!H37,-3)/$X$2</f>
        <v>-23233</v>
      </c>
      <c r="I40" s="91">
        <f>+ROUND(Návrh!I37,-3)/$X$2</f>
        <v>-23445</v>
      </c>
      <c r="J40" s="91" t="e">
        <f>+ROUND(Návrh!#REF!,-3)/$X$2</f>
        <v>#REF!</v>
      </c>
      <c r="K40" s="91">
        <f>+ROUND(Návrh!J37,-3)/$X$2</f>
        <v>0</v>
      </c>
      <c r="L40" s="91">
        <f>+ROUND(Návrh!K37,-3)/$X$2</f>
        <v>-21377</v>
      </c>
      <c r="M40" s="70"/>
    </row>
    <row r="41" spans="1:13" x14ac:dyDescent="0.25">
      <c r="A41" s="42" t="s">
        <v>946</v>
      </c>
      <c r="B41" s="27" t="s">
        <v>916</v>
      </c>
      <c r="C41" s="28" t="s">
        <v>917</v>
      </c>
      <c r="D41" s="28" t="s">
        <v>917</v>
      </c>
      <c r="E41" s="290" t="s">
        <v>40</v>
      </c>
      <c r="F41" s="291"/>
      <c r="G41" s="91">
        <f>+ROUND(Návrh!G38,-3)/$X$2</f>
        <v>-13331</v>
      </c>
      <c r="H41" s="91">
        <f>+ROUND(Návrh!H38,-3)/$X$2</f>
        <v>-12499</v>
      </c>
      <c r="I41" s="91">
        <f>+ROUND(Návrh!I38,-3)/$X$2</f>
        <v>-12205</v>
      </c>
      <c r="J41" s="91" t="e">
        <f>+ROUND(Návrh!#REF!,-3)/$X$2</f>
        <v>#REF!</v>
      </c>
      <c r="K41" s="91">
        <f>+ROUND(Návrh!J38,-3)/$X$2</f>
        <v>0</v>
      </c>
      <c r="L41" s="91">
        <f>+ROUND(Návrh!K38,-3)/$X$2</f>
        <v>-11471</v>
      </c>
      <c r="M41" s="70"/>
    </row>
    <row r="42" spans="1:13" x14ac:dyDescent="0.25">
      <c r="A42" s="42" t="s">
        <v>947</v>
      </c>
      <c r="B42" s="27" t="s">
        <v>916</v>
      </c>
      <c r="C42" s="28" t="s">
        <v>917</v>
      </c>
      <c r="D42" s="28" t="s">
        <v>917</v>
      </c>
      <c r="E42" s="290" t="s">
        <v>41</v>
      </c>
      <c r="F42" s="291"/>
      <c r="G42" s="91">
        <f>+ROUND(Návrh!G39,-3)/$X$2</f>
        <v>-202</v>
      </c>
      <c r="H42" s="91">
        <f>+ROUND(Návrh!H39,-3)/$X$2</f>
        <v>-246</v>
      </c>
      <c r="I42" s="91">
        <f>+ROUND(Návrh!I39,-3)/$X$2</f>
        <v>-360</v>
      </c>
      <c r="J42" s="91" t="e">
        <f>+ROUND(Návrh!#REF!,-3)/$X$2</f>
        <v>#REF!</v>
      </c>
      <c r="K42" s="91">
        <f>+ROUND(Návrh!J39,-3)/$X$2</f>
        <v>0</v>
      </c>
      <c r="L42" s="91">
        <f>+ROUND(Návrh!K39,-3)/$X$2</f>
        <v>-300</v>
      </c>
      <c r="M42" s="70"/>
    </row>
    <row r="43" spans="1:13" x14ac:dyDescent="0.25">
      <c r="A43" s="42" t="s">
        <v>948</v>
      </c>
      <c r="B43" s="27" t="s">
        <v>916</v>
      </c>
      <c r="C43" s="28" t="s">
        <v>917</v>
      </c>
      <c r="D43" s="28" t="s">
        <v>917</v>
      </c>
      <c r="E43" s="290" t="s">
        <v>42</v>
      </c>
      <c r="F43" s="291"/>
      <c r="G43" s="91">
        <f>+ROUND(Návrh!G40,-3)/$X$2</f>
        <v>-881038</v>
      </c>
      <c r="H43" s="91">
        <f>+ROUND(Návrh!H40,-3)/$X$2</f>
        <v>-1045394</v>
      </c>
      <c r="I43" s="91">
        <f>+ROUND(Návrh!I40,-3)/$X$2</f>
        <v>-1100000</v>
      </c>
      <c r="J43" s="91" t="e">
        <f>+ROUND(Návrh!#REF!,-3)/$X$2</f>
        <v>#REF!</v>
      </c>
      <c r="K43" s="91">
        <f>+ROUND(Návrh!J40,-3)/$X$2</f>
        <v>-1225095</v>
      </c>
      <c r="L43" s="91">
        <f>+ROUND(Návrh!K40,-3)/$X$2</f>
        <v>-1340000</v>
      </c>
      <c r="M43" s="70"/>
    </row>
    <row r="44" spans="1:13" x14ac:dyDescent="0.25">
      <c r="A44" s="42" t="s">
        <v>949</v>
      </c>
      <c r="B44" s="27" t="s">
        <v>916</v>
      </c>
      <c r="C44" s="28" t="s">
        <v>917</v>
      </c>
      <c r="D44" s="28" t="s">
        <v>917</v>
      </c>
      <c r="E44" s="290" t="s">
        <v>43</v>
      </c>
      <c r="F44" s="291"/>
      <c r="G44" s="91">
        <f>+ROUND(Návrh!G41,-3)/$X$2</f>
        <v>-94027</v>
      </c>
      <c r="H44" s="91">
        <f>+ROUND(Návrh!H41,-3)/$X$2</f>
        <v>-75085</v>
      </c>
      <c r="I44" s="91">
        <f>+ROUND(Návrh!I41,-3)/$X$2</f>
        <v>-75000</v>
      </c>
      <c r="J44" s="91" t="e">
        <f>+ROUND(Návrh!#REF!,-3)/$X$2</f>
        <v>#REF!</v>
      </c>
      <c r="K44" s="91">
        <f>+ROUND(Návrh!J41,-3)/$X$2</f>
        <v>-50223</v>
      </c>
      <c r="L44" s="91">
        <f>+ROUND(Návrh!K41,-3)/$X$2</f>
        <v>-114015</v>
      </c>
      <c r="M44" s="70"/>
    </row>
    <row r="45" spans="1:13" x14ac:dyDescent="0.25">
      <c r="A45" s="42" t="s">
        <v>950</v>
      </c>
      <c r="B45" s="28" t="s">
        <v>916</v>
      </c>
      <c r="C45" s="28" t="s">
        <v>917</v>
      </c>
      <c r="D45" s="28" t="s">
        <v>917</v>
      </c>
      <c r="E45" s="290" t="s">
        <v>44</v>
      </c>
      <c r="F45" s="291"/>
      <c r="G45" s="91">
        <f>+ROUND(Návrh!G42,-3)/$X$2</f>
        <v>-5771</v>
      </c>
      <c r="H45" s="91">
        <f>+ROUND(Návrh!H42,-3)/$X$2</f>
        <v>-5289</v>
      </c>
      <c r="I45" s="91">
        <f>+ROUND(Návrh!I42,-3)/$X$2</f>
        <v>-5977</v>
      </c>
      <c r="J45" s="91" t="e">
        <f>+ROUND(Návrh!#REF!,-3)/$X$2</f>
        <v>#REF!</v>
      </c>
      <c r="K45" s="91">
        <f>+ROUND(Návrh!J42,-3)/$X$2</f>
        <v>0</v>
      </c>
      <c r="L45" s="91">
        <f>+ROUND(Návrh!K42,-3)/$X$2</f>
        <v>-6370</v>
      </c>
      <c r="M45" s="70"/>
    </row>
    <row r="46" spans="1:13" x14ac:dyDescent="0.25">
      <c r="A46" s="42" t="s">
        <v>951</v>
      </c>
      <c r="B46" s="20" t="s">
        <v>922</v>
      </c>
      <c r="C46" s="20" t="s">
        <v>923</v>
      </c>
      <c r="D46" s="20" t="s">
        <v>922</v>
      </c>
      <c r="E46" s="290" t="s">
        <v>45</v>
      </c>
      <c r="F46" s="291"/>
      <c r="G46" s="91">
        <f>+ROUND(Návrh!G43,-3)/$X$2</f>
        <v>83582</v>
      </c>
      <c r="H46" s="91">
        <f>+ROUND(Návrh!H43,-3)/$X$2</f>
        <v>0</v>
      </c>
      <c r="I46" s="91">
        <f>+ROUND(Návrh!I43,-3)/$X$2</f>
        <v>0</v>
      </c>
      <c r="J46" s="91" t="e">
        <f>+ROUND(Návrh!#REF!,-3)/$X$2</f>
        <v>#REF!</v>
      </c>
      <c r="K46" s="91">
        <f>+ROUND(Návrh!J43,-3)/$X$2</f>
        <v>0</v>
      </c>
      <c r="L46" s="91">
        <f>+ROUND(Návrh!K43,-3)/$X$2</f>
        <v>10539</v>
      </c>
      <c r="M46" s="70"/>
    </row>
    <row r="47" spans="1:13" x14ac:dyDescent="0.25">
      <c r="A47" s="26" t="s">
        <v>952</v>
      </c>
      <c r="B47" s="24"/>
      <c r="C47" s="23"/>
      <c r="D47" s="23"/>
      <c r="E47" s="300" t="s">
        <v>46</v>
      </c>
      <c r="F47" s="301"/>
      <c r="G47" s="95">
        <f>+ROUND(Návrh!G44,-3)/$X$2</f>
        <v>-67719</v>
      </c>
      <c r="H47" s="95">
        <f>+ROUND(Návrh!H44,-3)/$X$2</f>
        <v>-65482</v>
      </c>
      <c r="I47" s="95">
        <f>+ROUND(Návrh!I44,-3)/$X$2</f>
        <v>-68700</v>
      </c>
      <c r="J47" s="95" t="e">
        <f>+ROUND(Návrh!#REF!,-3)/$X$2</f>
        <v>#REF!</v>
      </c>
      <c r="K47" s="95">
        <f>+ROUND(Návrh!J44,-3)/$X$2</f>
        <v>0</v>
      </c>
      <c r="L47" s="95">
        <f>+ROUND(Návrh!K44,-3)/$X$2</f>
        <v>-72131</v>
      </c>
      <c r="M47" s="70"/>
    </row>
    <row r="48" spans="1:13" x14ac:dyDescent="0.25">
      <c r="A48" s="42" t="s">
        <v>953</v>
      </c>
      <c r="B48" s="20" t="s">
        <v>922</v>
      </c>
      <c r="C48" s="20" t="s">
        <v>919</v>
      </c>
      <c r="D48" s="20" t="s">
        <v>924</v>
      </c>
      <c r="E48" s="290" t="s">
        <v>47</v>
      </c>
      <c r="F48" s="291"/>
      <c r="G48" s="91">
        <f>+ROUND(Návrh!G45,-3)/$X$2</f>
        <v>-63240</v>
      </c>
      <c r="H48" s="91">
        <f>+ROUND(Návrh!H45,-3)/$X$2</f>
        <v>-61658</v>
      </c>
      <c r="I48" s="91">
        <f>+ROUND(Návrh!I45,-3)/$X$2</f>
        <v>-64700</v>
      </c>
      <c r="J48" s="91" t="e">
        <f>+ROUND(Návrh!#REF!,-3)/$X$2</f>
        <v>#REF!</v>
      </c>
      <c r="K48" s="91">
        <f>+ROUND(Návrh!J45,-3)/$X$2</f>
        <v>0</v>
      </c>
      <c r="L48" s="91">
        <f>+ROUND(Návrh!K45,-3)/$X$2</f>
        <v>-67665</v>
      </c>
      <c r="M48" s="70"/>
    </row>
    <row r="49" spans="1:13" x14ac:dyDescent="0.25">
      <c r="A49" s="42" t="s">
        <v>954</v>
      </c>
      <c r="B49" s="20" t="s">
        <v>922</v>
      </c>
      <c r="C49" s="20" t="s">
        <v>919</v>
      </c>
      <c r="D49" s="20" t="s">
        <v>924</v>
      </c>
      <c r="E49" s="290" t="s">
        <v>48</v>
      </c>
      <c r="F49" s="291"/>
      <c r="G49" s="91">
        <f>+ROUND(Návrh!G46,-3)/$X$2</f>
        <v>-4479</v>
      </c>
      <c r="H49" s="91">
        <f>+ROUND(Návrh!H46,-3)/$X$2</f>
        <v>-3823</v>
      </c>
      <c r="I49" s="91">
        <f>+ROUND(Návrh!I46,-3)/$X$2</f>
        <v>-4000</v>
      </c>
      <c r="J49" s="91" t="e">
        <f>+ROUND(Návrh!#REF!,-3)/$X$2</f>
        <v>#REF!</v>
      </c>
      <c r="K49" s="91">
        <f>+ROUND(Návrh!J46,-3)/$X$2</f>
        <v>0</v>
      </c>
      <c r="L49" s="91">
        <f>+ROUND(Návrh!K46,-3)/$X$2</f>
        <v>-4466</v>
      </c>
      <c r="M49" s="70"/>
    </row>
    <row r="50" spans="1:13" x14ac:dyDescent="0.25">
      <c r="A50" s="26" t="s">
        <v>955</v>
      </c>
      <c r="B50" s="26"/>
      <c r="C50" s="23"/>
      <c r="D50" s="23"/>
      <c r="E50" s="300" t="s">
        <v>49</v>
      </c>
      <c r="F50" s="301"/>
      <c r="G50" s="95">
        <f>+ROUND(Návrh!G47,-3)/$X$2</f>
        <v>-805100</v>
      </c>
      <c r="H50" s="95">
        <f>+ROUND(Návrh!H47,-3)/$X$2</f>
        <v>-926475</v>
      </c>
      <c r="I50" s="95">
        <f>+ROUND(Návrh!I47,-3)/$X$2</f>
        <v>-965611</v>
      </c>
      <c r="J50" s="95" t="e">
        <f>+ROUND(Návrh!#REF!,-3)/$X$2</f>
        <v>#REF!</v>
      </c>
      <c r="K50" s="95">
        <f>+ROUND(Návrh!J47,-3)/$X$2</f>
        <v>0</v>
      </c>
      <c r="L50" s="95">
        <f>+ROUND(Návrh!K47,-3)/$X$2</f>
        <v>-1035000</v>
      </c>
      <c r="M50" s="70"/>
    </row>
    <row r="51" spans="1:13" x14ac:dyDescent="0.25">
      <c r="A51" s="42" t="s">
        <v>956</v>
      </c>
      <c r="B51" s="27" t="s">
        <v>916</v>
      </c>
      <c r="C51" s="28" t="s">
        <v>917</v>
      </c>
      <c r="D51" s="28" t="s">
        <v>917</v>
      </c>
      <c r="E51" s="290" t="s">
        <v>50</v>
      </c>
      <c r="F51" s="291"/>
      <c r="G51" s="91">
        <f>+ROUND(Návrh!G48,-3)/$X$2</f>
        <v>-22721</v>
      </c>
      <c r="H51" s="91">
        <f>+ROUND(Návrh!H48,-3)/$X$2</f>
        <v>-24668</v>
      </c>
      <c r="I51" s="91">
        <f>+ROUND(Návrh!I48,-3)/$X$2</f>
        <v>-27550</v>
      </c>
      <c r="J51" s="91" t="e">
        <f>+ROUND(Návrh!#REF!,-3)/$X$2</f>
        <v>#REF!</v>
      </c>
      <c r="K51" s="91">
        <f>+ROUND(Návrh!J48,-3)/$X$2</f>
        <v>0</v>
      </c>
      <c r="L51" s="91">
        <f>+ROUND(Návrh!K48,-3)/$X$2</f>
        <v>-25000</v>
      </c>
      <c r="M51" s="70"/>
    </row>
    <row r="52" spans="1:13" x14ac:dyDescent="0.25">
      <c r="A52" s="42" t="s">
        <v>957</v>
      </c>
      <c r="B52" s="27" t="s">
        <v>916</v>
      </c>
      <c r="C52" s="28" t="s">
        <v>917</v>
      </c>
      <c r="D52" s="28" t="s">
        <v>917</v>
      </c>
      <c r="E52" s="290" t="s">
        <v>51</v>
      </c>
      <c r="F52" s="291"/>
      <c r="G52" s="91">
        <f>+ROUND(Návrh!G49,-3)/$X$2</f>
        <v>-137727</v>
      </c>
      <c r="H52" s="91">
        <f>+ROUND(Návrh!H49,-3)/$X$2</f>
        <v>-135329</v>
      </c>
      <c r="I52" s="91">
        <f>+ROUND(Návrh!I49,-3)/$X$2</f>
        <v>-136060</v>
      </c>
      <c r="J52" s="91" t="e">
        <f>+ROUND(Návrh!#REF!,-3)/$X$2</f>
        <v>#REF!</v>
      </c>
      <c r="K52" s="91">
        <f>+ROUND(Návrh!J49,-3)/$X$2</f>
        <v>0</v>
      </c>
      <c r="L52" s="91">
        <f>+ROUND(Návrh!K49,-3)/$X$2</f>
        <v>-145000</v>
      </c>
      <c r="M52" s="70"/>
    </row>
    <row r="53" spans="1:13" x14ac:dyDescent="0.25">
      <c r="A53" s="42" t="s">
        <v>958</v>
      </c>
      <c r="B53" s="27" t="s">
        <v>916</v>
      </c>
      <c r="C53" s="28" t="s">
        <v>917</v>
      </c>
      <c r="D53" s="28" t="s">
        <v>917</v>
      </c>
      <c r="E53" s="290" t="s">
        <v>52</v>
      </c>
      <c r="F53" s="291"/>
      <c r="G53" s="91">
        <f>+ROUND(Návrh!G50,-3)/$X$2</f>
        <v>-30159</v>
      </c>
      <c r="H53" s="91">
        <f>+ROUND(Návrh!H50,-3)/$X$2</f>
        <v>-30680</v>
      </c>
      <c r="I53" s="91">
        <f>+ROUND(Návrh!I50,-3)/$X$2</f>
        <v>-30530</v>
      </c>
      <c r="J53" s="91" t="e">
        <f>+ROUND(Návrh!#REF!,-3)/$X$2</f>
        <v>#REF!</v>
      </c>
      <c r="K53" s="91">
        <f>+ROUND(Návrh!J50,-3)/$X$2</f>
        <v>0</v>
      </c>
      <c r="L53" s="91">
        <f>+ROUND(Návrh!K50,-3)/$X$2</f>
        <v>-27500</v>
      </c>
      <c r="M53" s="70"/>
    </row>
    <row r="54" spans="1:13" x14ac:dyDescent="0.25">
      <c r="A54" s="42" t="s">
        <v>959</v>
      </c>
      <c r="B54" s="27" t="s">
        <v>916</v>
      </c>
      <c r="C54" s="28" t="s">
        <v>917</v>
      </c>
      <c r="D54" s="28" t="s">
        <v>917</v>
      </c>
      <c r="E54" s="290" t="s">
        <v>53</v>
      </c>
      <c r="F54" s="291"/>
      <c r="G54" s="91">
        <f>+ROUND(Návrh!G51,-3)/$X$2</f>
        <v>-34088</v>
      </c>
      <c r="H54" s="91">
        <f>+ROUND(Návrh!H51,-3)/$X$2</f>
        <v>-38417</v>
      </c>
      <c r="I54" s="91">
        <f>+ROUND(Návrh!I51,-3)/$X$2</f>
        <v>-38800</v>
      </c>
      <c r="J54" s="91" t="e">
        <f>+ROUND(Návrh!#REF!,-3)/$X$2</f>
        <v>#REF!</v>
      </c>
      <c r="K54" s="91">
        <f>+ROUND(Návrh!J51,-3)/$X$2</f>
        <v>0</v>
      </c>
      <c r="L54" s="91">
        <f>+ROUND(Návrh!K51,-3)/$X$2</f>
        <v>-44964</v>
      </c>
      <c r="M54" s="70"/>
    </row>
    <row r="55" spans="1:13" x14ac:dyDescent="0.25">
      <c r="A55" s="42" t="s">
        <v>960</v>
      </c>
      <c r="B55" s="27" t="s">
        <v>916</v>
      </c>
      <c r="C55" s="28" t="s">
        <v>917</v>
      </c>
      <c r="D55" s="28" t="s">
        <v>917</v>
      </c>
      <c r="E55" s="290" t="s">
        <v>54</v>
      </c>
      <c r="F55" s="291"/>
      <c r="G55" s="91">
        <f>+ROUND(Návrh!G52,-3)/$X$2</f>
        <v>-7804</v>
      </c>
      <c r="H55" s="91">
        <f>+ROUND(Návrh!H52,-3)/$X$2</f>
        <v>-7877</v>
      </c>
      <c r="I55" s="91">
        <f>+ROUND(Návrh!I52,-3)/$X$2</f>
        <v>-8000</v>
      </c>
      <c r="J55" s="91" t="e">
        <f>+ROUND(Návrh!#REF!,-3)/$X$2</f>
        <v>#REF!</v>
      </c>
      <c r="K55" s="91">
        <f>+ROUND(Návrh!J52,-3)/$X$2</f>
        <v>0</v>
      </c>
      <c r="L55" s="91">
        <f>+ROUND(Návrh!K52,-3)/$X$2</f>
        <v>-8000</v>
      </c>
      <c r="M55" s="70"/>
    </row>
    <row r="56" spans="1:13" x14ac:dyDescent="0.25">
      <c r="A56" s="42" t="s">
        <v>961</v>
      </c>
      <c r="B56" s="27" t="s">
        <v>916</v>
      </c>
      <c r="C56" s="28" t="s">
        <v>917</v>
      </c>
      <c r="D56" s="28" t="s">
        <v>917</v>
      </c>
      <c r="E56" s="290" t="s">
        <v>55</v>
      </c>
      <c r="F56" s="291"/>
      <c r="G56" s="91">
        <f>+ROUND(Návrh!G53,-3)/$X$2</f>
        <v>-22824</v>
      </c>
      <c r="H56" s="91">
        <f>+ROUND(Návrh!H53,-3)/$X$2</f>
        <v>-23070</v>
      </c>
      <c r="I56" s="91">
        <f>+ROUND(Návrh!I53,-3)/$X$2</f>
        <v>-28000</v>
      </c>
      <c r="J56" s="91" t="e">
        <f>+ROUND(Návrh!#REF!,-3)/$X$2</f>
        <v>#REF!</v>
      </c>
      <c r="K56" s="91">
        <f>+ROUND(Návrh!J53,-3)/$X$2</f>
        <v>0</v>
      </c>
      <c r="L56" s="91">
        <f>+ROUND(Návrh!K53,-3)/$X$2</f>
        <v>-25000</v>
      </c>
      <c r="M56" s="70"/>
    </row>
    <row r="57" spans="1:13" x14ac:dyDescent="0.25">
      <c r="A57" s="45" t="s">
        <v>962</v>
      </c>
      <c r="B57" s="27" t="s">
        <v>916</v>
      </c>
      <c r="C57" s="28" t="s">
        <v>917</v>
      </c>
      <c r="D57" s="28" t="s">
        <v>917</v>
      </c>
      <c r="E57" s="290" t="s">
        <v>56</v>
      </c>
      <c r="F57" s="291"/>
      <c r="G57" s="91">
        <f>+ROUND(Návrh!G54,-3)/$X$2</f>
        <v>-1201</v>
      </c>
      <c r="H57" s="91">
        <f>+ROUND(Návrh!H54,-3)/$X$2</f>
        <v>-659</v>
      </c>
      <c r="I57" s="91">
        <f>+ROUND(Návrh!I54,-3)/$X$2</f>
        <v>-880</v>
      </c>
      <c r="J57" s="91" t="e">
        <f>+ROUND(Návrh!#REF!,-3)/$X$2</f>
        <v>#REF!</v>
      </c>
      <c r="K57" s="91">
        <f>+ROUND(Návrh!J54,-3)/$X$2</f>
        <v>0</v>
      </c>
      <c r="L57" s="91">
        <f>+ROUND(Návrh!K54,-3)/$X$2</f>
        <v>-880</v>
      </c>
      <c r="M57" s="70"/>
    </row>
    <row r="58" spans="1:13" x14ac:dyDescent="0.25">
      <c r="A58" s="42" t="s">
        <v>963</v>
      </c>
      <c r="B58" s="27" t="s">
        <v>916</v>
      </c>
      <c r="C58" s="28" t="s">
        <v>917</v>
      </c>
      <c r="D58" s="28" t="s">
        <v>917</v>
      </c>
      <c r="E58" s="290" t="s">
        <v>57</v>
      </c>
      <c r="F58" s="291"/>
      <c r="G58" s="91">
        <f>+ROUND(Návrh!G55,-3)/$X$2</f>
        <v>0</v>
      </c>
      <c r="H58" s="91">
        <f>+ROUND(Návrh!H55,-3)/$X$2</f>
        <v>-88</v>
      </c>
      <c r="I58" s="91">
        <f>+ROUND(Návrh!I55,-3)/$X$2</f>
        <v>-100</v>
      </c>
      <c r="J58" s="91" t="e">
        <f>+ROUND(Návrh!#REF!,-3)/$X$2</f>
        <v>#REF!</v>
      </c>
      <c r="K58" s="91">
        <f>+ROUND(Návrh!J55,-3)/$X$2</f>
        <v>0</v>
      </c>
      <c r="L58" s="91">
        <f>+ROUND(Návrh!K55,-3)/$X$2</f>
        <v>-100</v>
      </c>
      <c r="M58" s="70"/>
    </row>
    <row r="59" spans="1:13" x14ac:dyDescent="0.25">
      <c r="A59" s="42" t="s">
        <v>964</v>
      </c>
      <c r="B59" s="27" t="s">
        <v>916</v>
      </c>
      <c r="C59" s="28" t="s">
        <v>917</v>
      </c>
      <c r="D59" s="28" t="s">
        <v>917</v>
      </c>
      <c r="E59" s="290" t="s">
        <v>58</v>
      </c>
      <c r="F59" s="291"/>
      <c r="G59" s="91">
        <f>+ROUND(Návrh!G56,-3)/$X$2</f>
        <v>-25390</v>
      </c>
      <c r="H59" s="91">
        <f>+ROUND(Návrh!H56,-3)/$X$2</f>
        <v>-25115</v>
      </c>
      <c r="I59" s="91">
        <f>+ROUND(Návrh!I56,-3)/$X$2</f>
        <v>-26200</v>
      </c>
      <c r="J59" s="91" t="e">
        <f>+ROUND(Návrh!#REF!,-3)/$X$2</f>
        <v>#REF!</v>
      </c>
      <c r="K59" s="91">
        <f>+ROUND(Návrh!J56,-3)/$X$2</f>
        <v>0</v>
      </c>
      <c r="L59" s="91">
        <f>+ROUND(Návrh!K56,-3)/$X$2</f>
        <v>-31000</v>
      </c>
      <c r="M59" s="70"/>
    </row>
    <row r="60" spans="1:13" x14ac:dyDescent="0.25">
      <c r="A60" s="42" t="s">
        <v>965</v>
      </c>
      <c r="B60" s="27" t="s">
        <v>916</v>
      </c>
      <c r="C60" s="28" t="s">
        <v>917</v>
      </c>
      <c r="D60" s="28" t="s">
        <v>917</v>
      </c>
      <c r="E60" s="290" t="s">
        <v>59</v>
      </c>
      <c r="F60" s="291"/>
      <c r="G60" s="91">
        <f>+ROUND(Návrh!G57,-3)/$X$2</f>
        <v>-24275</v>
      </c>
      <c r="H60" s="91">
        <f>+ROUND(Návrh!H57,-3)/$X$2</f>
        <v>-26387</v>
      </c>
      <c r="I60" s="91">
        <f>+ROUND(Návrh!I57,-3)/$X$2</f>
        <v>-25585</v>
      </c>
      <c r="J60" s="91" t="e">
        <f>+ROUND(Návrh!#REF!,-3)/$X$2</f>
        <v>#REF!</v>
      </c>
      <c r="K60" s="91">
        <f>+ROUND(Návrh!J57,-3)/$X$2</f>
        <v>0</v>
      </c>
      <c r="L60" s="91">
        <f>+ROUND(Návrh!K57,-3)/$X$2</f>
        <v>-28706</v>
      </c>
      <c r="M60" s="70"/>
    </row>
    <row r="61" spans="1:13" x14ac:dyDescent="0.25">
      <c r="A61" s="42" t="s">
        <v>966</v>
      </c>
      <c r="B61" s="27" t="s">
        <v>916</v>
      </c>
      <c r="C61" s="28" t="s">
        <v>917</v>
      </c>
      <c r="D61" s="28" t="s">
        <v>917</v>
      </c>
      <c r="E61" s="290" t="s">
        <v>60</v>
      </c>
      <c r="F61" s="291"/>
      <c r="G61" s="91">
        <f>+ROUND(Návrh!G58,-3)/$X$2</f>
        <v>-4100</v>
      </c>
      <c r="H61" s="91">
        <f>+ROUND(Návrh!H58,-3)/$X$2</f>
        <v>-2139</v>
      </c>
      <c r="I61" s="91">
        <f>+ROUND(Návrh!I58,-3)/$X$2</f>
        <v>0</v>
      </c>
      <c r="J61" s="91" t="e">
        <f>+ROUND(Návrh!#REF!,-3)/$X$2</f>
        <v>#REF!</v>
      </c>
      <c r="K61" s="91">
        <f>+ROUND(Návrh!J58,-3)/$X$2</f>
        <v>0</v>
      </c>
      <c r="L61" s="91">
        <f>+ROUND(Návrh!K58,-3)/$X$2</f>
        <v>-2200</v>
      </c>
      <c r="M61" s="70"/>
    </row>
    <row r="62" spans="1:13" x14ac:dyDescent="0.25">
      <c r="A62" s="42" t="s">
        <v>967</v>
      </c>
      <c r="B62" s="27" t="s">
        <v>916</v>
      </c>
      <c r="C62" s="28" t="s">
        <v>917</v>
      </c>
      <c r="D62" s="28" t="s">
        <v>917</v>
      </c>
      <c r="E62" s="290" t="s">
        <v>61</v>
      </c>
      <c r="F62" s="291"/>
      <c r="G62" s="91">
        <f>+ROUND(Návrh!G59,-3)/$X$2</f>
        <v>-600</v>
      </c>
      <c r="H62" s="91">
        <f>+ROUND(Návrh!H59,-3)/$X$2</f>
        <v>-4199</v>
      </c>
      <c r="I62" s="91">
        <f>+ROUND(Návrh!I59,-3)/$X$2</f>
        <v>-15000</v>
      </c>
      <c r="J62" s="91" t="e">
        <f>+ROUND(Návrh!#REF!,-3)/$X$2</f>
        <v>#REF!</v>
      </c>
      <c r="K62" s="91">
        <f>+ROUND(Návrh!J59,-3)/$X$2</f>
        <v>0</v>
      </c>
      <c r="L62" s="91">
        <f>+ROUND(Návrh!K59,-3)/$X$2</f>
        <v>-15000</v>
      </c>
      <c r="M62" s="70"/>
    </row>
    <row r="63" spans="1:13" x14ac:dyDescent="0.25">
      <c r="A63" s="42" t="s">
        <v>968</v>
      </c>
      <c r="B63" s="27" t="s">
        <v>916</v>
      </c>
      <c r="C63" s="28" t="s">
        <v>917</v>
      </c>
      <c r="D63" s="28" t="s">
        <v>917</v>
      </c>
      <c r="E63" s="290" t="s">
        <v>62</v>
      </c>
      <c r="F63" s="291"/>
      <c r="G63" s="91">
        <f>+ROUND(Návrh!G60,-3)/$X$2</f>
        <v>0</v>
      </c>
      <c r="H63" s="91">
        <f>+ROUND(Návrh!H60,-3)/$X$2</f>
        <v>-720</v>
      </c>
      <c r="I63" s="91">
        <f>+ROUND(Návrh!I60,-3)/$X$2</f>
        <v>0</v>
      </c>
      <c r="J63" s="91" t="e">
        <f>+ROUND(Návrh!#REF!,-3)/$X$2</f>
        <v>#REF!</v>
      </c>
      <c r="K63" s="91">
        <f>+ROUND(Návrh!J60,-3)/$X$2</f>
        <v>0</v>
      </c>
      <c r="L63" s="91">
        <f>+ROUND(Návrh!K60,-3)/$X$2</f>
        <v>-3000</v>
      </c>
      <c r="M63" s="70"/>
    </row>
    <row r="64" spans="1:13" x14ac:dyDescent="0.25">
      <c r="A64" s="42" t="s">
        <v>969</v>
      </c>
      <c r="B64" s="27" t="s">
        <v>916</v>
      </c>
      <c r="C64" s="28" t="s">
        <v>917</v>
      </c>
      <c r="D64" s="28" t="s">
        <v>917</v>
      </c>
      <c r="E64" s="290" t="s">
        <v>63</v>
      </c>
      <c r="F64" s="291"/>
      <c r="G64" s="91">
        <f>+ROUND(Návrh!G61,-3)/$X$2</f>
        <v>-184117</v>
      </c>
      <c r="H64" s="91">
        <f>+ROUND(Návrh!H61,-3)/$X$2</f>
        <v>-187234</v>
      </c>
      <c r="I64" s="91">
        <f>+ROUND(Návrh!I61,-3)/$X$2</f>
        <v>-186119</v>
      </c>
      <c r="J64" s="91" t="e">
        <f>+ROUND(Návrh!#REF!,-3)/$X$2</f>
        <v>#REF!</v>
      </c>
      <c r="K64" s="91">
        <f>+ROUND(Návrh!J61,-3)/$X$2</f>
        <v>0</v>
      </c>
      <c r="L64" s="91">
        <f>+ROUND(Návrh!K61,-3)/$X$2</f>
        <v>-203206</v>
      </c>
      <c r="M64" s="70"/>
    </row>
    <row r="65" spans="1:13" x14ac:dyDescent="0.25">
      <c r="A65" s="42" t="s">
        <v>970</v>
      </c>
      <c r="B65" s="27" t="s">
        <v>916</v>
      </c>
      <c r="C65" s="28" t="s">
        <v>917</v>
      </c>
      <c r="D65" s="28" t="s">
        <v>917</v>
      </c>
      <c r="E65" s="290" t="s">
        <v>64</v>
      </c>
      <c r="F65" s="291"/>
      <c r="G65" s="91">
        <f>+ROUND(Návrh!G62,-3)/$X$2</f>
        <v>-1289</v>
      </c>
      <c r="H65" s="91">
        <f>+ROUND(Návrh!H62,-3)/$X$2</f>
        <v>-1324</v>
      </c>
      <c r="I65" s="91">
        <f>+ROUND(Návrh!I62,-3)/$X$2</f>
        <v>-1186</v>
      </c>
      <c r="J65" s="91" t="e">
        <f>+ROUND(Návrh!#REF!,-3)/$X$2</f>
        <v>#REF!</v>
      </c>
      <c r="K65" s="91">
        <f>+ROUND(Návrh!J62,-3)/$X$2</f>
        <v>0</v>
      </c>
      <c r="L65" s="91">
        <f>+ROUND(Návrh!K62,-3)/$X$2</f>
        <v>-1026</v>
      </c>
      <c r="M65" s="70"/>
    </row>
    <row r="66" spans="1:13" x14ac:dyDescent="0.25">
      <c r="A66" s="42" t="s">
        <v>971</v>
      </c>
      <c r="B66" s="27" t="s">
        <v>916</v>
      </c>
      <c r="C66" s="28" t="s">
        <v>917</v>
      </c>
      <c r="D66" s="28" t="s">
        <v>917</v>
      </c>
      <c r="E66" s="290" t="s">
        <v>65</v>
      </c>
      <c r="F66" s="291"/>
      <c r="G66" s="91">
        <f>+ROUND(Návrh!G63,-3)/$X$2</f>
        <v>-6378</v>
      </c>
      <c r="H66" s="91">
        <f>+ROUND(Návrh!H63,-3)/$X$2</f>
        <v>-6444</v>
      </c>
      <c r="I66" s="91">
        <f>+ROUND(Návrh!I63,-3)/$X$2</f>
        <v>-5600</v>
      </c>
      <c r="J66" s="91" t="e">
        <f>+ROUND(Návrh!#REF!,-3)/$X$2</f>
        <v>#REF!</v>
      </c>
      <c r="K66" s="91">
        <f>+ROUND(Návrh!J63,-3)/$X$2</f>
        <v>0</v>
      </c>
      <c r="L66" s="91">
        <f>+ROUND(Návrh!K63,-3)/$X$2</f>
        <v>-5971</v>
      </c>
      <c r="M66" s="70"/>
    </row>
    <row r="67" spans="1:13" x14ac:dyDescent="0.25">
      <c r="A67" s="42" t="s">
        <v>972</v>
      </c>
      <c r="B67" s="27" t="s">
        <v>916</v>
      </c>
      <c r="C67" s="28" t="s">
        <v>917</v>
      </c>
      <c r="D67" s="28" t="s">
        <v>917</v>
      </c>
      <c r="E67" s="290" t="s">
        <v>66</v>
      </c>
      <c r="F67" s="291"/>
      <c r="G67" s="91">
        <f>+ROUND(Návrh!G64,-3)/$X$2</f>
        <v>-20236</v>
      </c>
      <c r="H67" s="91">
        <f>+ROUND(Návrh!H64,-3)/$X$2</f>
        <v>-21841</v>
      </c>
      <c r="I67" s="91">
        <f>+ROUND(Návrh!I64,-3)/$X$2</f>
        <v>-21223</v>
      </c>
      <c r="J67" s="91" t="e">
        <f>+ROUND(Návrh!#REF!,-3)/$X$2</f>
        <v>#REF!</v>
      </c>
      <c r="K67" s="91">
        <f>+ROUND(Návrh!J64,-3)/$X$2</f>
        <v>0</v>
      </c>
      <c r="L67" s="91">
        <f>+ROUND(Návrh!K64,-3)/$X$2</f>
        <v>-22823</v>
      </c>
      <c r="M67" s="70"/>
    </row>
    <row r="68" spans="1:13" x14ac:dyDescent="0.25">
      <c r="A68" s="42" t="s">
        <v>973</v>
      </c>
      <c r="B68" s="27" t="s">
        <v>916</v>
      </c>
      <c r="C68" s="28" t="s">
        <v>917</v>
      </c>
      <c r="D68" s="28" t="s">
        <v>917</v>
      </c>
      <c r="E68" s="290" t="s">
        <v>67</v>
      </c>
      <c r="F68" s="291"/>
      <c r="G68" s="91">
        <f>+ROUND(Návrh!G65,-3)/$X$2</f>
        <v>-116311</v>
      </c>
      <c r="H68" s="91">
        <f>+ROUND(Návrh!H65,-3)/$X$2</f>
        <v>-121117</v>
      </c>
      <c r="I68" s="91">
        <f>+ROUND(Návrh!I65,-3)/$X$2</f>
        <v>-143320</v>
      </c>
      <c r="J68" s="91" t="e">
        <f>+ROUND(Návrh!#REF!,-3)/$X$2</f>
        <v>#REF!</v>
      </c>
      <c r="K68" s="91">
        <f>+ROUND(Návrh!J65,-3)/$X$2</f>
        <v>0</v>
      </c>
      <c r="L68" s="91">
        <f>+ROUND(Návrh!K65,-3)/$X$2</f>
        <v>-142639</v>
      </c>
      <c r="M68" s="70"/>
    </row>
    <row r="69" spans="1:13" x14ac:dyDescent="0.25">
      <c r="A69" s="42" t="s">
        <v>1636</v>
      </c>
      <c r="B69" s="27" t="s">
        <v>916</v>
      </c>
      <c r="C69" s="28" t="s">
        <v>917</v>
      </c>
      <c r="D69" s="28" t="s">
        <v>917</v>
      </c>
      <c r="E69" s="290" t="s">
        <v>68</v>
      </c>
      <c r="F69" s="291"/>
      <c r="G69" s="91">
        <f>+ROUND(Návrh!G66,-3)/$X$2</f>
        <v>-19632</v>
      </c>
      <c r="H69" s="91">
        <f>+ROUND(Návrh!H66,-3)/$X$2</f>
        <v>-21188</v>
      </c>
      <c r="I69" s="91">
        <f>+ROUND(Návrh!I66,-3)/$X$2</f>
        <v>-18500</v>
      </c>
      <c r="J69" s="91" t="e">
        <f>+ROUND(Návrh!#REF!,-3)/$X$2</f>
        <v>#REF!</v>
      </c>
      <c r="K69" s="91">
        <f>+ROUND(Návrh!J66,-3)/$X$2</f>
        <v>0</v>
      </c>
      <c r="L69" s="91">
        <f>+ROUND(Návrh!K66,-3)/$X$2</f>
        <v>-22910</v>
      </c>
      <c r="M69" s="70"/>
    </row>
    <row r="70" spans="1:13" x14ac:dyDescent="0.25">
      <c r="A70" s="42" t="s">
        <v>974</v>
      </c>
      <c r="B70" s="27" t="s">
        <v>916</v>
      </c>
      <c r="C70" s="28" t="s">
        <v>917</v>
      </c>
      <c r="D70" s="28" t="s">
        <v>917</v>
      </c>
      <c r="E70" s="290" t="s">
        <v>69</v>
      </c>
      <c r="F70" s="291"/>
      <c r="G70" s="91">
        <f>+ROUND(Návrh!G67,-3)/$X$2</f>
        <v>-7930</v>
      </c>
      <c r="H70" s="91">
        <f>+ROUND(Návrh!H67,-3)/$X$2</f>
        <v>-8059</v>
      </c>
      <c r="I70" s="91">
        <f>+ROUND(Návrh!I67,-3)/$X$2</f>
        <v>-8050</v>
      </c>
      <c r="J70" s="91" t="e">
        <f>+ROUND(Návrh!#REF!,-3)/$X$2</f>
        <v>#REF!</v>
      </c>
      <c r="K70" s="91">
        <f>+ROUND(Návrh!J67,-3)/$X$2</f>
        <v>0</v>
      </c>
      <c r="L70" s="91">
        <f>+ROUND(Návrh!K67,-3)/$X$2</f>
        <v>-8806</v>
      </c>
      <c r="M70" s="70"/>
    </row>
    <row r="71" spans="1:13" x14ac:dyDescent="0.25">
      <c r="A71" s="42" t="s">
        <v>975</v>
      </c>
      <c r="B71" s="27" t="s">
        <v>916</v>
      </c>
      <c r="C71" s="28" t="s">
        <v>917</v>
      </c>
      <c r="D71" s="28" t="s">
        <v>917</v>
      </c>
      <c r="E71" s="290" t="s">
        <v>70</v>
      </c>
      <c r="F71" s="291"/>
      <c r="G71" s="91">
        <f>+ROUND(Návrh!G68,-3)/$X$2</f>
        <v>-38264</v>
      </c>
      <c r="H71" s="91">
        <f>+ROUND(Návrh!H68,-3)/$X$2</f>
        <v>-37271</v>
      </c>
      <c r="I71" s="91">
        <f>+ROUND(Návrh!I68,-3)/$X$2</f>
        <v>-40607</v>
      </c>
      <c r="J71" s="91" t="e">
        <f>+ROUND(Návrh!#REF!,-3)/$X$2</f>
        <v>#REF!</v>
      </c>
      <c r="K71" s="91">
        <f>+ROUND(Návrh!J68,-3)/$X$2</f>
        <v>0</v>
      </c>
      <c r="L71" s="91">
        <f>+ROUND(Návrh!K68,-3)/$X$2</f>
        <v>-44057</v>
      </c>
      <c r="M71" s="70"/>
    </row>
    <row r="72" spans="1:13" x14ac:dyDescent="0.25">
      <c r="A72" s="42" t="s">
        <v>976</v>
      </c>
      <c r="B72" s="27" t="s">
        <v>916</v>
      </c>
      <c r="C72" s="28" t="s">
        <v>917</v>
      </c>
      <c r="D72" s="28" t="s">
        <v>917</v>
      </c>
      <c r="E72" s="290" t="s">
        <v>71</v>
      </c>
      <c r="F72" s="291"/>
      <c r="G72" s="91">
        <f>+ROUND(Návrh!G69,-3)/$X$2</f>
        <v>-10991</v>
      </c>
      <c r="H72" s="91">
        <f>+ROUND(Návrh!H69,-3)/$X$2</f>
        <v>-11425</v>
      </c>
      <c r="I72" s="91">
        <f>+ROUND(Návrh!I69,-3)/$X$2</f>
        <v>-11221</v>
      </c>
      <c r="J72" s="91" t="e">
        <f>+ROUND(Návrh!#REF!,-3)/$X$2</f>
        <v>#REF!</v>
      </c>
      <c r="K72" s="91">
        <f>+ROUND(Návrh!J69,-3)/$X$2</f>
        <v>0</v>
      </c>
      <c r="L72" s="91">
        <f>+ROUND(Návrh!K69,-3)/$X$2</f>
        <v>-11502</v>
      </c>
      <c r="M72" s="70"/>
    </row>
    <row r="73" spans="1:13" x14ac:dyDescent="0.25">
      <c r="A73" s="42" t="s">
        <v>977</v>
      </c>
      <c r="B73" s="27" t="s">
        <v>916</v>
      </c>
      <c r="C73" s="28" t="s">
        <v>917</v>
      </c>
      <c r="D73" s="28" t="s">
        <v>917</v>
      </c>
      <c r="E73" s="290" t="s">
        <v>72</v>
      </c>
      <c r="F73" s="291"/>
      <c r="G73" s="91">
        <f>+ROUND(Návrh!G70,-3)/$X$2</f>
        <v>-5529</v>
      </c>
      <c r="H73" s="91">
        <f>+ROUND(Návrh!H70,-3)/$X$2</f>
        <v>-5774</v>
      </c>
      <c r="I73" s="91">
        <f>+ROUND(Návrh!I70,-3)/$X$2</f>
        <v>-5917</v>
      </c>
      <c r="J73" s="91" t="e">
        <f>+ROUND(Návrh!#REF!,-3)/$X$2</f>
        <v>#REF!</v>
      </c>
      <c r="K73" s="91">
        <f>+ROUND(Návrh!J70,-3)/$X$2</f>
        <v>0</v>
      </c>
      <c r="L73" s="91">
        <f>+ROUND(Návrh!K70,-3)/$X$2</f>
        <v>-5970</v>
      </c>
      <c r="M73" s="70"/>
    </row>
    <row r="74" spans="1:13" x14ac:dyDescent="0.25">
      <c r="A74" s="42" t="s">
        <v>978</v>
      </c>
      <c r="B74" s="27" t="s">
        <v>916</v>
      </c>
      <c r="C74" s="28" t="s">
        <v>917</v>
      </c>
      <c r="D74" s="28" t="s">
        <v>917</v>
      </c>
      <c r="E74" s="290" t="s">
        <v>73</v>
      </c>
      <c r="F74" s="291"/>
      <c r="G74" s="91">
        <f>+ROUND(Návrh!G71,-3)/$X$2</f>
        <v>-448</v>
      </c>
      <c r="H74" s="91">
        <f>+ROUND(Návrh!H71,-3)/$X$2</f>
        <v>-409</v>
      </c>
      <c r="I74" s="91">
        <f>+ROUND(Návrh!I71,-3)/$X$2</f>
        <v>-410</v>
      </c>
      <c r="J74" s="91" t="e">
        <f>+ROUND(Návrh!#REF!,-3)/$X$2</f>
        <v>#REF!</v>
      </c>
      <c r="K74" s="91">
        <f>+ROUND(Návrh!J71,-3)/$X$2</f>
        <v>0</v>
      </c>
      <c r="L74" s="91">
        <f>+ROUND(Návrh!K71,-3)/$X$2</f>
        <v>-380</v>
      </c>
      <c r="M74" s="70"/>
    </row>
    <row r="75" spans="1:13" x14ac:dyDescent="0.25">
      <c r="A75" s="42" t="s">
        <v>979</v>
      </c>
      <c r="B75" s="27" t="s">
        <v>916</v>
      </c>
      <c r="C75" s="28" t="s">
        <v>917</v>
      </c>
      <c r="D75" s="28" t="s">
        <v>917</v>
      </c>
      <c r="E75" s="290" t="s">
        <v>74</v>
      </c>
      <c r="F75" s="291"/>
      <c r="G75" s="91">
        <f>+ROUND(Návrh!G72,-3)/$X$2</f>
        <v>-7971</v>
      </c>
      <c r="H75" s="91">
        <f>+ROUND(Návrh!H72,-3)/$X$2</f>
        <v>-7861</v>
      </c>
      <c r="I75" s="91">
        <f>+ROUND(Návrh!I72,-3)/$X$2</f>
        <v>-7805</v>
      </c>
      <c r="J75" s="91" t="e">
        <f>+ROUND(Návrh!#REF!,-3)/$X$2</f>
        <v>#REF!</v>
      </c>
      <c r="K75" s="91">
        <f>+ROUND(Návrh!J72,-3)/$X$2</f>
        <v>0</v>
      </c>
      <c r="L75" s="91">
        <f>+ROUND(Návrh!K72,-3)/$X$2</f>
        <v>-8159</v>
      </c>
      <c r="M75" s="70"/>
    </row>
    <row r="76" spans="1:13" x14ac:dyDescent="0.25">
      <c r="A76" s="42" t="s">
        <v>980</v>
      </c>
      <c r="B76" s="27" t="s">
        <v>916</v>
      </c>
      <c r="C76" s="28" t="s">
        <v>917</v>
      </c>
      <c r="D76" s="28" t="s">
        <v>917</v>
      </c>
      <c r="E76" s="290" t="s">
        <v>75</v>
      </c>
      <c r="F76" s="291"/>
      <c r="G76" s="91">
        <f>+ROUND(Návrh!G73,-3)/$X$2</f>
        <v>-330</v>
      </c>
      <c r="H76" s="91">
        <f>+ROUND(Návrh!H73,-3)/$X$2</f>
        <v>-213</v>
      </c>
      <c r="I76" s="91">
        <f>+ROUND(Návrh!I73,-3)/$X$2</f>
        <v>-170</v>
      </c>
      <c r="J76" s="91" t="e">
        <f>+ROUND(Návrh!#REF!,-3)/$X$2</f>
        <v>#REF!</v>
      </c>
      <c r="K76" s="91">
        <f>+ROUND(Návrh!J73,-3)/$X$2</f>
        <v>0</v>
      </c>
      <c r="L76" s="91">
        <f>+ROUND(Návrh!K73,-3)/$X$2</f>
        <v>-335</v>
      </c>
      <c r="M76" s="70"/>
    </row>
    <row r="77" spans="1:13" x14ac:dyDescent="0.25">
      <c r="A77" s="42" t="s">
        <v>981</v>
      </c>
      <c r="B77" s="27" t="s">
        <v>916</v>
      </c>
      <c r="C77" s="28" t="s">
        <v>917</v>
      </c>
      <c r="D77" s="28" t="s">
        <v>917</v>
      </c>
      <c r="E77" s="290" t="s">
        <v>76</v>
      </c>
      <c r="F77" s="291"/>
      <c r="G77" s="91">
        <f>+ROUND(Návrh!G74,-3)/$X$2</f>
        <v>-1082</v>
      </c>
      <c r="H77" s="91">
        <f>+ROUND(Návrh!H74,-3)/$X$2</f>
        <v>-2317</v>
      </c>
      <c r="I77" s="91">
        <f>+ROUND(Návrh!I74,-3)/$X$2</f>
        <v>-1785</v>
      </c>
      <c r="J77" s="91" t="e">
        <f>+ROUND(Návrh!#REF!,-3)/$X$2</f>
        <v>#REF!</v>
      </c>
      <c r="K77" s="91">
        <f>+ROUND(Návrh!J74,-3)/$X$2</f>
        <v>0</v>
      </c>
      <c r="L77" s="91">
        <f>+ROUND(Návrh!K74,-3)/$X$2</f>
        <v>-1733</v>
      </c>
      <c r="M77" s="70"/>
    </row>
    <row r="78" spans="1:13" x14ac:dyDescent="0.25">
      <c r="A78" s="42" t="s">
        <v>982</v>
      </c>
      <c r="B78" s="27" t="s">
        <v>916</v>
      </c>
      <c r="C78" s="28" t="s">
        <v>917</v>
      </c>
      <c r="D78" s="28" t="s">
        <v>917</v>
      </c>
      <c r="E78" s="290" t="s">
        <v>77</v>
      </c>
      <c r="F78" s="291"/>
      <c r="G78" s="91">
        <f>+ROUND(Návrh!G75,-3)/$X$2</f>
        <v>-25986</v>
      </c>
      <c r="H78" s="91">
        <f>+ROUND(Návrh!H75,-3)/$X$2</f>
        <v>-23764</v>
      </c>
      <c r="I78" s="91">
        <f>+ROUND(Návrh!I75,-3)/$X$2</f>
        <v>-22447</v>
      </c>
      <c r="J78" s="91" t="e">
        <f>+ROUND(Návrh!#REF!,-3)/$X$2</f>
        <v>#REF!</v>
      </c>
      <c r="K78" s="91">
        <f>+ROUND(Návrh!J75,-3)/$X$2</f>
        <v>0</v>
      </c>
      <c r="L78" s="91">
        <f>+ROUND(Návrh!K75,-3)/$X$2</f>
        <v>-28779</v>
      </c>
      <c r="M78" s="70"/>
    </row>
    <row r="79" spans="1:13" x14ac:dyDescent="0.25">
      <c r="A79" s="42" t="s">
        <v>983</v>
      </c>
      <c r="B79" s="27" t="s">
        <v>916</v>
      </c>
      <c r="C79" s="28" t="s">
        <v>917</v>
      </c>
      <c r="D79" s="28" t="s">
        <v>917</v>
      </c>
      <c r="E79" s="290" t="s">
        <v>78</v>
      </c>
      <c r="F79" s="291"/>
      <c r="G79" s="91">
        <f>+ROUND(Návrh!G76,-3)/$X$2</f>
        <v>-35852</v>
      </c>
      <c r="H79" s="91">
        <f>+ROUND(Návrh!H76,-3)/$X$2</f>
        <v>-35270</v>
      </c>
      <c r="I79" s="91">
        <f>+ROUND(Návrh!I76,-3)/$X$2</f>
        <v>-36000</v>
      </c>
      <c r="J79" s="91" t="e">
        <f>+ROUND(Návrh!#REF!,-3)/$X$2</f>
        <v>#REF!</v>
      </c>
      <c r="K79" s="91">
        <f>+ROUND(Návrh!J76,-3)/$X$2</f>
        <v>0</v>
      </c>
      <c r="L79" s="91">
        <f>+ROUND(Návrh!K76,-3)/$X$2</f>
        <v>-40000</v>
      </c>
      <c r="M79" s="70"/>
    </row>
    <row r="80" spans="1:13" x14ac:dyDescent="0.25">
      <c r="A80" s="42" t="s">
        <v>984</v>
      </c>
      <c r="B80" s="27" t="s">
        <v>916</v>
      </c>
      <c r="C80" s="28" t="s">
        <v>917</v>
      </c>
      <c r="D80" s="28" t="s">
        <v>917</v>
      </c>
      <c r="E80" s="290" t="s">
        <v>79</v>
      </c>
      <c r="F80" s="291"/>
      <c r="G80" s="91">
        <f>+ROUND(Návrh!G77,-3)/$X$2</f>
        <v>-7288</v>
      </c>
      <c r="H80" s="91">
        <f>+ROUND(Návrh!H77,-3)/$X$2</f>
        <v>-5935</v>
      </c>
      <c r="I80" s="91">
        <f>+ROUND(Návrh!I77,-3)/$X$2</f>
        <v>-7655</v>
      </c>
      <c r="J80" s="91" t="e">
        <f>+ROUND(Návrh!#REF!,-3)/$X$2</f>
        <v>#REF!</v>
      </c>
      <c r="K80" s="91">
        <f>+ROUND(Návrh!J77,-3)/$X$2</f>
        <v>0</v>
      </c>
      <c r="L80" s="91">
        <f>+ROUND(Návrh!K77,-3)/$X$2</f>
        <v>-7600</v>
      </c>
      <c r="M80" s="70"/>
    </row>
    <row r="81" spans="1:13" x14ac:dyDescent="0.25">
      <c r="A81" s="42" t="s">
        <v>985</v>
      </c>
      <c r="B81" s="27" t="s">
        <v>916</v>
      </c>
      <c r="C81" s="28" t="s">
        <v>917</v>
      </c>
      <c r="D81" s="28" t="s">
        <v>917</v>
      </c>
      <c r="E81" s="290" t="s">
        <v>80</v>
      </c>
      <c r="F81" s="291"/>
      <c r="G81" s="91">
        <f>+ROUND(Návrh!G78,-3)/$X$2</f>
        <v>-13280</v>
      </c>
      <c r="H81" s="91">
        <f>+ROUND(Návrh!H78,-3)/$X$2</f>
        <v>-13300</v>
      </c>
      <c r="I81" s="91">
        <f>+ROUND(Návrh!I78,-3)/$X$2</f>
        <v>-13500</v>
      </c>
      <c r="J81" s="91" t="e">
        <f>+ROUND(Návrh!#REF!,-3)/$X$2</f>
        <v>#REF!</v>
      </c>
      <c r="K81" s="91">
        <f>+ROUND(Návrh!J78,-3)/$X$2</f>
        <v>0</v>
      </c>
      <c r="L81" s="91">
        <f>+ROUND(Návrh!K78,-3)/$X$2</f>
        <v>-13500</v>
      </c>
      <c r="M81" s="70"/>
    </row>
    <row r="82" spans="1:13" x14ac:dyDescent="0.25">
      <c r="A82" s="42" t="s">
        <v>986</v>
      </c>
      <c r="B82" s="27" t="s">
        <v>916</v>
      </c>
      <c r="C82" s="28" t="s">
        <v>917</v>
      </c>
      <c r="D82" s="28" t="s">
        <v>917</v>
      </c>
      <c r="E82" s="290" t="s">
        <v>81</v>
      </c>
      <c r="F82" s="291"/>
      <c r="G82" s="91">
        <f>+ROUND(Návrh!G79,-3)/$X$2</f>
        <v>-5473</v>
      </c>
      <c r="H82" s="91">
        <f>+ROUND(Návrh!H79,-3)/$X$2</f>
        <v>-3113</v>
      </c>
      <c r="I82" s="91">
        <f>+ROUND(Návrh!I79,-3)/$X$2</f>
        <v>-5300</v>
      </c>
      <c r="J82" s="91" t="e">
        <f>+ROUND(Návrh!#REF!,-3)/$X$2</f>
        <v>#REF!</v>
      </c>
      <c r="K82" s="91">
        <f>+ROUND(Návrh!J79,-3)/$X$2</f>
        <v>0</v>
      </c>
      <c r="L82" s="91">
        <f>+ROUND(Návrh!K79,-3)/$X$2</f>
        <v>-5300</v>
      </c>
      <c r="M82" s="70"/>
    </row>
    <row r="83" spans="1:13" x14ac:dyDescent="0.25">
      <c r="A83" s="42" t="s">
        <v>987</v>
      </c>
      <c r="B83" s="27" t="s">
        <v>916</v>
      </c>
      <c r="C83" s="28" t="s">
        <v>917</v>
      </c>
      <c r="D83" s="28" t="s">
        <v>917</v>
      </c>
      <c r="E83" s="290" t="s">
        <v>82</v>
      </c>
      <c r="F83" s="291"/>
      <c r="G83" s="91">
        <f>+ROUND(Návrh!G80,-3)/$X$2</f>
        <v>-24129</v>
      </c>
      <c r="H83" s="91">
        <f>+ROUND(Návrh!H80,-3)/$X$2</f>
        <v>-27623</v>
      </c>
      <c r="I83" s="91">
        <f>+ROUND(Návrh!I80,-3)/$X$2</f>
        <v>-27817</v>
      </c>
      <c r="J83" s="91" t="e">
        <f>+ROUND(Návrh!#REF!,-3)/$X$2</f>
        <v>#REF!</v>
      </c>
      <c r="K83" s="91">
        <f>+ROUND(Návrh!J80,-3)/$X$2</f>
        <v>0</v>
      </c>
      <c r="L83" s="91">
        <f>+ROUND(Návrh!K80,-3)/$X$2</f>
        <v>-32990</v>
      </c>
      <c r="M83" s="70"/>
    </row>
    <row r="84" spans="1:13" x14ac:dyDescent="0.25">
      <c r="A84" s="42" t="s">
        <v>988</v>
      </c>
      <c r="B84" s="27" t="s">
        <v>916</v>
      </c>
      <c r="C84" s="28" t="s">
        <v>917</v>
      </c>
      <c r="D84" s="28" t="s">
        <v>917</v>
      </c>
      <c r="E84" s="290" t="s">
        <v>83</v>
      </c>
      <c r="F84" s="291"/>
      <c r="G84" s="91">
        <f>+ROUND(Návrh!G81,-3)/$X$2</f>
        <v>-2371</v>
      </c>
      <c r="H84" s="91">
        <f>+ROUND(Návrh!H81,-3)/$X$2</f>
        <v>-1280</v>
      </c>
      <c r="I84" s="91">
        <f>+ROUND(Návrh!I81,-3)/$X$2</f>
        <v>-1400</v>
      </c>
      <c r="J84" s="91" t="e">
        <f>+ROUND(Návrh!#REF!,-3)/$X$2</f>
        <v>#REF!</v>
      </c>
      <c r="K84" s="91">
        <f>+ROUND(Návrh!J81,-3)/$X$2</f>
        <v>0</v>
      </c>
      <c r="L84" s="91">
        <f>+ROUND(Návrh!K81,-3)/$X$2</f>
        <v>-1400</v>
      </c>
      <c r="M84" s="70"/>
    </row>
    <row r="85" spans="1:13" x14ac:dyDescent="0.25">
      <c r="A85" s="42" t="s">
        <v>989</v>
      </c>
      <c r="B85" s="27" t="s">
        <v>916</v>
      </c>
      <c r="C85" s="28" t="s">
        <v>917</v>
      </c>
      <c r="D85" s="28" t="s">
        <v>917</v>
      </c>
      <c r="E85" s="290" t="s">
        <v>84</v>
      </c>
      <c r="F85" s="291"/>
      <c r="G85" s="91">
        <f>+ROUND(Návrh!G82,-3)/$X$2</f>
        <v>-22060</v>
      </c>
      <c r="H85" s="91">
        <f>+ROUND(Návrh!H82,-3)/$X$2</f>
        <v>-21253</v>
      </c>
      <c r="I85" s="91">
        <f>+ROUND(Návrh!I82,-3)/$X$2</f>
        <v>-21740</v>
      </c>
      <c r="J85" s="91" t="e">
        <f>+ROUND(Návrh!#REF!,-3)/$X$2</f>
        <v>#REF!</v>
      </c>
      <c r="K85" s="91">
        <f>+ROUND(Návrh!J82,-3)/$X$2</f>
        <v>0</v>
      </c>
      <c r="L85" s="91">
        <f>+ROUND(Návrh!K82,-3)/$X$2</f>
        <v>-22140</v>
      </c>
      <c r="M85" s="70"/>
    </row>
    <row r="86" spans="1:13" x14ac:dyDescent="0.25">
      <c r="A86" s="42" t="s">
        <v>990</v>
      </c>
      <c r="B86" s="27" t="s">
        <v>916</v>
      </c>
      <c r="C86" s="28" t="s">
        <v>917</v>
      </c>
      <c r="D86" s="28" t="s">
        <v>917</v>
      </c>
      <c r="E86" s="290" t="s">
        <v>85</v>
      </c>
      <c r="F86" s="291"/>
      <c r="G86" s="91">
        <f>+ROUND(Návrh!G83,-3)/$X$2</f>
        <v>-5464</v>
      </c>
      <c r="H86" s="91">
        <f>+ROUND(Návrh!H83,-3)/$X$2</f>
        <v>-5621</v>
      </c>
      <c r="I86" s="91">
        <f>+ROUND(Návrh!I83,-3)/$X$2</f>
        <v>-5547</v>
      </c>
      <c r="J86" s="91" t="e">
        <f>+ROUND(Návrh!#REF!,-3)/$X$2</f>
        <v>#REF!</v>
      </c>
      <c r="K86" s="91">
        <f>+ROUND(Návrh!J83,-3)/$X$2</f>
        <v>0</v>
      </c>
      <c r="L86" s="91">
        <f>+ROUND(Návrh!K83,-3)/$X$2</f>
        <v>-6343</v>
      </c>
      <c r="M86" s="70"/>
    </row>
    <row r="87" spans="1:13" x14ac:dyDescent="0.25">
      <c r="A87" s="42" t="s">
        <v>991</v>
      </c>
      <c r="B87" s="27" t="s">
        <v>916</v>
      </c>
      <c r="C87" s="28" t="s">
        <v>917</v>
      </c>
      <c r="D87" s="28" t="s">
        <v>917</v>
      </c>
      <c r="E87" s="290" t="s">
        <v>86</v>
      </c>
      <c r="F87" s="291"/>
      <c r="G87" s="91">
        <f>+ROUND(Návrh!G84,-3)/$X$2</f>
        <v>-19086</v>
      </c>
      <c r="H87" s="91">
        <f>+ROUND(Návrh!H84,-3)/$X$2</f>
        <v>-21706</v>
      </c>
      <c r="I87" s="91">
        <f>+ROUND(Návrh!I84,-3)/$X$2</f>
        <v>-19680</v>
      </c>
      <c r="J87" s="91" t="e">
        <f>+ROUND(Návrh!#REF!,-3)/$X$2</f>
        <v>#REF!</v>
      </c>
      <c r="K87" s="91">
        <f>+ROUND(Návrh!J84,-3)/$X$2</f>
        <v>0</v>
      </c>
      <c r="L87" s="91">
        <f>+ROUND(Návrh!K84,-3)/$X$2</f>
        <v>-25442</v>
      </c>
      <c r="M87" s="70"/>
    </row>
    <row r="88" spans="1:13" x14ac:dyDescent="0.25">
      <c r="A88" s="42" t="s">
        <v>992</v>
      </c>
      <c r="B88" s="27" t="s">
        <v>916</v>
      </c>
      <c r="C88" s="28" t="s">
        <v>917</v>
      </c>
      <c r="D88" s="28" t="s">
        <v>917</v>
      </c>
      <c r="E88" s="290" t="s">
        <v>87</v>
      </c>
      <c r="F88" s="291"/>
      <c r="G88" s="91">
        <f>+ROUND(Návrh!G85,-3)/$X$2</f>
        <v>-4330</v>
      </c>
      <c r="H88" s="91">
        <f>+ROUND(Návrh!H85,-3)/$X$2</f>
        <v>-4214</v>
      </c>
      <c r="I88" s="91">
        <f>+ROUND(Návrh!I85,-3)/$X$2</f>
        <v>-4330</v>
      </c>
      <c r="J88" s="91" t="e">
        <f>+ROUND(Návrh!#REF!,-3)/$X$2</f>
        <v>#REF!</v>
      </c>
      <c r="K88" s="91">
        <f>+ROUND(Návrh!J85,-3)/$X$2</f>
        <v>0</v>
      </c>
      <c r="L88" s="91">
        <f>+ROUND(Návrh!K85,-3)/$X$2</f>
        <v>-4330</v>
      </c>
      <c r="M88" s="70"/>
    </row>
    <row r="89" spans="1:13" x14ac:dyDescent="0.25">
      <c r="A89" s="42" t="s">
        <v>993</v>
      </c>
      <c r="B89" s="27" t="s">
        <v>916</v>
      </c>
      <c r="C89" s="28" t="s">
        <v>917</v>
      </c>
      <c r="D89" s="28" t="s">
        <v>917</v>
      </c>
      <c r="E89" s="290" t="s">
        <v>88</v>
      </c>
      <c r="F89" s="291"/>
      <c r="G89" s="91">
        <f>+ROUND(Návrh!G86,-3)/$X$2</f>
        <v>-3020</v>
      </c>
      <c r="H89" s="91">
        <f>+ROUND(Návrh!H86,-3)/$X$2</f>
        <v>-3199</v>
      </c>
      <c r="I89" s="91">
        <f>+ROUND(Návrh!I86,-3)/$X$2</f>
        <v>-3170</v>
      </c>
      <c r="J89" s="91" t="e">
        <f>+ROUND(Návrh!#REF!,-3)/$X$2</f>
        <v>#REF!</v>
      </c>
      <c r="K89" s="91">
        <f>+ROUND(Návrh!J86,-3)/$X$2</f>
        <v>0</v>
      </c>
      <c r="L89" s="91">
        <f>+ROUND(Návrh!K86,-3)/$X$2</f>
        <v>-3500</v>
      </c>
      <c r="M89" s="70"/>
    </row>
    <row r="90" spans="1:13" x14ac:dyDescent="0.25">
      <c r="A90" s="42" t="s">
        <v>994</v>
      </c>
      <c r="B90" s="27" t="s">
        <v>916</v>
      </c>
      <c r="C90" s="28" t="s">
        <v>917</v>
      </c>
      <c r="D90" s="28" t="s">
        <v>917</v>
      </c>
      <c r="E90" s="290" t="s">
        <v>89</v>
      </c>
      <c r="F90" s="291"/>
      <c r="G90" s="91">
        <f>+ROUND(Návrh!G87,-3)/$X$2</f>
        <v>-198</v>
      </c>
      <c r="H90" s="91">
        <f>+ROUND(Návrh!H87,-3)/$X$2</f>
        <v>-200</v>
      </c>
      <c r="I90" s="91">
        <f>+ROUND(Návrh!I87,-3)/$X$2</f>
        <v>-200</v>
      </c>
      <c r="J90" s="91" t="e">
        <f>+ROUND(Návrh!#REF!,-3)/$X$2</f>
        <v>#REF!</v>
      </c>
      <c r="K90" s="91">
        <f>+ROUND(Návrh!J87,-3)/$X$2</f>
        <v>0</v>
      </c>
      <c r="L90" s="91">
        <f>+ROUND(Návrh!K87,-3)/$X$2</f>
        <v>-200</v>
      </c>
      <c r="M90" s="70"/>
    </row>
    <row r="91" spans="1:13" x14ac:dyDescent="0.25">
      <c r="A91" s="86" t="s">
        <v>1638</v>
      </c>
      <c r="B91" s="29" t="s">
        <v>916</v>
      </c>
      <c r="C91" s="30" t="s">
        <v>917</v>
      </c>
      <c r="D91" s="30" t="s">
        <v>917</v>
      </c>
      <c r="E91" s="292" t="s">
        <v>1639</v>
      </c>
      <c r="F91" s="293"/>
      <c r="G91" s="98">
        <f>+ROUND(Návrh!G88,-3)/$X$2</f>
        <v>0</v>
      </c>
      <c r="H91" s="98">
        <f>+ROUND(Návrh!H88,-3)/$X$2</f>
        <v>0</v>
      </c>
      <c r="I91" s="98">
        <f>+ROUND(Návrh!I88,-3)/$X$2</f>
        <v>0</v>
      </c>
      <c r="J91" s="98" t="e">
        <f>+ROUND(Návrh!#REF!,-3)/$X$2</f>
        <v>#REF!</v>
      </c>
      <c r="K91" s="98">
        <f>+ROUND(Návrh!J88,-3)/$X$2</f>
        <v>0</v>
      </c>
      <c r="L91" s="98">
        <f>+ROUND(Návrh!K88,-3)/$X$2</f>
        <v>0</v>
      </c>
      <c r="M91" s="70"/>
    </row>
    <row r="92" spans="1:13" x14ac:dyDescent="0.25">
      <c r="A92" s="42" t="s">
        <v>995</v>
      </c>
      <c r="B92" s="27" t="s">
        <v>916</v>
      </c>
      <c r="C92" s="28" t="s">
        <v>917</v>
      </c>
      <c r="D92" s="28" t="s">
        <v>917</v>
      </c>
      <c r="E92" s="290" t="s">
        <v>90</v>
      </c>
      <c r="F92" s="291"/>
      <c r="G92" s="91">
        <f>+ROUND(Návrh!G89,-3)/$X$2</f>
        <v>0</v>
      </c>
      <c r="H92" s="91">
        <f>+ROUND(Návrh!H89,-3)/$X$2</f>
        <v>-2386</v>
      </c>
      <c r="I92" s="91">
        <f>+ROUND(Návrh!I89,-3)/$X$2</f>
        <v>-2107</v>
      </c>
      <c r="J92" s="91" t="e">
        <f>+ROUND(Návrh!#REF!,-3)/$X$2</f>
        <v>#REF!</v>
      </c>
      <c r="K92" s="91">
        <f>+ROUND(Návrh!J89,-3)/$X$2</f>
        <v>0</v>
      </c>
      <c r="L92" s="91">
        <f>+ROUND(Návrh!K89,-3)/$X$2</f>
        <v>-1806</v>
      </c>
      <c r="M92" s="70"/>
    </row>
    <row r="93" spans="1:13" x14ac:dyDescent="0.25">
      <c r="A93" s="42" t="s">
        <v>996</v>
      </c>
      <c r="B93" s="27" t="s">
        <v>916</v>
      </c>
      <c r="C93" s="28" t="s">
        <v>917</v>
      </c>
      <c r="D93" s="28" t="s">
        <v>917</v>
      </c>
      <c r="E93" s="290" t="s">
        <v>91</v>
      </c>
      <c r="F93" s="291"/>
      <c r="G93" s="91">
        <f>+ROUND(Návrh!G90,-3)/$X$2</f>
        <v>-4270</v>
      </c>
      <c r="H93" s="91">
        <f>+ROUND(Návrh!H90,-3)/$X$2</f>
        <v>-4401</v>
      </c>
      <c r="I93" s="91">
        <f>+ROUND(Návrh!I90,-3)/$X$2</f>
        <v>-4350</v>
      </c>
      <c r="J93" s="91" t="e">
        <f>+ROUND(Návrh!#REF!,-3)/$X$2</f>
        <v>#REF!</v>
      </c>
      <c r="K93" s="91">
        <f>+ROUND(Návrh!J90,-3)/$X$2</f>
        <v>0</v>
      </c>
      <c r="L93" s="91">
        <f>+ROUND(Návrh!K90,-3)/$X$2</f>
        <v>-4430</v>
      </c>
      <c r="M93" s="70"/>
    </row>
    <row r="94" spans="1:13" x14ac:dyDescent="0.25">
      <c r="A94" s="42" t="s">
        <v>997</v>
      </c>
      <c r="B94" s="20" t="s">
        <v>922</v>
      </c>
      <c r="C94" s="20" t="s">
        <v>923</v>
      </c>
      <c r="D94" s="20" t="s">
        <v>922</v>
      </c>
      <c r="E94" s="290" t="s">
        <v>92</v>
      </c>
      <c r="F94" s="291"/>
      <c r="G94" s="91">
        <f>+ROUND(Návrh!G91,-3)/$X$2</f>
        <v>101082</v>
      </c>
      <c r="H94" s="91">
        <f>+ROUND(Návrh!H91,-3)/$X$2</f>
        <v>0</v>
      </c>
      <c r="I94" s="91">
        <f>+ROUND(Návrh!I91,-3)/$X$2</f>
        <v>0</v>
      </c>
      <c r="J94" s="91" t="e">
        <f>+ROUND(Návrh!#REF!,-3)/$X$2</f>
        <v>#REF!</v>
      </c>
      <c r="K94" s="91">
        <f>+ROUND(Návrh!J91,-3)/$X$2</f>
        <v>0</v>
      </c>
      <c r="L94" s="91">
        <f>+ROUND(Návrh!K91,-3)/$X$2</f>
        <v>16431</v>
      </c>
      <c r="M94" s="70"/>
    </row>
    <row r="95" spans="1:13" x14ac:dyDescent="0.25">
      <c r="A95" s="42" t="s">
        <v>998</v>
      </c>
      <c r="B95" s="27" t="s">
        <v>916</v>
      </c>
      <c r="C95" s="28" t="s">
        <v>917</v>
      </c>
      <c r="D95" s="28" t="s">
        <v>917</v>
      </c>
      <c r="E95" s="290" t="s">
        <v>1637</v>
      </c>
      <c r="F95" s="291"/>
      <c r="G95" s="91">
        <f>+ROUND(Návrh!G92,-3)/$X$2</f>
        <v>-110</v>
      </c>
      <c r="H95" s="91">
        <f>+ROUND(Návrh!H92,-3)/$X$2</f>
        <v>-8</v>
      </c>
      <c r="I95" s="91">
        <f>+ROUND(Návrh!I92,-3)/$X$2</f>
        <v>-110</v>
      </c>
      <c r="J95" s="91" t="e">
        <f>+ROUND(Návrh!#REF!,-3)/$X$2</f>
        <v>#REF!</v>
      </c>
      <c r="K95" s="91">
        <f>+ROUND(Návrh!J92,-3)/$X$2</f>
        <v>0</v>
      </c>
      <c r="L95" s="91">
        <f>+ROUND(Návrh!K92,-3)/$X$2</f>
        <v>-10</v>
      </c>
      <c r="M95" s="70"/>
    </row>
    <row r="96" spans="1:13" x14ac:dyDescent="0.25">
      <c r="A96" s="42" t="s">
        <v>999</v>
      </c>
      <c r="B96" s="27" t="s">
        <v>916</v>
      </c>
      <c r="C96" s="28" t="s">
        <v>917</v>
      </c>
      <c r="D96" s="28" t="s">
        <v>917</v>
      </c>
      <c r="E96" s="302" t="s">
        <v>1676</v>
      </c>
      <c r="F96" s="303"/>
      <c r="G96" s="91">
        <f>+ROUND(Návrh!G93,-3)/$X$2</f>
        <v>-1502</v>
      </c>
      <c r="H96" s="91">
        <f>+ROUND(Návrh!H93,-3)/$X$2</f>
        <v>-765</v>
      </c>
      <c r="I96" s="91">
        <f>+ROUND(Návrh!I93,-3)/$X$2</f>
        <v>-1400</v>
      </c>
      <c r="J96" s="91" t="e">
        <f>+ROUND(Návrh!#REF!,-3)/$X$2</f>
        <v>#REF!</v>
      </c>
      <c r="K96" s="91">
        <f>+ROUND(Návrh!J93,-3)/$X$2</f>
        <v>0</v>
      </c>
      <c r="L96" s="91">
        <f>+ROUND(Návrh!K93,-3)/$X$2</f>
        <v>0</v>
      </c>
      <c r="M96" s="70"/>
    </row>
    <row r="97" spans="1:13" x14ac:dyDescent="0.25">
      <c r="A97" s="42" t="s">
        <v>1000</v>
      </c>
      <c r="B97" s="27" t="s">
        <v>916</v>
      </c>
      <c r="C97" s="28" t="s">
        <v>917</v>
      </c>
      <c r="D97" s="28" t="s">
        <v>917</v>
      </c>
      <c r="E97" s="302" t="s">
        <v>1675</v>
      </c>
      <c r="F97" s="303"/>
      <c r="G97" s="91">
        <f>+ROUND(Návrh!G94,-3)/$X$2</f>
        <v>-220</v>
      </c>
      <c r="H97" s="91">
        <f>+ROUND(Návrh!H94,-3)/$X$2</f>
        <v>-110</v>
      </c>
      <c r="I97" s="91">
        <f>+ROUND(Návrh!I94,-3)/$X$2</f>
        <v>-240</v>
      </c>
      <c r="J97" s="91" t="e">
        <f>+ROUND(Návrh!#REF!,-3)/$X$2</f>
        <v>#REF!</v>
      </c>
      <c r="K97" s="91">
        <f>+ROUND(Návrh!J94,-3)/$X$2</f>
        <v>0</v>
      </c>
      <c r="L97" s="91">
        <f>+ROUND(Návrh!K94,-3)/$X$2</f>
        <v>-240</v>
      </c>
      <c r="M97" s="70"/>
    </row>
    <row r="98" spans="1:13" x14ac:dyDescent="0.25">
      <c r="A98" s="42" t="s">
        <v>1001</v>
      </c>
      <c r="B98" s="27" t="s">
        <v>916</v>
      </c>
      <c r="C98" s="28" t="s">
        <v>917</v>
      </c>
      <c r="D98" s="28" t="s">
        <v>917</v>
      </c>
      <c r="E98" s="290" t="s">
        <v>94</v>
      </c>
      <c r="F98" s="291"/>
      <c r="G98" s="91">
        <f>+ROUND(Návrh!G95,-3)/$X$2</f>
        <v>-146</v>
      </c>
      <c r="H98" s="91">
        <f>+ROUND(Návrh!H95,-3)/$X$2</f>
        <v>0</v>
      </c>
      <c r="I98" s="91">
        <f>+ROUND(Návrh!I95,-3)/$X$2</f>
        <v>0</v>
      </c>
      <c r="J98" s="91" t="e">
        <f>+ROUND(Návrh!#REF!,-3)/$X$2</f>
        <v>#REF!</v>
      </c>
      <c r="K98" s="91">
        <f>+ROUND(Návrh!J95,-3)/$X$2</f>
        <v>0</v>
      </c>
      <c r="L98" s="91">
        <f>+ROUND(Návrh!K95,-3)/$X$2</f>
        <v>-2555</v>
      </c>
      <c r="M98" s="70"/>
    </row>
    <row r="99" spans="1:13" x14ac:dyDescent="0.25">
      <c r="A99" s="42" t="s">
        <v>1002</v>
      </c>
      <c r="B99" s="27" t="s">
        <v>916</v>
      </c>
      <c r="C99" s="28" t="s">
        <v>917</v>
      </c>
      <c r="D99" s="28" t="s">
        <v>917</v>
      </c>
      <c r="E99" s="290" t="s">
        <v>95</v>
      </c>
      <c r="F99" s="291"/>
      <c r="G99" s="91">
        <f>+ROUND(Návrh!G96,-3)/$X$2</f>
        <v>0</v>
      </c>
      <c r="H99" s="91">
        <f>+ROUND(Návrh!H96,-3)/$X$2</f>
        <v>-503</v>
      </c>
      <c r="I99" s="91">
        <f>+ROUND(Návrh!I96,-3)/$X$2</f>
        <v>0</v>
      </c>
      <c r="J99" s="91" t="e">
        <f>+ROUND(Návrh!#REF!,-3)/$X$2</f>
        <v>#REF!</v>
      </c>
      <c r="K99" s="91">
        <f>+ROUND(Návrh!J96,-3)/$X$2</f>
        <v>0</v>
      </c>
      <c r="L99" s="91">
        <f>+ROUND(Návrh!K96,-3)/$X$2</f>
        <v>-15000</v>
      </c>
      <c r="M99" s="70"/>
    </row>
    <row r="100" spans="1:13" x14ac:dyDescent="0.25">
      <c r="A100" s="26" t="s">
        <v>1003</v>
      </c>
      <c r="B100" s="31"/>
      <c r="C100" s="32"/>
      <c r="D100" s="32"/>
      <c r="E100" s="300" t="s">
        <v>96</v>
      </c>
      <c r="F100" s="301"/>
      <c r="G100" s="95">
        <f>+ROUND(Návrh!G97,-3)/$X$2</f>
        <v>-42760</v>
      </c>
      <c r="H100" s="95">
        <f>+ROUND(Návrh!H97,-3)/$X$2</f>
        <v>-44790</v>
      </c>
      <c r="I100" s="95">
        <f>+ROUND(Návrh!I97,-3)/$X$2</f>
        <v>-44490</v>
      </c>
      <c r="J100" s="95" t="e">
        <f>+ROUND(Návrh!#REF!,-3)/$X$2</f>
        <v>#REF!</v>
      </c>
      <c r="K100" s="95">
        <f>+ROUND(Návrh!J97,-3)/$X$2</f>
        <v>0</v>
      </c>
      <c r="L100" s="95">
        <f>+ROUND(Návrh!K97,-3)/$X$2</f>
        <v>-48155</v>
      </c>
      <c r="M100" s="70"/>
    </row>
    <row r="101" spans="1:13" x14ac:dyDescent="0.25">
      <c r="A101" s="42" t="s">
        <v>1004</v>
      </c>
      <c r="B101" s="27" t="s">
        <v>916</v>
      </c>
      <c r="C101" s="28" t="s">
        <v>920</v>
      </c>
      <c r="D101" s="28" t="s">
        <v>917</v>
      </c>
      <c r="E101" s="290" t="s">
        <v>97</v>
      </c>
      <c r="F101" s="291"/>
      <c r="G101" s="91">
        <f>+ROUND(Návrh!G98,-3)/$X$2</f>
        <v>-17861</v>
      </c>
      <c r="H101" s="91">
        <f>+ROUND(Návrh!H98,-3)/$X$2</f>
        <v>-18432</v>
      </c>
      <c r="I101" s="91">
        <f>+ROUND(Návrh!I98,-3)/$X$2</f>
        <v>-17950</v>
      </c>
      <c r="J101" s="91" t="e">
        <f>+ROUND(Návrh!#REF!,-3)/$X$2</f>
        <v>#REF!</v>
      </c>
      <c r="K101" s="91">
        <f>+ROUND(Návrh!J98,-3)/$X$2</f>
        <v>0</v>
      </c>
      <c r="L101" s="91">
        <f>+ROUND(Návrh!K98,-3)/$X$2</f>
        <v>-19815</v>
      </c>
      <c r="M101" s="70"/>
    </row>
    <row r="102" spans="1:13" x14ac:dyDescent="0.25">
      <c r="A102" s="42" t="s">
        <v>1005</v>
      </c>
      <c r="B102" s="27" t="s">
        <v>916</v>
      </c>
      <c r="C102" s="28" t="s">
        <v>920</v>
      </c>
      <c r="D102" s="28" t="s">
        <v>917</v>
      </c>
      <c r="E102" s="290" t="s">
        <v>98</v>
      </c>
      <c r="F102" s="291"/>
      <c r="G102" s="91">
        <f>+ROUND(Návrh!G99,-3)/$X$2</f>
        <v>-3894</v>
      </c>
      <c r="H102" s="91">
        <f>+ROUND(Návrh!H99,-3)/$X$2</f>
        <v>-3837</v>
      </c>
      <c r="I102" s="91">
        <f>+ROUND(Návrh!I99,-3)/$X$2</f>
        <v>-3960</v>
      </c>
      <c r="J102" s="91" t="e">
        <f>+ROUND(Návrh!#REF!,-3)/$X$2</f>
        <v>#REF!</v>
      </c>
      <c r="K102" s="91">
        <f>+ROUND(Návrh!J99,-3)/$X$2</f>
        <v>0</v>
      </c>
      <c r="L102" s="91">
        <f>+ROUND(Návrh!K99,-3)/$X$2</f>
        <v>-3960</v>
      </c>
      <c r="M102" s="70"/>
    </row>
    <row r="103" spans="1:13" x14ac:dyDescent="0.25">
      <c r="A103" s="42" t="s">
        <v>1006</v>
      </c>
      <c r="B103" s="27" t="s">
        <v>916</v>
      </c>
      <c r="C103" s="28" t="s">
        <v>919</v>
      </c>
      <c r="D103" s="28" t="s">
        <v>917</v>
      </c>
      <c r="E103" s="290" t="s">
        <v>99</v>
      </c>
      <c r="F103" s="291"/>
      <c r="G103" s="91">
        <f>+ROUND(Návrh!G100,-3)/$X$2</f>
        <v>-1851</v>
      </c>
      <c r="H103" s="91">
        <f>+ROUND(Návrh!H100,-3)/$X$2</f>
        <v>-1937</v>
      </c>
      <c r="I103" s="91">
        <f>+ROUND(Návrh!I100,-3)/$X$2</f>
        <v>-1925</v>
      </c>
      <c r="J103" s="91" t="e">
        <f>+ROUND(Návrh!#REF!,-3)/$X$2</f>
        <v>#REF!</v>
      </c>
      <c r="K103" s="91">
        <f>+ROUND(Návrh!J100,-3)/$X$2</f>
        <v>0</v>
      </c>
      <c r="L103" s="91">
        <f>+ROUND(Návrh!K100,-3)/$X$2</f>
        <v>-1925</v>
      </c>
      <c r="M103" s="70"/>
    </row>
    <row r="104" spans="1:13" x14ac:dyDescent="0.25">
      <c r="A104" s="42" t="s">
        <v>1007</v>
      </c>
      <c r="B104" s="27" t="s">
        <v>916</v>
      </c>
      <c r="C104" s="28" t="s">
        <v>919</v>
      </c>
      <c r="D104" s="28" t="s">
        <v>917</v>
      </c>
      <c r="E104" s="290" t="s">
        <v>100</v>
      </c>
      <c r="F104" s="291"/>
      <c r="G104" s="91">
        <f>+ROUND(Návrh!G101,-3)/$X$2</f>
        <v>-288</v>
      </c>
      <c r="H104" s="91">
        <f>+ROUND(Návrh!H101,-3)/$X$2</f>
        <v>-219</v>
      </c>
      <c r="I104" s="91">
        <f>+ROUND(Návrh!I101,-3)/$X$2</f>
        <v>-250</v>
      </c>
      <c r="J104" s="91" t="e">
        <f>+ROUND(Návrh!#REF!,-3)/$X$2</f>
        <v>#REF!</v>
      </c>
      <c r="K104" s="91">
        <f>+ROUND(Návrh!J101,-3)/$X$2</f>
        <v>0</v>
      </c>
      <c r="L104" s="91">
        <f>+ROUND(Návrh!K101,-3)/$X$2</f>
        <v>-220</v>
      </c>
      <c r="M104" s="70"/>
    </row>
    <row r="105" spans="1:13" x14ac:dyDescent="0.25">
      <c r="A105" s="42" t="s">
        <v>1008</v>
      </c>
      <c r="B105" s="27" t="s">
        <v>916</v>
      </c>
      <c r="C105" s="28" t="s">
        <v>923</v>
      </c>
      <c r="D105" s="28" t="s">
        <v>917</v>
      </c>
      <c r="E105" s="290" t="s">
        <v>101</v>
      </c>
      <c r="F105" s="291"/>
      <c r="G105" s="91">
        <f>+ROUND(Návrh!G102,-3)/$X$2</f>
        <v>-353</v>
      </c>
      <c r="H105" s="91">
        <f>+ROUND(Návrh!H102,-3)/$X$2</f>
        <v>-377</v>
      </c>
      <c r="I105" s="91">
        <f>+ROUND(Návrh!I102,-3)/$X$2</f>
        <v>-380</v>
      </c>
      <c r="J105" s="91" t="e">
        <f>+ROUND(Návrh!#REF!,-3)/$X$2</f>
        <v>#REF!</v>
      </c>
      <c r="K105" s="91">
        <f>+ROUND(Návrh!J102,-3)/$X$2</f>
        <v>0</v>
      </c>
      <c r="L105" s="91">
        <f>+ROUND(Návrh!K102,-3)/$X$2</f>
        <v>-380</v>
      </c>
      <c r="M105" s="70"/>
    </row>
    <row r="106" spans="1:13" x14ac:dyDescent="0.25">
      <c r="A106" s="42" t="s">
        <v>1009</v>
      </c>
      <c r="B106" s="20" t="s">
        <v>916</v>
      </c>
      <c r="C106" s="20" t="s">
        <v>919</v>
      </c>
      <c r="D106" s="20" t="s">
        <v>1014</v>
      </c>
      <c r="E106" s="290" t="s">
        <v>102</v>
      </c>
      <c r="F106" s="291"/>
      <c r="G106" s="91">
        <f>+ROUND(Návrh!G103,-3)/$X$2</f>
        <v>-41</v>
      </c>
      <c r="H106" s="91">
        <f>+ROUND(Návrh!H103,-3)/$X$2</f>
        <v>-41</v>
      </c>
      <c r="I106" s="91">
        <f>+ROUND(Návrh!I103,-3)/$X$2</f>
        <v>-45</v>
      </c>
      <c r="J106" s="91" t="e">
        <f>+ROUND(Návrh!#REF!,-3)/$X$2</f>
        <v>#REF!</v>
      </c>
      <c r="K106" s="91">
        <f>+ROUND(Návrh!J103,-3)/$X$2</f>
        <v>0</v>
      </c>
      <c r="L106" s="91">
        <f>+ROUND(Návrh!K103,-3)/$X$2</f>
        <v>-30</v>
      </c>
      <c r="M106" s="70"/>
    </row>
    <row r="107" spans="1:13" x14ac:dyDescent="0.25">
      <c r="A107" s="42" t="s">
        <v>1010</v>
      </c>
      <c r="B107" s="27" t="s">
        <v>916</v>
      </c>
      <c r="C107" s="28" t="s">
        <v>919</v>
      </c>
      <c r="D107" s="28" t="s">
        <v>917</v>
      </c>
      <c r="E107" s="290" t="s">
        <v>103</v>
      </c>
      <c r="F107" s="291"/>
      <c r="G107" s="91">
        <f>+ROUND(Návrh!G104,-3)/$X$2</f>
        <v>-15134</v>
      </c>
      <c r="H107" s="91">
        <f>+ROUND(Návrh!H104,-3)/$X$2</f>
        <v>-16163</v>
      </c>
      <c r="I107" s="91">
        <f>+ROUND(Návrh!I104,-3)/$X$2</f>
        <v>-16500</v>
      </c>
      <c r="J107" s="91" t="e">
        <f>+ROUND(Návrh!#REF!,-3)/$X$2</f>
        <v>#REF!</v>
      </c>
      <c r="K107" s="91">
        <f>+ROUND(Návrh!J104,-3)/$X$2</f>
        <v>0</v>
      </c>
      <c r="L107" s="91">
        <f>+ROUND(Návrh!K104,-3)/$X$2</f>
        <v>-18054</v>
      </c>
      <c r="M107" s="70"/>
    </row>
    <row r="108" spans="1:13" x14ac:dyDescent="0.25">
      <c r="A108" s="42" t="s">
        <v>1011</v>
      </c>
      <c r="B108" s="27" t="s">
        <v>916</v>
      </c>
      <c r="C108" s="28" t="s">
        <v>919</v>
      </c>
      <c r="D108" s="28" t="s">
        <v>917</v>
      </c>
      <c r="E108" s="290" t="s">
        <v>104</v>
      </c>
      <c r="F108" s="291"/>
      <c r="G108" s="91">
        <f>+ROUND(Návrh!G105,-3)/$X$2</f>
        <v>-1879</v>
      </c>
      <c r="H108" s="91">
        <f>+ROUND(Návrh!H105,-3)/$X$2</f>
        <v>-2108</v>
      </c>
      <c r="I108" s="91">
        <f>+ROUND(Návrh!I105,-3)/$X$2</f>
        <v>-1800</v>
      </c>
      <c r="J108" s="91" t="e">
        <f>+ROUND(Návrh!#REF!,-3)/$X$2</f>
        <v>#REF!</v>
      </c>
      <c r="K108" s="91">
        <f>+ROUND(Návrh!J105,-3)/$X$2</f>
        <v>0</v>
      </c>
      <c r="L108" s="91">
        <f>+ROUND(Návrh!K105,-3)/$X$2</f>
        <v>-1760</v>
      </c>
      <c r="M108" s="70"/>
    </row>
    <row r="109" spans="1:13" x14ac:dyDescent="0.25">
      <c r="A109" s="42" t="s">
        <v>1012</v>
      </c>
      <c r="B109" s="27" t="s">
        <v>916</v>
      </c>
      <c r="C109" s="28" t="s">
        <v>923</v>
      </c>
      <c r="D109" s="28" t="s">
        <v>917</v>
      </c>
      <c r="E109" s="290" t="s">
        <v>105</v>
      </c>
      <c r="F109" s="291"/>
      <c r="G109" s="91">
        <f>+ROUND(Návrh!G106,-3)/$X$2</f>
        <v>-215</v>
      </c>
      <c r="H109" s="91">
        <f>+ROUND(Návrh!H106,-3)/$X$2</f>
        <v>-346</v>
      </c>
      <c r="I109" s="91">
        <f>+ROUND(Návrh!I106,-3)/$X$2</f>
        <v>-330</v>
      </c>
      <c r="J109" s="91" t="e">
        <f>+ROUND(Návrh!#REF!,-3)/$X$2</f>
        <v>#REF!</v>
      </c>
      <c r="K109" s="91">
        <f>+ROUND(Návrh!J106,-3)/$X$2</f>
        <v>0</v>
      </c>
      <c r="L109" s="91">
        <f>+ROUND(Návrh!K106,-3)/$X$2</f>
        <v>-458</v>
      </c>
      <c r="M109" s="70"/>
    </row>
    <row r="110" spans="1:13" x14ac:dyDescent="0.25">
      <c r="A110" s="42" t="s">
        <v>1013</v>
      </c>
      <c r="B110" s="27" t="s">
        <v>916</v>
      </c>
      <c r="C110" s="28" t="s">
        <v>919</v>
      </c>
      <c r="D110" s="28" t="s">
        <v>917</v>
      </c>
      <c r="E110" s="290" t="s">
        <v>106</v>
      </c>
      <c r="F110" s="291"/>
      <c r="G110" s="91">
        <f>+ROUND(Návrh!G107,-3)/$X$2</f>
        <v>-1244</v>
      </c>
      <c r="H110" s="91">
        <f>+ROUND(Návrh!H107,-3)/$X$2</f>
        <v>-1331</v>
      </c>
      <c r="I110" s="91">
        <f>+ROUND(Návrh!I107,-3)/$X$2</f>
        <v>-1350</v>
      </c>
      <c r="J110" s="91" t="e">
        <f>+ROUND(Návrh!#REF!,-3)/$X$2</f>
        <v>#REF!</v>
      </c>
      <c r="K110" s="91">
        <f>+ROUND(Návrh!J107,-3)/$X$2</f>
        <v>0</v>
      </c>
      <c r="L110" s="91">
        <f>+ROUND(Návrh!K107,-3)/$X$2</f>
        <v>-1554</v>
      </c>
      <c r="M110" s="70"/>
    </row>
    <row r="111" spans="1:13" x14ac:dyDescent="0.25">
      <c r="A111" s="26" t="s">
        <v>1015</v>
      </c>
      <c r="B111" s="26"/>
      <c r="C111" s="23"/>
      <c r="D111" s="23"/>
      <c r="E111" s="300" t="s">
        <v>107</v>
      </c>
      <c r="F111" s="301"/>
      <c r="G111" s="95">
        <f>+ROUND(Návrh!G108,-3)/$X$2</f>
        <v>-40560</v>
      </c>
      <c r="H111" s="95">
        <f>+ROUND(Návrh!H108,-3)/$X$2</f>
        <v>-45196</v>
      </c>
      <c r="I111" s="95">
        <f>+ROUND(Návrh!I108,-3)/$X$2</f>
        <v>-44058</v>
      </c>
      <c r="J111" s="95" t="e">
        <f>+ROUND(Návrh!#REF!,-3)/$X$2</f>
        <v>#REF!</v>
      </c>
      <c r="K111" s="95">
        <f>+ROUND(Návrh!J108,-3)/$X$2</f>
        <v>0</v>
      </c>
      <c r="L111" s="95">
        <f>+ROUND(Návrh!K108,-3)/$X$2</f>
        <v>-43208</v>
      </c>
      <c r="M111" s="70"/>
    </row>
    <row r="112" spans="1:13" x14ac:dyDescent="0.25">
      <c r="A112" s="42" t="s">
        <v>1016</v>
      </c>
      <c r="B112" s="28" t="s">
        <v>916</v>
      </c>
      <c r="C112" s="28" t="s">
        <v>923</v>
      </c>
      <c r="D112" s="28" t="s">
        <v>917</v>
      </c>
      <c r="E112" s="290" t="s">
        <v>108</v>
      </c>
      <c r="F112" s="291"/>
      <c r="G112" s="91">
        <f>+ROUND(Návrh!G109,-3)/$X$2</f>
        <v>-1163</v>
      </c>
      <c r="H112" s="91">
        <f>+ROUND(Návrh!H109,-3)/$X$2</f>
        <v>-2095</v>
      </c>
      <c r="I112" s="91">
        <f>+ROUND(Návrh!I109,-3)/$X$2</f>
        <v>-1100</v>
      </c>
      <c r="J112" s="91" t="e">
        <f>+ROUND(Návrh!#REF!,-3)/$X$2</f>
        <v>#REF!</v>
      </c>
      <c r="K112" s="91">
        <f>+ROUND(Návrh!J109,-3)/$X$2</f>
        <v>0</v>
      </c>
      <c r="L112" s="91">
        <f>+ROUND(Návrh!K109,-3)/$X$2</f>
        <v>-1200</v>
      </c>
      <c r="M112" s="70"/>
    </row>
    <row r="113" spans="1:13" x14ac:dyDescent="0.25">
      <c r="A113" s="42" t="s">
        <v>1017</v>
      </c>
      <c r="B113" s="28" t="s">
        <v>916</v>
      </c>
      <c r="C113" s="28" t="s">
        <v>917</v>
      </c>
      <c r="D113" s="28" t="s">
        <v>917</v>
      </c>
      <c r="E113" s="290" t="s">
        <v>109</v>
      </c>
      <c r="F113" s="291"/>
      <c r="G113" s="91">
        <f>+ROUND(Návrh!G110,-3)/$X$2</f>
        <v>-2455</v>
      </c>
      <c r="H113" s="91">
        <f>+ROUND(Návrh!H110,-3)/$X$2</f>
        <v>-2678</v>
      </c>
      <c r="I113" s="91">
        <f>+ROUND(Návrh!I110,-3)/$X$2</f>
        <v>-2677</v>
      </c>
      <c r="J113" s="91" t="e">
        <f>+ROUND(Návrh!#REF!,-3)/$X$2</f>
        <v>#REF!</v>
      </c>
      <c r="K113" s="91">
        <f>+ROUND(Návrh!J110,-3)/$X$2</f>
        <v>0</v>
      </c>
      <c r="L113" s="91">
        <f>+ROUND(Návrh!K110,-3)/$X$2</f>
        <v>-2641</v>
      </c>
      <c r="M113" s="70"/>
    </row>
    <row r="114" spans="1:13" x14ac:dyDescent="0.25">
      <c r="A114" s="42" t="s">
        <v>1018</v>
      </c>
      <c r="B114" s="27" t="s">
        <v>916</v>
      </c>
      <c r="C114" s="28" t="s">
        <v>923</v>
      </c>
      <c r="D114" s="28" t="s">
        <v>917</v>
      </c>
      <c r="E114" s="290" t="s">
        <v>110</v>
      </c>
      <c r="F114" s="291"/>
      <c r="G114" s="91">
        <f>+ROUND(Návrh!G111,-3)/$X$2</f>
        <v>-11910</v>
      </c>
      <c r="H114" s="91">
        <f>+ROUND(Návrh!H111,-3)/$X$2</f>
        <v>-12883</v>
      </c>
      <c r="I114" s="91">
        <f>+ROUND(Návrh!I111,-3)/$X$2</f>
        <v>-12500</v>
      </c>
      <c r="J114" s="91" t="e">
        <f>+ROUND(Návrh!#REF!,-3)/$X$2</f>
        <v>#REF!</v>
      </c>
      <c r="K114" s="91">
        <f>+ROUND(Návrh!J111,-3)/$X$2</f>
        <v>0</v>
      </c>
      <c r="L114" s="91">
        <f>+ROUND(Návrh!K111,-3)/$X$2</f>
        <v>-13236</v>
      </c>
      <c r="M114" s="70"/>
    </row>
    <row r="115" spans="1:13" x14ac:dyDescent="0.25">
      <c r="A115" s="42" t="s">
        <v>1019</v>
      </c>
      <c r="B115" s="28" t="s">
        <v>916</v>
      </c>
      <c r="C115" s="28" t="s">
        <v>917</v>
      </c>
      <c r="D115" s="28" t="s">
        <v>917</v>
      </c>
      <c r="E115" s="290" t="s">
        <v>111</v>
      </c>
      <c r="F115" s="291"/>
      <c r="G115" s="91">
        <f>+ROUND(Návrh!G112,-3)/$X$2</f>
        <v>-5326</v>
      </c>
      <c r="H115" s="91">
        <f>+ROUND(Návrh!H112,-3)/$X$2</f>
        <v>-5652</v>
      </c>
      <c r="I115" s="91">
        <f>+ROUND(Návrh!I112,-3)/$X$2</f>
        <v>-5370</v>
      </c>
      <c r="J115" s="91" t="e">
        <f>+ROUND(Návrh!#REF!,-3)/$X$2</f>
        <v>#REF!</v>
      </c>
      <c r="K115" s="91">
        <f>+ROUND(Návrh!J112,-3)/$X$2</f>
        <v>0</v>
      </c>
      <c r="L115" s="91">
        <f>+ROUND(Návrh!K112,-3)/$X$2</f>
        <v>-5781</v>
      </c>
      <c r="M115" s="70"/>
    </row>
    <row r="116" spans="1:13" x14ac:dyDescent="0.25">
      <c r="A116" s="42" t="s">
        <v>1020</v>
      </c>
      <c r="B116" s="20" t="s">
        <v>916</v>
      </c>
      <c r="C116" s="20" t="s">
        <v>923</v>
      </c>
      <c r="D116" s="20" t="s">
        <v>1648</v>
      </c>
      <c r="E116" s="290" t="s">
        <v>112</v>
      </c>
      <c r="F116" s="291"/>
      <c r="G116" s="91">
        <f>+ROUND(Návrh!G113,-3)/$X$2</f>
        <v>-1075</v>
      </c>
      <c r="H116" s="91">
        <f>+ROUND(Návrh!H113,-3)/$X$2</f>
        <v>-1530</v>
      </c>
      <c r="I116" s="91">
        <f>+ROUND(Návrh!I113,-3)/$X$2</f>
        <v>-1500</v>
      </c>
      <c r="J116" s="91" t="e">
        <f>+ROUND(Návrh!#REF!,-3)/$X$2</f>
        <v>#REF!</v>
      </c>
      <c r="K116" s="91">
        <f>+ROUND(Návrh!J113,-3)/$X$2</f>
        <v>0</v>
      </c>
      <c r="L116" s="91">
        <f>+ROUND(Návrh!K113,-3)/$X$2</f>
        <v>-1603</v>
      </c>
      <c r="M116" s="70"/>
    </row>
    <row r="117" spans="1:13" x14ac:dyDescent="0.25">
      <c r="A117" s="42" t="s">
        <v>1021</v>
      </c>
      <c r="B117" s="33"/>
      <c r="C117" s="33"/>
      <c r="D117" s="33"/>
      <c r="E117" s="290" t="s">
        <v>113</v>
      </c>
      <c r="F117" s="291"/>
      <c r="G117" s="91">
        <f>+ROUND(Návrh!G114,-3)/$X$2</f>
        <v>-1178</v>
      </c>
      <c r="H117" s="91">
        <f>+ROUND(Návrh!H114,-3)/$X$2</f>
        <v>-1190</v>
      </c>
      <c r="I117" s="91">
        <f>+ROUND(Návrh!I114,-3)/$X$2</f>
        <v>-1200</v>
      </c>
      <c r="J117" s="91" t="e">
        <f>+ROUND(Návrh!#REF!,-3)/$X$2</f>
        <v>#REF!</v>
      </c>
      <c r="K117" s="91">
        <f>+ROUND(Návrh!J114,-3)/$X$2</f>
        <v>0</v>
      </c>
      <c r="L117" s="91">
        <f>+ROUND(Návrh!K114,-3)/$X$2</f>
        <v>0</v>
      </c>
      <c r="M117" s="70"/>
    </row>
    <row r="118" spans="1:13" x14ac:dyDescent="0.25">
      <c r="A118" s="42" t="s">
        <v>1022</v>
      </c>
      <c r="B118" s="28" t="s">
        <v>916</v>
      </c>
      <c r="C118" s="28" t="s">
        <v>923</v>
      </c>
      <c r="D118" s="28" t="s">
        <v>1037</v>
      </c>
      <c r="E118" s="290" t="s">
        <v>114</v>
      </c>
      <c r="F118" s="291"/>
      <c r="G118" s="91">
        <f>+ROUND(Návrh!G115,-3)/$X$2</f>
        <v>-316</v>
      </c>
      <c r="H118" s="91">
        <f>+ROUND(Návrh!H115,-3)/$X$2</f>
        <v>-307</v>
      </c>
      <c r="I118" s="91">
        <f>+ROUND(Návrh!I115,-3)/$X$2</f>
        <v>-300</v>
      </c>
      <c r="J118" s="91" t="e">
        <f>+ROUND(Návrh!#REF!,-3)/$X$2</f>
        <v>#REF!</v>
      </c>
      <c r="K118" s="91">
        <f>+ROUND(Návrh!J115,-3)/$X$2</f>
        <v>0</v>
      </c>
      <c r="L118" s="91">
        <f>+ROUND(Návrh!K115,-3)/$X$2</f>
        <v>-150</v>
      </c>
      <c r="M118" s="70"/>
    </row>
    <row r="119" spans="1:13" x14ac:dyDescent="0.25">
      <c r="A119" s="42" t="s">
        <v>1023</v>
      </c>
      <c r="B119" s="28" t="s">
        <v>916</v>
      </c>
      <c r="C119" s="28" t="s">
        <v>923</v>
      </c>
      <c r="D119" s="28" t="s">
        <v>1037</v>
      </c>
      <c r="E119" s="290" t="s">
        <v>115</v>
      </c>
      <c r="F119" s="291"/>
      <c r="G119" s="91">
        <f>+ROUND(Návrh!G116,-3)/$X$2</f>
        <v>-869</v>
      </c>
      <c r="H119" s="91">
        <f>+ROUND(Návrh!H116,-3)/$X$2</f>
        <v>-1192</v>
      </c>
      <c r="I119" s="91">
        <f>+ROUND(Návrh!I116,-3)/$X$2</f>
        <v>-2100</v>
      </c>
      <c r="J119" s="91" t="e">
        <f>+ROUND(Návrh!#REF!,-3)/$X$2</f>
        <v>#REF!</v>
      </c>
      <c r="K119" s="91">
        <f>+ROUND(Návrh!J116,-3)/$X$2</f>
        <v>0</v>
      </c>
      <c r="L119" s="91">
        <f>+ROUND(Návrh!K116,-3)/$X$2</f>
        <v>-2186</v>
      </c>
      <c r="M119" s="70"/>
    </row>
    <row r="120" spans="1:13" x14ac:dyDescent="0.25">
      <c r="A120" s="42" t="s">
        <v>1024</v>
      </c>
      <c r="B120" s="28" t="s">
        <v>916</v>
      </c>
      <c r="C120" s="28" t="s">
        <v>923</v>
      </c>
      <c r="D120" s="28" t="s">
        <v>1037</v>
      </c>
      <c r="E120" s="290" t="s">
        <v>116</v>
      </c>
      <c r="F120" s="291"/>
      <c r="G120" s="91">
        <f>+ROUND(Návrh!G117,-3)/$X$2</f>
        <v>-193</v>
      </c>
      <c r="H120" s="91">
        <f>+ROUND(Návrh!H117,-3)/$X$2</f>
        <v>-166</v>
      </c>
      <c r="I120" s="91">
        <f>+ROUND(Návrh!I117,-3)/$X$2</f>
        <v>-150</v>
      </c>
      <c r="J120" s="91" t="e">
        <f>+ROUND(Návrh!#REF!,-3)/$X$2</f>
        <v>#REF!</v>
      </c>
      <c r="K120" s="91">
        <f>+ROUND(Návrh!J117,-3)/$X$2</f>
        <v>0</v>
      </c>
      <c r="L120" s="91">
        <f>+ROUND(Návrh!K117,-3)/$X$2</f>
        <v>-200</v>
      </c>
      <c r="M120" s="70"/>
    </row>
    <row r="121" spans="1:13" x14ac:dyDescent="0.25">
      <c r="A121" s="42" t="s">
        <v>1025</v>
      </c>
      <c r="B121" s="28" t="s">
        <v>916</v>
      </c>
      <c r="C121" s="28" t="s">
        <v>923</v>
      </c>
      <c r="D121" s="28" t="s">
        <v>917</v>
      </c>
      <c r="E121" s="290" t="s">
        <v>117</v>
      </c>
      <c r="F121" s="291"/>
      <c r="G121" s="91">
        <f>+ROUND(Návrh!G118,-3)/$X$2</f>
        <v>-73</v>
      </c>
      <c r="H121" s="91">
        <f>+ROUND(Návrh!H118,-3)/$X$2</f>
        <v>-125</v>
      </c>
      <c r="I121" s="91">
        <f>+ROUND(Návrh!I118,-3)/$X$2</f>
        <v>-80</v>
      </c>
      <c r="J121" s="91" t="e">
        <f>+ROUND(Návrh!#REF!,-3)/$X$2</f>
        <v>#REF!</v>
      </c>
      <c r="K121" s="91">
        <f>+ROUND(Návrh!J118,-3)/$X$2</f>
        <v>0</v>
      </c>
      <c r="L121" s="91">
        <f>+ROUND(Návrh!K118,-3)/$X$2</f>
        <v>-80</v>
      </c>
      <c r="M121" s="70"/>
    </row>
    <row r="122" spans="1:13" x14ac:dyDescent="0.25">
      <c r="A122" s="42" t="s">
        <v>1026</v>
      </c>
      <c r="B122" s="28" t="s">
        <v>916</v>
      </c>
      <c r="C122" s="28" t="s">
        <v>917</v>
      </c>
      <c r="D122" s="28" t="s">
        <v>917</v>
      </c>
      <c r="E122" s="290" t="s">
        <v>118</v>
      </c>
      <c r="F122" s="291"/>
      <c r="G122" s="91">
        <f>+ROUND(Návrh!G119,-3)/$X$2</f>
        <v>-3030</v>
      </c>
      <c r="H122" s="91">
        <f>+ROUND(Návrh!H119,-3)/$X$2</f>
        <v>-3244</v>
      </c>
      <c r="I122" s="91">
        <f>+ROUND(Návrh!I119,-3)/$X$2</f>
        <v>-3367</v>
      </c>
      <c r="J122" s="91" t="e">
        <f>+ROUND(Návrh!#REF!,-3)/$X$2</f>
        <v>#REF!</v>
      </c>
      <c r="K122" s="91">
        <f>+ROUND(Návrh!J119,-3)/$X$2</f>
        <v>0</v>
      </c>
      <c r="L122" s="91">
        <f>+ROUND(Návrh!K119,-3)/$X$2</f>
        <v>-3147</v>
      </c>
      <c r="M122" s="70"/>
    </row>
    <row r="123" spans="1:13" x14ac:dyDescent="0.25">
      <c r="A123" s="42" t="s">
        <v>1027</v>
      </c>
      <c r="B123" s="20" t="s">
        <v>1654</v>
      </c>
      <c r="C123" s="20" t="s">
        <v>919</v>
      </c>
      <c r="D123" s="20" t="s">
        <v>1655</v>
      </c>
      <c r="E123" s="290" t="s">
        <v>119</v>
      </c>
      <c r="F123" s="291"/>
      <c r="G123" s="91">
        <f>+ROUND(Návrh!G120,-3)/$X$2</f>
        <v>-2617</v>
      </c>
      <c r="H123" s="91">
        <f>+ROUND(Návrh!H120,-3)/$X$2</f>
        <v>-3060</v>
      </c>
      <c r="I123" s="91">
        <f>+ROUND(Návrh!I120,-3)/$X$2</f>
        <v>-2900</v>
      </c>
      <c r="J123" s="91" t="e">
        <f>+ROUND(Návrh!#REF!,-3)/$X$2</f>
        <v>#REF!</v>
      </c>
      <c r="K123" s="91">
        <f>+ROUND(Návrh!J120,-3)/$X$2</f>
        <v>0</v>
      </c>
      <c r="L123" s="91">
        <f>+ROUND(Návrh!K120,-3)/$X$2</f>
        <v>-2000</v>
      </c>
      <c r="M123" s="70"/>
    </row>
    <row r="124" spans="1:13" x14ac:dyDescent="0.25">
      <c r="A124" s="42" t="s">
        <v>1028</v>
      </c>
      <c r="B124" s="28" t="s">
        <v>916</v>
      </c>
      <c r="C124" s="28" t="s">
        <v>923</v>
      </c>
      <c r="D124" s="28" t="s">
        <v>1037</v>
      </c>
      <c r="E124" s="290" t="s">
        <v>120</v>
      </c>
      <c r="F124" s="291"/>
      <c r="G124" s="91">
        <f>+ROUND(Návrh!G121,-3)/$X$2</f>
        <v>-741</v>
      </c>
      <c r="H124" s="91">
        <f>+ROUND(Návrh!H121,-3)/$X$2</f>
        <v>-580</v>
      </c>
      <c r="I124" s="91">
        <f>+ROUND(Návrh!I121,-3)/$X$2</f>
        <v>-400</v>
      </c>
      <c r="J124" s="91" t="e">
        <f>+ROUND(Návrh!#REF!,-3)/$X$2</f>
        <v>#REF!</v>
      </c>
      <c r="K124" s="91">
        <f>+ROUND(Návrh!J121,-3)/$X$2</f>
        <v>0</v>
      </c>
      <c r="L124" s="91">
        <f>+ROUND(Návrh!K121,-3)/$X$2</f>
        <v>-450</v>
      </c>
      <c r="M124" s="70"/>
    </row>
    <row r="125" spans="1:13" x14ac:dyDescent="0.25">
      <c r="A125" s="42" t="s">
        <v>1029</v>
      </c>
      <c r="B125" s="28" t="s">
        <v>916</v>
      </c>
      <c r="C125" s="28" t="s">
        <v>923</v>
      </c>
      <c r="D125" s="28" t="s">
        <v>1037</v>
      </c>
      <c r="E125" s="290" t="s">
        <v>121</v>
      </c>
      <c r="F125" s="291"/>
      <c r="G125" s="91">
        <f>+ROUND(Návrh!G122,-3)/$X$2</f>
        <v>-244</v>
      </c>
      <c r="H125" s="91">
        <f>+ROUND(Návrh!H122,-3)/$X$2</f>
        <v>-612</v>
      </c>
      <c r="I125" s="91">
        <f>+ROUND(Návrh!I122,-3)/$X$2</f>
        <v>-450</v>
      </c>
      <c r="J125" s="91" t="e">
        <f>+ROUND(Návrh!#REF!,-3)/$X$2</f>
        <v>#REF!</v>
      </c>
      <c r="K125" s="91">
        <f>+ROUND(Návrh!J122,-3)/$X$2</f>
        <v>0</v>
      </c>
      <c r="L125" s="91">
        <f>+ROUND(Návrh!K122,-3)/$X$2</f>
        <v>-300</v>
      </c>
      <c r="M125" s="70"/>
    </row>
    <row r="126" spans="1:13" x14ac:dyDescent="0.25">
      <c r="A126" s="42" t="s">
        <v>1030</v>
      </c>
      <c r="B126" s="28" t="s">
        <v>916</v>
      </c>
      <c r="C126" s="28" t="s">
        <v>923</v>
      </c>
      <c r="D126" s="28" t="s">
        <v>1037</v>
      </c>
      <c r="E126" s="290" t="s">
        <v>122</v>
      </c>
      <c r="F126" s="291"/>
      <c r="G126" s="91">
        <f>+ROUND(Návrh!G123,-3)/$X$2</f>
        <v>-41</v>
      </c>
      <c r="H126" s="91">
        <f>+ROUND(Návrh!H123,-3)/$X$2</f>
        <v>-123</v>
      </c>
      <c r="I126" s="91">
        <f>+ROUND(Návrh!I123,-3)/$X$2</f>
        <v>-100</v>
      </c>
      <c r="J126" s="91" t="e">
        <f>+ROUND(Návrh!#REF!,-3)/$X$2</f>
        <v>#REF!</v>
      </c>
      <c r="K126" s="91">
        <f>+ROUND(Návrh!J123,-3)/$X$2</f>
        <v>0</v>
      </c>
      <c r="L126" s="91">
        <f>+ROUND(Návrh!K123,-3)/$X$2</f>
        <v>-120</v>
      </c>
      <c r="M126" s="70"/>
    </row>
    <row r="127" spans="1:13" x14ac:dyDescent="0.25">
      <c r="A127" s="42" t="s">
        <v>1031</v>
      </c>
      <c r="B127" s="28" t="s">
        <v>916</v>
      </c>
      <c r="C127" s="28" t="s">
        <v>923</v>
      </c>
      <c r="D127" s="28" t="s">
        <v>1037</v>
      </c>
      <c r="E127" s="290" t="s">
        <v>123</v>
      </c>
      <c r="F127" s="291"/>
      <c r="G127" s="91">
        <f>+ROUND(Návrh!G124,-3)/$X$2</f>
        <v>-139</v>
      </c>
      <c r="H127" s="91">
        <f>+ROUND(Návrh!H124,-3)/$X$2</f>
        <v>-167</v>
      </c>
      <c r="I127" s="91">
        <f>+ROUND(Návrh!I124,-3)/$X$2</f>
        <v>-180</v>
      </c>
      <c r="J127" s="91" t="e">
        <f>+ROUND(Návrh!#REF!,-3)/$X$2</f>
        <v>#REF!</v>
      </c>
      <c r="K127" s="91">
        <f>+ROUND(Návrh!J124,-3)/$X$2</f>
        <v>0</v>
      </c>
      <c r="L127" s="91">
        <f>+ROUND(Návrh!K124,-3)/$X$2</f>
        <v>-180</v>
      </c>
      <c r="M127" s="70"/>
    </row>
    <row r="128" spans="1:13" x14ac:dyDescent="0.25">
      <c r="A128" s="42" t="s">
        <v>1032</v>
      </c>
      <c r="B128" s="28" t="s">
        <v>916</v>
      </c>
      <c r="C128" s="28" t="s">
        <v>917</v>
      </c>
      <c r="D128" s="28" t="s">
        <v>917</v>
      </c>
      <c r="E128" s="290" t="s">
        <v>124</v>
      </c>
      <c r="F128" s="291"/>
      <c r="G128" s="91">
        <f>+ROUND(Návrh!G125,-3)/$X$2</f>
        <v>-7797</v>
      </c>
      <c r="H128" s="91">
        <f>+ROUND(Návrh!H125,-3)/$X$2</f>
        <v>-8147</v>
      </c>
      <c r="I128" s="91">
        <f>+ROUND(Návrh!I125,-3)/$X$2</f>
        <v>-8200</v>
      </c>
      <c r="J128" s="91" t="e">
        <f>+ROUND(Návrh!#REF!,-3)/$X$2</f>
        <v>#REF!</v>
      </c>
      <c r="K128" s="91">
        <f>+ROUND(Návrh!J125,-3)/$X$2</f>
        <v>0</v>
      </c>
      <c r="L128" s="91">
        <f>+ROUND(Návrh!K125,-3)/$X$2</f>
        <v>-8309</v>
      </c>
      <c r="M128" s="70"/>
    </row>
    <row r="129" spans="1:13" x14ac:dyDescent="0.25">
      <c r="A129" s="42" t="s">
        <v>1033</v>
      </c>
      <c r="B129" s="28" t="s">
        <v>916</v>
      </c>
      <c r="C129" s="28" t="s">
        <v>923</v>
      </c>
      <c r="D129" s="28" t="s">
        <v>1037</v>
      </c>
      <c r="E129" s="290" t="s">
        <v>125</v>
      </c>
      <c r="F129" s="291"/>
      <c r="G129" s="91">
        <f>+ROUND(Návrh!G126,-3)/$X$2</f>
        <v>-1389</v>
      </c>
      <c r="H129" s="91">
        <f>+ROUND(Návrh!H126,-3)/$X$2</f>
        <v>-1441</v>
      </c>
      <c r="I129" s="91">
        <f>+ROUND(Návrh!I126,-3)/$X$2</f>
        <v>-1480</v>
      </c>
      <c r="J129" s="91" t="e">
        <f>+ROUND(Návrh!#REF!,-3)/$X$2</f>
        <v>#REF!</v>
      </c>
      <c r="K129" s="91">
        <f>+ROUND(Návrh!J126,-3)/$X$2</f>
        <v>0</v>
      </c>
      <c r="L129" s="91">
        <f>+ROUND(Návrh!K126,-3)/$X$2</f>
        <v>-1620</v>
      </c>
      <c r="M129" s="70"/>
    </row>
    <row r="130" spans="1:13" x14ac:dyDescent="0.25">
      <c r="A130" s="42" t="s">
        <v>1034</v>
      </c>
      <c r="B130" s="28" t="s">
        <v>916</v>
      </c>
      <c r="C130" s="28" t="s">
        <v>923</v>
      </c>
      <c r="D130" s="28" t="s">
        <v>1037</v>
      </c>
      <c r="E130" s="302" t="s">
        <v>1677</v>
      </c>
      <c r="F130" s="303"/>
      <c r="G130" s="91">
        <f>+ROUND(Návrh!G127,-3)/$X$2</f>
        <v>-1</v>
      </c>
      <c r="H130" s="91">
        <f>+ROUND(Návrh!H127,-3)/$X$2</f>
        <v>-2</v>
      </c>
      <c r="I130" s="91">
        <f>+ROUND(Návrh!I127,-3)/$X$2</f>
        <v>-5</v>
      </c>
      <c r="J130" s="91" t="e">
        <f>+ROUND(Návrh!#REF!,-3)/$X$2</f>
        <v>#REF!</v>
      </c>
      <c r="K130" s="91">
        <f>+ROUND(Návrh!J127,-3)/$X$2</f>
        <v>0</v>
      </c>
      <c r="L130" s="91">
        <f>+ROUND(Návrh!K127,-3)/$X$2</f>
        <v>-5</v>
      </c>
      <c r="M130" s="70"/>
    </row>
    <row r="131" spans="1:13" x14ac:dyDescent="0.25">
      <c r="A131" s="42" t="s">
        <v>1035</v>
      </c>
      <c r="B131" s="28"/>
      <c r="C131" s="28"/>
      <c r="D131" s="28"/>
      <c r="E131" s="290" t="s">
        <v>126</v>
      </c>
      <c r="F131" s="291"/>
      <c r="G131" s="91">
        <f>+ROUND(Návrh!G128,-3)/$X$2</f>
        <v>-1</v>
      </c>
      <c r="H131" s="91">
        <f>+ROUND(Návrh!H128,-3)/$X$2</f>
        <v>-1</v>
      </c>
      <c r="I131" s="91">
        <f>+ROUND(Návrh!I128,-3)/$X$2</f>
        <v>0</v>
      </c>
      <c r="J131" s="91" t="e">
        <f>+ROUND(Návrh!#REF!,-3)/$X$2</f>
        <v>#REF!</v>
      </c>
      <c r="K131" s="91">
        <f>+ROUND(Návrh!J128,-3)/$X$2</f>
        <v>0</v>
      </c>
      <c r="L131" s="91">
        <f>+ROUND(Návrh!K128,-3)/$X$2</f>
        <v>0</v>
      </c>
      <c r="M131" s="70"/>
    </row>
    <row r="132" spans="1:13" x14ac:dyDescent="0.25">
      <c r="A132" s="26" t="s">
        <v>1038</v>
      </c>
      <c r="B132" s="26"/>
      <c r="C132" s="23"/>
      <c r="D132" s="23"/>
      <c r="E132" s="300" t="s">
        <v>127</v>
      </c>
      <c r="F132" s="301"/>
      <c r="G132" s="95">
        <f>+ROUND(Návrh!G129,-3)/$X$2</f>
        <v>-13354</v>
      </c>
      <c r="H132" s="95">
        <f>+ROUND(Návrh!H129,-3)/$X$2</f>
        <v>-12971</v>
      </c>
      <c r="I132" s="95">
        <f>+ROUND(Návrh!I129,-3)/$X$2</f>
        <v>-12706</v>
      </c>
      <c r="J132" s="95" t="e">
        <f>+ROUND(Návrh!#REF!,-3)/$X$2</f>
        <v>#REF!</v>
      </c>
      <c r="K132" s="95">
        <f>+ROUND(Návrh!J129,-3)/$X$2</f>
        <v>0</v>
      </c>
      <c r="L132" s="95">
        <f>+ROUND(Návrh!K129,-3)/$X$2</f>
        <v>-13454</v>
      </c>
      <c r="M132" s="70"/>
    </row>
    <row r="133" spans="1:13" x14ac:dyDescent="0.25">
      <c r="A133" s="42" t="s">
        <v>1039</v>
      </c>
      <c r="B133" s="28" t="s">
        <v>916</v>
      </c>
      <c r="C133" s="28" t="s">
        <v>923</v>
      </c>
      <c r="D133" s="28" t="s">
        <v>1037</v>
      </c>
      <c r="E133" s="290" t="s">
        <v>128</v>
      </c>
      <c r="F133" s="291"/>
      <c r="G133" s="91">
        <f>+ROUND(Návrh!G130,-3)/$X$2</f>
        <v>-226</v>
      </c>
      <c r="H133" s="91">
        <f>+ROUND(Návrh!H130,-3)/$X$2</f>
        <v>-170</v>
      </c>
      <c r="I133" s="91">
        <f>+ROUND(Návrh!I130,-3)/$X$2</f>
        <v>-140</v>
      </c>
      <c r="J133" s="91" t="e">
        <f>+ROUND(Návrh!#REF!,-3)/$X$2</f>
        <v>#REF!</v>
      </c>
      <c r="K133" s="91">
        <f>+ROUND(Návrh!J130,-3)/$X$2</f>
        <v>0</v>
      </c>
      <c r="L133" s="91">
        <f>+ROUND(Návrh!K130,-3)/$X$2</f>
        <v>0</v>
      </c>
      <c r="M133" s="70"/>
    </row>
    <row r="134" spans="1:13" x14ac:dyDescent="0.25">
      <c r="A134" s="42" t="s">
        <v>1040</v>
      </c>
      <c r="B134" s="28" t="s">
        <v>916</v>
      </c>
      <c r="C134" s="28" t="s">
        <v>923</v>
      </c>
      <c r="D134" s="28" t="s">
        <v>917</v>
      </c>
      <c r="E134" s="290" t="s">
        <v>129</v>
      </c>
      <c r="F134" s="291"/>
      <c r="G134" s="91">
        <f>+ROUND(Návrh!G131,-3)/$X$2</f>
        <v>-816</v>
      </c>
      <c r="H134" s="91">
        <f>+ROUND(Návrh!H131,-3)/$X$2</f>
        <v>-937</v>
      </c>
      <c r="I134" s="91">
        <f>+ROUND(Návrh!I131,-3)/$X$2</f>
        <v>-800</v>
      </c>
      <c r="J134" s="91" t="e">
        <f>+ROUND(Návrh!#REF!,-3)/$X$2</f>
        <v>#REF!</v>
      </c>
      <c r="K134" s="91">
        <f>+ROUND(Návrh!J131,-3)/$X$2</f>
        <v>0</v>
      </c>
      <c r="L134" s="91">
        <f>+ROUND(Návrh!K131,-3)/$X$2</f>
        <v>-850</v>
      </c>
      <c r="M134" s="70"/>
    </row>
    <row r="135" spans="1:13" x14ac:dyDescent="0.25">
      <c r="A135" s="42" t="s">
        <v>1041</v>
      </c>
      <c r="B135" s="20" t="s">
        <v>916</v>
      </c>
      <c r="C135" s="20" t="s">
        <v>920</v>
      </c>
      <c r="D135" s="20" t="s">
        <v>1053</v>
      </c>
      <c r="E135" s="290" t="s">
        <v>130</v>
      </c>
      <c r="F135" s="291"/>
      <c r="G135" s="91">
        <f>+ROUND(Návrh!G132,-3)/$X$2</f>
        <v>-1237</v>
      </c>
      <c r="H135" s="91">
        <f>+ROUND(Návrh!H132,-3)/$X$2</f>
        <v>-1021</v>
      </c>
      <c r="I135" s="91">
        <f>+ROUND(Návrh!I132,-3)/$X$2</f>
        <v>-300</v>
      </c>
      <c r="J135" s="91" t="e">
        <f>+ROUND(Návrh!#REF!,-3)/$X$2</f>
        <v>#REF!</v>
      </c>
      <c r="K135" s="91">
        <f>+ROUND(Návrh!J132,-3)/$X$2</f>
        <v>0</v>
      </c>
      <c r="L135" s="91">
        <f>+ROUND(Návrh!K132,-3)/$X$2</f>
        <v>-100</v>
      </c>
      <c r="M135" s="70"/>
    </row>
    <row r="136" spans="1:13" x14ac:dyDescent="0.25">
      <c r="A136" s="42" t="s">
        <v>1042</v>
      </c>
      <c r="B136" s="20" t="s">
        <v>916</v>
      </c>
      <c r="C136" s="20" t="s">
        <v>920</v>
      </c>
      <c r="D136" s="20" t="s">
        <v>1053</v>
      </c>
      <c r="E136" s="290" t="s">
        <v>131</v>
      </c>
      <c r="F136" s="291"/>
      <c r="G136" s="91">
        <f>+ROUND(Návrh!G133,-3)/$X$2</f>
        <v>-8856</v>
      </c>
      <c r="H136" s="91">
        <f>+ROUND(Návrh!H133,-3)/$X$2</f>
        <v>-7500</v>
      </c>
      <c r="I136" s="91">
        <f>+ROUND(Návrh!I133,-3)/$X$2</f>
        <v>-7100</v>
      </c>
      <c r="J136" s="91" t="e">
        <f>+ROUND(Návrh!#REF!,-3)/$X$2</f>
        <v>#REF!</v>
      </c>
      <c r="K136" s="91">
        <f>+ROUND(Návrh!J133,-3)/$X$2</f>
        <v>0</v>
      </c>
      <c r="L136" s="91">
        <f>+ROUND(Návrh!K133,-3)/$X$2</f>
        <v>-7600</v>
      </c>
      <c r="M136" s="70"/>
    </row>
    <row r="137" spans="1:13" x14ac:dyDescent="0.25">
      <c r="A137" s="42" t="s">
        <v>1043</v>
      </c>
      <c r="B137" s="20" t="s">
        <v>1654</v>
      </c>
      <c r="C137" s="20" t="s">
        <v>919</v>
      </c>
      <c r="D137" s="20" t="s">
        <v>1655</v>
      </c>
      <c r="E137" s="290" t="s">
        <v>132</v>
      </c>
      <c r="F137" s="291"/>
      <c r="G137" s="91">
        <f>+ROUND(Návrh!G134,-3)/$X$2</f>
        <v>-1279</v>
      </c>
      <c r="H137" s="91">
        <f>+ROUND(Návrh!H134,-3)/$X$2</f>
        <v>-2216</v>
      </c>
      <c r="I137" s="91">
        <f>+ROUND(Návrh!I134,-3)/$X$2</f>
        <v>-2616</v>
      </c>
      <c r="J137" s="91" t="e">
        <f>+ROUND(Návrh!#REF!,-3)/$X$2</f>
        <v>#REF!</v>
      </c>
      <c r="K137" s="91">
        <f>+ROUND(Návrh!J134,-3)/$X$2</f>
        <v>0</v>
      </c>
      <c r="L137" s="91">
        <f>+ROUND(Návrh!K134,-3)/$X$2</f>
        <v>-2754</v>
      </c>
      <c r="M137" s="70"/>
    </row>
    <row r="138" spans="1:13" x14ac:dyDescent="0.25">
      <c r="A138" s="42" t="s">
        <v>1044</v>
      </c>
      <c r="B138" s="20" t="s">
        <v>916</v>
      </c>
      <c r="C138" s="20" t="s">
        <v>923</v>
      </c>
      <c r="D138" s="20" t="s">
        <v>1648</v>
      </c>
      <c r="E138" s="290" t="s">
        <v>133</v>
      </c>
      <c r="F138" s="291"/>
      <c r="G138" s="91">
        <f>+ROUND(Návrh!G135,-3)/$X$2</f>
        <v>-505</v>
      </c>
      <c r="H138" s="91">
        <f>+ROUND(Návrh!H135,-3)/$X$2</f>
        <v>-634</v>
      </c>
      <c r="I138" s="91">
        <f>+ROUND(Návrh!I135,-3)/$X$2</f>
        <v>-600</v>
      </c>
      <c r="J138" s="91" t="e">
        <f>+ROUND(Návrh!#REF!,-3)/$X$2</f>
        <v>#REF!</v>
      </c>
      <c r="K138" s="91">
        <f>+ROUND(Návrh!J135,-3)/$X$2</f>
        <v>0</v>
      </c>
      <c r="L138" s="91">
        <f>+ROUND(Návrh!K135,-3)/$X$2</f>
        <v>-700</v>
      </c>
      <c r="M138" s="70"/>
    </row>
    <row r="139" spans="1:13" x14ac:dyDescent="0.25">
      <c r="A139" s="42" t="s">
        <v>1045</v>
      </c>
      <c r="B139" s="20" t="s">
        <v>916</v>
      </c>
      <c r="C139" s="20" t="s">
        <v>919</v>
      </c>
      <c r="D139" s="20" t="s">
        <v>918</v>
      </c>
      <c r="E139" s="290" t="s">
        <v>134</v>
      </c>
      <c r="F139" s="291"/>
      <c r="G139" s="91">
        <f>+ROUND(Návrh!G136,-3)/$X$2</f>
        <v>-435</v>
      </c>
      <c r="H139" s="91">
        <f>+ROUND(Návrh!H136,-3)/$X$2</f>
        <v>-492</v>
      </c>
      <c r="I139" s="91">
        <f>+ROUND(Návrh!I136,-3)/$X$2</f>
        <v>-450</v>
      </c>
      <c r="J139" s="91" t="e">
        <f>+ROUND(Návrh!#REF!,-3)/$X$2</f>
        <v>#REF!</v>
      </c>
      <c r="K139" s="91">
        <f>+ROUND(Návrh!J136,-3)/$X$2</f>
        <v>0</v>
      </c>
      <c r="L139" s="91">
        <f>+ROUND(Návrh!K136,-3)/$X$2</f>
        <v>-550</v>
      </c>
      <c r="M139" s="70"/>
    </row>
    <row r="140" spans="1:13" x14ac:dyDescent="0.25">
      <c r="A140" s="42" t="s">
        <v>1046</v>
      </c>
      <c r="B140" s="20" t="s">
        <v>916</v>
      </c>
      <c r="C140" s="20" t="s">
        <v>919</v>
      </c>
      <c r="D140" s="20" t="s">
        <v>1649</v>
      </c>
      <c r="E140" s="302" t="s">
        <v>1678</v>
      </c>
      <c r="F140" s="303"/>
      <c r="G140" s="91">
        <f>+ROUND(Návrh!G137,-3)/$X$2</f>
        <v>0</v>
      </c>
      <c r="H140" s="91">
        <f>+ROUND(Návrh!H137,-3)/$X$2</f>
        <v>0</v>
      </c>
      <c r="I140" s="91">
        <f>+ROUND(Návrh!I137,-3)/$X$2</f>
        <v>-700</v>
      </c>
      <c r="J140" s="91" t="e">
        <f>+ROUND(Návrh!#REF!,-3)/$X$2</f>
        <v>#REF!</v>
      </c>
      <c r="K140" s="91">
        <f>+ROUND(Návrh!J137,-3)/$X$2</f>
        <v>0</v>
      </c>
      <c r="L140" s="91">
        <f>+ROUND(Návrh!K137,-3)/$X$2</f>
        <v>-900</v>
      </c>
      <c r="M140" s="70"/>
    </row>
    <row r="141" spans="1:13" x14ac:dyDescent="0.25">
      <c r="A141" s="42" t="s">
        <v>1047</v>
      </c>
      <c r="B141" s="20"/>
      <c r="C141" s="20"/>
      <c r="D141" s="20"/>
      <c r="E141" s="290" t="s">
        <v>135</v>
      </c>
      <c r="F141" s="291"/>
      <c r="G141" s="91">
        <f>+ROUND(Návrh!G138,-3)/$X$2</f>
        <v>0</v>
      </c>
      <c r="H141" s="91">
        <f>+ROUND(Návrh!H138,-3)/$X$2</f>
        <v>-2</v>
      </c>
      <c r="I141" s="91">
        <f>+ROUND(Návrh!I138,-3)/$X$2</f>
        <v>0</v>
      </c>
      <c r="J141" s="91" t="e">
        <f>+ROUND(Návrh!#REF!,-3)/$X$2</f>
        <v>#REF!</v>
      </c>
      <c r="K141" s="91">
        <f>+ROUND(Návrh!J138,-3)/$X$2</f>
        <v>0</v>
      </c>
      <c r="L141" s="91">
        <f>+ROUND(Návrh!K138,-3)/$X$2</f>
        <v>0</v>
      </c>
      <c r="M141" s="70"/>
    </row>
    <row r="142" spans="1:13" x14ac:dyDescent="0.25">
      <c r="A142" s="26" t="s">
        <v>1048</v>
      </c>
      <c r="B142" s="26"/>
      <c r="C142" s="23"/>
      <c r="D142" s="23"/>
      <c r="E142" s="300" t="s">
        <v>136</v>
      </c>
      <c r="F142" s="301"/>
      <c r="G142" s="95">
        <f>+ROUND(Návrh!G139,-3)/$X$2</f>
        <v>-30328</v>
      </c>
      <c r="H142" s="95">
        <f>+ROUND(Návrh!H139,-3)/$X$2</f>
        <v>-33000</v>
      </c>
      <c r="I142" s="95">
        <f>+ROUND(Návrh!I139,-3)/$X$2</f>
        <v>-32113</v>
      </c>
      <c r="J142" s="95" t="e">
        <f>+ROUND(Návrh!#REF!,-3)/$X$2</f>
        <v>#REF!</v>
      </c>
      <c r="K142" s="95">
        <f>+ROUND(Návrh!J139,-3)/$X$2</f>
        <v>0</v>
      </c>
      <c r="L142" s="95">
        <f>+ROUND(Návrh!K139,-3)/$X$2</f>
        <v>-28850</v>
      </c>
      <c r="M142" s="70"/>
    </row>
    <row r="143" spans="1:13" x14ac:dyDescent="0.25">
      <c r="A143" s="42" t="s">
        <v>1049</v>
      </c>
      <c r="B143" s="33"/>
      <c r="C143" s="33"/>
      <c r="D143" s="33"/>
      <c r="E143" s="290" t="s">
        <v>137</v>
      </c>
      <c r="F143" s="291"/>
      <c r="G143" s="91">
        <f>+ROUND(Návrh!G140,-3)/$X$2</f>
        <v>-3239</v>
      </c>
      <c r="H143" s="91">
        <f>+ROUND(Návrh!H140,-3)/$X$2</f>
        <v>-1490</v>
      </c>
      <c r="I143" s="91">
        <f>+ROUND(Návrh!I140,-3)/$X$2</f>
        <v>-2000</v>
      </c>
      <c r="J143" s="91" t="e">
        <f>+ROUND(Návrh!#REF!,-3)/$X$2</f>
        <v>#REF!</v>
      </c>
      <c r="K143" s="91">
        <f>+ROUND(Návrh!J140,-3)/$X$2</f>
        <v>0</v>
      </c>
      <c r="L143" s="91">
        <f>+ROUND(Návrh!K140,-3)/$X$2</f>
        <v>-400</v>
      </c>
      <c r="M143" s="70"/>
    </row>
    <row r="144" spans="1:13" x14ac:dyDescent="0.25">
      <c r="A144" s="42" t="s">
        <v>1050</v>
      </c>
      <c r="B144" s="20"/>
      <c r="C144" s="33"/>
      <c r="D144" s="33"/>
      <c r="E144" s="290" t="s">
        <v>138</v>
      </c>
      <c r="F144" s="291"/>
      <c r="G144" s="91">
        <f>+ROUND(Návrh!G141,-3)/$X$2</f>
        <v>-1</v>
      </c>
      <c r="H144" s="91">
        <f>+ROUND(Návrh!H141,-3)/$X$2</f>
        <v>0</v>
      </c>
      <c r="I144" s="91">
        <f>+ROUND(Návrh!I141,-3)/$X$2</f>
        <v>0</v>
      </c>
      <c r="J144" s="91" t="e">
        <f>+ROUND(Návrh!#REF!,-3)/$X$2</f>
        <v>#REF!</v>
      </c>
      <c r="K144" s="91">
        <f>+ROUND(Návrh!J141,-3)/$X$2</f>
        <v>0</v>
      </c>
      <c r="L144" s="91">
        <f>+ROUND(Návrh!K141,-3)/$X$2</f>
        <v>0</v>
      </c>
      <c r="M144" s="70"/>
    </row>
    <row r="145" spans="1:13" x14ac:dyDescent="0.25">
      <c r="A145" s="42" t="s">
        <v>1051</v>
      </c>
      <c r="B145" s="28" t="s">
        <v>916</v>
      </c>
      <c r="C145" s="28" t="s">
        <v>923</v>
      </c>
      <c r="D145" s="28" t="s">
        <v>1037</v>
      </c>
      <c r="E145" s="290" t="s">
        <v>139</v>
      </c>
      <c r="F145" s="291"/>
      <c r="G145" s="91">
        <f>+ROUND(Návrh!G142,-3)/$X$2</f>
        <v>-2593</v>
      </c>
      <c r="H145" s="91">
        <f>+ROUND(Návrh!H142,-3)/$X$2</f>
        <v>-3654</v>
      </c>
      <c r="I145" s="91">
        <f>+ROUND(Návrh!I142,-3)/$X$2</f>
        <v>-2900</v>
      </c>
      <c r="J145" s="91" t="e">
        <f>+ROUND(Návrh!#REF!,-3)/$X$2</f>
        <v>#REF!</v>
      </c>
      <c r="K145" s="91">
        <f>+ROUND(Návrh!J142,-3)/$X$2</f>
        <v>0</v>
      </c>
      <c r="L145" s="91">
        <f>+ROUND(Návrh!K142,-3)/$X$2</f>
        <v>-1000</v>
      </c>
      <c r="M145" s="70"/>
    </row>
    <row r="146" spans="1:13" x14ac:dyDescent="0.25">
      <c r="A146" s="42" t="s">
        <v>1052</v>
      </c>
      <c r="B146" s="28" t="s">
        <v>916</v>
      </c>
      <c r="C146" s="28" t="s">
        <v>923</v>
      </c>
      <c r="D146" s="28" t="s">
        <v>1037</v>
      </c>
      <c r="E146" s="290" t="s">
        <v>140</v>
      </c>
      <c r="F146" s="291"/>
      <c r="G146" s="91">
        <f>+ROUND(Návrh!G143,-3)/$X$2</f>
        <v>-94</v>
      </c>
      <c r="H146" s="91">
        <f>+ROUND(Návrh!H143,-3)/$X$2</f>
        <v>-66</v>
      </c>
      <c r="I146" s="91">
        <f>+ROUND(Návrh!I143,-3)/$X$2</f>
        <v>-64</v>
      </c>
      <c r="J146" s="91" t="e">
        <f>+ROUND(Návrh!#REF!,-3)/$X$2</f>
        <v>#REF!</v>
      </c>
      <c r="K146" s="91">
        <f>+ROUND(Návrh!J143,-3)/$X$2</f>
        <v>0</v>
      </c>
      <c r="L146" s="91">
        <f>+ROUND(Návrh!K143,-3)/$X$2</f>
        <v>-125</v>
      </c>
      <c r="M146" s="70"/>
    </row>
    <row r="147" spans="1:13" x14ac:dyDescent="0.25">
      <c r="A147" s="42" t="s">
        <v>1054</v>
      </c>
      <c r="B147" s="28" t="s">
        <v>916</v>
      </c>
      <c r="C147" s="28" t="s">
        <v>923</v>
      </c>
      <c r="D147" s="28" t="s">
        <v>1037</v>
      </c>
      <c r="E147" s="290" t="s">
        <v>141</v>
      </c>
      <c r="F147" s="291"/>
      <c r="G147" s="91">
        <f>+ROUND(Návrh!G144,-3)/$X$2</f>
        <v>-191</v>
      </c>
      <c r="H147" s="91">
        <f>+ROUND(Návrh!H144,-3)/$X$2</f>
        <v>-2203</v>
      </c>
      <c r="I147" s="91">
        <f>+ROUND(Návrh!I144,-3)/$X$2</f>
        <v>-1524</v>
      </c>
      <c r="J147" s="91" t="e">
        <f>+ROUND(Návrh!#REF!,-3)/$X$2</f>
        <v>#REF!</v>
      </c>
      <c r="K147" s="91">
        <f>+ROUND(Návrh!J144,-3)/$X$2</f>
        <v>0</v>
      </c>
      <c r="L147" s="91">
        <f>+ROUND(Návrh!K144,-3)/$X$2</f>
        <v>-250</v>
      </c>
      <c r="M147" s="70"/>
    </row>
    <row r="148" spans="1:13" x14ac:dyDescent="0.25">
      <c r="A148" s="42" t="s">
        <v>1055</v>
      </c>
      <c r="B148" s="14"/>
      <c r="C148" s="13"/>
      <c r="D148" s="13"/>
      <c r="E148" s="290" t="s">
        <v>142</v>
      </c>
      <c r="F148" s="291"/>
      <c r="G148" s="91">
        <f>+ROUND(Návrh!G145,-3)/$X$2</f>
        <v>1</v>
      </c>
      <c r="H148" s="91">
        <f>+ROUND(Návrh!H145,-3)/$X$2</f>
        <v>12</v>
      </c>
      <c r="I148" s="91">
        <f>+ROUND(Návrh!I145,-3)/$X$2</f>
        <v>0</v>
      </c>
      <c r="J148" s="91" t="e">
        <f>+ROUND(Návrh!#REF!,-3)/$X$2</f>
        <v>#REF!</v>
      </c>
      <c r="K148" s="91">
        <f>+ROUND(Návrh!J145,-3)/$X$2</f>
        <v>0</v>
      </c>
      <c r="L148" s="91">
        <f>+ROUND(Návrh!K145,-3)/$X$2</f>
        <v>0</v>
      </c>
      <c r="M148" s="70"/>
    </row>
    <row r="149" spans="1:13" x14ac:dyDescent="0.25">
      <c r="A149" s="42" t="s">
        <v>1056</v>
      </c>
      <c r="B149" s="28" t="s">
        <v>916</v>
      </c>
      <c r="C149" s="28" t="s">
        <v>917</v>
      </c>
      <c r="D149" s="28" t="s">
        <v>917</v>
      </c>
      <c r="E149" s="290" t="s">
        <v>143</v>
      </c>
      <c r="F149" s="291"/>
      <c r="G149" s="91">
        <f>+ROUND(Návrh!G146,-3)/$X$2</f>
        <v>-6199</v>
      </c>
      <c r="H149" s="91">
        <f>+ROUND(Návrh!H146,-3)/$X$2</f>
        <v>-6752</v>
      </c>
      <c r="I149" s="91">
        <f>+ROUND(Návrh!I146,-3)/$X$2</f>
        <v>-6649</v>
      </c>
      <c r="J149" s="91" t="e">
        <f>+ROUND(Návrh!#REF!,-3)/$X$2</f>
        <v>#REF!</v>
      </c>
      <c r="K149" s="91">
        <f>+ROUND(Návrh!J146,-3)/$X$2</f>
        <v>0</v>
      </c>
      <c r="L149" s="91">
        <f>+ROUND(Návrh!K146,-3)/$X$2</f>
        <v>-6905</v>
      </c>
      <c r="M149" s="70"/>
    </row>
    <row r="150" spans="1:13" x14ac:dyDescent="0.25">
      <c r="A150" s="42" t="s">
        <v>1057</v>
      </c>
      <c r="B150" s="28" t="s">
        <v>916</v>
      </c>
      <c r="C150" s="28" t="s">
        <v>917</v>
      </c>
      <c r="D150" s="28" t="s">
        <v>917</v>
      </c>
      <c r="E150" s="290" t="s">
        <v>144</v>
      </c>
      <c r="F150" s="291"/>
      <c r="G150" s="91">
        <f>+ROUND(Návrh!G147,-3)/$X$2</f>
        <v>-12779</v>
      </c>
      <c r="H150" s="91">
        <f>+ROUND(Návrh!H147,-3)/$X$2</f>
        <v>-13075</v>
      </c>
      <c r="I150" s="91">
        <f>+ROUND(Návrh!I147,-3)/$X$2</f>
        <v>-13152</v>
      </c>
      <c r="J150" s="91" t="e">
        <f>+ROUND(Návrh!#REF!,-3)/$X$2</f>
        <v>#REF!</v>
      </c>
      <c r="K150" s="91">
        <f>+ROUND(Návrh!J147,-3)/$X$2</f>
        <v>0</v>
      </c>
      <c r="L150" s="91">
        <f>+ROUND(Návrh!K147,-3)/$X$2</f>
        <v>-14251</v>
      </c>
      <c r="M150" s="70"/>
    </row>
    <row r="151" spans="1:13" x14ac:dyDescent="0.25">
      <c r="A151" s="42" t="s">
        <v>1058</v>
      </c>
      <c r="B151" s="28" t="s">
        <v>916</v>
      </c>
      <c r="C151" s="28" t="s">
        <v>917</v>
      </c>
      <c r="D151" s="28" t="s">
        <v>917</v>
      </c>
      <c r="E151" s="290" t="s">
        <v>145</v>
      </c>
      <c r="F151" s="291"/>
      <c r="G151" s="91">
        <f>+ROUND(Návrh!G148,-3)/$X$2</f>
        <v>-5233</v>
      </c>
      <c r="H151" s="91">
        <f>+ROUND(Návrh!H148,-3)/$X$2</f>
        <v>-5772</v>
      </c>
      <c r="I151" s="91">
        <f>+ROUND(Návrh!I148,-3)/$X$2</f>
        <v>-5824</v>
      </c>
      <c r="J151" s="91" t="e">
        <f>+ROUND(Návrh!#REF!,-3)/$X$2</f>
        <v>#REF!</v>
      </c>
      <c r="K151" s="91">
        <f>+ROUND(Návrh!J148,-3)/$X$2</f>
        <v>0</v>
      </c>
      <c r="L151" s="91">
        <f>+ROUND(Návrh!K148,-3)/$X$2</f>
        <v>-5919</v>
      </c>
      <c r="M151" s="70"/>
    </row>
    <row r="152" spans="1:13" x14ac:dyDescent="0.25">
      <c r="A152" s="26" t="s">
        <v>1059</v>
      </c>
      <c r="B152" s="26"/>
      <c r="C152" s="23"/>
      <c r="D152" s="23"/>
      <c r="E152" s="300" t="s">
        <v>146</v>
      </c>
      <c r="F152" s="301"/>
      <c r="G152" s="95">
        <f>+ROUND(Návrh!G149,-3)/$X$2</f>
        <v>-99</v>
      </c>
      <c r="H152" s="95">
        <f>+ROUND(Návrh!H149,-3)/$X$2</f>
        <v>-120</v>
      </c>
      <c r="I152" s="95">
        <f>+ROUND(Návrh!I149,-3)/$X$2</f>
        <v>-100</v>
      </c>
      <c r="J152" s="95" t="e">
        <f>+ROUND(Návrh!#REF!,-3)/$X$2</f>
        <v>#REF!</v>
      </c>
      <c r="K152" s="95">
        <f>+ROUND(Návrh!J149,-3)/$X$2</f>
        <v>0</v>
      </c>
      <c r="L152" s="95">
        <f>+ROUND(Návrh!K149,-3)/$X$2</f>
        <v>-125</v>
      </c>
      <c r="M152" s="70"/>
    </row>
    <row r="153" spans="1:13" x14ac:dyDescent="0.25">
      <c r="A153" s="42" t="s">
        <v>1060</v>
      </c>
      <c r="B153" s="20" t="s">
        <v>916</v>
      </c>
      <c r="C153" s="20" t="s">
        <v>919</v>
      </c>
      <c r="D153" s="20" t="s">
        <v>917</v>
      </c>
      <c r="E153" s="290" t="s">
        <v>147</v>
      </c>
      <c r="F153" s="291"/>
      <c r="G153" s="91">
        <f>+ROUND(Návrh!G150,-3)/$X$2</f>
        <v>-99</v>
      </c>
      <c r="H153" s="91">
        <f>+ROUND(Návrh!H150,-3)/$X$2</f>
        <v>-120</v>
      </c>
      <c r="I153" s="91">
        <f>+ROUND(Návrh!I150,-3)/$X$2</f>
        <v>-100</v>
      </c>
      <c r="J153" s="91" t="e">
        <f>+ROUND(Návrh!#REF!,-3)/$X$2</f>
        <v>#REF!</v>
      </c>
      <c r="K153" s="91">
        <f>+ROUND(Návrh!J150,-3)/$X$2</f>
        <v>0</v>
      </c>
      <c r="L153" s="91">
        <f>+ROUND(Návrh!K150,-3)/$X$2</f>
        <v>-125</v>
      </c>
      <c r="M153" s="70"/>
    </row>
    <row r="154" spans="1:13" x14ac:dyDescent="0.25">
      <c r="A154" s="26" t="s">
        <v>1061</v>
      </c>
      <c r="B154" s="26"/>
      <c r="C154" s="23"/>
      <c r="D154" s="23"/>
      <c r="E154" s="300" t="s">
        <v>148</v>
      </c>
      <c r="F154" s="301"/>
      <c r="G154" s="95">
        <f>+ROUND(Návrh!G151,-3)/$X$2</f>
        <v>-1920</v>
      </c>
      <c r="H154" s="95">
        <f>+ROUND(Návrh!H151,-3)/$X$2</f>
        <v>-1776</v>
      </c>
      <c r="I154" s="95">
        <f>+ROUND(Návrh!I151,-3)/$X$2</f>
        <v>-1500</v>
      </c>
      <c r="J154" s="95" t="e">
        <f>+ROUND(Návrh!#REF!,-3)/$X$2</f>
        <v>#REF!</v>
      </c>
      <c r="K154" s="95">
        <f>+ROUND(Návrh!J151,-3)/$X$2</f>
        <v>0</v>
      </c>
      <c r="L154" s="95">
        <f>+ROUND(Návrh!K151,-3)/$X$2</f>
        <v>-2000</v>
      </c>
      <c r="M154" s="70"/>
    </row>
    <row r="155" spans="1:13" x14ac:dyDescent="0.25">
      <c r="A155" s="42" t="s">
        <v>1062</v>
      </c>
      <c r="B155" s="27" t="s">
        <v>916</v>
      </c>
      <c r="C155" s="28" t="s">
        <v>920</v>
      </c>
      <c r="D155" s="28" t="s">
        <v>917</v>
      </c>
      <c r="E155" s="290" t="s">
        <v>149</v>
      </c>
      <c r="F155" s="291"/>
      <c r="G155" s="91">
        <f>+ROUND(Návrh!G152,-3)/$X$2</f>
        <v>-1384</v>
      </c>
      <c r="H155" s="91">
        <f>+ROUND(Návrh!H152,-3)/$X$2</f>
        <v>-563</v>
      </c>
      <c r="I155" s="91">
        <f>+ROUND(Návrh!I152,-3)/$X$2</f>
        <v>-500</v>
      </c>
      <c r="J155" s="91" t="e">
        <f>+ROUND(Návrh!#REF!,-3)/$X$2</f>
        <v>#REF!</v>
      </c>
      <c r="K155" s="91">
        <f>+ROUND(Návrh!J152,-3)/$X$2</f>
        <v>0</v>
      </c>
      <c r="L155" s="91">
        <f>+ROUND(Návrh!K152,-3)/$X$2</f>
        <v>-500</v>
      </c>
      <c r="M155" s="70"/>
    </row>
    <row r="156" spans="1:13" x14ac:dyDescent="0.25">
      <c r="A156" s="42" t="s">
        <v>1063</v>
      </c>
      <c r="B156" s="27" t="s">
        <v>916</v>
      </c>
      <c r="C156" s="28" t="s">
        <v>920</v>
      </c>
      <c r="D156" s="28" t="s">
        <v>917</v>
      </c>
      <c r="E156" s="290" t="s">
        <v>150</v>
      </c>
      <c r="F156" s="291"/>
      <c r="G156" s="91">
        <f>+ROUND(Návrh!G153,-3)/$X$2</f>
        <v>-536</v>
      </c>
      <c r="H156" s="91">
        <f>+ROUND(Návrh!H153,-3)/$X$2</f>
        <v>-1213</v>
      </c>
      <c r="I156" s="91">
        <f>+ROUND(Návrh!I153,-3)/$X$2</f>
        <v>-1000</v>
      </c>
      <c r="J156" s="91" t="e">
        <f>+ROUND(Návrh!#REF!,-3)/$X$2</f>
        <v>#REF!</v>
      </c>
      <c r="K156" s="91">
        <f>+ROUND(Návrh!J153,-3)/$X$2</f>
        <v>0</v>
      </c>
      <c r="L156" s="91">
        <f>+ROUND(Návrh!K153,-3)/$X$2</f>
        <v>-1500</v>
      </c>
      <c r="M156" s="70"/>
    </row>
    <row r="157" spans="1:13" x14ac:dyDescent="0.25">
      <c r="A157" s="42" t="s">
        <v>1064</v>
      </c>
      <c r="B157" s="27"/>
      <c r="C157" s="28"/>
      <c r="D157" s="28"/>
      <c r="E157" s="290" t="s">
        <v>93</v>
      </c>
      <c r="F157" s="291"/>
      <c r="G157" s="91">
        <f>+ROUND(Návrh!G154,-3)/$X$2</f>
        <v>0</v>
      </c>
      <c r="H157" s="91">
        <f>+ROUND(Návrh!H154,-3)/$X$2</f>
        <v>0</v>
      </c>
      <c r="I157" s="91">
        <f>+ROUND(Návrh!I154,-3)/$X$2</f>
        <v>0</v>
      </c>
      <c r="J157" s="91" t="e">
        <f>+ROUND(Návrh!#REF!,-3)/$X$2</f>
        <v>#REF!</v>
      </c>
      <c r="K157" s="91">
        <f>+ROUND(Návrh!J154,-3)/$X$2</f>
        <v>0</v>
      </c>
      <c r="L157" s="91">
        <f>+ROUND(Návrh!K154,-3)/$X$2</f>
        <v>0</v>
      </c>
      <c r="M157" s="70"/>
    </row>
    <row r="158" spans="1:13" x14ac:dyDescent="0.25">
      <c r="A158" s="26" t="s">
        <v>1668</v>
      </c>
      <c r="B158" s="26"/>
      <c r="C158" s="23"/>
      <c r="D158" s="23"/>
      <c r="E158" s="300" t="s">
        <v>151</v>
      </c>
      <c r="F158" s="301"/>
      <c r="G158" s="95">
        <f>+ROUND(Návrh!G155,-3)/$X$2</f>
        <v>-1</v>
      </c>
      <c r="H158" s="95">
        <f>+ROUND(Návrh!H155,-3)/$X$2</f>
        <v>-1</v>
      </c>
      <c r="I158" s="95">
        <f>+ROUND(Návrh!I155,-3)/$X$2</f>
        <v>0</v>
      </c>
      <c r="J158" s="95" t="e">
        <f>+ROUND(Návrh!#REF!,-3)/$X$2</f>
        <v>#REF!</v>
      </c>
      <c r="K158" s="95">
        <f>+ROUND(Návrh!J155,-3)/$X$2</f>
        <v>0</v>
      </c>
      <c r="L158" s="95">
        <f>+ROUND(Návrh!K155,-3)/$X$2</f>
        <v>0</v>
      </c>
      <c r="M158" s="70"/>
    </row>
    <row r="159" spans="1:13" x14ac:dyDescent="0.25">
      <c r="A159" s="42" t="s">
        <v>1065</v>
      </c>
      <c r="B159" s="14"/>
      <c r="C159" s="13"/>
      <c r="D159" s="13"/>
      <c r="E159" s="290" t="s">
        <v>152</v>
      </c>
      <c r="F159" s="291"/>
      <c r="G159" s="91">
        <f>+ROUND(Návrh!G156,-3)/$X$2</f>
        <v>-1</v>
      </c>
      <c r="H159" s="91">
        <f>+ROUND(Návrh!H156,-3)/$X$2</f>
        <v>-1</v>
      </c>
      <c r="I159" s="91">
        <f>+ROUND(Návrh!I156,-3)/$X$2</f>
        <v>0</v>
      </c>
      <c r="J159" s="91" t="e">
        <f>+ROUND(Návrh!#REF!,-3)/$X$2</f>
        <v>#REF!</v>
      </c>
      <c r="K159" s="91">
        <f>+ROUND(Návrh!J156,-3)/$X$2</f>
        <v>0</v>
      </c>
      <c r="L159" s="91">
        <f>+ROUND(Návrh!K156,-3)/$X$2</f>
        <v>0</v>
      </c>
      <c r="M159" s="70"/>
    </row>
    <row r="160" spans="1:13" x14ac:dyDescent="0.25">
      <c r="A160" s="26" t="s">
        <v>1066</v>
      </c>
      <c r="B160" s="26"/>
      <c r="C160" s="23"/>
      <c r="D160" s="23"/>
      <c r="E160" s="300" t="s">
        <v>153</v>
      </c>
      <c r="F160" s="301"/>
      <c r="G160" s="95">
        <f>+ROUND(Návrh!G157,-3)/$X$2</f>
        <v>-147</v>
      </c>
      <c r="H160" s="95">
        <f>+ROUND(Návrh!H157,-3)/$X$2</f>
        <v>-133</v>
      </c>
      <c r="I160" s="95">
        <f>+ROUND(Návrh!I157,-3)/$X$2</f>
        <v>0</v>
      </c>
      <c r="J160" s="95" t="e">
        <f>+ROUND(Návrh!#REF!,-3)/$X$2</f>
        <v>#REF!</v>
      </c>
      <c r="K160" s="95">
        <f>+ROUND(Návrh!J157,-3)/$X$2</f>
        <v>0</v>
      </c>
      <c r="L160" s="95">
        <f>+ROUND(Návrh!K157,-3)/$X$2</f>
        <v>0</v>
      </c>
      <c r="M160" s="70"/>
    </row>
    <row r="161" spans="1:13" x14ac:dyDescent="0.25">
      <c r="A161" s="42" t="s">
        <v>1067</v>
      </c>
      <c r="B161" s="14"/>
      <c r="C161" s="13"/>
      <c r="D161" s="13"/>
      <c r="E161" s="290" t="s">
        <v>154</v>
      </c>
      <c r="F161" s="291"/>
      <c r="G161" s="91">
        <f>+ROUND(Návrh!G158,-3)/$X$2</f>
        <v>-45</v>
      </c>
      <c r="H161" s="91">
        <f>+ROUND(Návrh!H158,-3)/$X$2</f>
        <v>-41</v>
      </c>
      <c r="I161" s="91">
        <f>+ROUND(Návrh!I158,-3)/$X$2</f>
        <v>0</v>
      </c>
      <c r="J161" s="91" t="e">
        <f>+ROUND(Návrh!#REF!,-3)/$X$2</f>
        <v>#REF!</v>
      </c>
      <c r="K161" s="91">
        <f>+ROUND(Návrh!J158,-3)/$X$2</f>
        <v>0</v>
      </c>
      <c r="L161" s="91">
        <f>+ROUND(Návrh!K158,-3)/$X$2</f>
        <v>0</v>
      </c>
      <c r="M161" s="70"/>
    </row>
    <row r="162" spans="1:13" x14ac:dyDescent="0.25">
      <c r="A162" s="42" t="s">
        <v>1068</v>
      </c>
      <c r="B162" s="14"/>
      <c r="C162" s="13"/>
      <c r="D162" s="13"/>
      <c r="E162" s="290" t="s">
        <v>155</v>
      </c>
      <c r="F162" s="291"/>
      <c r="G162" s="91">
        <f>+ROUND(Návrh!G159,-3)/$X$2</f>
        <v>-32</v>
      </c>
      <c r="H162" s="91">
        <f>+ROUND(Návrh!H159,-3)/$X$2</f>
        <v>-33</v>
      </c>
      <c r="I162" s="91">
        <f>+ROUND(Návrh!I159,-3)/$X$2</f>
        <v>0</v>
      </c>
      <c r="J162" s="91" t="e">
        <f>+ROUND(Návrh!#REF!,-3)/$X$2</f>
        <v>#REF!</v>
      </c>
      <c r="K162" s="91">
        <f>+ROUND(Návrh!J159,-3)/$X$2</f>
        <v>0</v>
      </c>
      <c r="L162" s="91">
        <f>+ROUND(Návrh!K159,-3)/$X$2</f>
        <v>0</v>
      </c>
      <c r="M162" s="70"/>
    </row>
    <row r="163" spans="1:13" x14ac:dyDescent="0.25">
      <c r="A163" s="42" t="s">
        <v>1069</v>
      </c>
      <c r="B163" s="14"/>
      <c r="C163" s="13"/>
      <c r="D163" s="13"/>
      <c r="E163" s="290" t="s">
        <v>156</v>
      </c>
      <c r="F163" s="291"/>
      <c r="G163" s="91">
        <f>+ROUND(Návrh!G160,-3)/$X$2</f>
        <v>-1</v>
      </c>
      <c r="H163" s="91">
        <f>+ROUND(Návrh!H160,-3)/$X$2</f>
        <v>-2</v>
      </c>
      <c r="I163" s="91">
        <f>+ROUND(Návrh!I160,-3)/$X$2</f>
        <v>0</v>
      </c>
      <c r="J163" s="91" t="e">
        <f>+ROUND(Návrh!#REF!,-3)/$X$2</f>
        <v>#REF!</v>
      </c>
      <c r="K163" s="91">
        <f>+ROUND(Návrh!J160,-3)/$X$2</f>
        <v>0</v>
      </c>
      <c r="L163" s="91">
        <f>+ROUND(Návrh!K160,-3)/$X$2</f>
        <v>0</v>
      </c>
      <c r="M163" s="70"/>
    </row>
    <row r="164" spans="1:13" x14ac:dyDescent="0.25">
      <c r="A164" s="42" t="s">
        <v>1070</v>
      </c>
      <c r="B164" s="14"/>
      <c r="C164" s="13"/>
      <c r="D164" s="13"/>
      <c r="E164" s="290" t="s">
        <v>157</v>
      </c>
      <c r="F164" s="291"/>
      <c r="G164" s="91">
        <f>+ROUND(Návrh!G161,-3)/$X$2</f>
        <v>-4</v>
      </c>
      <c r="H164" s="91">
        <f>+ROUND(Návrh!H161,-3)/$X$2</f>
        <v>-3</v>
      </c>
      <c r="I164" s="91">
        <f>+ROUND(Návrh!I161,-3)/$X$2</f>
        <v>0</v>
      </c>
      <c r="J164" s="91" t="e">
        <f>+ROUND(Návrh!#REF!,-3)/$X$2</f>
        <v>#REF!</v>
      </c>
      <c r="K164" s="91">
        <f>+ROUND(Návrh!J161,-3)/$X$2</f>
        <v>0</v>
      </c>
      <c r="L164" s="91">
        <f>+ROUND(Návrh!K161,-3)/$X$2</f>
        <v>0</v>
      </c>
      <c r="M164" s="70"/>
    </row>
    <row r="165" spans="1:13" x14ac:dyDescent="0.25">
      <c r="A165" s="42" t="s">
        <v>1071</v>
      </c>
      <c r="B165" s="14"/>
      <c r="C165" s="13"/>
      <c r="D165" s="13"/>
      <c r="E165" s="290" t="s">
        <v>158</v>
      </c>
      <c r="F165" s="291"/>
      <c r="G165" s="91">
        <f>+ROUND(Návrh!G162,-3)/$X$2</f>
        <v>-3</v>
      </c>
      <c r="H165" s="91">
        <f>+ROUND(Návrh!H162,-3)/$X$2</f>
        <v>-3</v>
      </c>
      <c r="I165" s="91">
        <f>+ROUND(Návrh!I162,-3)/$X$2</f>
        <v>0</v>
      </c>
      <c r="J165" s="91" t="e">
        <f>+ROUND(Návrh!#REF!,-3)/$X$2</f>
        <v>#REF!</v>
      </c>
      <c r="K165" s="91">
        <f>+ROUND(Návrh!J162,-3)/$X$2</f>
        <v>0</v>
      </c>
      <c r="L165" s="91">
        <f>+ROUND(Návrh!K162,-3)/$X$2</f>
        <v>0</v>
      </c>
      <c r="M165" s="70"/>
    </row>
    <row r="166" spans="1:13" x14ac:dyDescent="0.25">
      <c r="A166" s="42" t="s">
        <v>1072</v>
      </c>
      <c r="B166" s="14"/>
      <c r="C166" s="13"/>
      <c r="D166" s="13"/>
      <c r="E166" s="290" t="s">
        <v>159</v>
      </c>
      <c r="F166" s="291"/>
      <c r="G166" s="91">
        <f>+ROUND(Návrh!G163,-3)/$X$2</f>
        <v>-62</v>
      </c>
      <c r="H166" s="91">
        <f>+ROUND(Návrh!H163,-3)/$X$2</f>
        <v>-50</v>
      </c>
      <c r="I166" s="91">
        <f>+ROUND(Návrh!I163,-3)/$X$2</f>
        <v>0</v>
      </c>
      <c r="J166" s="91" t="e">
        <f>+ROUND(Návrh!#REF!,-3)/$X$2</f>
        <v>#REF!</v>
      </c>
      <c r="K166" s="91">
        <f>+ROUND(Návrh!J163,-3)/$X$2</f>
        <v>0</v>
      </c>
      <c r="L166" s="91">
        <f>+ROUND(Návrh!K163,-3)/$X$2</f>
        <v>0</v>
      </c>
      <c r="M166" s="70"/>
    </row>
    <row r="167" spans="1:13" x14ac:dyDescent="0.25">
      <c r="A167" s="26" t="s">
        <v>1073</v>
      </c>
      <c r="B167" s="26"/>
      <c r="C167" s="23"/>
      <c r="D167" s="23"/>
      <c r="E167" s="300" t="s">
        <v>160</v>
      </c>
      <c r="F167" s="301"/>
      <c r="G167" s="95">
        <f>+ROUND(Návrh!G164,-3)/$X$2</f>
        <v>-18</v>
      </c>
      <c r="H167" s="95">
        <f>+ROUND(Návrh!H164,-3)/$X$2</f>
        <v>-11</v>
      </c>
      <c r="I167" s="95">
        <f>+ROUND(Návrh!I164,-3)/$X$2</f>
        <v>0</v>
      </c>
      <c r="J167" s="95" t="e">
        <f>+ROUND(Návrh!#REF!,-3)/$X$2</f>
        <v>#REF!</v>
      </c>
      <c r="K167" s="95">
        <f>+ROUND(Návrh!J164,-3)/$X$2</f>
        <v>0</v>
      </c>
      <c r="L167" s="95">
        <f>+ROUND(Návrh!K164,-3)/$X$2</f>
        <v>0</v>
      </c>
      <c r="M167" s="70"/>
    </row>
    <row r="168" spans="1:13" x14ac:dyDescent="0.25">
      <c r="A168" s="42" t="s">
        <v>1074</v>
      </c>
      <c r="B168" s="14"/>
      <c r="C168" s="13"/>
      <c r="D168" s="13"/>
      <c r="E168" s="290" t="s">
        <v>161</v>
      </c>
      <c r="F168" s="291"/>
      <c r="G168" s="91">
        <f>+ROUND(Návrh!G165,-3)/$X$2</f>
        <v>-18</v>
      </c>
      <c r="H168" s="91">
        <f>+ROUND(Návrh!H165,-3)/$X$2</f>
        <v>-11</v>
      </c>
      <c r="I168" s="91">
        <f>+ROUND(Návrh!I165,-3)/$X$2</f>
        <v>0</v>
      </c>
      <c r="J168" s="91" t="e">
        <f>+ROUND(Návrh!#REF!,-3)/$X$2</f>
        <v>#REF!</v>
      </c>
      <c r="K168" s="91">
        <f>+ROUND(Návrh!J165,-3)/$X$2</f>
        <v>0</v>
      </c>
      <c r="L168" s="91">
        <f>+ROUND(Návrh!K165,-3)/$X$2</f>
        <v>0</v>
      </c>
      <c r="M168" s="70"/>
    </row>
    <row r="169" spans="1:13" x14ac:dyDescent="0.25">
      <c r="A169" s="26" t="s">
        <v>1075</v>
      </c>
      <c r="B169" s="26"/>
      <c r="C169" s="23"/>
      <c r="D169" s="23"/>
      <c r="E169" s="300" t="s">
        <v>162</v>
      </c>
      <c r="F169" s="301"/>
      <c r="G169" s="95">
        <f>+ROUND(Návrh!G166,-3)/$X$2</f>
        <v>-15</v>
      </c>
      <c r="H169" s="95">
        <f>+ROUND(Návrh!H166,-3)/$X$2</f>
        <v>-16</v>
      </c>
      <c r="I169" s="95">
        <f>+ROUND(Návrh!I166,-3)/$X$2</f>
        <v>0</v>
      </c>
      <c r="J169" s="95" t="e">
        <f>+ROUND(Návrh!#REF!,-3)/$X$2</f>
        <v>#REF!</v>
      </c>
      <c r="K169" s="95">
        <f>+ROUND(Návrh!J166,-3)/$X$2</f>
        <v>0</v>
      </c>
      <c r="L169" s="95">
        <f>+ROUND(Návrh!K166,-3)/$X$2</f>
        <v>0</v>
      </c>
      <c r="M169" s="70"/>
    </row>
    <row r="170" spans="1:13" x14ac:dyDescent="0.25">
      <c r="A170" s="42" t="s">
        <v>1076</v>
      </c>
      <c r="B170" s="14"/>
      <c r="C170" s="13"/>
      <c r="D170" s="13"/>
      <c r="E170" s="290" t="s">
        <v>163</v>
      </c>
      <c r="F170" s="291"/>
      <c r="G170" s="91">
        <f>+ROUND(Návrh!G167,-3)/$X$2</f>
        <v>0</v>
      </c>
      <c r="H170" s="91">
        <f>+ROUND(Návrh!H167,-3)/$X$2</f>
        <v>0</v>
      </c>
      <c r="I170" s="91">
        <f>+ROUND(Návrh!I167,-3)/$X$2</f>
        <v>0</v>
      </c>
      <c r="J170" s="91" t="e">
        <f>+ROUND(Návrh!#REF!,-3)/$X$2</f>
        <v>#REF!</v>
      </c>
      <c r="K170" s="91">
        <f>+ROUND(Návrh!J167,-3)/$X$2</f>
        <v>0</v>
      </c>
      <c r="L170" s="91">
        <f>+ROUND(Návrh!K167,-3)/$X$2</f>
        <v>0</v>
      </c>
      <c r="M170" s="70"/>
    </row>
    <row r="171" spans="1:13" x14ac:dyDescent="0.25">
      <c r="A171" s="42" t="s">
        <v>1077</v>
      </c>
      <c r="B171" s="14"/>
      <c r="C171" s="13"/>
      <c r="D171" s="13"/>
      <c r="E171" s="290" t="s">
        <v>164</v>
      </c>
      <c r="F171" s="291"/>
      <c r="G171" s="91">
        <f>+ROUND(Návrh!G168,-3)/$X$2</f>
        <v>-15</v>
      </c>
      <c r="H171" s="91">
        <f>+ROUND(Návrh!H168,-3)/$X$2</f>
        <v>-16</v>
      </c>
      <c r="I171" s="91">
        <f>+ROUND(Návrh!I168,-3)/$X$2</f>
        <v>0</v>
      </c>
      <c r="J171" s="91" t="e">
        <f>+ROUND(Návrh!#REF!,-3)/$X$2</f>
        <v>#REF!</v>
      </c>
      <c r="K171" s="91">
        <f>+ROUND(Návrh!J168,-3)/$X$2</f>
        <v>0</v>
      </c>
      <c r="L171" s="91">
        <f>+ROUND(Návrh!K168,-3)/$X$2</f>
        <v>0</v>
      </c>
      <c r="M171" s="70"/>
    </row>
    <row r="172" spans="1:13" x14ac:dyDescent="0.25">
      <c r="A172" s="38" t="s">
        <v>165</v>
      </c>
      <c r="B172" s="38"/>
      <c r="C172" s="22"/>
      <c r="D172" s="22"/>
      <c r="E172" s="296" t="s">
        <v>166</v>
      </c>
      <c r="F172" s="297"/>
      <c r="G172" s="94">
        <f>+ROUND(Návrh!G169,-3)/$X$2</f>
        <v>-102051</v>
      </c>
      <c r="H172" s="94">
        <f>+ROUND(Návrh!H169,-3)/$X$2</f>
        <v>-101811</v>
      </c>
      <c r="I172" s="94">
        <f>+ROUND(Návrh!I169,-3)/$X$2</f>
        <v>-117000</v>
      </c>
      <c r="J172" s="94" t="e">
        <f>+ROUND(Návrh!#REF!,-3)/$X$2</f>
        <v>#REF!</v>
      </c>
      <c r="K172" s="94">
        <f>+ROUND(Návrh!J169,-3)/$X$2</f>
        <v>0</v>
      </c>
      <c r="L172" s="94">
        <f>+ROUND(Návrh!K169,-3)/$X$2</f>
        <v>-107540</v>
      </c>
      <c r="M172" s="70"/>
    </row>
    <row r="173" spans="1:13" x14ac:dyDescent="0.25">
      <c r="A173" s="26" t="s">
        <v>1078</v>
      </c>
      <c r="B173" s="26"/>
      <c r="C173" s="23"/>
      <c r="D173" s="23"/>
      <c r="E173" s="300" t="s">
        <v>167</v>
      </c>
      <c r="F173" s="301"/>
      <c r="G173" s="95">
        <f>+ROUND(Návrh!G170,-3)/$X$2</f>
        <v>548</v>
      </c>
      <c r="H173" s="95">
        <f>+ROUND(Návrh!H170,-3)/$X$2</f>
        <v>523</v>
      </c>
      <c r="I173" s="95">
        <f>+ROUND(Návrh!I170,-3)/$X$2</f>
        <v>0</v>
      </c>
      <c r="J173" s="95" t="e">
        <f>+ROUND(Návrh!#REF!,-3)/$X$2</f>
        <v>#REF!</v>
      </c>
      <c r="K173" s="95">
        <f>+ROUND(Návrh!J170,-3)/$X$2</f>
        <v>0</v>
      </c>
      <c r="L173" s="95">
        <f>+ROUND(Návrh!K170,-3)/$X$2</f>
        <v>0</v>
      </c>
      <c r="M173" s="70"/>
    </row>
    <row r="174" spans="1:13" x14ac:dyDescent="0.25">
      <c r="A174" s="42" t="s">
        <v>1079</v>
      </c>
      <c r="B174" s="14"/>
      <c r="C174" s="13"/>
      <c r="D174" s="13"/>
      <c r="E174" s="290" t="s">
        <v>168</v>
      </c>
      <c r="F174" s="291"/>
      <c r="G174" s="91">
        <f>+ROUND(Návrh!G171,-3)/$X$2</f>
        <v>548</v>
      </c>
      <c r="H174" s="91">
        <f>+ROUND(Návrh!H171,-3)/$X$2</f>
        <v>523</v>
      </c>
      <c r="I174" s="91">
        <f>+ROUND(Návrh!I171,-3)/$X$2</f>
        <v>0</v>
      </c>
      <c r="J174" s="91" t="e">
        <f>+ROUND(Návrh!#REF!,-3)/$X$2</f>
        <v>#REF!</v>
      </c>
      <c r="K174" s="91">
        <f>+ROUND(Návrh!J171,-3)/$X$2</f>
        <v>0</v>
      </c>
      <c r="L174" s="91">
        <f>+ROUND(Návrh!K171,-3)/$X$2</f>
        <v>0</v>
      </c>
      <c r="M174" s="70"/>
    </row>
    <row r="175" spans="1:13" x14ac:dyDescent="0.25">
      <c r="A175" s="26" t="s">
        <v>1080</v>
      </c>
      <c r="B175" s="26"/>
      <c r="C175" s="23"/>
      <c r="D175" s="23"/>
      <c r="E175" s="300" t="s">
        <v>169</v>
      </c>
      <c r="F175" s="301"/>
      <c r="G175" s="95">
        <f>+ROUND(Návrh!G172,-3)/$X$2</f>
        <v>-102051</v>
      </c>
      <c r="H175" s="95">
        <f>+ROUND(Návrh!H172,-3)/$X$2</f>
        <v>-101811</v>
      </c>
      <c r="I175" s="95">
        <f>+ROUND(Návrh!I172,-3)/$X$2</f>
        <v>-117000</v>
      </c>
      <c r="J175" s="95" t="e">
        <f>+ROUND(Návrh!#REF!,-3)/$X$2</f>
        <v>#REF!</v>
      </c>
      <c r="K175" s="95">
        <f>+ROUND(Návrh!J172,-3)/$X$2</f>
        <v>0</v>
      </c>
      <c r="L175" s="95">
        <f>+ROUND(Návrh!K172,-3)/$X$2</f>
        <v>-107540</v>
      </c>
      <c r="M175" s="70"/>
    </row>
    <row r="176" spans="1:13" x14ac:dyDescent="0.25">
      <c r="A176" s="42" t="s">
        <v>1081</v>
      </c>
      <c r="B176" s="20" t="s">
        <v>916</v>
      </c>
      <c r="C176" s="20" t="s">
        <v>919</v>
      </c>
      <c r="D176" s="20" t="s">
        <v>1089</v>
      </c>
      <c r="E176" s="290" t="s">
        <v>170</v>
      </c>
      <c r="F176" s="291"/>
      <c r="G176" s="91">
        <f>+ROUND(Návrh!G173,-3)/$X$2</f>
        <v>-31319</v>
      </c>
      <c r="H176" s="91">
        <f>+ROUND(Návrh!H173,-3)/$X$2</f>
        <v>-32261</v>
      </c>
      <c r="I176" s="91">
        <f>+ROUND(Návrh!I173,-3)/$X$2</f>
        <v>-42400</v>
      </c>
      <c r="J176" s="91" t="e">
        <f>+ROUND(Návrh!#REF!,-3)/$X$2</f>
        <v>#REF!</v>
      </c>
      <c r="K176" s="91">
        <f>+ROUND(Návrh!J173,-3)/$X$2</f>
        <v>0</v>
      </c>
      <c r="L176" s="91">
        <f>+ROUND(Návrh!K173,-3)/$X$2</f>
        <v>-39000</v>
      </c>
      <c r="M176" s="70"/>
    </row>
    <row r="177" spans="1:13" x14ac:dyDescent="0.25">
      <c r="A177" s="42" t="s">
        <v>1082</v>
      </c>
      <c r="B177" s="20" t="s">
        <v>916</v>
      </c>
      <c r="C177" s="20" t="s">
        <v>919</v>
      </c>
      <c r="D177" s="20" t="s">
        <v>1649</v>
      </c>
      <c r="E177" s="290" t="s">
        <v>171</v>
      </c>
      <c r="F177" s="291"/>
      <c r="G177" s="91">
        <f>+ROUND(Návrh!G174,-3)/$X$2</f>
        <v>-16129</v>
      </c>
      <c r="H177" s="91">
        <f>+ROUND(Návrh!H174,-3)/$X$2</f>
        <v>-18043</v>
      </c>
      <c r="I177" s="91">
        <f>+ROUND(Návrh!I174,-3)/$X$2</f>
        <v>-17750</v>
      </c>
      <c r="J177" s="91" t="e">
        <f>+ROUND(Návrh!#REF!,-3)/$X$2</f>
        <v>#REF!</v>
      </c>
      <c r="K177" s="91">
        <f>+ROUND(Návrh!J174,-3)/$X$2</f>
        <v>0</v>
      </c>
      <c r="L177" s="91">
        <f>+ROUND(Návrh!K174,-3)/$X$2</f>
        <v>-17350</v>
      </c>
      <c r="M177" s="70"/>
    </row>
    <row r="178" spans="1:13" x14ac:dyDescent="0.25">
      <c r="A178" s="42" t="s">
        <v>1083</v>
      </c>
      <c r="B178" s="20" t="s">
        <v>916</v>
      </c>
      <c r="C178" s="20" t="s">
        <v>919</v>
      </c>
      <c r="D178" s="20" t="s">
        <v>1089</v>
      </c>
      <c r="E178" s="290" t="s">
        <v>172</v>
      </c>
      <c r="F178" s="291"/>
      <c r="G178" s="91">
        <f>+ROUND(Návrh!G175,-3)/$X$2</f>
        <v>-53937</v>
      </c>
      <c r="H178" s="91">
        <f>+ROUND(Návrh!H175,-3)/$X$2</f>
        <v>-50947</v>
      </c>
      <c r="I178" s="91">
        <f>+ROUND(Návrh!I175,-3)/$X$2</f>
        <v>-56000</v>
      </c>
      <c r="J178" s="91" t="e">
        <f>+ROUND(Návrh!#REF!,-3)/$X$2</f>
        <v>#REF!</v>
      </c>
      <c r="K178" s="91">
        <f>+ROUND(Návrh!J175,-3)/$X$2</f>
        <v>0</v>
      </c>
      <c r="L178" s="91">
        <f>+ROUND(Návrh!K175,-3)/$X$2</f>
        <v>-50440</v>
      </c>
      <c r="M178" s="70"/>
    </row>
    <row r="179" spans="1:13" x14ac:dyDescent="0.25">
      <c r="A179" s="42" t="s">
        <v>1084</v>
      </c>
      <c r="B179" s="20" t="s">
        <v>916</v>
      </c>
      <c r="C179" s="20" t="s">
        <v>919</v>
      </c>
      <c r="D179" s="20" t="s">
        <v>1089</v>
      </c>
      <c r="E179" s="290" t="s">
        <v>173</v>
      </c>
      <c r="F179" s="291"/>
      <c r="G179" s="91">
        <f>+ROUND(Návrh!G176,-3)/$X$2</f>
        <v>-667</v>
      </c>
      <c r="H179" s="91">
        <f>+ROUND(Návrh!H176,-3)/$X$2</f>
        <v>-560</v>
      </c>
      <c r="I179" s="91">
        <f>+ROUND(Návrh!I176,-3)/$X$2</f>
        <v>-850</v>
      </c>
      <c r="J179" s="91" t="e">
        <f>+ROUND(Návrh!#REF!,-3)/$X$2</f>
        <v>#REF!</v>
      </c>
      <c r="K179" s="91">
        <f>+ROUND(Návrh!J176,-3)/$X$2</f>
        <v>0</v>
      </c>
      <c r="L179" s="91">
        <f>+ROUND(Návrh!K176,-3)/$X$2</f>
        <v>-750</v>
      </c>
      <c r="M179" s="70"/>
    </row>
    <row r="180" spans="1:13" x14ac:dyDescent="0.25">
      <c r="A180" s="26" t="s">
        <v>1085</v>
      </c>
      <c r="B180" s="26"/>
      <c r="C180" s="23"/>
      <c r="D180" s="23"/>
      <c r="E180" s="300" t="s">
        <v>174</v>
      </c>
      <c r="F180" s="301"/>
      <c r="G180" s="95">
        <f>+ROUND(Návrh!G177,-3)/$X$2</f>
        <v>-548</v>
      </c>
      <c r="H180" s="95">
        <f>+ROUND(Návrh!H177,-3)/$X$2</f>
        <v>-523</v>
      </c>
      <c r="I180" s="95">
        <f>+ROUND(Návrh!I177,-3)/$X$2</f>
        <v>0</v>
      </c>
      <c r="J180" s="95" t="e">
        <f>+ROUND(Návrh!#REF!,-3)/$X$2</f>
        <v>#REF!</v>
      </c>
      <c r="K180" s="95">
        <f>+ROUND(Návrh!J177,-3)/$X$2</f>
        <v>0</v>
      </c>
      <c r="L180" s="95">
        <f>+ROUND(Návrh!K177,-3)/$X$2</f>
        <v>0</v>
      </c>
      <c r="M180" s="70"/>
    </row>
    <row r="181" spans="1:13" x14ac:dyDescent="0.25">
      <c r="A181" s="42" t="s">
        <v>1086</v>
      </c>
      <c r="B181" s="14"/>
      <c r="C181" s="13"/>
      <c r="D181" s="13"/>
      <c r="E181" s="290" t="s">
        <v>175</v>
      </c>
      <c r="F181" s="291"/>
      <c r="G181" s="91">
        <f>+ROUND(Návrh!G178,-3)/$X$2</f>
        <v>-121</v>
      </c>
      <c r="H181" s="91">
        <f>+ROUND(Návrh!H178,-3)/$X$2</f>
        <v>-118</v>
      </c>
      <c r="I181" s="91">
        <f>+ROUND(Návrh!I178,-3)/$X$2</f>
        <v>0</v>
      </c>
      <c r="J181" s="91" t="e">
        <f>+ROUND(Návrh!#REF!,-3)/$X$2</f>
        <v>#REF!</v>
      </c>
      <c r="K181" s="91">
        <f>+ROUND(Návrh!J178,-3)/$X$2</f>
        <v>0</v>
      </c>
      <c r="L181" s="91">
        <f>+ROUND(Návrh!K178,-3)/$X$2</f>
        <v>0</v>
      </c>
      <c r="M181" s="70"/>
    </row>
    <row r="182" spans="1:13" x14ac:dyDescent="0.25">
      <c r="A182" s="42" t="s">
        <v>1087</v>
      </c>
      <c r="B182" s="14"/>
      <c r="C182" s="13"/>
      <c r="D182" s="13"/>
      <c r="E182" s="290" t="s">
        <v>176</v>
      </c>
      <c r="F182" s="291"/>
      <c r="G182" s="91">
        <f>+ROUND(Návrh!G179,-3)/$X$2</f>
        <v>-96</v>
      </c>
      <c r="H182" s="91">
        <f>+ROUND(Návrh!H179,-3)/$X$2</f>
        <v>-91</v>
      </c>
      <c r="I182" s="91">
        <f>+ROUND(Návrh!I179,-3)/$X$2</f>
        <v>0</v>
      </c>
      <c r="J182" s="91" t="e">
        <f>+ROUND(Návrh!#REF!,-3)/$X$2</f>
        <v>#REF!</v>
      </c>
      <c r="K182" s="91">
        <f>+ROUND(Návrh!J179,-3)/$X$2</f>
        <v>0</v>
      </c>
      <c r="L182" s="91">
        <f>+ROUND(Návrh!K179,-3)/$X$2</f>
        <v>0</v>
      </c>
      <c r="M182" s="70"/>
    </row>
    <row r="183" spans="1:13" x14ac:dyDescent="0.25">
      <c r="A183" s="42" t="s">
        <v>1088</v>
      </c>
      <c r="B183" s="14"/>
      <c r="C183" s="13"/>
      <c r="D183" s="13"/>
      <c r="E183" s="290" t="s">
        <v>177</v>
      </c>
      <c r="F183" s="291"/>
      <c r="G183" s="91">
        <f>+ROUND(Návrh!G180,-3)/$X$2</f>
        <v>-330</v>
      </c>
      <c r="H183" s="91">
        <f>+ROUND(Návrh!H180,-3)/$X$2</f>
        <v>-314</v>
      </c>
      <c r="I183" s="91">
        <f>+ROUND(Návrh!I180,-3)/$X$2</f>
        <v>0</v>
      </c>
      <c r="J183" s="91" t="e">
        <f>+ROUND(Návrh!#REF!,-3)/$X$2</f>
        <v>#REF!</v>
      </c>
      <c r="K183" s="91">
        <f>+ROUND(Návrh!J180,-3)/$X$2</f>
        <v>0</v>
      </c>
      <c r="L183" s="91">
        <f>+ROUND(Návrh!K180,-3)/$X$2</f>
        <v>0</v>
      </c>
      <c r="M183" s="70"/>
    </row>
    <row r="184" spans="1:13" x14ac:dyDescent="0.25">
      <c r="A184" s="38" t="s">
        <v>178</v>
      </c>
      <c r="B184" s="38"/>
      <c r="C184" s="22"/>
      <c r="D184" s="22"/>
      <c r="E184" s="296" t="s">
        <v>179</v>
      </c>
      <c r="F184" s="297"/>
      <c r="G184" s="94">
        <f>+ROUND(Návrh!G181,-3)/$X$2</f>
        <v>0</v>
      </c>
      <c r="H184" s="94">
        <f>+ROUND(Návrh!H181,-3)/$X$2</f>
        <v>0</v>
      </c>
      <c r="I184" s="94">
        <f>+ROUND(Návrh!I181,-3)/$X$2</f>
        <v>0</v>
      </c>
      <c r="J184" s="94" t="e">
        <f>+ROUND(Návrh!#REF!,-3)/$X$2</f>
        <v>#REF!</v>
      </c>
      <c r="K184" s="94">
        <f>+ROUND(Návrh!J181,-3)/$X$2</f>
        <v>0</v>
      </c>
      <c r="L184" s="94">
        <f>+ROUND(Návrh!K181,-3)/$X$2</f>
        <v>0</v>
      </c>
      <c r="M184" s="70"/>
    </row>
    <row r="185" spans="1:13" x14ac:dyDescent="0.25">
      <c r="A185" s="38" t="s">
        <v>180</v>
      </c>
      <c r="B185" s="38"/>
      <c r="C185" s="22"/>
      <c r="D185" s="22"/>
      <c r="E185" s="296" t="s">
        <v>181</v>
      </c>
      <c r="F185" s="297"/>
      <c r="G185" s="94">
        <f>+ROUND(Návrh!G182,-3)/$X$2</f>
        <v>-288523</v>
      </c>
      <c r="H185" s="94">
        <f>+ROUND(Návrh!H182,-3)/$X$2</f>
        <v>-345841</v>
      </c>
      <c r="I185" s="94">
        <f>+ROUND(Návrh!I182,-3)/$X$2</f>
        <v>-360124</v>
      </c>
      <c r="J185" s="94" t="e">
        <f>+ROUND(Návrh!#REF!,-3)/$X$2</f>
        <v>#REF!</v>
      </c>
      <c r="K185" s="94">
        <f>+ROUND(Návrh!J182,-3)/$X$2</f>
        <v>0</v>
      </c>
      <c r="L185" s="94">
        <f>+ROUND(Návrh!K182,-3)/$X$2</f>
        <v>-378457</v>
      </c>
      <c r="M185" s="70"/>
    </row>
    <row r="186" spans="1:13" x14ac:dyDescent="0.25">
      <c r="A186" s="26" t="s">
        <v>1090</v>
      </c>
      <c r="B186" s="26"/>
      <c r="C186" s="23"/>
      <c r="D186" s="23"/>
      <c r="E186" s="300" t="s">
        <v>182</v>
      </c>
      <c r="F186" s="301"/>
      <c r="G186" s="95">
        <f>+ROUND(Návrh!G183,-3)/$X$2</f>
        <v>-2120</v>
      </c>
      <c r="H186" s="95">
        <f>+ROUND(Návrh!H183,-3)/$X$2</f>
        <v>-3512</v>
      </c>
      <c r="I186" s="95">
        <f>+ROUND(Návrh!I183,-3)/$X$2</f>
        <v>-3574</v>
      </c>
      <c r="J186" s="95" t="e">
        <f>+ROUND(Návrh!#REF!,-3)/$X$2</f>
        <v>#REF!</v>
      </c>
      <c r="K186" s="95">
        <f>+ROUND(Návrh!J183,-3)/$X$2</f>
        <v>0</v>
      </c>
      <c r="L186" s="95">
        <f>+ROUND(Návrh!K183,-3)/$X$2</f>
        <v>-3801</v>
      </c>
      <c r="M186" s="70"/>
    </row>
    <row r="187" spans="1:13" x14ac:dyDescent="0.25">
      <c r="A187" s="42" t="s">
        <v>1091</v>
      </c>
      <c r="B187" s="27" t="s">
        <v>916</v>
      </c>
      <c r="C187" s="28" t="s">
        <v>923</v>
      </c>
      <c r="D187" s="28" t="s">
        <v>917</v>
      </c>
      <c r="E187" s="290" t="s">
        <v>183</v>
      </c>
      <c r="F187" s="291"/>
      <c r="G187" s="91">
        <f>+ROUND(Návrh!G184,-3)/$X$2</f>
        <v>-1433</v>
      </c>
      <c r="H187" s="91">
        <f>+ROUND(Návrh!H184,-3)/$X$2</f>
        <v>-2494</v>
      </c>
      <c r="I187" s="91">
        <f>+ROUND(Návrh!I184,-3)/$X$2</f>
        <v>-2509</v>
      </c>
      <c r="J187" s="91" t="e">
        <f>+ROUND(Návrh!#REF!,-3)/$X$2</f>
        <v>#REF!</v>
      </c>
      <c r="K187" s="91">
        <f>+ROUND(Návrh!J184,-3)/$X$2</f>
        <v>0</v>
      </c>
      <c r="L187" s="91">
        <f>+ROUND(Návrh!K184,-3)/$X$2</f>
        <v>-2716</v>
      </c>
      <c r="M187" s="70"/>
    </row>
    <row r="188" spans="1:13" x14ac:dyDescent="0.25">
      <c r="A188" s="42" t="s">
        <v>1092</v>
      </c>
      <c r="B188" s="27" t="s">
        <v>916</v>
      </c>
      <c r="C188" s="28" t="s">
        <v>919</v>
      </c>
      <c r="D188" s="28" t="s">
        <v>917</v>
      </c>
      <c r="E188" s="290" t="s">
        <v>184</v>
      </c>
      <c r="F188" s="291"/>
      <c r="G188" s="91">
        <f>+ROUND(Návrh!G185,-3)/$X$2</f>
        <v>-178</v>
      </c>
      <c r="H188" s="91">
        <f>+ROUND(Návrh!H185,-3)/$X$2</f>
        <v>-225</v>
      </c>
      <c r="I188" s="91">
        <f>+ROUND(Návrh!I185,-3)/$X$2</f>
        <v>-312</v>
      </c>
      <c r="J188" s="91" t="e">
        <f>+ROUND(Návrh!#REF!,-3)/$X$2</f>
        <v>#REF!</v>
      </c>
      <c r="K188" s="91">
        <f>+ROUND(Návrh!J185,-3)/$X$2</f>
        <v>0</v>
      </c>
      <c r="L188" s="91">
        <f>+ROUND(Návrh!K185,-3)/$X$2</f>
        <v>-230</v>
      </c>
      <c r="M188" s="70"/>
    </row>
    <row r="189" spans="1:13" x14ac:dyDescent="0.25">
      <c r="A189" s="42" t="s">
        <v>1093</v>
      </c>
      <c r="B189" s="27" t="s">
        <v>916</v>
      </c>
      <c r="C189" s="28" t="s">
        <v>923</v>
      </c>
      <c r="D189" s="28" t="s">
        <v>917</v>
      </c>
      <c r="E189" s="290" t="s">
        <v>185</v>
      </c>
      <c r="F189" s="291"/>
      <c r="G189" s="91">
        <f>+ROUND(Návrh!G186,-3)/$X$2</f>
        <v>-508</v>
      </c>
      <c r="H189" s="91">
        <f>+ROUND(Návrh!H186,-3)/$X$2</f>
        <v>-793</v>
      </c>
      <c r="I189" s="91">
        <f>+ROUND(Návrh!I186,-3)/$X$2</f>
        <v>-753</v>
      </c>
      <c r="J189" s="91" t="e">
        <f>+ROUND(Návrh!#REF!,-3)/$X$2</f>
        <v>#REF!</v>
      </c>
      <c r="K189" s="91">
        <f>+ROUND(Návrh!J186,-3)/$X$2</f>
        <v>0</v>
      </c>
      <c r="L189" s="91">
        <f>+ROUND(Návrh!K186,-3)/$X$2</f>
        <v>-855</v>
      </c>
      <c r="M189" s="70"/>
    </row>
    <row r="190" spans="1:13" x14ac:dyDescent="0.25">
      <c r="A190" s="26" t="s">
        <v>1094</v>
      </c>
      <c r="B190" s="26"/>
      <c r="C190" s="23"/>
      <c r="D190" s="23"/>
      <c r="E190" s="300" t="s">
        <v>186</v>
      </c>
      <c r="F190" s="301"/>
      <c r="G190" s="95">
        <f>+ROUND(Návrh!G187,-3)/$X$2</f>
        <v>29310</v>
      </c>
      <c r="H190" s="95">
        <f>+ROUND(Návrh!H187,-3)/$X$2</f>
        <v>0</v>
      </c>
      <c r="I190" s="95">
        <f>+ROUND(Návrh!I187,-3)/$X$2</f>
        <v>0</v>
      </c>
      <c r="J190" s="95" t="e">
        <f>+ROUND(Návrh!#REF!,-3)/$X$2</f>
        <v>#REF!</v>
      </c>
      <c r="K190" s="95">
        <f>+ROUND(Návrh!J187,-3)/$X$2</f>
        <v>0</v>
      </c>
      <c r="L190" s="95">
        <f>+ROUND(Návrh!K187,-3)/$X$2</f>
        <v>0</v>
      </c>
      <c r="M190" s="70"/>
    </row>
    <row r="191" spans="1:13" x14ac:dyDescent="0.25">
      <c r="A191" s="42" t="s">
        <v>1095</v>
      </c>
      <c r="B191" s="20" t="s">
        <v>922</v>
      </c>
      <c r="C191" s="20" t="s">
        <v>923</v>
      </c>
      <c r="D191" s="20" t="s">
        <v>922</v>
      </c>
      <c r="E191" s="290" t="s">
        <v>187</v>
      </c>
      <c r="F191" s="291"/>
      <c r="G191" s="91">
        <f>+ROUND(Návrh!G188,-3)/$X$2</f>
        <v>29310</v>
      </c>
      <c r="H191" s="91">
        <f>+ROUND(Návrh!H188,-3)/$X$2</f>
        <v>0</v>
      </c>
      <c r="I191" s="91">
        <f>+ROUND(Návrh!I188,-3)/$X$2</f>
        <v>0</v>
      </c>
      <c r="J191" s="91" t="e">
        <f>+ROUND(Návrh!#REF!,-3)/$X$2</f>
        <v>#REF!</v>
      </c>
      <c r="K191" s="91">
        <f>+ROUND(Návrh!J188,-3)/$X$2</f>
        <v>0</v>
      </c>
      <c r="L191" s="91">
        <f>+ROUND(Návrh!K188,-3)/$X$2</f>
        <v>0</v>
      </c>
      <c r="M191" s="70"/>
    </row>
    <row r="192" spans="1:13" x14ac:dyDescent="0.25">
      <c r="A192" s="26" t="s">
        <v>1096</v>
      </c>
      <c r="B192" s="26"/>
      <c r="C192" s="23"/>
      <c r="D192" s="23"/>
      <c r="E192" s="300" t="s">
        <v>188</v>
      </c>
      <c r="F192" s="301"/>
      <c r="G192" s="95">
        <f>+ROUND(Návrh!G189,-3)/$X$2</f>
        <v>-315713</v>
      </c>
      <c r="H192" s="95">
        <f>+ROUND(Návrh!H189,-3)/$X$2</f>
        <v>-342329</v>
      </c>
      <c r="I192" s="95">
        <f>+ROUND(Návrh!I189,-3)/$X$2</f>
        <v>-356550</v>
      </c>
      <c r="J192" s="95" t="e">
        <f>+ROUND(Návrh!#REF!,-3)/$X$2</f>
        <v>#REF!</v>
      </c>
      <c r="K192" s="95">
        <f>+ROUND(Návrh!J189,-3)/$X$2</f>
        <v>0</v>
      </c>
      <c r="L192" s="95">
        <f>+ROUND(Návrh!K189,-3)/$X$2</f>
        <v>-374656</v>
      </c>
      <c r="M192" s="70"/>
    </row>
    <row r="193" spans="1:13" x14ac:dyDescent="0.25">
      <c r="A193" s="42" t="s">
        <v>1097</v>
      </c>
      <c r="B193" s="20" t="s">
        <v>922</v>
      </c>
      <c r="C193" s="20" t="s">
        <v>923</v>
      </c>
      <c r="D193" s="20" t="s">
        <v>1114</v>
      </c>
      <c r="E193" s="290" t="s">
        <v>189</v>
      </c>
      <c r="F193" s="291"/>
      <c r="G193" s="91">
        <f>+ROUND(Návrh!G190,-3)/$X$2</f>
        <v>-25469</v>
      </c>
      <c r="H193" s="91">
        <f>+ROUND(Návrh!H190,-3)/$X$2</f>
        <v>-30117</v>
      </c>
      <c r="I193" s="91">
        <f>+ROUND(Návrh!I190,-3)/$X$2</f>
        <v>-31100</v>
      </c>
      <c r="J193" s="91" t="e">
        <f>+ROUND(Návrh!#REF!,-3)/$X$2</f>
        <v>#REF!</v>
      </c>
      <c r="K193" s="91">
        <f>+ROUND(Návrh!J190,-3)/$X$2</f>
        <v>0</v>
      </c>
      <c r="L193" s="91">
        <f>+ROUND(Návrh!K190,-3)/$X$2</f>
        <v>-35615</v>
      </c>
      <c r="M193" s="70"/>
    </row>
    <row r="194" spans="1:13" x14ac:dyDescent="0.25">
      <c r="A194" s="42" t="s">
        <v>1098</v>
      </c>
      <c r="B194" s="20" t="s">
        <v>922</v>
      </c>
      <c r="C194" s="20" t="s">
        <v>923</v>
      </c>
      <c r="D194" s="20" t="s">
        <v>1114</v>
      </c>
      <c r="E194" s="290" t="s">
        <v>190</v>
      </c>
      <c r="F194" s="291"/>
      <c r="G194" s="91">
        <f>+ROUND(Návrh!G191,-3)/$X$2</f>
        <v>-1028</v>
      </c>
      <c r="H194" s="91">
        <f>+ROUND(Návrh!H191,-3)/$X$2</f>
        <v>-1331</v>
      </c>
      <c r="I194" s="91">
        <f>+ROUND(Návrh!I191,-3)/$X$2</f>
        <v>-1300</v>
      </c>
      <c r="J194" s="91" t="e">
        <f>+ROUND(Návrh!#REF!,-3)/$X$2</f>
        <v>#REF!</v>
      </c>
      <c r="K194" s="91">
        <f>+ROUND(Návrh!J191,-3)/$X$2</f>
        <v>0</v>
      </c>
      <c r="L194" s="91">
        <f>+ROUND(Návrh!K191,-3)/$X$2</f>
        <v>-1835</v>
      </c>
      <c r="M194" s="70"/>
    </row>
    <row r="195" spans="1:13" x14ac:dyDescent="0.25">
      <c r="A195" s="42" t="s">
        <v>1099</v>
      </c>
      <c r="B195" s="20" t="s">
        <v>922</v>
      </c>
      <c r="C195" s="20" t="s">
        <v>923</v>
      </c>
      <c r="D195" s="20" t="s">
        <v>1114</v>
      </c>
      <c r="E195" s="290" t="s">
        <v>191</v>
      </c>
      <c r="F195" s="291"/>
      <c r="G195" s="91">
        <f>+ROUND(Návrh!G192,-3)/$X$2</f>
        <v>-5785</v>
      </c>
      <c r="H195" s="91">
        <f>+ROUND(Návrh!H192,-3)/$X$2</f>
        <v>-4321</v>
      </c>
      <c r="I195" s="91">
        <f>+ROUND(Návrh!I192,-3)/$X$2</f>
        <v>-5000</v>
      </c>
      <c r="J195" s="91" t="e">
        <f>+ROUND(Návrh!#REF!,-3)/$X$2</f>
        <v>#REF!</v>
      </c>
      <c r="K195" s="91">
        <f>+ROUND(Návrh!J192,-3)/$X$2</f>
        <v>0</v>
      </c>
      <c r="L195" s="91">
        <f>+ROUND(Návrh!K192,-3)/$X$2</f>
        <v>-1398</v>
      </c>
      <c r="M195" s="70"/>
    </row>
    <row r="196" spans="1:13" x14ac:dyDescent="0.25">
      <c r="A196" s="42" t="s">
        <v>1100</v>
      </c>
      <c r="B196" s="20" t="s">
        <v>922</v>
      </c>
      <c r="C196" s="20" t="s">
        <v>923</v>
      </c>
      <c r="D196" s="20" t="s">
        <v>1114</v>
      </c>
      <c r="E196" s="290" t="s">
        <v>192</v>
      </c>
      <c r="F196" s="291"/>
      <c r="G196" s="91">
        <f>+ROUND(Návrh!G193,-3)/$X$2</f>
        <v>-134088</v>
      </c>
      <c r="H196" s="91">
        <f>+ROUND(Návrh!H193,-3)/$X$2</f>
        <v>-148055</v>
      </c>
      <c r="I196" s="91">
        <f>+ROUND(Návrh!I193,-3)/$X$2</f>
        <v>-260800</v>
      </c>
      <c r="J196" s="91" t="e">
        <f>+ROUND(Návrh!#REF!,-3)/$X$2</f>
        <v>#REF!</v>
      </c>
      <c r="K196" s="91">
        <f>+ROUND(Návrh!J193,-3)/$X$2</f>
        <v>0</v>
      </c>
      <c r="L196" s="91">
        <f>+ROUND(Návrh!K193,-3)/$X$2</f>
        <v>-270889</v>
      </c>
      <c r="M196" s="70"/>
    </row>
    <row r="197" spans="1:13" x14ac:dyDescent="0.25">
      <c r="A197" s="42" t="s">
        <v>1101</v>
      </c>
      <c r="B197" s="20" t="s">
        <v>922</v>
      </c>
      <c r="C197" s="20" t="s">
        <v>923</v>
      </c>
      <c r="D197" s="20" t="s">
        <v>1114</v>
      </c>
      <c r="E197" s="290" t="s">
        <v>193</v>
      </c>
      <c r="F197" s="291"/>
      <c r="G197" s="91">
        <f>+ROUND(Návrh!G194,-3)/$X$2</f>
        <v>-4851</v>
      </c>
      <c r="H197" s="91">
        <f>+ROUND(Návrh!H194,-3)/$X$2</f>
        <v>-5663</v>
      </c>
      <c r="I197" s="91">
        <f>+ROUND(Návrh!I194,-3)/$X$2</f>
        <v>-6000</v>
      </c>
      <c r="J197" s="91" t="e">
        <f>+ROUND(Návrh!#REF!,-3)/$X$2</f>
        <v>#REF!</v>
      </c>
      <c r="K197" s="91">
        <f>+ROUND(Návrh!J194,-3)/$X$2</f>
        <v>0</v>
      </c>
      <c r="L197" s="91">
        <f>+ROUND(Návrh!K194,-3)/$X$2</f>
        <v>-6555</v>
      </c>
      <c r="M197" s="70"/>
    </row>
    <row r="198" spans="1:13" x14ac:dyDescent="0.25">
      <c r="A198" s="42" t="s">
        <v>1102</v>
      </c>
      <c r="B198" s="20" t="s">
        <v>922</v>
      </c>
      <c r="C198" s="20" t="s">
        <v>923</v>
      </c>
      <c r="D198" s="20" t="s">
        <v>1114</v>
      </c>
      <c r="E198" s="290" t="s">
        <v>194</v>
      </c>
      <c r="F198" s="291"/>
      <c r="G198" s="91">
        <f>+ROUND(Návrh!G195,-3)/$X$2</f>
        <v>-18328</v>
      </c>
      <c r="H198" s="91">
        <f>+ROUND(Návrh!H195,-3)/$X$2</f>
        <v>-20543</v>
      </c>
      <c r="I198" s="91">
        <f>+ROUND(Návrh!I195,-3)/$X$2</f>
        <v>-38900</v>
      </c>
      <c r="J198" s="91" t="e">
        <f>+ROUND(Návrh!#REF!,-3)/$X$2</f>
        <v>#REF!</v>
      </c>
      <c r="K198" s="91">
        <f>+ROUND(Návrh!J195,-3)/$X$2</f>
        <v>0</v>
      </c>
      <c r="L198" s="91">
        <f>+ROUND(Návrh!K195,-3)/$X$2</f>
        <v>-41849</v>
      </c>
      <c r="M198" s="70"/>
    </row>
    <row r="199" spans="1:13" x14ac:dyDescent="0.25">
      <c r="A199" s="42" t="s">
        <v>1103</v>
      </c>
      <c r="B199" s="20" t="s">
        <v>922</v>
      </c>
      <c r="C199" s="20" t="s">
        <v>923</v>
      </c>
      <c r="D199" s="20" t="s">
        <v>1114</v>
      </c>
      <c r="E199" s="290" t="s">
        <v>195</v>
      </c>
      <c r="F199" s="291"/>
      <c r="G199" s="91">
        <f>+ROUND(Návrh!G196,-3)/$X$2</f>
        <v>-761</v>
      </c>
      <c r="H199" s="91">
        <f>+ROUND(Návrh!H196,-3)/$X$2</f>
        <v>-467</v>
      </c>
      <c r="I199" s="91">
        <f>+ROUND(Návrh!I196,-3)/$X$2</f>
        <v>-500</v>
      </c>
      <c r="J199" s="91" t="e">
        <f>+ROUND(Návrh!#REF!,-3)/$X$2</f>
        <v>#REF!</v>
      </c>
      <c r="K199" s="91">
        <f>+ROUND(Návrh!J196,-3)/$X$2</f>
        <v>0</v>
      </c>
      <c r="L199" s="91">
        <f>+ROUND(Návrh!K196,-3)/$X$2</f>
        <v>-2476</v>
      </c>
      <c r="M199" s="70"/>
    </row>
    <row r="200" spans="1:13" x14ac:dyDescent="0.25">
      <c r="A200" s="42" t="s">
        <v>1104</v>
      </c>
      <c r="B200" s="20" t="s">
        <v>922</v>
      </c>
      <c r="C200" s="20" t="s">
        <v>923</v>
      </c>
      <c r="D200" s="20" t="s">
        <v>1114</v>
      </c>
      <c r="E200" s="290" t="s">
        <v>196</v>
      </c>
      <c r="F200" s="291"/>
      <c r="G200" s="91">
        <f>+ROUND(Návrh!G197,-3)/$X$2</f>
        <v>-171</v>
      </c>
      <c r="H200" s="91">
        <f>+ROUND(Návrh!H197,-3)/$X$2</f>
        <v>-164</v>
      </c>
      <c r="I200" s="91">
        <f>+ROUND(Návrh!I197,-3)/$X$2</f>
        <v>-200</v>
      </c>
      <c r="J200" s="91" t="e">
        <f>+ROUND(Návrh!#REF!,-3)/$X$2</f>
        <v>#REF!</v>
      </c>
      <c r="K200" s="91">
        <f>+ROUND(Návrh!J197,-3)/$X$2</f>
        <v>0</v>
      </c>
      <c r="L200" s="91">
        <f>+ROUND(Návrh!K197,-3)/$X$2</f>
        <v>-337</v>
      </c>
      <c r="M200" s="70"/>
    </row>
    <row r="201" spans="1:13" x14ac:dyDescent="0.25">
      <c r="A201" s="42" t="s">
        <v>1105</v>
      </c>
      <c r="B201" s="20" t="s">
        <v>922</v>
      </c>
      <c r="C201" s="20" t="s">
        <v>923</v>
      </c>
      <c r="D201" s="20" t="s">
        <v>1114</v>
      </c>
      <c r="E201" s="290" t="s">
        <v>197</v>
      </c>
      <c r="F201" s="291"/>
      <c r="G201" s="91">
        <f>+ROUND(Návrh!G198,-3)/$X$2</f>
        <v>-620</v>
      </c>
      <c r="H201" s="91">
        <f>+ROUND(Návrh!H198,-3)/$X$2</f>
        <v>-604</v>
      </c>
      <c r="I201" s="91">
        <f>+ROUND(Návrh!I198,-3)/$X$2</f>
        <v>-1250</v>
      </c>
      <c r="J201" s="91" t="e">
        <f>+ROUND(Návrh!#REF!,-3)/$X$2</f>
        <v>#REF!</v>
      </c>
      <c r="K201" s="91">
        <f>+ROUND(Návrh!J198,-3)/$X$2</f>
        <v>0</v>
      </c>
      <c r="L201" s="91">
        <f>+ROUND(Návrh!K198,-3)/$X$2</f>
        <v>-889</v>
      </c>
      <c r="M201" s="70"/>
    </row>
    <row r="202" spans="1:13" x14ac:dyDescent="0.25">
      <c r="A202" s="42" t="s">
        <v>1106</v>
      </c>
      <c r="B202" s="20" t="s">
        <v>922</v>
      </c>
      <c r="C202" s="20" t="s">
        <v>923</v>
      </c>
      <c r="D202" s="20" t="s">
        <v>1114</v>
      </c>
      <c r="E202" s="290" t="s">
        <v>198</v>
      </c>
      <c r="F202" s="291"/>
      <c r="G202" s="91">
        <f>+ROUND(Návrh!G199,-3)/$X$2</f>
        <v>-1504</v>
      </c>
      <c r="H202" s="91">
        <f>+ROUND(Návrh!H199,-3)/$X$2</f>
        <v>-1627</v>
      </c>
      <c r="I202" s="91">
        <f>+ROUND(Návrh!I199,-3)/$X$2</f>
        <v>-1600</v>
      </c>
      <c r="J202" s="91" t="e">
        <f>+ROUND(Návrh!#REF!,-3)/$X$2</f>
        <v>#REF!</v>
      </c>
      <c r="K202" s="91">
        <f>+ROUND(Návrh!J199,-3)/$X$2</f>
        <v>0</v>
      </c>
      <c r="L202" s="91">
        <f>+ROUND(Návrh!K199,-3)/$X$2</f>
        <v>-1594</v>
      </c>
      <c r="M202" s="70"/>
    </row>
    <row r="203" spans="1:13" x14ac:dyDescent="0.25">
      <c r="A203" s="42" t="s">
        <v>1107</v>
      </c>
      <c r="B203" s="20" t="s">
        <v>922</v>
      </c>
      <c r="C203" s="20" t="s">
        <v>923</v>
      </c>
      <c r="D203" s="20" t="s">
        <v>1114</v>
      </c>
      <c r="E203" s="290" t="s">
        <v>199</v>
      </c>
      <c r="F203" s="291"/>
      <c r="G203" s="91">
        <f>+ROUND(Návrh!G200,-3)/$X$2</f>
        <v>-8155</v>
      </c>
      <c r="H203" s="91">
        <f>+ROUND(Návrh!H200,-3)/$X$2</f>
        <v>-9578</v>
      </c>
      <c r="I203" s="91">
        <f>+ROUND(Návrh!I200,-3)/$X$2</f>
        <v>-9700</v>
      </c>
      <c r="J203" s="91" t="e">
        <f>+ROUND(Návrh!#REF!,-3)/$X$2</f>
        <v>#REF!</v>
      </c>
      <c r="K203" s="91">
        <f>+ROUND(Návrh!J200,-3)/$X$2</f>
        <v>0</v>
      </c>
      <c r="L203" s="91">
        <f>+ROUND(Návrh!K200,-3)/$X$2</f>
        <v>-11221</v>
      </c>
      <c r="M203" s="70"/>
    </row>
    <row r="204" spans="1:13" x14ac:dyDescent="0.25">
      <c r="A204" s="42" t="s">
        <v>1108</v>
      </c>
      <c r="B204" s="20" t="s">
        <v>922</v>
      </c>
      <c r="C204" s="20" t="s">
        <v>923</v>
      </c>
      <c r="D204" s="20" t="s">
        <v>1114</v>
      </c>
      <c r="E204" s="286" t="s">
        <v>1671</v>
      </c>
      <c r="F204" s="287"/>
      <c r="G204" s="91">
        <f>+ROUND(Návrh!G201,-3)/$X$2</f>
        <v>-89</v>
      </c>
      <c r="H204" s="91">
        <f>+ROUND(Návrh!H201,-3)/$X$2</f>
        <v>-147</v>
      </c>
      <c r="I204" s="91">
        <f>+ROUND(Návrh!I201,-3)/$X$2</f>
        <v>-200</v>
      </c>
      <c r="J204" s="91" t="e">
        <f>+ROUND(Návrh!#REF!,-3)/$X$2</f>
        <v>#REF!</v>
      </c>
      <c r="K204" s="91">
        <f>+ROUND(Návrh!J201,-3)/$X$2</f>
        <v>0</v>
      </c>
      <c r="L204" s="91">
        <f>+ROUND(Návrh!K201,-3)/$X$2</f>
        <v>0</v>
      </c>
      <c r="M204" s="70"/>
    </row>
    <row r="205" spans="1:13" x14ac:dyDescent="0.25">
      <c r="A205" s="42" t="s">
        <v>1109</v>
      </c>
      <c r="B205" s="20"/>
      <c r="C205" s="20"/>
      <c r="D205" s="20"/>
      <c r="E205" s="290" t="s">
        <v>200</v>
      </c>
      <c r="F205" s="291"/>
      <c r="G205" s="91">
        <f>+ROUND(Návrh!G202,-3)/$X$2</f>
        <v>-98741</v>
      </c>
      <c r="H205" s="91">
        <f>+ROUND(Návrh!H202,-3)/$X$2</f>
        <v>-102111</v>
      </c>
      <c r="I205" s="91">
        <f>+ROUND(Návrh!I202,-3)/$X$2</f>
        <v>0</v>
      </c>
      <c r="J205" s="91" t="e">
        <f>+ROUND(Návrh!#REF!,-3)/$X$2</f>
        <v>#REF!</v>
      </c>
      <c r="K205" s="91">
        <f>+ROUND(Návrh!J202,-3)/$X$2</f>
        <v>0</v>
      </c>
      <c r="L205" s="91">
        <f>+ROUND(Návrh!K202,-3)/$X$2</f>
        <v>0</v>
      </c>
      <c r="M205" s="70"/>
    </row>
    <row r="206" spans="1:13" x14ac:dyDescent="0.25">
      <c r="A206" s="42" t="s">
        <v>1110</v>
      </c>
      <c r="B206" s="20"/>
      <c r="C206" s="20"/>
      <c r="D206" s="20"/>
      <c r="E206" s="290" t="s">
        <v>201</v>
      </c>
      <c r="F206" s="291"/>
      <c r="G206" s="91">
        <f>+ROUND(Návrh!G203,-3)/$X$2</f>
        <v>-15049</v>
      </c>
      <c r="H206" s="91">
        <f>+ROUND(Návrh!H203,-3)/$X$2</f>
        <v>-16840</v>
      </c>
      <c r="I206" s="91">
        <f>+ROUND(Návrh!I203,-3)/$X$2</f>
        <v>0</v>
      </c>
      <c r="J206" s="91" t="e">
        <f>+ROUND(Návrh!#REF!,-3)/$X$2</f>
        <v>#REF!</v>
      </c>
      <c r="K206" s="91">
        <f>+ROUND(Návrh!J203,-3)/$X$2</f>
        <v>0</v>
      </c>
      <c r="L206" s="91">
        <f>+ROUND(Návrh!K203,-3)/$X$2</f>
        <v>0</v>
      </c>
      <c r="M206" s="70"/>
    </row>
    <row r="207" spans="1:13" x14ac:dyDescent="0.25">
      <c r="A207" s="86" t="s">
        <v>1634</v>
      </c>
      <c r="B207" s="21" t="s">
        <v>922</v>
      </c>
      <c r="C207" s="21" t="s">
        <v>923</v>
      </c>
      <c r="D207" s="21" t="s">
        <v>1114</v>
      </c>
      <c r="E207" s="292" t="s">
        <v>1635</v>
      </c>
      <c r="F207" s="293"/>
      <c r="G207" s="98">
        <f>+ROUND(Návrh!G204,-3)/$X$2</f>
        <v>0</v>
      </c>
      <c r="H207" s="98">
        <f>+ROUND(Návrh!H204,-3)/$X$2</f>
        <v>0</v>
      </c>
      <c r="I207" s="98">
        <f>+ROUND(Návrh!I204,-3)/$X$2</f>
        <v>0</v>
      </c>
      <c r="J207" s="98" t="e">
        <f>+ROUND(Návrh!#REF!,-3)/$X$2</f>
        <v>#REF!</v>
      </c>
      <c r="K207" s="98">
        <f>+ROUND(Návrh!J204,-3)/$X$2</f>
        <v>0</v>
      </c>
      <c r="L207" s="98">
        <f>+ROUND(Návrh!K204,-3)/$X$2</f>
        <v>0</v>
      </c>
      <c r="M207" s="70"/>
    </row>
    <row r="208" spans="1:13" x14ac:dyDescent="0.25">
      <c r="A208" s="42" t="s">
        <v>1111</v>
      </c>
      <c r="B208" s="20" t="s">
        <v>922</v>
      </c>
      <c r="C208" s="20" t="s">
        <v>923</v>
      </c>
      <c r="D208" s="20" t="s">
        <v>1114</v>
      </c>
      <c r="E208" s="290" t="s">
        <v>202</v>
      </c>
      <c r="F208" s="291"/>
      <c r="G208" s="91">
        <f>+ROUND(Návrh!G205,-3)/$X$2</f>
        <v>0</v>
      </c>
      <c r="H208" s="91">
        <f>+ROUND(Návrh!H205,-3)/$X$2</f>
        <v>-4</v>
      </c>
      <c r="I208" s="91">
        <f>+ROUND(Návrh!I205,-3)/$X$2</f>
        <v>0</v>
      </c>
      <c r="J208" s="91" t="e">
        <f>+ROUND(Návrh!#REF!,-3)/$X$2</f>
        <v>#REF!</v>
      </c>
      <c r="K208" s="91">
        <f>+ROUND(Návrh!J205,-3)/$X$2</f>
        <v>0</v>
      </c>
      <c r="L208" s="91">
        <f>+ROUND(Návrh!K205,-3)/$X$2</f>
        <v>0</v>
      </c>
      <c r="M208" s="70"/>
    </row>
    <row r="209" spans="1:13" x14ac:dyDescent="0.25">
      <c r="A209" s="42" t="s">
        <v>1112</v>
      </c>
      <c r="B209" s="20"/>
      <c r="C209" s="20"/>
      <c r="D209" s="20"/>
      <c r="E209" s="290" t="s">
        <v>203</v>
      </c>
      <c r="F209" s="291"/>
      <c r="G209" s="91">
        <f>+ROUND(Návrh!G206,-3)/$X$2</f>
        <v>-370</v>
      </c>
      <c r="H209" s="91">
        <f>+ROUND(Návrh!H206,-3)/$X$2</f>
        <v>-116</v>
      </c>
      <c r="I209" s="91">
        <f>+ROUND(Návrh!I206,-3)/$X$2</f>
        <v>0</v>
      </c>
      <c r="J209" s="91" t="e">
        <f>+ROUND(Návrh!#REF!,-3)/$X$2</f>
        <v>#REF!</v>
      </c>
      <c r="K209" s="91">
        <f>+ROUND(Návrh!J206,-3)/$X$2</f>
        <v>0</v>
      </c>
      <c r="L209" s="91">
        <f>+ROUND(Návrh!K206,-3)/$X$2</f>
        <v>0</v>
      </c>
      <c r="M209" s="70"/>
    </row>
    <row r="210" spans="1:13" x14ac:dyDescent="0.25">
      <c r="A210" s="42" t="s">
        <v>1113</v>
      </c>
      <c r="B210" s="20"/>
      <c r="C210" s="20"/>
      <c r="D210" s="20"/>
      <c r="E210" s="290" t="s">
        <v>204</v>
      </c>
      <c r="F210" s="291"/>
      <c r="G210" s="91">
        <f>+ROUND(Návrh!G207,-3)/$X$2</f>
        <v>-702</v>
      </c>
      <c r="H210" s="91">
        <f>+ROUND(Návrh!H207,-3)/$X$2</f>
        <v>-640</v>
      </c>
      <c r="I210" s="91">
        <f>+ROUND(Návrh!I207,-3)/$X$2</f>
        <v>0</v>
      </c>
      <c r="J210" s="91" t="e">
        <f>+ROUND(Návrh!#REF!,-3)/$X$2</f>
        <v>#REF!</v>
      </c>
      <c r="K210" s="91">
        <f>+ROUND(Návrh!J207,-3)/$X$2</f>
        <v>0</v>
      </c>
      <c r="L210" s="91">
        <f>+ROUND(Návrh!K207,-3)/$X$2</f>
        <v>0</v>
      </c>
      <c r="M210" s="70"/>
    </row>
    <row r="211" spans="1:13" x14ac:dyDescent="0.25">
      <c r="A211" s="38" t="s">
        <v>205</v>
      </c>
      <c r="B211" s="38"/>
      <c r="C211" s="22"/>
      <c r="D211" s="22"/>
      <c r="E211" s="296" t="s">
        <v>206</v>
      </c>
      <c r="F211" s="297"/>
      <c r="G211" s="94">
        <f>+ROUND(Návrh!G208,-3)/$X$2</f>
        <v>114818</v>
      </c>
      <c r="H211" s="94">
        <f>+ROUND(Návrh!H208,-3)/$X$2</f>
        <v>115074</v>
      </c>
      <c r="I211" s="94">
        <f>+ROUND(Návrh!I208,-3)/$X$2</f>
        <v>119427</v>
      </c>
      <c r="J211" s="94" t="e">
        <f>+ROUND(Návrh!#REF!,-3)/$X$2</f>
        <v>#REF!</v>
      </c>
      <c r="K211" s="94">
        <f>+ROUND(Návrh!J208,-3)/$X$2</f>
        <v>0</v>
      </c>
      <c r="L211" s="94">
        <f>+ROUND(Návrh!K208,-3)/$X$2</f>
        <v>123569</v>
      </c>
      <c r="M211" s="70"/>
    </row>
    <row r="212" spans="1:13" x14ac:dyDescent="0.25">
      <c r="A212" s="26" t="s">
        <v>1115</v>
      </c>
      <c r="B212" s="26"/>
      <c r="C212" s="23"/>
      <c r="D212" s="23"/>
      <c r="E212" s="300" t="s">
        <v>207</v>
      </c>
      <c r="F212" s="301"/>
      <c r="G212" s="95">
        <f>+ROUND(Návrh!G209,-3)/$X$2</f>
        <v>108276</v>
      </c>
      <c r="H212" s="95">
        <f>+ROUND(Návrh!H209,-3)/$X$2</f>
        <v>107306</v>
      </c>
      <c r="I212" s="95">
        <f>+ROUND(Návrh!I209,-3)/$X$2</f>
        <v>111027</v>
      </c>
      <c r="J212" s="95" t="e">
        <f>+ROUND(Návrh!#REF!,-3)/$X$2</f>
        <v>#REF!</v>
      </c>
      <c r="K212" s="95">
        <f>+ROUND(Návrh!J209,-3)/$X$2</f>
        <v>0</v>
      </c>
      <c r="L212" s="95">
        <f>+ROUND(Návrh!K209,-3)/$X$2</f>
        <v>114318</v>
      </c>
      <c r="M212" s="70"/>
    </row>
    <row r="213" spans="1:13" x14ac:dyDescent="0.25">
      <c r="A213" s="42" t="s">
        <v>1116</v>
      </c>
      <c r="B213" s="14"/>
      <c r="C213" s="13"/>
      <c r="D213" s="13"/>
      <c r="E213" s="290" t="s">
        <v>208</v>
      </c>
      <c r="F213" s="291"/>
      <c r="G213" s="91">
        <f>+ROUND(Návrh!G210,-3)/$X$2</f>
        <v>-94</v>
      </c>
      <c r="H213" s="91">
        <f>+ROUND(Návrh!H210,-3)/$X$2</f>
        <v>-66</v>
      </c>
      <c r="I213" s="91">
        <f>+ROUND(Návrh!I210,-3)/$X$2</f>
        <v>0</v>
      </c>
      <c r="J213" s="91" t="e">
        <f>+ROUND(Návrh!#REF!,-3)/$X$2</f>
        <v>#REF!</v>
      </c>
      <c r="K213" s="91">
        <f>+ROUND(Návrh!J210,-3)/$X$2</f>
        <v>0</v>
      </c>
      <c r="L213" s="91">
        <f>+ROUND(Návrh!K210,-3)/$X$2</f>
        <v>0</v>
      </c>
      <c r="M213" s="70"/>
    </row>
    <row r="214" spans="1:13" x14ac:dyDescent="0.25">
      <c r="A214" s="42" t="s">
        <v>1117</v>
      </c>
      <c r="B214" s="27" t="s">
        <v>916</v>
      </c>
      <c r="C214" s="28" t="s">
        <v>923</v>
      </c>
      <c r="D214" s="28" t="s">
        <v>917</v>
      </c>
      <c r="E214" s="290" t="s">
        <v>209</v>
      </c>
      <c r="F214" s="291"/>
      <c r="G214" s="91">
        <f>+ROUND(Návrh!G211,-3)/$X$2</f>
        <v>576</v>
      </c>
      <c r="H214" s="91">
        <f>+ROUND(Návrh!H211,-3)/$X$2</f>
        <v>855</v>
      </c>
      <c r="I214" s="91">
        <f>+ROUND(Návrh!I211,-3)/$X$2</f>
        <v>827</v>
      </c>
      <c r="J214" s="91" t="e">
        <f>+ROUND(Návrh!#REF!,-3)/$X$2</f>
        <v>#REF!</v>
      </c>
      <c r="K214" s="91">
        <f>+ROUND(Návrh!J211,-3)/$X$2</f>
        <v>0</v>
      </c>
      <c r="L214" s="91">
        <f>+ROUND(Návrh!K211,-3)/$X$2</f>
        <v>990</v>
      </c>
      <c r="M214" s="70"/>
    </row>
    <row r="215" spans="1:13" x14ac:dyDescent="0.25">
      <c r="A215" s="42" t="s">
        <v>1118</v>
      </c>
      <c r="B215" s="20" t="s">
        <v>922</v>
      </c>
      <c r="C215" s="20" t="s">
        <v>919</v>
      </c>
      <c r="D215" s="20" t="s">
        <v>924</v>
      </c>
      <c r="E215" s="290" t="s">
        <v>210</v>
      </c>
      <c r="F215" s="291"/>
      <c r="G215" s="91">
        <f>+ROUND(Návrh!G212,-3)/$X$2</f>
        <v>65260</v>
      </c>
      <c r="H215" s="91">
        <f>+ROUND(Návrh!H212,-3)/$X$2</f>
        <v>63684</v>
      </c>
      <c r="I215" s="91">
        <f>+ROUND(Návrh!I212,-3)/$X$2</f>
        <v>67400</v>
      </c>
      <c r="J215" s="91" t="e">
        <f>+ROUND(Návrh!#REF!,-3)/$X$2</f>
        <v>#REF!</v>
      </c>
      <c r="K215" s="91">
        <f>+ROUND(Návrh!J212,-3)/$X$2</f>
        <v>0</v>
      </c>
      <c r="L215" s="91">
        <f>+ROUND(Návrh!K212,-3)/$X$2</f>
        <v>70359</v>
      </c>
      <c r="M215" s="70"/>
    </row>
    <row r="216" spans="1:13" x14ac:dyDescent="0.25">
      <c r="A216" s="42" t="s">
        <v>1119</v>
      </c>
      <c r="B216" s="20" t="s">
        <v>922</v>
      </c>
      <c r="C216" s="20" t="s">
        <v>919</v>
      </c>
      <c r="D216" s="20" t="s">
        <v>924</v>
      </c>
      <c r="E216" s="290" t="s">
        <v>211</v>
      </c>
      <c r="F216" s="291"/>
      <c r="G216" s="91">
        <f>+ROUND(Návrh!G213,-3)/$X$2</f>
        <v>42534</v>
      </c>
      <c r="H216" s="91">
        <f>+ROUND(Návrh!H213,-3)/$X$2</f>
        <v>42834</v>
      </c>
      <c r="I216" s="91">
        <f>+ROUND(Návrh!I213,-3)/$X$2</f>
        <v>42800</v>
      </c>
      <c r="J216" s="91" t="e">
        <f>+ROUND(Návrh!#REF!,-3)/$X$2</f>
        <v>#REF!</v>
      </c>
      <c r="K216" s="91">
        <f>+ROUND(Návrh!J213,-3)/$X$2</f>
        <v>0</v>
      </c>
      <c r="L216" s="91">
        <f>+ROUND(Návrh!K213,-3)/$X$2</f>
        <v>42969</v>
      </c>
      <c r="M216" s="70"/>
    </row>
    <row r="217" spans="1:13" x14ac:dyDescent="0.25">
      <c r="A217" s="26" t="s">
        <v>1120</v>
      </c>
      <c r="B217" s="26"/>
      <c r="C217" s="23"/>
      <c r="D217" s="23"/>
      <c r="E217" s="300" t="s">
        <v>212</v>
      </c>
      <c r="F217" s="301"/>
      <c r="G217" s="94">
        <f>+ROUND(Návrh!G214,-3)/$X$2</f>
        <v>6448</v>
      </c>
      <c r="H217" s="94">
        <f>+ROUND(Návrh!H214,-3)/$X$2</f>
        <v>7702</v>
      </c>
      <c r="I217" s="94">
        <f>+ROUND(Návrh!I214,-3)/$X$2</f>
        <v>8400</v>
      </c>
      <c r="J217" s="94" t="e">
        <f>+ROUND(Návrh!#REF!,-3)/$X$2</f>
        <v>#REF!</v>
      </c>
      <c r="K217" s="94">
        <f>+ROUND(Návrh!J214,-3)/$X$2</f>
        <v>0</v>
      </c>
      <c r="L217" s="94">
        <f>+ROUND(Návrh!K214,-3)/$X$2</f>
        <v>9251</v>
      </c>
      <c r="M217" s="70"/>
    </row>
    <row r="218" spans="1:13" x14ac:dyDescent="0.25">
      <c r="A218" s="42" t="s">
        <v>1121</v>
      </c>
      <c r="B218" s="20" t="s">
        <v>922</v>
      </c>
      <c r="C218" s="20" t="s">
        <v>923</v>
      </c>
      <c r="D218" s="20" t="s">
        <v>1114</v>
      </c>
      <c r="E218" s="290" t="s">
        <v>213</v>
      </c>
      <c r="F218" s="291"/>
      <c r="G218" s="91">
        <f>+ROUND(Návrh!G215,-3)/$X$2</f>
        <v>177</v>
      </c>
      <c r="H218" s="91">
        <f>+ROUND(Návrh!H215,-3)/$X$2</f>
        <v>136</v>
      </c>
      <c r="I218" s="91">
        <f>+ROUND(Návrh!I215,-3)/$X$2</f>
        <v>200</v>
      </c>
      <c r="J218" s="91" t="e">
        <f>+ROUND(Návrh!#REF!,-3)/$X$2</f>
        <v>#REF!</v>
      </c>
      <c r="K218" s="91">
        <f>+ROUND(Návrh!J215,-3)/$X$2</f>
        <v>0</v>
      </c>
      <c r="L218" s="91">
        <f>+ROUND(Návrh!K215,-3)/$X$2</f>
        <v>151</v>
      </c>
      <c r="M218" s="70"/>
    </row>
    <row r="219" spans="1:13" x14ac:dyDescent="0.25">
      <c r="A219" s="42" t="s">
        <v>1122</v>
      </c>
      <c r="B219" s="20" t="s">
        <v>922</v>
      </c>
      <c r="C219" s="20" t="s">
        <v>923</v>
      </c>
      <c r="D219" s="20" t="s">
        <v>1114</v>
      </c>
      <c r="E219" s="290" t="s">
        <v>214</v>
      </c>
      <c r="F219" s="291"/>
      <c r="G219" s="91">
        <f>+ROUND(Návrh!G216,-3)/$X$2</f>
        <v>5734</v>
      </c>
      <c r="H219" s="91">
        <f>+ROUND(Návrh!H216,-3)/$X$2</f>
        <v>6801</v>
      </c>
      <c r="I219" s="91">
        <f>+ROUND(Návrh!I216,-3)/$X$2</f>
        <v>7300</v>
      </c>
      <c r="J219" s="91" t="e">
        <f>+ROUND(Návrh!#REF!,-3)/$X$2</f>
        <v>#REF!</v>
      </c>
      <c r="K219" s="91">
        <f>+ROUND(Návrh!J216,-3)/$X$2</f>
        <v>0</v>
      </c>
      <c r="L219" s="91">
        <f>+ROUND(Návrh!K216,-3)/$X$2</f>
        <v>8500</v>
      </c>
      <c r="M219" s="70"/>
    </row>
    <row r="220" spans="1:13" x14ac:dyDescent="0.25">
      <c r="A220" s="42" t="s">
        <v>1123</v>
      </c>
      <c r="B220" s="20" t="s">
        <v>922</v>
      </c>
      <c r="C220" s="20" t="s">
        <v>923</v>
      </c>
      <c r="D220" s="20" t="s">
        <v>1114</v>
      </c>
      <c r="E220" s="290" t="s">
        <v>215</v>
      </c>
      <c r="F220" s="291"/>
      <c r="G220" s="91">
        <f>+ROUND(Návrh!G217,-3)/$X$2</f>
        <v>537</v>
      </c>
      <c r="H220" s="91">
        <f>+ROUND(Návrh!H217,-3)/$X$2</f>
        <v>765</v>
      </c>
      <c r="I220" s="91">
        <f>+ROUND(Návrh!I217,-3)/$X$2</f>
        <v>900</v>
      </c>
      <c r="J220" s="91" t="e">
        <f>+ROUND(Návrh!#REF!,-3)/$X$2</f>
        <v>#REF!</v>
      </c>
      <c r="K220" s="91">
        <f>+ROUND(Návrh!J217,-3)/$X$2</f>
        <v>0</v>
      </c>
      <c r="L220" s="91">
        <f>+ROUND(Návrh!K217,-3)/$X$2</f>
        <v>600</v>
      </c>
      <c r="M220" s="70"/>
    </row>
    <row r="221" spans="1:13" x14ac:dyDescent="0.25">
      <c r="A221" s="26" t="s">
        <v>1124</v>
      </c>
      <c r="B221" s="26"/>
      <c r="C221" s="23"/>
      <c r="D221" s="23"/>
      <c r="E221" s="300" t="s">
        <v>216</v>
      </c>
      <c r="F221" s="301"/>
      <c r="G221" s="94">
        <f>+ROUND(Návrh!G218,-3)/$X$2</f>
        <v>94</v>
      </c>
      <c r="H221" s="94">
        <f>+ROUND(Návrh!H218,-3)/$X$2</f>
        <v>66</v>
      </c>
      <c r="I221" s="94">
        <f>+ROUND(Návrh!I218,-3)/$X$2</f>
        <v>0</v>
      </c>
      <c r="J221" s="94" t="e">
        <f>+ROUND(Návrh!#REF!,-3)/$X$2</f>
        <v>#REF!</v>
      </c>
      <c r="K221" s="94">
        <f>+ROUND(Návrh!J218,-3)/$X$2</f>
        <v>0</v>
      </c>
      <c r="L221" s="94">
        <f>+ROUND(Návrh!K218,-3)/$X$2</f>
        <v>0</v>
      </c>
      <c r="M221" s="70"/>
    </row>
    <row r="222" spans="1:13" x14ac:dyDescent="0.25">
      <c r="A222" s="42" t="s">
        <v>1125</v>
      </c>
      <c r="B222" s="14"/>
      <c r="C222" s="13"/>
      <c r="D222" s="13"/>
      <c r="E222" s="290" t="s">
        <v>217</v>
      </c>
      <c r="F222" s="291"/>
      <c r="G222" s="91">
        <f>+ROUND(Návrh!G219,-3)/$X$2</f>
        <v>94</v>
      </c>
      <c r="H222" s="91">
        <f>+ROUND(Návrh!H219,-3)/$X$2</f>
        <v>66</v>
      </c>
      <c r="I222" s="91">
        <f>+ROUND(Návrh!I219,-3)/$X$2</f>
        <v>0</v>
      </c>
      <c r="J222" s="91" t="e">
        <f>+ROUND(Návrh!#REF!,-3)/$X$2</f>
        <v>#REF!</v>
      </c>
      <c r="K222" s="91">
        <f>+ROUND(Návrh!J219,-3)/$X$2</f>
        <v>0</v>
      </c>
      <c r="L222" s="91">
        <f>+ROUND(Návrh!K219,-3)/$X$2</f>
        <v>0</v>
      </c>
      <c r="M222" s="70"/>
    </row>
    <row r="223" spans="1:13" x14ac:dyDescent="0.25">
      <c r="A223" s="41" t="s">
        <v>218</v>
      </c>
      <c r="B223" s="41"/>
      <c r="C223" s="40"/>
      <c r="D223" s="40"/>
      <c r="E223" s="298" t="s">
        <v>219</v>
      </c>
      <c r="F223" s="299"/>
      <c r="G223" s="92">
        <f>+ROUND(Návrh!G220,-3)/$X$2</f>
        <v>-244066</v>
      </c>
      <c r="H223" s="92">
        <f>+ROUND(Návrh!H220,-3)/$X$2</f>
        <v>-264441</v>
      </c>
      <c r="I223" s="92">
        <f>+ROUND(Návrh!I220,-3)/$X$2</f>
        <v>-309736</v>
      </c>
      <c r="J223" s="92" t="e">
        <f>+ROUND(Návrh!#REF!,-3)/$X$2</f>
        <v>#REF!</v>
      </c>
      <c r="K223" s="92">
        <f>+ROUND(Návrh!J220,-3)/$X$2</f>
        <v>0</v>
      </c>
      <c r="L223" s="92">
        <f>+ROUND(Návrh!K220,-3)/$X$2</f>
        <v>-373924</v>
      </c>
      <c r="M223" s="70"/>
    </row>
    <row r="224" spans="1:13" x14ac:dyDescent="0.25">
      <c r="A224" s="38" t="s">
        <v>220</v>
      </c>
      <c r="B224" s="38"/>
      <c r="C224" s="22"/>
      <c r="D224" s="22"/>
      <c r="E224" s="296" t="s">
        <v>221</v>
      </c>
      <c r="F224" s="297"/>
      <c r="G224" s="94">
        <f>+ROUND(Návrh!G221,-3)/$X$2</f>
        <v>-62963</v>
      </c>
      <c r="H224" s="94">
        <f>+ROUND(Návrh!H221,-3)/$X$2</f>
        <v>-78213</v>
      </c>
      <c r="I224" s="94">
        <f>+ROUND(Návrh!I221,-3)/$X$2</f>
        <v>-90110</v>
      </c>
      <c r="J224" s="94" t="e">
        <f>+ROUND(Návrh!#REF!,-3)/$X$2</f>
        <v>#REF!</v>
      </c>
      <c r="K224" s="94">
        <f>+ROUND(Návrh!J221,-3)/$X$2</f>
        <v>0</v>
      </c>
      <c r="L224" s="94">
        <f>+ROUND(Návrh!K221,-3)/$X$2</f>
        <v>-86605</v>
      </c>
      <c r="M224" s="70"/>
    </row>
    <row r="225" spans="1:13" x14ac:dyDescent="0.25">
      <c r="A225" s="26" t="s">
        <v>1126</v>
      </c>
      <c r="B225" s="26"/>
      <c r="C225" s="23"/>
      <c r="D225" s="23"/>
      <c r="E225" s="300" t="s">
        <v>222</v>
      </c>
      <c r="F225" s="301"/>
      <c r="G225" s="95">
        <f>+ROUND(Návrh!G222,-3)/$X$2</f>
        <v>113</v>
      </c>
      <c r="H225" s="95">
        <f>+ROUND(Návrh!H222,-3)/$X$2</f>
        <v>173</v>
      </c>
      <c r="I225" s="95">
        <f>+ROUND(Návrh!I222,-3)/$X$2</f>
        <v>0</v>
      </c>
      <c r="J225" s="95" t="e">
        <f>+ROUND(Návrh!#REF!,-3)/$X$2</f>
        <v>#REF!</v>
      </c>
      <c r="K225" s="95">
        <f>+ROUND(Návrh!J222,-3)/$X$2</f>
        <v>0</v>
      </c>
      <c r="L225" s="95">
        <f>+ROUND(Návrh!K222,-3)/$X$2</f>
        <v>0</v>
      </c>
      <c r="M225" s="70"/>
    </row>
    <row r="226" spans="1:13" x14ac:dyDescent="0.25">
      <c r="A226" s="42" t="s">
        <v>1127</v>
      </c>
      <c r="B226" s="14"/>
      <c r="C226" s="13"/>
      <c r="D226" s="13"/>
      <c r="E226" s="290" t="s">
        <v>223</v>
      </c>
      <c r="F226" s="291"/>
      <c r="G226" s="91">
        <f>+ROUND(Návrh!G223,-3)/$X$2</f>
        <v>113</v>
      </c>
      <c r="H226" s="91">
        <f>+ROUND(Návrh!H223,-3)/$X$2</f>
        <v>173</v>
      </c>
      <c r="I226" s="91">
        <f>+ROUND(Návrh!I223,-3)/$X$2</f>
        <v>0</v>
      </c>
      <c r="J226" s="91" t="e">
        <f>+ROUND(Návrh!#REF!,-3)/$X$2</f>
        <v>#REF!</v>
      </c>
      <c r="K226" s="91">
        <f>+ROUND(Návrh!J223,-3)/$X$2</f>
        <v>0</v>
      </c>
      <c r="L226" s="91">
        <f>+ROUND(Návrh!K223,-3)/$X$2</f>
        <v>0</v>
      </c>
      <c r="M226" s="70"/>
    </row>
    <row r="227" spans="1:13" x14ac:dyDescent="0.25">
      <c r="A227" s="26" t="s">
        <v>1128</v>
      </c>
      <c r="B227" s="26"/>
      <c r="C227" s="23"/>
      <c r="D227" s="23"/>
      <c r="E227" s="300" t="s">
        <v>224</v>
      </c>
      <c r="F227" s="301"/>
      <c r="G227" s="95">
        <f>+ROUND(Návrh!G224,-3)/$X$2</f>
        <v>-62963</v>
      </c>
      <c r="H227" s="95">
        <f>+ROUND(Návrh!H224,-3)/$X$2</f>
        <v>-78213</v>
      </c>
      <c r="I227" s="95">
        <f>+ROUND(Návrh!I224,-3)/$X$2</f>
        <v>-90110</v>
      </c>
      <c r="J227" s="95" t="e">
        <f>+ROUND(Návrh!#REF!,-3)/$X$2</f>
        <v>#REF!</v>
      </c>
      <c r="K227" s="95">
        <f>+ROUND(Návrh!J224,-3)/$X$2</f>
        <v>0</v>
      </c>
      <c r="L227" s="95">
        <f>+ROUND(Návrh!K224,-3)/$X$2</f>
        <v>-86605</v>
      </c>
      <c r="M227" s="70"/>
    </row>
    <row r="228" spans="1:13" x14ac:dyDescent="0.25">
      <c r="A228" s="42" t="s">
        <v>1129</v>
      </c>
      <c r="B228" s="20" t="s">
        <v>916</v>
      </c>
      <c r="C228" s="20" t="s">
        <v>920</v>
      </c>
      <c r="D228" s="20" t="s">
        <v>1053</v>
      </c>
      <c r="E228" s="290" t="s">
        <v>225</v>
      </c>
      <c r="F228" s="291"/>
      <c r="G228" s="91">
        <f>+ROUND(Návrh!G225,-3)/$X$2</f>
        <v>-29565</v>
      </c>
      <c r="H228" s="91">
        <f>+ROUND(Návrh!H225,-3)/$X$2</f>
        <v>-37610</v>
      </c>
      <c r="I228" s="91">
        <f>+ROUND(Návrh!I225,-3)/$X$2</f>
        <v>-28700</v>
      </c>
      <c r="J228" s="91" t="e">
        <f>+ROUND(Návrh!#REF!,-3)/$X$2</f>
        <v>#REF!</v>
      </c>
      <c r="K228" s="91">
        <f>+ROUND(Návrh!J225,-3)/$X$2</f>
        <v>0</v>
      </c>
      <c r="L228" s="91">
        <f>+ROUND(Návrh!K225,-3)/$X$2</f>
        <v>-28700</v>
      </c>
      <c r="M228" s="70"/>
    </row>
    <row r="229" spans="1:13" x14ac:dyDescent="0.25">
      <c r="A229" s="42" t="s">
        <v>1130</v>
      </c>
      <c r="B229" s="20" t="s">
        <v>1654</v>
      </c>
      <c r="C229" s="20" t="s">
        <v>919</v>
      </c>
      <c r="D229" s="20" t="s">
        <v>1655</v>
      </c>
      <c r="E229" s="290" t="s">
        <v>226</v>
      </c>
      <c r="F229" s="291"/>
      <c r="G229" s="91">
        <f>+ROUND(Návrh!G226,-3)/$X$2</f>
        <v>-227</v>
      </c>
      <c r="H229" s="91">
        <f>+ROUND(Návrh!H226,-3)/$X$2</f>
        <v>-244</v>
      </c>
      <c r="I229" s="91">
        <f>+ROUND(Návrh!I226,-3)/$X$2</f>
        <v>-400</v>
      </c>
      <c r="J229" s="91" t="e">
        <f>+ROUND(Návrh!#REF!,-3)/$X$2</f>
        <v>#REF!</v>
      </c>
      <c r="K229" s="91">
        <f>+ROUND(Návrh!J226,-3)/$X$2</f>
        <v>0</v>
      </c>
      <c r="L229" s="91">
        <f>+ROUND(Návrh!K226,-3)/$X$2</f>
        <v>-500</v>
      </c>
      <c r="M229" s="70"/>
    </row>
    <row r="230" spans="1:13" x14ac:dyDescent="0.25">
      <c r="A230" s="42" t="s">
        <v>1131</v>
      </c>
      <c r="B230" s="20" t="s">
        <v>916</v>
      </c>
      <c r="C230" s="20" t="s">
        <v>920</v>
      </c>
      <c r="D230" s="20" t="s">
        <v>1053</v>
      </c>
      <c r="E230" s="290" t="s">
        <v>227</v>
      </c>
      <c r="F230" s="291"/>
      <c r="G230" s="91">
        <f>+ROUND(Návrh!G227,-3)/$X$2</f>
        <v>-7029</v>
      </c>
      <c r="H230" s="91">
        <f>+ROUND(Návrh!H227,-3)/$X$2</f>
        <v>-9425</v>
      </c>
      <c r="I230" s="91">
        <f>+ROUND(Návrh!I227,-3)/$X$2</f>
        <v>-500</v>
      </c>
      <c r="J230" s="91" t="e">
        <f>+ROUND(Návrh!#REF!,-3)/$X$2</f>
        <v>#REF!</v>
      </c>
      <c r="K230" s="91">
        <f>+ROUND(Návrh!J227,-3)/$X$2</f>
        <v>0</v>
      </c>
      <c r="L230" s="91">
        <f>+ROUND(Návrh!K227,-3)/$X$2</f>
        <v>-500</v>
      </c>
      <c r="M230" s="70"/>
    </row>
    <row r="231" spans="1:13" x14ac:dyDescent="0.25">
      <c r="A231" s="42" t="s">
        <v>1132</v>
      </c>
      <c r="B231" s="20" t="s">
        <v>916</v>
      </c>
      <c r="C231" s="20" t="s">
        <v>923</v>
      </c>
      <c r="D231" s="20" t="s">
        <v>1648</v>
      </c>
      <c r="E231" s="290" t="s">
        <v>228</v>
      </c>
      <c r="F231" s="291"/>
      <c r="G231" s="91">
        <f>+ROUND(Návrh!G228,-3)/$X$2</f>
        <v>-13436</v>
      </c>
      <c r="H231" s="91">
        <f>+ROUND(Návrh!H228,-3)/$X$2</f>
        <v>-13024</v>
      </c>
      <c r="I231" s="91">
        <f>+ROUND(Návrh!I228,-3)/$X$2</f>
        <v>-36555</v>
      </c>
      <c r="J231" s="91" t="e">
        <f>+ROUND(Návrh!#REF!,-3)/$X$2</f>
        <v>#REF!</v>
      </c>
      <c r="K231" s="91">
        <f>+ROUND(Návrh!J228,-3)/$X$2</f>
        <v>0</v>
      </c>
      <c r="L231" s="91">
        <f>+ROUND(Návrh!K228,-3)/$X$2</f>
        <v>-18630</v>
      </c>
      <c r="M231" s="70"/>
    </row>
    <row r="232" spans="1:13" x14ac:dyDescent="0.25">
      <c r="A232" s="42" t="s">
        <v>1133</v>
      </c>
      <c r="B232" s="20" t="s">
        <v>916</v>
      </c>
      <c r="C232" s="20" t="s">
        <v>919</v>
      </c>
      <c r="D232" s="20" t="s">
        <v>1089</v>
      </c>
      <c r="E232" s="290" t="s">
        <v>229</v>
      </c>
      <c r="F232" s="291"/>
      <c r="G232" s="91">
        <f>+ROUND(Návrh!G229,-3)/$X$2</f>
        <v>-9712</v>
      </c>
      <c r="H232" s="91">
        <f>+ROUND(Návrh!H229,-3)/$X$2</f>
        <v>-14403</v>
      </c>
      <c r="I232" s="91">
        <f>+ROUND(Návrh!I229,-3)/$X$2</f>
        <v>-9700</v>
      </c>
      <c r="J232" s="91" t="e">
        <f>+ROUND(Návrh!#REF!,-3)/$X$2</f>
        <v>#REF!</v>
      </c>
      <c r="K232" s="91">
        <f>+ROUND(Návrh!J229,-3)/$X$2</f>
        <v>0</v>
      </c>
      <c r="L232" s="91">
        <f>+ROUND(Návrh!K229,-3)/$X$2</f>
        <v>-11000</v>
      </c>
      <c r="M232" s="70"/>
    </row>
    <row r="233" spans="1:13" x14ac:dyDescent="0.25">
      <c r="A233" s="42" t="s">
        <v>1134</v>
      </c>
      <c r="B233" s="20" t="s">
        <v>916</v>
      </c>
      <c r="C233" s="20" t="s">
        <v>920</v>
      </c>
      <c r="D233" s="20" t="s">
        <v>1053</v>
      </c>
      <c r="E233" s="290" t="s">
        <v>230</v>
      </c>
      <c r="F233" s="291"/>
      <c r="G233" s="91">
        <f>+ROUND(Návrh!G230,-3)/$X$2</f>
        <v>-106</v>
      </c>
      <c r="H233" s="91">
        <f>+ROUND(Návrh!H230,-3)/$X$2</f>
        <v>-108</v>
      </c>
      <c r="I233" s="91">
        <f>+ROUND(Návrh!I230,-3)/$X$2</f>
        <v>-80</v>
      </c>
      <c r="J233" s="91" t="e">
        <f>+ROUND(Návrh!#REF!,-3)/$X$2</f>
        <v>#REF!</v>
      </c>
      <c r="K233" s="91">
        <f>+ROUND(Návrh!J230,-3)/$X$2</f>
        <v>0</v>
      </c>
      <c r="L233" s="91">
        <f>+ROUND(Návrh!K230,-3)/$X$2</f>
        <v>-700</v>
      </c>
      <c r="M233" s="70"/>
    </row>
    <row r="234" spans="1:13" x14ac:dyDescent="0.25">
      <c r="A234" s="42" t="s">
        <v>1135</v>
      </c>
      <c r="B234" s="20" t="s">
        <v>916</v>
      </c>
      <c r="C234" s="20" t="s">
        <v>919</v>
      </c>
      <c r="D234" s="20" t="s">
        <v>918</v>
      </c>
      <c r="E234" s="290" t="s">
        <v>231</v>
      </c>
      <c r="F234" s="291"/>
      <c r="G234" s="91">
        <f>+ROUND(Návrh!G231,-3)/$X$2</f>
        <v>-2636</v>
      </c>
      <c r="H234" s="91">
        <f>+ROUND(Návrh!H231,-3)/$X$2</f>
        <v>-2840</v>
      </c>
      <c r="I234" s="91">
        <f>+ROUND(Návrh!I231,-3)/$X$2</f>
        <v>-2600</v>
      </c>
      <c r="J234" s="91" t="e">
        <f>+ROUND(Návrh!#REF!,-3)/$X$2</f>
        <v>#REF!</v>
      </c>
      <c r="K234" s="91">
        <f>+ROUND(Návrh!J231,-3)/$X$2</f>
        <v>0</v>
      </c>
      <c r="L234" s="91">
        <f>+ROUND(Návrh!K231,-3)/$X$2</f>
        <v>-2900</v>
      </c>
      <c r="M234" s="70"/>
    </row>
    <row r="235" spans="1:13" x14ac:dyDescent="0.25">
      <c r="A235" s="42" t="s">
        <v>1136</v>
      </c>
      <c r="B235" s="20" t="s">
        <v>916</v>
      </c>
      <c r="C235" s="20" t="s">
        <v>919</v>
      </c>
      <c r="D235" s="20" t="s">
        <v>1649</v>
      </c>
      <c r="E235" s="290" t="s">
        <v>232</v>
      </c>
      <c r="F235" s="291"/>
      <c r="G235" s="91">
        <f>+ROUND(Návrh!G232,-3)/$X$2</f>
        <v>-208</v>
      </c>
      <c r="H235" s="91">
        <f>+ROUND(Návrh!H232,-3)/$X$2</f>
        <v>-500</v>
      </c>
      <c r="I235" s="91">
        <f>+ROUND(Návrh!I232,-3)/$X$2</f>
        <v>-350</v>
      </c>
      <c r="J235" s="91" t="e">
        <f>+ROUND(Návrh!#REF!,-3)/$X$2</f>
        <v>#REF!</v>
      </c>
      <c r="K235" s="91">
        <f>+ROUND(Návrh!J232,-3)/$X$2</f>
        <v>0</v>
      </c>
      <c r="L235" s="91">
        <f>+ROUND(Návrh!K232,-3)/$X$2</f>
        <v>-1500</v>
      </c>
      <c r="M235" s="70"/>
    </row>
    <row r="236" spans="1:13" x14ac:dyDescent="0.25">
      <c r="A236" s="42" t="s">
        <v>1137</v>
      </c>
      <c r="B236" s="20" t="s">
        <v>1241</v>
      </c>
      <c r="C236" s="20" t="s">
        <v>920</v>
      </c>
      <c r="D236" s="20" t="s">
        <v>1242</v>
      </c>
      <c r="E236" s="290" t="s">
        <v>233</v>
      </c>
      <c r="F236" s="291"/>
      <c r="G236" s="91">
        <f>+ROUND(Návrh!G233,-3)/$X$2</f>
        <v>-44</v>
      </c>
      <c r="H236" s="91">
        <f>+ROUND(Návrh!H233,-3)/$X$2</f>
        <v>-60</v>
      </c>
      <c r="I236" s="91">
        <f>+ROUND(Návrh!I233,-3)/$X$2</f>
        <v>-1075</v>
      </c>
      <c r="J236" s="91" t="e">
        <f>+ROUND(Návrh!#REF!,-3)/$X$2</f>
        <v>#REF!</v>
      </c>
      <c r="K236" s="91">
        <f>+ROUND(Návrh!J233,-3)/$X$2</f>
        <v>0</v>
      </c>
      <c r="L236" s="91">
        <f>+ROUND(Návrh!K233,-3)/$X$2</f>
        <v>-1275</v>
      </c>
      <c r="M236" s="70"/>
    </row>
    <row r="237" spans="1:13" x14ac:dyDescent="0.25">
      <c r="A237" s="42" t="s">
        <v>1138</v>
      </c>
      <c r="B237" s="20"/>
      <c r="C237" s="20"/>
      <c r="D237" s="20"/>
      <c r="E237" s="290" t="s">
        <v>93</v>
      </c>
      <c r="F237" s="291"/>
      <c r="G237" s="91">
        <f>+ROUND(Návrh!G234,-3)/$X$2</f>
        <v>0</v>
      </c>
      <c r="H237" s="91">
        <f>+ROUND(Návrh!H234,-3)/$X$2</f>
        <v>0</v>
      </c>
      <c r="I237" s="91">
        <f>+ROUND(Návrh!I234,-3)/$X$2</f>
        <v>-50</v>
      </c>
      <c r="J237" s="91" t="e">
        <f>+ROUND(Návrh!#REF!,-3)/$X$2</f>
        <v>#REF!</v>
      </c>
      <c r="K237" s="91">
        <f>+ROUND(Návrh!J234,-3)/$X$2</f>
        <v>0</v>
      </c>
      <c r="L237" s="91">
        <f>+ROUND(Návrh!K234,-3)/$X$2</f>
        <v>0</v>
      </c>
      <c r="M237" s="70"/>
    </row>
    <row r="238" spans="1:13" x14ac:dyDescent="0.25">
      <c r="A238" s="42" t="s">
        <v>1139</v>
      </c>
      <c r="B238" s="20" t="s">
        <v>916</v>
      </c>
      <c r="C238" s="20" t="s">
        <v>919</v>
      </c>
      <c r="D238" s="20" t="s">
        <v>1649</v>
      </c>
      <c r="E238" s="302" t="s">
        <v>1679</v>
      </c>
      <c r="F238" s="303"/>
      <c r="G238" s="91">
        <f>+ROUND(Návrh!G235,-3)/$X$2</f>
        <v>0</v>
      </c>
      <c r="H238" s="91">
        <f>+ROUND(Návrh!H235,-3)/$X$2</f>
        <v>0</v>
      </c>
      <c r="I238" s="91">
        <f>+ROUND(Návrh!I235,-3)/$X$2</f>
        <v>-300</v>
      </c>
      <c r="J238" s="91" t="e">
        <f>+ROUND(Návrh!#REF!,-3)/$X$2</f>
        <v>#REF!</v>
      </c>
      <c r="K238" s="91">
        <f>+ROUND(Návrh!J235,-3)/$X$2</f>
        <v>0</v>
      </c>
      <c r="L238" s="91">
        <f>+ROUND(Návrh!K235,-3)/$X$2</f>
        <v>-300</v>
      </c>
      <c r="M238" s="70"/>
    </row>
    <row r="239" spans="1:13" x14ac:dyDescent="0.25">
      <c r="A239" s="42" t="s">
        <v>1140</v>
      </c>
      <c r="B239" s="20" t="s">
        <v>916</v>
      </c>
      <c r="C239" s="20" t="s">
        <v>919</v>
      </c>
      <c r="D239" s="20" t="s">
        <v>1649</v>
      </c>
      <c r="E239" s="302" t="s">
        <v>1680</v>
      </c>
      <c r="F239" s="303"/>
      <c r="G239" s="91">
        <f>+ROUND(Návrh!G236,-3)/$X$2</f>
        <v>0</v>
      </c>
      <c r="H239" s="91">
        <f>+ROUND(Návrh!H236,-3)/$X$2</f>
        <v>0</v>
      </c>
      <c r="I239" s="91">
        <f>+ROUND(Návrh!I236,-3)/$X$2</f>
        <v>-7400</v>
      </c>
      <c r="J239" s="91" t="e">
        <f>+ROUND(Návrh!#REF!,-3)/$X$2</f>
        <v>#REF!</v>
      </c>
      <c r="K239" s="91">
        <f>+ROUND(Návrh!J236,-3)/$X$2</f>
        <v>0</v>
      </c>
      <c r="L239" s="91">
        <f>+ROUND(Návrh!K236,-3)/$X$2</f>
        <v>-18100</v>
      </c>
      <c r="M239" s="70"/>
    </row>
    <row r="240" spans="1:13" x14ac:dyDescent="0.25">
      <c r="A240" s="42" t="s">
        <v>1141</v>
      </c>
      <c r="B240" s="20" t="s">
        <v>916</v>
      </c>
      <c r="C240" s="20" t="s">
        <v>919</v>
      </c>
      <c r="D240" s="20" t="s">
        <v>1649</v>
      </c>
      <c r="E240" s="302" t="s">
        <v>1681</v>
      </c>
      <c r="F240" s="303"/>
      <c r="G240" s="91">
        <f>+ROUND(Návrh!G237,-3)/$X$2</f>
        <v>0</v>
      </c>
      <c r="H240" s="91">
        <f>+ROUND(Návrh!H237,-3)/$X$2</f>
        <v>0</v>
      </c>
      <c r="I240" s="91">
        <f>+ROUND(Návrh!I237,-3)/$X$2</f>
        <v>-2400</v>
      </c>
      <c r="J240" s="91" t="e">
        <f>+ROUND(Návrh!#REF!,-3)/$X$2</f>
        <v>#REF!</v>
      </c>
      <c r="K240" s="91">
        <f>+ROUND(Návrh!J237,-3)/$X$2</f>
        <v>0</v>
      </c>
      <c r="L240" s="91">
        <f>+ROUND(Návrh!K237,-3)/$X$2</f>
        <v>-2500</v>
      </c>
      <c r="M240" s="70"/>
    </row>
    <row r="241" spans="1:13" x14ac:dyDescent="0.25">
      <c r="A241" s="26" t="s">
        <v>1142</v>
      </c>
      <c r="B241" s="26"/>
      <c r="C241" s="23"/>
      <c r="D241" s="23"/>
      <c r="E241" s="300" t="s">
        <v>234</v>
      </c>
      <c r="F241" s="301"/>
      <c r="G241" s="95">
        <f>+ROUND(Návrh!G238,-3)/$X$2</f>
        <v>-113</v>
      </c>
      <c r="H241" s="95">
        <f>+ROUND(Návrh!H238,-3)/$X$2</f>
        <v>-173</v>
      </c>
      <c r="I241" s="95">
        <f>+ROUND(Návrh!I238,-3)/$X$2</f>
        <v>0</v>
      </c>
      <c r="J241" s="95" t="e">
        <f>+ROUND(Návrh!#REF!,-3)/$X$2</f>
        <v>#REF!</v>
      </c>
      <c r="K241" s="95">
        <f>+ROUND(Návrh!J238,-3)/$X$2</f>
        <v>0</v>
      </c>
      <c r="L241" s="95">
        <f>+ROUND(Návrh!K238,-3)/$X$2</f>
        <v>0</v>
      </c>
      <c r="M241" s="70"/>
    </row>
    <row r="242" spans="1:13" x14ac:dyDescent="0.25">
      <c r="A242" s="42" t="s">
        <v>1143</v>
      </c>
      <c r="B242" s="14"/>
      <c r="C242" s="13"/>
      <c r="D242" s="13"/>
      <c r="E242" s="290" t="s">
        <v>235</v>
      </c>
      <c r="F242" s="291"/>
      <c r="G242" s="91">
        <f>+ROUND(Návrh!G239,-3)/$X$2</f>
        <v>-113</v>
      </c>
      <c r="H242" s="91">
        <f>+ROUND(Návrh!H239,-3)/$X$2</f>
        <v>-173</v>
      </c>
      <c r="I242" s="91">
        <f>+ROUND(Návrh!I239,-3)/$X$2</f>
        <v>0</v>
      </c>
      <c r="J242" s="91" t="e">
        <f>+ROUND(Návrh!#REF!,-3)/$X$2</f>
        <v>#REF!</v>
      </c>
      <c r="K242" s="91">
        <f>+ROUND(Návrh!J239,-3)/$X$2</f>
        <v>0</v>
      </c>
      <c r="L242" s="91">
        <f>+ROUND(Návrh!K239,-3)/$X$2</f>
        <v>0</v>
      </c>
      <c r="M242" s="70"/>
    </row>
    <row r="243" spans="1:13" x14ac:dyDescent="0.25">
      <c r="A243" s="42" t="s">
        <v>1144</v>
      </c>
      <c r="B243" s="14"/>
      <c r="C243" s="13"/>
      <c r="D243" s="13"/>
      <c r="E243" s="290" t="s">
        <v>236</v>
      </c>
      <c r="F243" s="291"/>
      <c r="G243" s="91">
        <f>+ROUND(Návrh!G240,-3)/$X$2</f>
        <v>0</v>
      </c>
      <c r="H243" s="91">
        <f>+ROUND(Návrh!H240,-3)/$X$2</f>
        <v>0</v>
      </c>
      <c r="I243" s="91">
        <f>+ROUND(Návrh!I240,-3)/$X$2</f>
        <v>0</v>
      </c>
      <c r="J243" s="91" t="e">
        <f>+ROUND(Návrh!#REF!,-3)/$X$2</f>
        <v>#REF!</v>
      </c>
      <c r="K243" s="91">
        <f>+ROUND(Návrh!J240,-3)/$X$2</f>
        <v>0</v>
      </c>
      <c r="L243" s="91">
        <f>+ROUND(Návrh!K240,-3)/$X$2</f>
        <v>0</v>
      </c>
      <c r="M243" s="70"/>
    </row>
    <row r="244" spans="1:13" x14ac:dyDescent="0.25">
      <c r="A244" s="38" t="s">
        <v>237</v>
      </c>
      <c r="B244" s="38"/>
      <c r="C244" s="22"/>
      <c r="D244" s="22"/>
      <c r="E244" s="296" t="s">
        <v>238</v>
      </c>
      <c r="F244" s="297"/>
      <c r="G244" s="94">
        <f>+ROUND(Návrh!G241,-3)/$X$2</f>
        <v>-8017</v>
      </c>
      <c r="H244" s="94">
        <f>+ROUND(Návrh!H241,-3)/$X$2</f>
        <v>-8743</v>
      </c>
      <c r="I244" s="94">
        <f>+ROUND(Návrh!I241,-3)/$X$2</f>
        <v>-7770</v>
      </c>
      <c r="J244" s="94" t="e">
        <f>+ROUND(Návrh!#REF!,-3)/$X$2</f>
        <v>#REF!</v>
      </c>
      <c r="K244" s="94">
        <f>+ROUND(Návrh!J241,-3)/$X$2</f>
        <v>0</v>
      </c>
      <c r="L244" s="94">
        <f>+ROUND(Návrh!K241,-3)/$X$2</f>
        <v>-9545</v>
      </c>
      <c r="M244" s="70"/>
    </row>
    <row r="245" spans="1:13" x14ac:dyDescent="0.25">
      <c r="A245" s="26" t="s">
        <v>1145</v>
      </c>
      <c r="B245" s="26"/>
      <c r="C245" s="23"/>
      <c r="D245" s="23"/>
      <c r="E245" s="300" t="s">
        <v>239</v>
      </c>
      <c r="F245" s="301"/>
      <c r="G245" s="95">
        <f>+ROUND(Návrh!G242,-3)/$X$2</f>
        <v>-3533</v>
      </c>
      <c r="H245" s="95">
        <f>+ROUND(Návrh!H242,-3)/$X$2</f>
        <v>-3884</v>
      </c>
      <c r="I245" s="95">
        <f>+ROUND(Návrh!I242,-3)/$X$2</f>
        <v>-3800</v>
      </c>
      <c r="J245" s="95" t="e">
        <f>+ROUND(Návrh!#REF!,-3)/$X$2</f>
        <v>#REF!</v>
      </c>
      <c r="K245" s="95">
        <f>+ROUND(Návrh!J242,-3)/$X$2</f>
        <v>0</v>
      </c>
      <c r="L245" s="95">
        <f>+ROUND(Návrh!K242,-3)/$X$2</f>
        <v>-3890</v>
      </c>
      <c r="M245" s="70"/>
    </row>
    <row r="246" spans="1:13" x14ac:dyDescent="0.25">
      <c r="A246" s="42" t="s">
        <v>1146</v>
      </c>
      <c r="B246" s="20" t="s">
        <v>1432</v>
      </c>
      <c r="C246" s="20" t="s">
        <v>920</v>
      </c>
      <c r="D246" s="20" t="s">
        <v>1244</v>
      </c>
      <c r="E246" s="290" t="s">
        <v>240</v>
      </c>
      <c r="F246" s="291"/>
      <c r="G246" s="91">
        <f>+ROUND(Návrh!G243,-3)/$X$2</f>
        <v>-2809</v>
      </c>
      <c r="H246" s="91">
        <f>+ROUND(Návrh!H243,-3)/$X$2</f>
        <v>-3253</v>
      </c>
      <c r="I246" s="91">
        <f>+ROUND(Návrh!I243,-3)/$X$2</f>
        <v>-3800</v>
      </c>
      <c r="J246" s="91" t="e">
        <f>+ROUND(Návrh!#REF!,-3)/$X$2</f>
        <v>#REF!</v>
      </c>
      <c r="K246" s="91">
        <f>+ROUND(Návrh!J243,-3)/$X$2</f>
        <v>0</v>
      </c>
      <c r="L246" s="91">
        <f>+ROUND(Návrh!K243,-3)/$X$2</f>
        <v>-3890</v>
      </c>
      <c r="M246" s="70"/>
    </row>
    <row r="247" spans="1:13" x14ac:dyDescent="0.25">
      <c r="A247" s="42" t="s">
        <v>1147</v>
      </c>
      <c r="B247" s="20" t="s">
        <v>1432</v>
      </c>
      <c r="C247" s="20" t="s">
        <v>920</v>
      </c>
      <c r="D247" s="20" t="s">
        <v>1244</v>
      </c>
      <c r="E247" s="290" t="s">
        <v>241</v>
      </c>
      <c r="F247" s="291"/>
      <c r="G247" s="91">
        <f>+ROUND(Návrh!G244,-3)/$X$2</f>
        <v>-724</v>
      </c>
      <c r="H247" s="91">
        <f>+ROUND(Návrh!H244,-3)/$X$2</f>
        <v>-631</v>
      </c>
      <c r="I247" s="91">
        <f>+ROUND(Návrh!I244,-3)/$X$2</f>
        <v>0</v>
      </c>
      <c r="J247" s="91" t="e">
        <f>+ROUND(Návrh!#REF!,-3)/$X$2</f>
        <v>#REF!</v>
      </c>
      <c r="K247" s="91">
        <f>+ROUND(Návrh!J244,-3)/$X$2</f>
        <v>0</v>
      </c>
      <c r="L247" s="91">
        <f>+ROUND(Návrh!K244,-3)/$X$2</f>
        <v>0</v>
      </c>
      <c r="M247" s="70"/>
    </row>
    <row r="248" spans="1:13" x14ac:dyDescent="0.25">
      <c r="A248" s="26" t="s">
        <v>1148</v>
      </c>
      <c r="B248" s="26"/>
      <c r="C248" s="23"/>
      <c r="D248" s="23"/>
      <c r="E248" s="300" t="s">
        <v>242</v>
      </c>
      <c r="F248" s="301"/>
      <c r="G248" s="95">
        <f>+ROUND(Návrh!G245,-3)/$X$2</f>
        <v>-682</v>
      </c>
      <c r="H248" s="95">
        <f>+ROUND(Návrh!H245,-3)/$X$2</f>
        <v>-676</v>
      </c>
      <c r="I248" s="95">
        <f>+ROUND(Návrh!I245,-3)/$X$2</f>
        <v>-670</v>
      </c>
      <c r="J248" s="95" t="e">
        <f>+ROUND(Návrh!#REF!,-3)/$X$2</f>
        <v>#REF!</v>
      </c>
      <c r="K248" s="95">
        <f>+ROUND(Návrh!J245,-3)/$X$2</f>
        <v>0</v>
      </c>
      <c r="L248" s="95">
        <f>+ROUND(Návrh!K245,-3)/$X$2</f>
        <v>-647</v>
      </c>
      <c r="M248" s="70"/>
    </row>
    <row r="249" spans="1:13" x14ac:dyDescent="0.25">
      <c r="A249" s="42" t="s">
        <v>1149</v>
      </c>
      <c r="B249" s="27" t="s">
        <v>916</v>
      </c>
      <c r="C249" s="28" t="s">
        <v>919</v>
      </c>
      <c r="D249" s="28" t="s">
        <v>917</v>
      </c>
      <c r="E249" s="290" t="s">
        <v>243</v>
      </c>
      <c r="F249" s="291"/>
      <c r="G249" s="91">
        <f>+ROUND(Návrh!G246,-3)/$X$2</f>
        <v>-682</v>
      </c>
      <c r="H249" s="91">
        <f>+ROUND(Návrh!H246,-3)/$X$2</f>
        <v>-676</v>
      </c>
      <c r="I249" s="91">
        <f>+ROUND(Návrh!I246,-3)/$X$2</f>
        <v>-670</v>
      </c>
      <c r="J249" s="91" t="e">
        <f>+ROUND(Návrh!#REF!,-3)/$X$2</f>
        <v>#REF!</v>
      </c>
      <c r="K249" s="91">
        <f>+ROUND(Návrh!J246,-3)/$X$2</f>
        <v>0</v>
      </c>
      <c r="L249" s="91">
        <f>+ROUND(Návrh!K246,-3)/$X$2</f>
        <v>-647</v>
      </c>
      <c r="M249" s="70"/>
    </row>
    <row r="250" spans="1:13" x14ac:dyDescent="0.25">
      <c r="A250" s="26" t="s">
        <v>1150</v>
      </c>
      <c r="B250" s="26"/>
      <c r="C250" s="23"/>
      <c r="D250" s="23"/>
      <c r="E250" s="300" t="s">
        <v>244</v>
      </c>
      <c r="F250" s="301"/>
      <c r="G250" s="95">
        <f>+ROUND(Návrh!G247,-3)/$X$2</f>
        <v>-2852</v>
      </c>
      <c r="H250" s="95">
        <f>+ROUND(Návrh!H247,-3)/$X$2</f>
        <v>-3318</v>
      </c>
      <c r="I250" s="95">
        <f>+ROUND(Návrh!I247,-3)/$X$2</f>
        <v>-2300</v>
      </c>
      <c r="J250" s="95" t="e">
        <f>+ROUND(Návrh!#REF!,-3)/$X$2</f>
        <v>#REF!</v>
      </c>
      <c r="K250" s="95">
        <f>+ROUND(Návrh!J247,-3)/$X$2</f>
        <v>0</v>
      </c>
      <c r="L250" s="95">
        <f>+ROUND(Návrh!K247,-3)/$X$2</f>
        <v>-4008</v>
      </c>
      <c r="M250" s="70"/>
    </row>
    <row r="251" spans="1:13" x14ac:dyDescent="0.25">
      <c r="A251" s="42" t="s">
        <v>1151</v>
      </c>
      <c r="B251" s="20" t="s">
        <v>1243</v>
      </c>
      <c r="C251" s="20" t="s">
        <v>920</v>
      </c>
      <c r="D251" s="20" t="s">
        <v>1245</v>
      </c>
      <c r="E251" s="290" t="s">
        <v>245</v>
      </c>
      <c r="F251" s="291"/>
      <c r="G251" s="91">
        <f>+ROUND(Návrh!G248,-3)/$X$2</f>
        <v>-1629</v>
      </c>
      <c r="H251" s="91">
        <f>+ROUND(Návrh!H248,-3)/$X$2</f>
        <v>-1950</v>
      </c>
      <c r="I251" s="91">
        <f>+ROUND(Návrh!I248,-3)/$X$2</f>
        <v>-2300</v>
      </c>
      <c r="J251" s="91" t="e">
        <f>+ROUND(Návrh!#REF!,-3)/$X$2</f>
        <v>#REF!</v>
      </c>
      <c r="K251" s="91">
        <f>+ROUND(Návrh!J248,-3)/$X$2</f>
        <v>0</v>
      </c>
      <c r="L251" s="91">
        <f>+ROUND(Návrh!K248,-3)/$X$2</f>
        <v>-4008</v>
      </c>
      <c r="M251" s="70"/>
    </row>
    <row r="252" spans="1:13" x14ac:dyDescent="0.25">
      <c r="A252" s="42" t="s">
        <v>1152</v>
      </c>
      <c r="B252" s="20" t="s">
        <v>1243</v>
      </c>
      <c r="C252" s="20" t="s">
        <v>920</v>
      </c>
      <c r="D252" s="20" t="s">
        <v>1245</v>
      </c>
      <c r="E252" s="290" t="s">
        <v>246</v>
      </c>
      <c r="F252" s="291"/>
      <c r="G252" s="91">
        <f>+ROUND(Návrh!G249,-3)/$X$2</f>
        <v>-1222</v>
      </c>
      <c r="H252" s="91">
        <f>+ROUND(Návrh!H249,-3)/$X$2</f>
        <v>-1368</v>
      </c>
      <c r="I252" s="91">
        <f>+ROUND(Návrh!I249,-3)/$X$2</f>
        <v>0</v>
      </c>
      <c r="J252" s="91" t="e">
        <f>+ROUND(Návrh!#REF!,-3)/$X$2</f>
        <v>#REF!</v>
      </c>
      <c r="K252" s="91">
        <f>+ROUND(Návrh!J249,-3)/$X$2</f>
        <v>0</v>
      </c>
      <c r="L252" s="91">
        <f>+ROUND(Návrh!K249,-3)/$X$2</f>
        <v>0</v>
      </c>
      <c r="M252" s="70"/>
    </row>
    <row r="253" spans="1:13" x14ac:dyDescent="0.25">
      <c r="A253" s="26" t="s">
        <v>1153</v>
      </c>
      <c r="B253" s="26"/>
      <c r="C253" s="23"/>
      <c r="D253" s="23"/>
      <c r="E253" s="300" t="s">
        <v>247</v>
      </c>
      <c r="F253" s="301"/>
      <c r="G253" s="95">
        <f>+ROUND(Návrh!G250,-3)/$X$2</f>
        <v>-950</v>
      </c>
      <c r="H253" s="95">
        <f>+ROUND(Návrh!H250,-3)/$X$2</f>
        <v>-865</v>
      </c>
      <c r="I253" s="95">
        <f>+ROUND(Návrh!I250,-3)/$X$2</f>
        <v>-1000</v>
      </c>
      <c r="J253" s="95" t="e">
        <f>+ROUND(Návrh!#REF!,-3)/$X$2</f>
        <v>#REF!</v>
      </c>
      <c r="K253" s="95">
        <f>+ROUND(Návrh!J250,-3)/$X$2</f>
        <v>0</v>
      </c>
      <c r="L253" s="95">
        <f>+ROUND(Návrh!K250,-3)/$X$2</f>
        <v>-1000</v>
      </c>
      <c r="M253" s="70"/>
    </row>
    <row r="254" spans="1:13" x14ac:dyDescent="0.25">
      <c r="A254" s="42" t="s">
        <v>1154</v>
      </c>
      <c r="B254" s="20" t="s">
        <v>916</v>
      </c>
      <c r="C254" s="20" t="s">
        <v>920</v>
      </c>
      <c r="D254" s="20" t="s">
        <v>917</v>
      </c>
      <c r="E254" s="290" t="s">
        <v>248</v>
      </c>
      <c r="F254" s="291"/>
      <c r="G254" s="91">
        <f>+ROUND(Návrh!G251,-3)/$X$2</f>
        <v>-950</v>
      </c>
      <c r="H254" s="91">
        <f>+ROUND(Návrh!H251,-3)/$X$2</f>
        <v>-865</v>
      </c>
      <c r="I254" s="91">
        <f>+ROUND(Návrh!I251,-3)/$X$2</f>
        <v>-1000</v>
      </c>
      <c r="J254" s="91" t="e">
        <f>+ROUND(Návrh!#REF!,-3)/$X$2</f>
        <v>#REF!</v>
      </c>
      <c r="K254" s="91">
        <f>+ROUND(Návrh!J251,-3)/$X$2</f>
        <v>0</v>
      </c>
      <c r="L254" s="91">
        <f>+ROUND(Návrh!K251,-3)/$X$2</f>
        <v>-1000</v>
      </c>
      <c r="M254" s="70"/>
    </row>
    <row r="255" spans="1:13" x14ac:dyDescent="0.25">
      <c r="A255" s="38" t="s">
        <v>249</v>
      </c>
      <c r="B255" s="38"/>
      <c r="C255" s="22"/>
      <c r="D255" s="22"/>
      <c r="E255" s="296" t="s">
        <v>250</v>
      </c>
      <c r="F255" s="297"/>
      <c r="G255" s="94">
        <f>+ROUND(Návrh!G252,-3)/$X$2</f>
        <v>-252</v>
      </c>
      <c r="H255" s="94">
        <f>+ROUND(Návrh!H252,-3)/$X$2</f>
        <v>-206</v>
      </c>
      <c r="I255" s="94">
        <f>+ROUND(Návrh!I252,-3)/$X$2</f>
        <v>-400</v>
      </c>
      <c r="J255" s="94" t="e">
        <f>+ROUND(Návrh!#REF!,-3)/$X$2</f>
        <v>#REF!</v>
      </c>
      <c r="K255" s="94">
        <f>+ROUND(Návrh!J252,-3)/$X$2</f>
        <v>0</v>
      </c>
      <c r="L255" s="94">
        <f>+ROUND(Návrh!K252,-3)/$X$2</f>
        <v>-250</v>
      </c>
      <c r="M255" s="70"/>
    </row>
    <row r="256" spans="1:13" x14ac:dyDescent="0.25">
      <c r="A256" s="26" t="s">
        <v>1155</v>
      </c>
      <c r="B256" s="26"/>
      <c r="C256" s="23"/>
      <c r="D256" s="23"/>
      <c r="E256" s="300" t="s">
        <v>251</v>
      </c>
      <c r="F256" s="301"/>
      <c r="G256" s="95">
        <f>+ROUND(Návrh!G253,-3)/$X$2</f>
        <v>-252</v>
      </c>
      <c r="H256" s="95">
        <f>+ROUND(Návrh!H253,-3)/$X$2</f>
        <v>-206</v>
      </c>
      <c r="I256" s="95">
        <f>+ROUND(Návrh!I253,-3)/$X$2</f>
        <v>-400</v>
      </c>
      <c r="J256" s="95" t="e">
        <f>+ROUND(Návrh!#REF!,-3)/$X$2</f>
        <v>#REF!</v>
      </c>
      <c r="K256" s="95">
        <f>+ROUND(Návrh!J253,-3)/$X$2</f>
        <v>0</v>
      </c>
      <c r="L256" s="95">
        <f>+ROUND(Návrh!K253,-3)/$X$2</f>
        <v>-250</v>
      </c>
      <c r="M256" s="70"/>
    </row>
    <row r="257" spans="1:13" x14ac:dyDescent="0.25">
      <c r="A257" s="42" t="s">
        <v>1156</v>
      </c>
      <c r="B257" s="27" t="s">
        <v>916</v>
      </c>
      <c r="C257" s="28" t="s">
        <v>920</v>
      </c>
      <c r="D257" s="28" t="s">
        <v>917</v>
      </c>
      <c r="E257" s="290" t="s">
        <v>252</v>
      </c>
      <c r="F257" s="291"/>
      <c r="G257" s="91">
        <f>+ROUND(Návrh!G254,-3)/$X$2</f>
        <v>-224</v>
      </c>
      <c r="H257" s="91">
        <f>+ROUND(Návrh!H254,-3)/$X$2</f>
        <v>-173</v>
      </c>
      <c r="I257" s="91">
        <f>+ROUND(Návrh!I254,-3)/$X$2</f>
        <v>-250</v>
      </c>
      <c r="J257" s="91" t="e">
        <f>+ROUND(Návrh!#REF!,-3)/$X$2</f>
        <v>#REF!</v>
      </c>
      <c r="K257" s="91">
        <f>+ROUND(Návrh!J254,-3)/$X$2</f>
        <v>0</v>
      </c>
      <c r="L257" s="91">
        <f>+ROUND(Návrh!K254,-3)/$X$2</f>
        <v>-200</v>
      </c>
      <c r="M257" s="70"/>
    </row>
    <row r="258" spans="1:13" x14ac:dyDescent="0.25">
      <c r="A258" s="42" t="s">
        <v>1157</v>
      </c>
      <c r="B258" s="27" t="s">
        <v>916</v>
      </c>
      <c r="C258" s="28" t="s">
        <v>920</v>
      </c>
      <c r="D258" s="28" t="s">
        <v>917</v>
      </c>
      <c r="E258" s="290" t="s">
        <v>253</v>
      </c>
      <c r="F258" s="291"/>
      <c r="G258" s="91">
        <f>+ROUND(Návrh!G255,-3)/$X$2</f>
        <v>-28</v>
      </c>
      <c r="H258" s="91">
        <f>+ROUND(Návrh!H255,-3)/$X$2</f>
        <v>-33</v>
      </c>
      <c r="I258" s="91">
        <f>+ROUND(Návrh!I255,-3)/$X$2</f>
        <v>-150</v>
      </c>
      <c r="J258" s="91" t="e">
        <f>+ROUND(Návrh!#REF!,-3)/$X$2</f>
        <v>#REF!</v>
      </c>
      <c r="K258" s="91">
        <f>+ROUND(Návrh!J255,-3)/$X$2</f>
        <v>0</v>
      </c>
      <c r="L258" s="91">
        <f>+ROUND(Návrh!K255,-3)/$X$2</f>
        <v>-50</v>
      </c>
      <c r="M258" s="70"/>
    </row>
    <row r="259" spans="1:13" x14ac:dyDescent="0.25">
      <c r="A259" s="38" t="s">
        <v>254</v>
      </c>
      <c r="B259" s="38"/>
      <c r="C259" s="22"/>
      <c r="D259" s="22"/>
      <c r="E259" s="296" t="s">
        <v>255</v>
      </c>
      <c r="F259" s="297"/>
      <c r="G259" s="94">
        <f>+ROUND(Návrh!G256,-3)/$X$2</f>
        <v>-172834</v>
      </c>
      <c r="H259" s="94">
        <f>+ROUND(Návrh!H256,-3)/$X$2</f>
        <v>-177278</v>
      </c>
      <c r="I259" s="94">
        <f>+ROUND(Návrh!I256,-3)/$X$2</f>
        <v>-211456</v>
      </c>
      <c r="J259" s="94" t="e">
        <f>+ROUND(Návrh!#REF!,-3)/$X$2</f>
        <v>#REF!</v>
      </c>
      <c r="K259" s="94">
        <f>+ROUND(Návrh!J256,-3)/$X$2</f>
        <v>0</v>
      </c>
      <c r="L259" s="94">
        <f>+ROUND(Návrh!K256,-3)/$X$2</f>
        <v>-277525</v>
      </c>
      <c r="M259" s="70"/>
    </row>
    <row r="260" spans="1:13" x14ac:dyDescent="0.25">
      <c r="A260" s="26" t="s">
        <v>1158</v>
      </c>
      <c r="B260" s="26"/>
      <c r="C260" s="23"/>
      <c r="D260" s="23"/>
      <c r="E260" s="300" t="s">
        <v>256</v>
      </c>
      <c r="F260" s="301"/>
      <c r="G260" s="95">
        <f>+ROUND(Návrh!G257,-3)/$X$2</f>
        <v>59</v>
      </c>
      <c r="H260" s="95">
        <f>+ROUND(Návrh!H257,-3)/$X$2</f>
        <v>37</v>
      </c>
      <c r="I260" s="95">
        <f>+ROUND(Návrh!I257,-3)/$X$2</f>
        <v>0</v>
      </c>
      <c r="J260" s="95" t="e">
        <f>+ROUND(Návrh!#REF!,-3)/$X$2</f>
        <v>#REF!</v>
      </c>
      <c r="K260" s="95">
        <f>+ROUND(Návrh!J257,-3)/$X$2</f>
        <v>0</v>
      </c>
      <c r="L260" s="95">
        <f>+ROUND(Návrh!K257,-3)/$X$2</f>
        <v>0</v>
      </c>
      <c r="M260" s="70"/>
    </row>
    <row r="261" spans="1:13" x14ac:dyDescent="0.25">
      <c r="A261" s="42" t="s">
        <v>1159</v>
      </c>
      <c r="B261" s="14"/>
      <c r="C261" s="13"/>
      <c r="D261" s="13"/>
      <c r="E261" s="290" t="s">
        <v>257</v>
      </c>
      <c r="F261" s="291"/>
      <c r="G261" s="91">
        <f>+ROUND(Návrh!G258,-3)/$X$2</f>
        <v>59</v>
      </c>
      <c r="H261" s="91">
        <f>+ROUND(Návrh!H258,-3)/$X$2</f>
        <v>37</v>
      </c>
      <c r="I261" s="91">
        <f>+ROUND(Návrh!I258,-3)/$X$2</f>
        <v>0</v>
      </c>
      <c r="J261" s="91" t="e">
        <f>+ROUND(Návrh!#REF!,-3)/$X$2</f>
        <v>#REF!</v>
      </c>
      <c r="K261" s="91">
        <f>+ROUND(Návrh!J258,-3)/$X$2</f>
        <v>0</v>
      </c>
      <c r="L261" s="91">
        <f>+ROUND(Návrh!K258,-3)/$X$2</f>
        <v>0</v>
      </c>
      <c r="M261" s="70"/>
    </row>
    <row r="262" spans="1:13" x14ac:dyDescent="0.25">
      <c r="A262" s="26" t="s">
        <v>1160</v>
      </c>
      <c r="B262" s="26"/>
      <c r="C262" s="23"/>
      <c r="D262" s="23"/>
      <c r="E262" s="300" t="s">
        <v>258</v>
      </c>
      <c r="F262" s="301"/>
      <c r="G262" s="95">
        <f>+ROUND(Návrh!G259,-3)/$X$2</f>
        <v>-359</v>
      </c>
      <c r="H262" s="95">
        <f>+ROUND(Návrh!H259,-3)/$X$2</f>
        <v>-585</v>
      </c>
      <c r="I262" s="95">
        <f>+ROUND(Návrh!I259,-3)/$X$2</f>
        <v>-550</v>
      </c>
      <c r="J262" s="95" t="e">
        <f>+ROUND(Návrh!#REF!,-3)/$X$2</f>
        <v>#REF!</v>
      </c>
      <c r="K262" s="95">
        <f>+ROUND(Návrh!J259,-3)/$X$2</f>
        <v>0</v>
      </c>
      <c r="L262" s="95">
        <f>+ROUND(Návrh!K259,-3)/$X$2</f>
        <v>-500</v>
      </c>
      <c r="M262" s="70"/>
    </row>
    <row r="263" spans="1:13" x14ac:dyDescent="0.25">
      <c r="A263" s="42" t="s">
        <v>1161</v>
      </c>
      <c r="B263" s="27" t="s">
        <v>916</v>
      </c>
      <c r="C263" s="28" t="s">
        <v>919</v>
      </c>
      <c r="D263" s="28" t="s">
        <v>917</v>
      </c>
      <c r="E263" s="290" t="s">
        <v>259</v>
      </c>
      <c r="F263" s="291"/>
      <c r="G263" s="91">
        <f>+ROUND(Návrh!G260,-3)/$X$2</f>
        <v>-359</v>
      </c>
      <c r="H263" s="91">
        <f>+ROUND(Návrh!H260,-3)/$X$2</f>
        <v>-585</v>
      </c>
      <c r="I263" s="91">
        <f>+ROUND(Návrh!I260,-3)/$X$2</f>
        <v>-550</v>
      </c>
      <c r="J263" s="91" t="e">
        <f>+ROUND(Návrh!#REF!,-3)/$X$2</f>
        <v>#REF!</v>
      </c>
      <c r="K263" s="91">
        <f>+ROUND(Návrh!J260,-3)/$X$2</f>
        <v>0</v>
      </c>
      <c r="L263" s="91">
        <f>+ROUND(Návrh!K260,-3)/$X$2</f>
        <v>-500</v>
      </c>
      <c r="M263" s="70"/>
    </row>
    <row r="264" spans="1:13" x14ac:dyDescent="0.25">
      <c r="A264" s="26" t="s">
        <v>1162</v>
      </c>
      <c r="B264" s="26"/>
      <c r="C264" s="23"/>
      <c r="D264" s="23"/>
      <c r="E264" s="300" t="s">
        <v>260</v>
      </c>
      <c r="F264" s="301"/>
      <c r="G264" s="95">
        <f>+ROUND(Návrh!G261,-3)/$X$2</f>
        <v>-3231</v>
      </c>
      <c r="H264" s="95">
        <f>+ROUND(Návrh!H261,-3)/$X$2</f>
        <v>-3212</v>
      </c>
      <c r="I264" s="95">
        <f>+ROUND(Návrh!I261,-3)/$X$2</f>
        <v>-3260</v>
      </c>
      <c r="J264" s="95" t="e">
        <f>+ROUND(Návrh!#REF!,-3)/$X$2</f>
        <v>#REF!</v>
      </c>
      <c r="K264" s="95">
        <f>+ROUND(Návrh!J261,-3)/$X$2</f>
        <v>0</v>
      </c>
      <c r="L264" s="95">
        <f>+ROUND(Návrh!K261,-3)/$X$2</f>
        <v>-3400</v>
      </c>
      <c r="M264" s="70"/>
    </row>
    <row r="265" spans="1:13" x14ac:dyDescent="0.25">
      <c r="A265" s="42" t="s">
        <v>1163</v>
      </c>
      <c r="B265" s="28" t="s">
        <v>916</v>
      </c>
      <c r="C265" s="28" t="s">
        <v>923</v>
      </c>
      <c r="D265" s="28" t="s">
        <v>917</v>
      </c>
      <c r="E265" s="290" t="s">
        <v>261</v>
      </c>
      <c r="F265" s="291"/>
      <c r="G265" s="91">
        <f>+ROUND(Návrh!G262,-3)/$X$2</f>
        <v>-1481</v>
      </c>
      <c r="H265" s="91">
        <f>+ROUND(Návrh!H262,-3)/$X$2</f>
        <v>-1396</v>
      </c>
      <c r="I265" s="91">
        <f>+ROUND(Návrh!I262,-3)/$X$2</f>
        <v>-1400</v>
      </c>
      <c r="J265" s="91" t="e">
        <f>+ROUND(Návrh!#REF!,-3)/$X$2</f>
        <v>#REF!</v>
      </c>
      <c r="K265" s="91">
        <f>+ROUND(Návrh!J262,-3)/$X$2</f>
        <v>0</v>
      </c>
      <c r="L265" s="91">
        <f>+ROUND(Návrh!K262,-3)/$X$2</f>
        <v>-1400</v>
      </c>
      <c r="M265" s="70"/>
    </row>
    <row r="266" spans="1:13" x14ac:dyDescent="0.25">
      <c r="A266" s="42" t="s">
        <v>1164</v>
      </c>
      <c r="B266" s="20" t="s">
        <v>1654</v>
      </c>
      <c r="C266" s="20" t="s">
        <v>919</v>
      </c>
      <c r="D266" s="20" t="s">
        <v>1655</v>
      </c>
      <c r="E266" s="290" t="s">
        <v>262</v>
      </c>
      <c r="F266" s="291"/>
      <c r="G266" s="91">
        <f>+ROUND(Návrh!G263,-3)/$X$2</f>
        <v>-1654</v>
      </c>
      <c r="H266" s="91">
        <f>+ROUND(Návrh!H263,-3)/$X$2</f>
        <v>-1790</v>
      </c>
      <c r="I266" s="91">
        <f>+ROUND(Návrh!I263,-3)/$X$2</f>
        <v>-1800</v>
      </c>
      <c r="J266" s="91" t="e">
        <f>+ROUND(Návrh!#REF!,-3)/$X$2</f>
        <v>#REF!</v>
      </c>
      <c r="K266" s="91">
        <f>+ROUND(Návrh!J263,-3)/$X$2</f>
        <v>0</v>
      </c>
      <c r="L266" s="91">
        <f>+ROUND(Návrh!K263,-3)/$X$2</f>
        <v>-2000</v>
      </c>
      <c r="M266" s="70"/>
    </row>
    <row r="267" spans="1:13" x14ac:dyDescent="0.25">
      <c r="A267" s="42" t="s">
        <v>1165</v>
      </c>
      <c r="B267" s="27" t="s">
        <v>916</v>
      </c>
      <c r="C267" s="28" t="s">
        <v>919</v>
      </c>
      <c r="D267" s="28" t="s">
        <v>917</v>
      </c>
      <c r="E267" s="290" t="s">
        <v>262</v>
      </c>
      <c r="F267" s="291"/>
      <c r="G267" s="91">
        <f>+ROUND(Návrh!G264,-3)/$X$2</f>
        <v>-96</v>
      </c>
      <c r="H267" s="91">
        <f>+ROUND(Návrh!H264,-3)/$X$2</f>
        <v>-26</v>
      </c>
      <c r="I267" s="91">
        <f>+ROUND(Návrh!I264,-3)/$X$2</f>
        <v>-60</v>
      </c>
      <c r="J267" s="91" t="e">
        <f>+ROUND(Návrh!#REF!,-3)/$X$2</f>
        <v>#REF!</v>
      </c>
      <c r="K267" s="91">
        <f>+ROUND(Návrh!J264,-3)/$X$2</f>
        <v>0</v>
      </c>
      <c r="L267" s="91">
        <f>+ROUND(Návrh!K264,-3)/$X$2</f>
        <v>0</v>
      </c>
      <c r="M267" s="70"/>
    </row>
    <row r="268" spans="1:13" x14ac:dyDescent="0.25">
      <c r="A268" s="26" t="s">
        <v>1166</v>
      </c>
      <c r="B268" s="26"/>
      <c r="C268" s="23"/>
      <c r="D268" s="23"/>
      <c r="E268" s="300" t="s">
        <v>263</v>
      </c>
      <c r="F268" s="301"/>
      <c r="G268" s="95">
        <f>+ROUND(Návrh!G265,-3)/$X$2</f>
        <v>-3712</v>
      </c>
      <c r="H268" s="95">
        <f>+ROUND(Návrh!H265,-3)/$X$2</f>
        <v>-3737</v>
      </c>
      <c r="I268" s="95">
        <f>+ROUND(Návrh!I265,-3)/$X$2</f>
        <v>-3931</v>
      </c>
      <c r="J268" s="95" t="e">
        <f>+ROUND(Návrh!#REF!,-3)/$X$2</f>
        <v>#REF!</v>
      </c>
      <c r="K268" s="95">
        <f>+ROUND(Návrh!J265,-3)/$X$2</f>
        <v>0</v>
      </c>
      <c r="L268" s="95">
        <f>+ROUND(Návrh!K265,-3)/$X$2</f>
        <v>-5480</v>
      </c>
      <c r="M268" s="70"/>
    </row>
    <row r="269" spans="1:13" x14ac:dyDescent="0.25">
      <c r="A269" s="42" t="s">
        <v>1167</v>
      </c>
      <c r="B269" s="20" t="s">
        <v>1654</v>
      </c>
      <c r="C269" s="20" t="s">
        <v>919</v>
      </c>
      <c r="D269" s="20" t="s">
        <v>1656</v>
      </c>
      <c r="E269" s="290" t="s">
        <v>264</v>
      </c>
      <c r="F269" s="291"/>
      <c r="G269" s="91">
        <f>+ROUND(Návrh!G266,-3)/$X$2</f>
        <v>-36</v>
      </c>
      <c r="H269" s="91">
        <f>+ROUND(Návrh!H266,-3)/$X$2</f>
        <v>-36</v>
      </c>
      <c r="I269" s="91">
        <f>+ROUND(Návrh!I266,-3)/$X$2</f>
        <v>-36</v>
      </c>
      <c r="J269" s="91" t="e">
        <f>+ROUND(Návrh!#REF!,-3)/$X$2</f>
        <v>#REF!</v>
      </c>
      <c r="K269" s="91">
        <f>+ROUND(Návrh!J266,-3)/$X$2</f>
        <v>0</v>
      </c>
      <c r="L269" s="91">
        <f>+ROUND(Návrh!K266,-3)/$X$2</f>
        <v>-1385</v>
      </c>
      <c r="M269" s="70"/>
    </row>
    <row r="270" spans="1:13" x14ac:dyDescent="0.25">
      <c r="A270" s="42" t="s">
        <v>1168</v>
      </c>
      <c r="B270" s="27" t="s">
        <v>916</v>
      </c>
      <c r="C270" s="28" t="s">
        <v>920</v>
      </c>
      <c r="D270" s="28" t="s">
        <v>917</v>
      </c>
      <c r="E270" s="290" t="s">
        <v>265</v>
      </c>
      <c r="F270" s="291"/>
      <c r="G270" s="91">
        <f>+ROUND(Návrh!G267,-3)/$X$2</f>
        <v>-726</v>
      </c>
      <c r="H270" s="91">
        <f>+ROUND(Návrh!H267,-3)/$X$2</f>
        <v>-725</v>
      </c>
      <c r="I270" s="91">
        <f>+ROUND(Návrh!I267,-3)/$X$2</f>
        <v>-725</v>
      </c>
      <c r="J270" s="91" t="e">
        <f>+ROUND(Návrh!#REF!,-3)/$X$2</f>
        <v>#REF!</v>
      </c>
      <c r="K270" s="91">
        <f>+ROUND(Návrh!J267,-3)/$X$2</f>
        <v>0</v>
      </c>
      <c r="L270" s="91">
        <f>+ROUND(Návrh!K267,-3)/$X$2</f>
        <v>-725</v>
      </c>
      <c r="M270" s="70"/>
    </row>
    <row r="271" spans="1:13" x14ac:dyDescent="0.25">
      <c r="A271" s="42" t="s">
        <v>1169</v>
      </c>
      <c r="B271" s="28" t="s">
        <v>916</v>
      </c>
      <c r="C271" s="28" t="s">
        <v>923</v>
      </c>
      <c r="D271" s="28" t="s">
        <v>1246</v>
      </c>
      <c r="E271" s="290" t="s">
        <v>266</v>
      </c>
      <c r="F271" s="291"/>
      <c r="G271" s="91">
        <f>+ROUND(Návrh!G268,-3)/$X$2</f>
        <v>-1198</v>
      </c>
      <c r="H271" s="91">
        <f>+ROUND(Návrh!H268,-3)/$X$2</f>
        <v>-1265</v>
      </c>
      <c r="I271" s="91">
        <f>+ROUND(Návrh!I268,-3)/$X$2</f>
        <v>-1370</v>
      </c>
      <c r="J271" s="91" t="e">
        <f>+ROUND(Návrh!#REF!,-3)/$X$2</f>
        <v>#REF!</v>
      </c>
      <c r="K271" s="91">
        <f>+ROUND(Návrh!J268,-3)/$X$2</f>
        <v>0</v>
      </c>
      <c r="L271" s="91">
        <f>+ROUND(Návrh!K268,-3)/$X$2</f>
        <v>-1400</v>
      </c>
      <c r="M271" s="70"/>
    </row>
    <row r="272" spans="1:13" x14ac:dyDescent="0.25">
      <c r="A272" s="42" t="s">
        <v>1170</v>
      </c>
      <c r="B272" s="28" t="s">
        <v>916</v>
      </c>
      <c r="C272" s="28" t="s">
        <v>923</v>
      </c>
      <c r="D272" s="28" t="s">
        <v>1037</v>
      </c>
      <c r="E272" s="290" t="s">
        <v>267</v>
      </c>
      <c r="F272" s="291"/>
      <c r="G272" s="91">
        <f>+ROUND(Návrh!G269,-3)/$X$2</f>
        <v>-1674</v>
      </c>
      <c r="H272" s="91">
        <f>+ROUND(Návrh!H269,-3)/$X$2</f>
        <v>-1711</v>
      </c>
      <c r="I272" s="91">
        <f>+ROUND(Návrh!I269,-3)/$X$2</f>
        <v>-1800</v>
      </c>
      <c r="J272" s="91" t="e">
        <f>+ROUND(Návrh!#REF!,-3)/$X$2</f>
        <v>#REF!</v>
      </c>
      <c r="K272" s="91">
        <f>+ROUND(Návrh!J269,-3)/$X$2</f>
        <v>0</v>
      </c>
      <c r="L272" s="91">
        <f>+ROUND(Návrh!K269,-3)/$X$2</f>
        <v>-1920</v>
      </c>
      <c r="M272" s="70"/>
    </row>
    <row r="273" spans="1:13" x14ac:dyDescent="0.25">
      <c r="A273" s="42" t="s">
        <v>1171</v>
      </c>
      <c r="B273" s="27" t="s">
        <v>916</v>
      </c>
      <c r="C273" s="28" t="s">
        <v>920</v>
      </c>
      <c r="D273" s="28" t="s">
        <v>917</v>
      </c>
      <c r="E273" s="290" t="s">
        <v>268</v>
      </c>
      <c r="F273" s="291"/>
      <c r="G273" s="91">
        <f>+ROUND(Návrh!G270,-3)/$X$2</f>
        <v>-78</v>
      </c>
      <c r="H273" s="91">
        <f>+ROUND(Návrh!H270,-3)/$X$2</f>
        <v>0</v>
      </c>
      <c r="I273" s="91">
        <f>+ROUND(Návrh!I270,-3)/$X$2</f>
        <v>0</v>
      </c>
      <c r="J273" s="91" t="e">
        <f>+ROUND(Návrh!#REF!,-3)/$X$2</f>
        <v>#REF!</v>
      </c>
      <c r="K273" s="91">
        <f>+ROUND(Návrh!J270,-3)/$X$2</f>
        <v>0</v>
      </c>
      <c r="L273" s="91">
        <f>+ROUND(Návrh!K270,-3)/$X$2</f>
        <v>-50</v>
      </c>
      <c r="M273" s="70"/>
    </row>
    <row r="274" spans="1:13" x14ac:dyDescent="0.25">
      <c r="A274" s="26" t="s">
        <v>1172</v>
      </c>
      <c r="B274" s="26"/>
      <c r="C274" s="23"/>
      <c r="D274" s="23"/>
      <c r="E274" s="300" t="s">
        <v>269</v>
      </c>
      <c r="F274" s="301"/>
      <c r="G274" s="95">
        <f>+ROUND(Návrh!G271,-3)/$X$2</f>
        <v>-932</v>
      </c>
      <c r="H274" s="95">
        <f>+ROUND(Návrh!H271,-3)/$X$2</f>
        <v>-731</v>
      </c>
      <c r="I274" s="95">
        <f>+ROUND(Návrh!I271,-3)/$X$2</f>
        <v>-500</v>
      </c>
      <c r="J274" s="95" t="e">
        <f>+ROUND(Návrh!#REF!,-3)/$X$2</f>
        <v>#REF!</v>
      </c>
      <c r="K274" s="95">
        <f>+ROUND(Návrh!J271,-3)/$X$2</f>
        <v>0</v>
      </c>
      <c r="L274" s="95">
        <f>+ROUND(Návrh!K271,-3)/$X$2</f>
        <v>-500</v>
      </c>
      <c r="M274" s="70"/>
    </row>
    <row r="275" spans="1:13" x14ac:dyDescent="0.25">
      <c r="A275" s="42" t="s">
        <v>1173</v>
      </c>
      <c r="B275" s="20" t="s">
        <v>916</v>
      </c>
      <c r="C275" s="20" t="s">
        <v>923</v>
      </c>
      <c r="D275" s="20" t="s">
        <v>1247</v>
      </c>
      <c r="E275" s="290" t="s">
        <v>270</v>
      </c>
      <c r="F275" s="291"/>
      <c r="G275" s="91">
        <f>+ROUND(Návrh!G272,-3)/$X$2</f>
        <v>-932</v>
      </c>
      <c r="H275" s="91">
        <f>+ROUND(Návrh!H272,-3)/$X$2</f>
        <v>-731</v>
      </c>
      <c r="I275" s="91">
        <f>+ROUND(Návrh!I272,-3)/$X$2</f>
        <v>-500</v>
      </c>
      <c r="J275" s="91" t="e">
        <f>+ROUND(Návrh!#REF!,-3)/$X$2</f>
        <v>#REF!</v>
      </c>
      <c r="K275" s="91">
        <f>+ROUND(Návrh!J272,-3)/$X$2</f>
        <v>0</v>
      </c>
      <c r="L275" s="91">
        <f>+ROUND(Návrh!K272,-3)/$X$2</f>
        <v>-500</v>
      </c>
      <c r="M275" s="70"/>
    </row>
    <row r="276" spans="1:13" x14ac:dyDescent="0.25">
      <c r="A276" s="26" t="s">
        <v>1174</v>
      </c>
      <c r="B276" s="26"/>
      <c r="C276" s="23"/>
      <c r="D276" s="23"/>
      <c r="E276" s="300" t="s">
        <v>271</v>
      </c>
      <c r="F276" s="301"/>
      <c r="G276" s="95">
        <f>+ROUND(Návrh!G273,-3)/$X$2</f>
        <v>-52028</v>
      </c>
      <c r="H276" s="95">
        <f>+ROUND(Návrh!H273,-3)/$X$2</f>
        <v>-56184</v>
      </c>
      <c r="I276" s="95">
        <f>+ROUND(Návrh!I273,-3)/$X$2</f>
        <v>-60625</v>
      </c>
      <c r="J276" s="95" t="e">
        <f>+ROUND(Návrh!#REF!,-3)/$X$2</f>
        <v>#REF!</v>
      </c>
      <c r="K276" s="95">
        <f>+ROUND(Návrh!J273,-3)/$X$2</f>
        <v>0</v>
      </c>
      <c r="L276" s="95">
        <f>+ROUND(Návrh!K273,-3)/$X$2</f>
        <v>-106435</v>
      </c>
      <c r="M276" s="70"/>
    </row>
    <row r="277" spans="1:13" x14ac:dyDescent="0.25">
      <c r="A277" s="42" t="s">
        <v>1175</v>
      </c>
      <c r="B277" s="28" t="s">
        <v>916</v>
      </c>
      <c r="C277" s="28" t="s">
        <v>923</v>
      </c>
      <c r="D277" s="28" t="s">
        <v>1248</v>
      </c>
      <c r="E277" s="290" t="s">
        <v>272</v>
      </c>
      <c r="F277" s="291"/>
      <c r="G277" s="91">
        <f>+ROUND(Návrh!G274,-3)/$X$2</f>
        <v>-40932</v>
      </c>
      <c r="H277" s="91">
        <f>+ROUND(Návrh!H274,-3)/$X$2</f>
        <v>-44541</v>
      </c>
      <c r="I277" s="91">
        <f>+ROUND(Návrh!I274,-3)/$X$2</f>
        <v>-49000</v>
      </c>
      <c r="J277" s="91" t="e">
        <f>+ROUND(Návrh!#REF!,-3)/$X$2</f>
        <v>#REF!</v>
      </c>
      <c r="K277" s="91">
        <f>+ROUND(Návrh!J274,-3)/$X$2</f>
        <v>0</v>
      </c>
      <c r="L277" s="91">
        <f>+ROUND(Návrh!K274,-3)/$X$2</f>
        <v>-55700</v>
      </c>
      <c r="M277" s="70"/>
    </row>
    <row r="278" spans="1:13" x14ac:dyDescent="0.25">
      <c r="A278" s="42" t="s">
        <v>1176</v>
      </c>
      <c r="B278" s="28" t="s">
        <v>916</v>
      </c>
      <c r="C278" s="28" t="s">
        <v>923</v>
      </c>
      <c r="D278" s="28" t="s">
        <v>1248</v>
      </c>
      <c r="E278" s="290" t="s">
        <v>273</v>
      </c>
      <c r="F278" s="291"/>
      <c r="G278" s="91">
        <f>+ROUND(Návrh!G275,-3)/$X$2</f>
        <v>-1306</v>
      </c>
      <c r="H278" s="91">
        <f>+ROUND(Návrh!H275,-3)/$X$2</f>
        <v>-2720</v>
      </c>
      <c r="I278" s="91">
        <f>+ROUND(Návrh!I275,-3)/$X$2</f>
        <v>-1500</v>
      </c>
      <c r="J278" s="91" t="e">
        <f>+ROUND(Návrh!#REF!,-3)/$X$2</f>
        <v>#REF!</v>
      </c>
      <c r="K278" s="91">
        <f>+ROUND(Návrh!J275,-3)/$X$2</f>
        <v>0</v>
      </c>
      <c r="L278" s="91">
        <f>+ROUND(Návrh!K275,-3)/$X$2</f>
        <v>-2200</v>
      </c>
      <c r="M278" s="70"/>
    </row>
    <row r="279" spans="1:13" x14ac:dyDescent="0.25">
      <c r="A279" s="42" t="s">
        <v>1177</v>
      </c>
      <c r="B279" s="20" t="s">
        <v>916</v>
      </c>
      <c r="C279" s="20" t="s">
        <v>919</v>
      </c>
      <c r="D279" s="20" t="s">
        <v>1649</v>
      </c>
      <c r="E279" s="290" t="s">
        <v>274</v>
      </c>
      <c r="F279" s="291"/>
      <c r="G279" s="91">
        <f>+ROUND(Návrh!G276,-3)/$X$2</f>
        <v>-358</v>
      </c>
      <c r="H279" s="91">
        <f>+ROUND(Návrh!H276,-3)/$X$2</f>
        <v>-398</v>
      </c>
      <c r="I279" s="91">
        <f>+ROUND(Návrh!I276,-3)/$X$2</f>
        <v>-400</v>
      </c>
      <c r="J279" s="91" t="e">
        <f>+ROUND(Návrh!#REF!,-3)/$X$2</f>
        <v>#REF!</v>
      </c>
      <c r="K279" s="91">
        <f>+ROUND(Návrh!J276,-3)/$X$2</f>
        <v>0</v>
      </c>
      <c r="L279" s="91">
        <f>+ROUND(Návrh!K276,-3)/$X$2</f>
        <v>-460</v>
      </c>
      <c r="M279" s="70"/>
    </row>
    <row r="280" spans="1:13" x14ac:dyDescent="0.25">
      <c r="A280" s="42" t="s">
        <v>1178</v>
      </c>
      <c r="B280" s="20" t="s">
        <v>916</v>
      </c>
      <c r="C280" s="20" t="s">
        <v>919</v>
      </c>
      <c r="D280" s="20" t="s">
        <v>1649</v>
      </c>
      <c r="E280" s="290" t="s">
        <v>275</v>
      </c>
      <c r="F280" s="291"/>
      <c r="G280" s="91">
        <f>+ROUND(Návrh!G277,-3)/$X$2</f>
        <v>-8676</v>
      </c>
      <c r="H280" s="91">
        <f>+ROUND(Návrh!H277,-3)/$X$2</f>
        <v>-8191</v>
      </c>
      <c r="I280" s="91">
        <f>+ROUND(Návrh!I277,-3)/$X$2</f>
        <v>-8500</v>
      </c>
      <c r="J280" s="91" t="e">
        <f>+ROUND(Návrh!#REF!,-3)/$X$2</f>
        <v>#REF!</v>
      </c>
      <c r="K280" s="91">
        <f>+ROUND(Návrh!J277,-3)/$X$2</f>
        <v>0</v>
      </c>
      <c r="L280" s="91">
        <f>+ROUND(Návrh!K277,-3)/$X$2</f>
        <v>-8500</v>
      </c>
      <c r="M280" s="70"/>
    </row>
    <row r="281" spans="1:13" x14ac:dyDescent="0.25">
      <c r="A281" s="42" t="s">
        <v>1179</v>
      </c>
      <c r="B281" s="20" t="s">
        <v>916</v>
      </c>
      <c r="C281" s="20" t="s">
        <v>919</v>
      </c>
      <c r="D281" s="20" t="s">
        <v>1649</v>
      </c>
      <c r="E281" s="290" t="s">
        <v>276</v>
      </c>
      <c r="F281" s="291"/>
      <c r="G281" s="91">
        <f>+ROUND(Návrh!G278,-3)/$X$2</f>
        <v>-68</v>
      </c>
      <c r="H281" s="91">
        <f>+ROUND(Návrh!H278,-3)/$X$2</f>
        <v>-80</v>
      </c>
      <c r="I281" s="91">
        <f>+ROUND(Návrh!I278,-3)/$X$2</f>
        <v>-75</v>
      </c>
      <c r="J281" s="91" t="e">
        <f>+ROUND(Návrh!#REF!,-3)/$X$2</f>
        <v>#REF!</v>
      </c>
      <c r="K281" s="91">
        <f>+ROUND(Návrh!J278,-3)/$X$2</f>
        <v>0</v>
      </c>
      <c r="L281" s="91">
        <f>+ROUND(Návrh!K278,-3)/$X$2</f>
        <v>-75</v>
      </c>
      <c r="M281" s="70"/>
    </row>
    <row r="282" spans="1:13" x14ac:dyDescent="0.25">
      <c r="A282" s="42" t="s">
        <v>1180</v>
      </c>
      <c r="B282" s="20" t="s">
        <v>916</v>
      </c>
      <c r="C282" s="20" t="s">
        <v>919</v>
      </c>
      <c r="D282" s="20" t="s">
        <v>1649</v>
      </c>
      <c r="E282" s="290" t="s">
        <v>277</v>
      </c>
      <c r="F282" s="291"/>
      <c r="G282" s="91">
        <f>+ROUND(Návrh!G279,-3)/$X$2</f>
        <v>-275</v>
      </c>
      <c r="H282" s="91">
        <f>+ROUND(Návrh!H279,-3)/$X$2</f>
        <v>-215</v>
      </c>
      <c r="I282" s="91">
        <f>+ROUND(Návrh!I279,-3)/$X$2</f>
        <v>-1100</v>
      </c>
      <c r="J282" s="91" t="e">
        <f>+ROUND(Návrh!#REF!,-3)/$X$2</f>
        <v>#REF!</v>
      </c>
      <c r="K282" s="91">
        <f>+ROUND(Návrh!J279,-3)/$X$2</f>
        <v>0</v>
      </c>
      <c r="L282" s="91">
        <f>+ROUND(Návrh!K279,-3)/$X$2</f>
        <v>-1000</v>
      </c>
      <c r="M282" s="70"/>
    </row>
    <row r="283" spans="1:13" x14ac:dyDescent="0.25">
      <c r="A283" s="42" t="s">
        <v>1181</v>
      </c>
      <c r="B283" s="15" t="s">
        <v>916</v>
      </c>
      <c r="C283" s="16" t="s">
        <v>919</v>
      </c>
      <c r="D283" s="16" t="s">
        <v>1036</v>
      </c>
      <c r="E283" s="290" t="s">
        <v>278</v>
      </c>
      <c r="F283" s="291"/>
      <c r="G283" s="91">
        <f>+ROUND(Návrh!G280,-3)/$X$2</f>
        <v>0</v>
      </c>
      <c r="H283" s="91">
        <f>+ROUND(Návrh!H280,-3)/$X$2</f>
        <v>0</v>
      </c>
      <c r="I283" s="91">
        <f>+ROUND(Návrh!I280,-3)/$X$2</f>
        <v>0</v>
      </c>
      <c r="J283" s="91" t="e">
        <f>+ROUND(Návrh!#REF!,-3)/$X$2</f>
        <v>#REF!</v>
      </c>
      <c r="K283" s="91">
        <f>+ROUND(Návrh!J280,-3)/$X$2</f>
        <v>0</v>
      </c>
      <c r="L283" s="91">
        <f>+ROUND(Návrh!K280,-3)/$X$2</f>
        <v>-38500</v>
      </c>
      <c r="M283" s="70"/>
    </row>
    <row r="284" spans="1:13" x14ac:dyDescent="0.25">
      <c r="A284" s="42" t="s">
        <v>1182</v>
      </c>
      <c r="B284" s="28" t="s">
        <v>916</v>
      </c>
      <c r="C284" s="28" t="s">
        <v>923</v>
      </c>
      <c r="D284" s="28" t="s">
        <v>1248</v>
      </c>
      <c r="E284" s="290" t="s">
        <v>1687</v>
      </c>
      <c r="F284" s="291"/>
      <c r="G284" s="91">
        <f>+ROUND(Návrh!G281,-3)/$X$2</f>
        <v>-414</v>
      </c>
      <c r="H284" s="91">
        <f>+ROUND(Návrh!H281,-3)/$X$2</f>
        <v>-38</v>
      </c>
      <c r="I284" s="91">
        <f>+ROUND(Návrh!I281,-3)/$X$2</f>
        <v>-50</v>
      </c>
      <c r="J284" s="91" t="e">
        <f>+ROUND(Návrh!#REF!,-3)/$X$2</f>
        <v>#REF!</v>
      </c>
      <c r="K284" s="91">
        <f>+ROUND(Návrh!J281,-3)/$X$2</f>
        <v>0</v>
      </c>
      <c r="L284" s="91">
        <f>+ROUND(Návrh!K281,-3)/$X$2</f>
        <v>0</v>
      </c>
      <c r="M284" s="70"/>
    </row>
    <row r="285" spans="1:13" x14ac:dyDescent="0.25">
      <c r="A285" s="26" t="s">
        <v>1183</v>
      </c>
      <c r="B285" s="26"/>
      <c r="C285" s="23"/>
      <c r="D285" s="23"/>
      <c r="E285" s="300" t="s">
        <v>279</v>
      </c>
      <c r="F285" s="301"/>
      <c r="G285" s="95">
        <f>+ROUND(Návrh!G282,-3)/$X$2</f>
        <v>-1945</v>
      </c>
      <c r="H285" s="95">
        <f>+ROUND(Návrh!H282,-3)/$X$2</f>
        <v>-2135</v>
      </c>
      <c r="I285" s="95">
        <f>+ROUND(Návrh!I282,-3)/$X$2</f>
        <v>-1880</v>
      </c>
      <c r="J285" s="95" t="e">
        <f>+ROUND(Návrh!#REF!,-3)/$X$2</f>
        <v>#REF!</v>
      </c>
      <c r="K285" s="95">
        <f>+ROUND(Návrh!J282,-3)/$X$2</f>
        <v>0</v>
      </c>
      <c r="L285" s="95">
        <f>+ROUND(Návrh!K282,-3)/$X$2</f>
        <v>-2050</v>
      </c>
      <c r="M285" s="70"/>
    </row>
    <row r="286" spans="1:13" x14ac:dyDescent="0.25">
      <c r="A286" s="42" t="s">
        <v>1184</v>
      </c>
      <c r="B286" s="27" t="s">
        <v>922</v>
      </c>
      <c r="C286" s="28" t="s">
        <v>920</v>
      </c>
      <c r="D286" s="34" t="s">
        <v>1249</v>
      </c>
      <c r="E286" s="290" t="s">
        <v>280</v>
      </c>
      <c r="F286" s="291"/>
      <c r="G286" s="91">
        <f>+ROUND(Návrh!G283,-3)/$X$2</f>
        <v>-53</v>
      </c>
      <c r="H286" s="91">
        <f>+ROUND(Návrh!H283,-3)/$X$2</f>
        <v>-48</v>
      </c>
      <c r="I286" s="91">
        <f>+ROUND(Návrh!I283,-3)/$X$2</f>
        <v>-80</v>
      </c>
      <c r="J286" s="91" t="e">
        <f>+ROUND(Návrh!#REF!,-3)/$X$2</f>
        <v>#REF!</v>
      </c>
      <c r="K286" s="91">
        <f>+ROUND(Návrh!J283,-3)/$X$2</f>
        <v>0</v>
      </c>
      <c r="L286" s="91">
        <f>+ROUND(Návrh!K283,-3)/$X$2</f>
        <v>-80</v>
      </c>
      <c r="M286" s="70"/>
    </row>
    <row r="287" spans="1:13" x14ac:dyDescent="0.25">
      <c r="A287" s="42" t="s">
        <v>1185</v>
      </c>
      <c r="B287" s="27" t="s">
        <v>922</v>
      </c>
      <c r="C287" s="28" t="s">
        <v>920</v>
      </c>
      <c r="D287" s="28" t="s">
        <v>1249</v>
      </c>
      <c r="E287" s="290" t="s">
        <v>281</v>
      </c>
      <c r="F287" s="291"/>
      <c r="G287" s="91">
        <f>+ROUND(Návrh!G284,-3)/$X$2</f>
        <v>-1596</v>
      </c>
      <c r="H287" s="91">
        <f>+ROUND(Návrh!H284,-3)/$X$2</f>
        <v>-1772</v>
      </c>
      <c r="I287" s="91">
        <f>+ROUND(Návrh!I284,-3)/$X$2</f>
        <v>-1500</v>
      </c>
      <c r="J287" s="91" t="e">
        <f>+ROUND(Návrh!#REF!,-3)/$X$2</f>
        <v>#REF!</v>
      </c>
      <c r="K287" s="91">
        <f>+ROUND(Návrh!J284,-3)/$X$2</f>
        <v>0</v>
      </c>
      <c r="L287" s="91">
        <f>+ROUND(Návrh!K284,-3)/$X$2</f>
        <v>-1650</v>
      </c>
      <c r="M287" s="70"/>
    </row>
    <row r="288" spans="1:13" x14ac:dyDescent="0.25">
      <c r="A288" s="42" t="s">
        <v>1186</v>
      </c>
      <c r="B288" s="27" t="s">
        <v>916</v>
      </c>
      <c r="C288" s="28" t="s">
        <v>919</v>
      </c>
      <c r="D288" s="28" t="s">
        <v>917</v>
      </c>
      <c r="E288" s="290" t="s">
        <v>282</v>
      </c>
      <c r="F288" s="291"/>
      <c r="G288" s="91">
        <f>+ROUND(Návrh!G285,-3)/$X$2</f>
        <v>-296</v>
      </c>
      <c r="H288" s="91">
        <f>+ROUND(Návrh!H285,-3)/$X$2</f>
        <v>-315</v>
      </c>
      <c r="I288" s="91">
        <f>+ROUND(Návrh!I285,-3)/$X$2</f>
        <v>-300</v>
      </c>
      <c r="J288" s="91" t="e">
        <f>+ROUND(Návrh!#REF!,-3)/$X$2</f>
        <v>#REF!</v>
      </c>
      <c r="K288" s="91">
        <f>+ROUND(Návrh!J285,-3)/$X$2</f>
        <v>0</v>
      </c>
      <c r="L288" s="91">
        <f>+ROUND(Návrh!K285,-3)/$X$2</f>
        <v>-320</v>
      </c>
      <c r="M288" s="70"/>
    </row>
    <row r="289" spans="1:13" x14ac:dyDescent="0.25">
      <c r="A289" s="26" t="s">
        <v>1187</v>
      </c>
      <c r="B289" s="26"/>
      <c r="C289" s="23"/>
      <c r="D289" s="23"/>
      <c r="E289" s="300" t="s">
        <v>283</v>
      </c>
      <c r="F289" s="301"/>
      <c r="G289" s="95">
        <f>+ROUND(Návrh!G286,-3)/$X$2</f>
        <v>-56736</v>
      </c>
      <c r="H289" s="95">
        <f>+ROUND(Návrh!H286,-3)/$X$2</f>
        <v>-60649</v>
      </c>
      <c r="I289" s="95">
        <f>+ROUND(Návrh!I286,-3)/$X$2</f>
        <v>-62580</v>
      </c>
      <c r="J289" s="95" t="e">
        <f>+ROUND(Návrh!#REF!,-3)/$X$2</f>
        <v>#REF!</v>
      </c>
      <c r="K289" s="95">
        <f>+ROUND(Návrh!J286,-3)/$X$2</f>
        <v>0</v>
      </c>
      <c r="L289" s="95">
        <f>+ROUND(Návrh!K286,-3)/$X$2</f>
        <v>-69438</v>
      </c>
      <c r="M289" s="70"/>
    </row>
    <row r="290" spans="1:13" x14ac:dyDescent="0.25">
      <c r="A290" s="42" t="s">
        <v>1188</v>
      </c>
      <c r="B290" s="20" t="s">
        <v>916</v>
      </c>
      <c r="C290" s="20" t="s">
        <v>919</v>
      </c>
      <c r="D290" s="20" t="s">
        <v>1089</v>
      </c>
      <c r="E290" s="290" t="s">
        <v>284</v>
      </c>
      <c r="F290" s="291"/>
      <c r="G290" s="91">
        <f>+ROUND(Návrh!G287,-3)/$X$2</f>
        <v>-852</v>
      </c>
      <c r="H290" s="91">
        <f>+ROUND(Návrh!H287,-3)/$X$2</f>
        <v>-1307</v>
      </c>
      <c r="I290" s="91">
        <f>+ROUND(Návrh!I287,-3)/$X$2</f>
        <v>-1000</v>
      </c>
      <c r="J290" s="91" t="e">
        <f>+ROUND(Návrh!#REF!,-3)/$X$2</f>
        <v>#REF!</v>
      </c>
      <c r="K290" s="91">
        <f>+ROUND(Návrh!J287,-3)/$X$2</f>
        <v>0</v>
      </c>
      <c r="L290" s="91">
        <f>+ROUND(Návrh!K287,-3)/$X$2</f>
        <v>-1200</v>
      </c>
      <c r="M290" s="70"/>
    </row>
    <row r="291" spans="1:13" x14ac:dyDescent="0.25">
      <c r="A291" s="42" t="s">
        <v>1189</v>
      </c>
      <c r="B291" s="20" t="s">
        <v>916</v>
      </c>
      <c r="C291" s="20" t="s">
        <v>920</v>
      </c>
      <c r="D291" s="20" t="s">
        <v>1250</v>
      </c>
      <c r="E291" s="290" t="s">
        <v>285</v>
      </c>
      <c r="F291" s="291"/>
      <c r="G291" s="91">
        <f>+ROUND(Návrh!G288,-3)/$X$2</f>
        <v>-20860</v>
      </c>
      <c r="H291" s="91">
        <f>+ROUND(Návrh!H288,-3)/$X$2</f>
        <v>-20424</v>
      </c>
      <c r="I291" s="91">
        <f>+ROUND(Návrh!I288,-3)/$X$2</f>
        <v>-20000</v>
      </c>
      <c r="J291" s="91" t="e">
        <f>+ROUND(Návrh!#REF!,-3)/$X$2</f>
        <v>#REF!</v>
      </c>
      <c r="K291" s="91">
        <f>+ROUND(Návrh!J288,-3)/$X$2</f>
        <v>0</v>
      </c>
      <c r="L291" s="91">
        <f>+ROUND(Návrh!K288,-3)/$X$2</f>
        <v>-20000</v>
      </c>
      <c r="M291" s="70"/>
    </row>
    <row r="292" spans="1:13" x14ac:dyDescent="0.25">
      <c r="A292" s="42" t="s">
        <v>1190</v>
      </c>
      <c r="B292" s="20" t="s">
        <v>1241</v>
      </c>
      <c r="C292" s="20" t="s">
        <v>920</v>
      </c>
      <c r="D292" s="20" t="s">
        <v>1242</v>
      </c>
      <c r="E292" s="290" t="s">
        <v>286</v>
      </c>
      <c r="F292" s="291"/>
      <c r="G292" s="91">
        <f>+ROUND(Návrh!G289,-3)/$X$2</f>
        <v>-612</v>
      </c>
      <c r="H292" s="91">
        <f>+ROUND(Návrh!H289,-3)/$X$2</f>
        <v>-636</v>
      </c>
      <c r="I292" s="91">
        <f>+ROUND(Návrh!I289,-3)/$X$2</f>
        <v>-1530</v>
      </c>
      <c r="J292" s="91" t="e">
        <f>+ROUND(Návrh!#REF!,-3)/$X$2</f>
        <v>#REF!</v>
      </c>
      <c r="K292" s="91">
        <f>+ROUND(Návrh!J289,-3)/$X$2</f>
        <v>0</v>
      </c>
      <c r="L292" s="91">
        <f>+ROUND(Návrh!K289,-3)/$X$2</f>
        <v>-1490</v>
      </c>
      <c r="M292" s="70"/>
    </row>
    <row r="293" spans="1:13" x14ac:dyDescent="0.25">
      <c r="A293" s="42" t="s">
        <v>1191</v>
      </c>
      <c r="B293" s="20" t="s">
        <v>916</v>
      </c>
      <c r="C293" s="20" t="s">
        <v>919</v>
      </c>
      <c r="D293" s="20" t="s">
        <v>1649</v>
      </c>
      <c r="E293" s="290" t="s">
        <v>287</v>
      </c>
      <c r="F293" s="291"/>
      <c r="G293" s="91">
        <f>+ROUND(Návrh!G290,-3)/$X$2</f>
        <v>-99</v>
      </c>
      <c r="H293" s="91">
        <f>+ROUND(Návrh!H290,-3)/$X$2</f>
        <v>-278</v>
      </c>
      <c r="I293" s="91">
        <f>+ROUND(Návrh!I290,-3)/$X$2</f>
        <v>-250</v>
      </c>
      <c r="J293" s="91" t="e">
        <f>+ROUND(Návrh!#REF!,-3)/$X$2</f>
        <v>#REF!</v>
      </c>
      <c r="K293" s="91">
        <f>+ROUND(Návrh!J290,-3)/$X$2</f>
        <v>0</v>
      </c>
      <c r="L293" s="91">
        <f>+ROUND(Návrh!K290,-3)/$X$2</f>
        <v>-350</v>
      </c>
      <c r="M293" s="70"/>
    </row>
    <row r="294" spans="1:13" x14ac:dyDescent="0.25">
      <c r="A294" s="42" t="s">
        <v>1192</v>
      </c>
      <c r="B294" s="20" t="s">
        <v>916</v>
      </c>
      <c r="C294" s="20" t="s">
        <v>919</v>
      </c>
      <c r="D294" s="20" t="s">
        <v>918</v>
      </c>
      <c r="E294" s="290" t="s">
        <v>288</v>
      </c>
      <c r="F294" s="291"/>
      <c r="G294" s="91">
        <f>+ROUND(Návrh!G291,-3)/$X$2</f>
        <v>-281</v>
      </c>
      <c r="H294" s="91">
        <f>+ROUND(Návrh!H291,-3)/$X$2</f>
        <v>-357</v>
      </c>
      <c r="I294" s="91">
        <f>+ROUND(Návrh!I291,-3)/$X$2</f>
        <v>-330</v>
      </c>
      <c r="J294" s="91" t="e">
        <f>+ROUND(Návrh!#REF!,-3)/$X$2</f>
        <v>#REF!</v>
      </c>
      <c r="K294" s="91">
        <f>+ROUND(Návrh!J291,-3)/$X$2</f>
        <v>0</v>
      </c>
      <c r="L294" s="91">
        <f>+ROUND(Návrh!K291,-3)/$X$2</f>
        <v>-400</v>
      </c>
      <c r="M294" s="70"/>
    </row>
    <row r="295" spans="1:13" x14ac:dyDescent="0.25">
      <c r="A295" s="42" t="s">
        <v>1193</v>
      </c>
      <c r="B295" s="20" t="s">
        <v>1654</v>
      </c>
      <c r="C295" s="20" t="s">
        <v>919</v>
      </c>
      <c r="D295" s="20" t="s">
        <v>1655</v>
      </c>
      <c r="E295" s="290" t="s">
        <v>289</v>
      </c>
      <c r="F295" s="291"/>
      <c r="G295" s="91">
        <f>+ROUND(Návrh!G292,-3)/$X$2</f>
        <v>-814</v>
      </c>
      <c r="H295" s="91">
        <f>+ROUND(Návrh!H292,-3)/$X$2</f>
        <v>-745</v>
      </c>
      <c r="I295" s="91">
        <f>+ROUND(Návrh!I292,-3)/$X$2</f>
        <v>-620</v>
      </c>
      <c r="J295" s="91" t="e">
        <f>+ROUND(Návrh!#REF!,-3)/$X$2</f>
        <v>#REF!</v>
      </c>
      <c r="K295" s="91">
        <f>+ROUND(Návrh!J292,-3)/$X$2</f>
        <v>0</v>
      </c>
      <c r="L295" s="91">
        <f>+ROUND(Návrh!K292,-3)/$X$2</f>
        <v>-848</v>
      </c>
      <c r="M295" s="70"/>
    </row>
    <row r="296" spans="1:13" x14ac:dyDescent="0.25">
      <c r="A296" s="42" t="s">
        <v>1194</v>
      </c>
      <c r="B296" s="20" t="s">
        <v>916</v>
      </c>
      <c r="C296" s="20" t="s">
        <v>920</v>
      </c>
      <c r="D296" s="20" t="s">
        <v>1250</v>
      </c>
      <c r="E296" s="290" t="s">
        <v>290</v>
      </c>
      <c r="F296" s="291"/>
      <c r="G296" s="91">
        <f>+ROUND(Návrh!G293,-3)/$X$2</f>
        <v>-3274</v>
      </c>
      <c r="H296" s="91">
        <f>+ROUND(Návrh!H293,-3)/$X$2</f>
        <v>-4100</v>
      </c>
      <c r="I296" s="91">
        <f>+ROUND(Návrh!I293,-3)/$X$2</f>
        <v>-3970</v>
      </c>
      <c r="J296" s="91" t="e">
        <f>+ROUND(Návrh!#REF!,-3)/$X$2</f>
        <v>#REF!</v>
      </c>
      <c r="K296" s="91">
        <f>+ROUND(Návrh!J293,-3)/$X$2</f>
        <v>0</v>
      </c>
      <c r="L296" s="91">
        <f>+ROUND(Návrh!K293,-3)/$X$2</f>
        <v>-4290</v>
      </c>
      <c r="M296" s="70"/>
    </row>
    <row r="297" spans="1:13" x14ac:dyDescent="0.25">
      <c r="A297" s="42" t="s">
        <v>1691</v>
      </c>
      <c r="B297" s="20" t="s">
        <v>916</v>
      </c>
      <c r="C297" s="20" t="s">
        <v>923</v>
      </c>
      <c r="D297" s="20" t="s">
        <v>1248</v>
      </c>
      <c r="E297" s="290" t="s">
        <v>1692</v>
      </c>
      <c r="F297" s="291"/>
      <c r="G297" s="91">
        <f>+ROUND(Návrh!G294,-3)/$X$2</f>
        <v>0</v>
      </c>
      <c r="H297" s="91">
        <f>+ROUND(Návrh!H294,-3)/$X$2</f>
        <v>0</v>
      </c>
      <c r="I297" s="91">
        <f>+ROUND(Návrh!I294,-3)/$X$2</f>
        <v>0</v>
      </c>
      <c r="J297" s="91" t="e">
        <f>+ROUND(Návrh!#REF!,-3)/$X$2</f>
        <v>#REF!</v>
      </c>
      <c r="K297" s="91">
        <f>+ROUND(Návrh!J294,-3)/$X$2</f>
        <v>0</v>
      </c>
      <c r="L297" s="91">
        <f>+ROUND(Návrh!K294,-3)/$X$2</f>
        <v>-1488</v>
      </c>
      <c r="M297" s="70"/>
    </row>
    <row r="298" spans="1:13" x14ac:dyDescent="0.25">
      <c r="A298" s="42" t="s">
        <v>1195</v>
      </c>
      <c r="B298" s="20" t="s">
        <v>916</v>
      </c>
      <c r="C298" s="20" t="s">
        <v>920</v>
      </c>
      <c r="D298" s="20" t="s">
        <v>1250</v>
      </c>
      <c r="E298" s="290" t="s">
        <v>291</v>
      </c>
      <c r="F298" s="291"/>
      <c r="G298" s="91">
        <f>+ROUND(Návrh!G295,-3)/$X$2</f>
        <v>-29732</v>
      </c>
      <c r="H298" s="91">
        <f>+ROUND(Návrh!H295,-3)/$X$2</f>
        <v>-32726</v>
      </c>
      <c r="I298" s="91">
        <f>+ROUND(Návrh!I295,-3)/$X$2</f>
        <v>-34380</v>
      </c>
      <c r="J298" s="91" t="e">
        <f>+ROUND(Návrh!#REF!,-3)/$X$2</f>
        <v>#REF!</v>
      </c>
      <c r="K298" s="91">
        <f>+ROUND(Návrh!J295,-3)/$X$2</f>
        <v>0</v>
      </c>
      <c r="L298" s="91">
        <f>+ROUND(Návrh!K295,-3)/$X$2</f>
        <v>-32572</v>
      </c>
      <c r="M298" s="70"/>
    </row>
    <row r="299" spans="1:13" x14ac:dyDescent="0.25">
      <c r="A299" s="42" t="s">
        <v>1196</v>
      </c>
      <c r="B299" s="20" t="s">
        <v>916</v>
      </c>
      <c r="C299" s="20" t="s">
        <v>920</v>
      </c>
      <c r="D299" s="20" t="s">
        <v>1250</v>
      </c>
      <c r="E299" s="290" t="s">
        <v>292</v>
      </c>
      <c r="F299" s="291"/>
      <c r="G299" s="91">
        <f>+ROUND(Návrh!G296,-3)/$X$2</f>
        <v>-213</v>
      </c>
      <c r="H299" s="91">
        <f>+ROUND(Návrh!H296,-3)/$X$2</f>
        <v>-77</v>
      </c>
      <c r="I299" s="91">
        <f>+ROUND(Návrh!I296,-3)/$X$2</f>
        <v>-500</v>
      </c>
      <c r="J299" s="91" t="e">
        <f>+ROUND(Návrh!#REF!,-3)/$X$2</f>
        <v>#REF!</v>
      </c>
      <c r="K299" s="91">
        <f>+ROUND(Návrh!J296,-3)/$X$2</f>
        <v>0</v>
      </c>
      <c r="L299" s="91">
        <f>+ROUND(Návrh!K296,-3)/$X$2</f>
        <v>-100</v>
      </c>
      <c r="M299" s="70"/>
    </row>
    <row r="300" spans="1:13" x14ac:dyDescent="0.25">
      <c r="A300" s="86" t="s">
        <v>1650</v>
      </c>
      <c r="B300" s="21" t="s">
        <v>916</v>
      </c>
      <c r="C300" s="21" t="s">
        <v>919</v>
      </c>
      <c r="D300" s="21" t="s">
        <v>1649</v>
      </c>
      <c r="E300" s="292" t="s">
        <v>1652</v>
      </c>
      <c r="F300" s="293"/>
      <c r="G300" s="98">
        <f>+ROUND(Návrh!G297,-3)/$X$2</f>
        <v>0</v>
      </c>
      <c r="H300" s="98">
        <f>+ROUND(Návrh!H297,-3)/$X$2</f>
        <v>0</v>
      </c>
      <c r="I300" s="98">
        <f>+ROUND(Návrh!I297,-3)/$X$2</f>
        <v>0</v>
      </c>
      <c r="J300" s="98" t="e">
        <f>+ROUND(Návrh!#REF!,-3)/$X$2</f>
        <v>#REF!</v>
      </c>
      <c r="K300" s="98">
        <f>+ROUND(Návrh!J297,-3)/$X$2</f>
        <v>0</v>
      </c>
      <c r="L300" s="98">
        <f>+ROUND(Návrh!K297,-3)/$X$2</f>
        <v>-4500</v>
      </c>
      <c r="M300" s="70"/>
    </row>
    <row r="301" spans="1:13" x14ac:dyDescent="0.25">
      <c r="A301" s="86" t="s">
        <v>1651</v>
      </c>
      <c r="B301" s="21" t="s">
        <v>916</v>
      </c>
      <c r="C301" s="21" t="s">
        <v>919</v>
      </c>
      <c r="D301" s="21" t="s">
        <v>1649</v>
      </c>
      <c r="E301" s="292" t="s">
        <v>1653</v>
      </c>
      <c r="F301" s="293"/>
      <c r="G301" s="98">
        <f>+ROUND(Návrh!G298,-3)/$X$2</f>
        <v>0</v>
      </c>
      <c r="H301" s="98">
        <f>+ROUND(Návrh!H298,-3)/$X$2</f>
        <v>0</v>
      </c>
      <c r="I301" s="98">
        <f>+ROUND(Návrh!I298,-3)/$X$2</f>
        <v>0</v>
      </c>
      <c r="J301" s="98" t="e">
        <f>+ROUND(Návrh!#REF!,-3)/$X$2</f>
        <v>#REF!</v>
      </c>
      <c r="K301" s="98">
        <f>+ROUND(Návrh!J298,-3)/$X$2</f>
        <v>0</v>
      </c>
      <c r="L301" s="98">
        <f>+ROUND(Návrh!K298,-3)/$X$2</f>
        <v>-2200</v>
      </c>
      <c r="M301" s="70"/>
    </row>
    <row r="302" spans="1:13" x14ac:dyDescent="0.25">
      <c r="A302" s="26" t="s">
        <v>1197</v>
      </c>
      <c r="B302" s="26"/>
      <c r="C302" s="23"/>
      <c r="D302" s="23"/>
      <c r="E302" s="300" t="s">
        <v>293</v>
      </c>
      <c r="F302" s="301"/>
      <c r="G302" s="95">
        <f>+ROUND(Návrh!G299,-3)/$X$2</f>
        <v>-619</v>
      </c>
      <c r="H302" s="95">
        <f>+ROUND(Návrh!H299,-3)/$X$2</f>
        <v>-685</v>
      </c>
      <c r="I302" s="95">
        <f>+ROUND(Návrh!I299,-3)/$X$2</f>
        <v>-650</v>
      </c>
      <c r="J302" s="95" t="e">
        <f>+ROUND(Návrh!#REF!,-3)/$X$2</f>
        <v>#REF!</v>
      </c>
      <c r="K302" s="95">
        <f>+ROUND(Návrh!J299,-3)/$X$2</f>
        <v>0</v>
      </c>
      <c r="L302" s="95">
        <f>+ROUND(Návrh!K299,-3)/$X$2</f>
        <v>-900</v>
      </c>
      <c r="M302" s="70"/>
    </row>
    <row r="303" spans="1:13" x14ac:dyDescent="0.25">
      <c r="A303" s="42" t="s">
        <v>1198</v>
      </c>
      <c r="B303" s="27" t="s">
        <v>916</v>
      </c>
      <c r="C303" s="28" t="s">
        <v>923</v>
      </c>
      <c r="D303" s="28" t="s">
        <v>1643</v>
      </c>
      <c r="E303" s="290" t="s">
        <v>294</v>
      </c>
      <c r="F303" s="291"/>
      <c r="G303" s="91">
        <f>+ROUND(Návrh!G300,-3)/$X$2</f>
        <v>-619</v>
      </c>
      <c r="H303" s="91">
        <f>+ROUND(Návrh!H300,-3)/$X$2</f>
        <v>-685</v>
      </c>
      <c r="I303" s="91">
        <f>+ROUND(Návrh!I300,-3)/$X$2</f>
        <v>-650</v>
      </c>
      <c r="J303" s="91" t="e">
        <f>+ROUND(Návrh!#REF!,-3)/$X$2</f>
        <v>#REF!</v>
      </c>
      <c r="K303" s="91">
        <f>+ROUND(Návrh!J300,-3)/$X$2</f>
        <v>0</v>
      </c>
      <c r="L303" s="91">
        <f>+ROUND(Návrh!K300,-3)/$X$2</f>
        <v>-900</v>
      </c>
      <c r="M303" s="70"/>
    </row>
    <row r="304" spans="1:13" x14ac:dyDescent="0.25">
      <c r="A304" s="26" t="s">
        <v>1199</v>
      </c>
      <c r="B304" s="26"/>
      <c r="C304" s="23"/>
      <c r="D304" s="23"/>
      <c r="E304" s="300" t="s">
        <v>295</v>
      </c>
      <c r="F304" s="301"/>
      <c r="G304" s="95">
        <f>+ROUND(Návrh!G301,-3)/$X$2</f>
        <v>0</v>
      </c>
      <c r="H304" s="95">
        <f>+ROUND(Návrh!H301,-3)/$X$2</f>
        <v>-10</v>
      </c>
      <c r="I304" s="95">
        <f>+ROUND(Návrh!I301,-3)/$X$2</f>
        <v>0</v>
      </c>
      <c r="J304" s="95" t="e">
        <f>+ROUND(Návrh!#REF!,-3)/$X$2</f>
        <v>#REF!</v>
      </c>
      <c r="K304" s="95">
        <f>+ROUND(Návrh!J301,-3)/$X$2</f>
        <v>0</v>
      </c>
      <c r="L304" s="95">
        <f>+ROUND(Návrh!K301,-3)/$X$2</f>
        <v>0</v>
      </c>
      <c r="M304" s="70"/>
    </row>
    <row r="305" spans="1:13" x14ac:dyDescent="0.25">
      <c r="A305" s="42" t="s">
        <v>1200</v>
      </c>
      <c r="B305" s="28" t="s">
        <v>916</v>
      </c>
      <c r="C305" s="28" t="s">
        <v>923</v>
      </c>
      <c r="D305" s="28" t="s">
        <v>917</v>
      </c>
      <c r="E305" s="290" t="s">
        <v>296</v>
      </c>
      <c r="F305" s="291"/>
      <c r="G305" s="91">
        <f>+ROUND(Návrh!G302,-3)/$X$2</f>
        <v>0</v>
      </c>
      <c r="H305" s="91">
        <f>+ROUND(Návrh!H302,-3)/$X$2</f>
        <v>-10</v>
      </c>
      <c r="I305" s="91">
        <f>+ROUND(Návrh!I302,-3)/$X$2</f>
        <v>0</v>
      </c>
      <c r="J305" s="91" t="e">
        <f>+ROUND(Návrh!#REF!,-3)/$X$2</f>
        <v>#REF!</v>
      </c>
      <c r="K305" s="91">
        <f>+ROUND(Návrh!J302,-3)/$X$2</f>
        <v>0</v>
      </c>
      <c r="L305" s="91">
        <f>+ROUND(Návrh!K302,-3)/$X$2</f>
        <v>0</v>
      </c>
      <c r="M305" s="70"/>
    </row>
    <row r="306" spans="1:13" x14ac:dyDescent="0.25">
      <c r="A306" s="26" t="s">
        <v>1201</v>
      </c>
      <c r="B306" s="26"/>
      <c r="C306" s="23"/>
      <c r="D306" s="23"/>
      <c r="E306" s="300" t="s">
        <v>297</v>
      </c>
      <c r="F306" s="301"/>
      <c r="G306" s="95">
        <f>+ROUND(Návrh!G303,-3)/$X$2</f>
        <v>-53117</v>
      </c>
      <c r="H306" s="95">
        <f>+ROUND(Návrh!H303,-3)/$X$2</f>
        <v>-49279</v>
      </c>
      <c r="I306" s="95">
        <f>+ROUND(Návrh!I303,-3)/$X$2</f>
        <v>-76981</v>
      </c>
      <c r="J306" s="95" t="e">
        <f>+ROUND(Návrh!#REF!,-3)/$X$2</f>
        <v>#REF!</v>
      </c>
      <c r="K306" s="95">
        <f>+ROUND(Návrh!J303,-3)/$X$2</f>
        <v>0</v>
      </c>
      <c r="L306" s="95">
        <f>+ROUND(Návrh!K303,-3)/$X$2</f>
        <v>-88322</v>
      </c>
      <c r="M306" s="70"/>
    </row>
    <row r="307" spans="1:13" x14ac:dyDescent="0.25">
      <c r="A307" s="42" t="s">
        <v>1202</v>
      </c>
      <c r="B307" s="28" t="s">
        <v>916</v>
      </c>
      <c r="C307" s="28" t="s">
        <v>923</v>
      </c>
      <c r="D307" s="28" t="s">
        <v>1660</v>
      </c>
      <c r="E307" s="290" t="s">
        <v>298</v>
      </c>
      <c r="F307" s="291"/>
      <c r="G307" s="91">
        <f>+ROUND(Návrh!G304,-3)/$X$2</f>
        <v>-1107</v>
      </c>
      <c r="H307" s="91">
        <f>+ROUND(Návrh!H304,-3)/$X$2</f>
        <v>-1164</v>
      </c>
      <c r="I307" s="91">
        <f>+ROUND(Návrh!I304,-3)/$X$2</f>
        <v>-18900</v>
      </c>
      <c r="J307" s="91" t="e">
        <f>+ROUND(Návrh!#REF!,-3)/$X$2</f>
        <v>#REF!</v>
      </c>
      <c r="K307" s="91">
        <f>+ROUND(Návrh!J304,-3)/$X$2</f>
        <v>0</v>
      </c>
      <c r="L307" s="91">
        <f>+ROUND(Návrh!K304,-3)/$X$2</f>
        <v>-9960</v>
      </c>
      <c r="M307" s="70"/>
    </row>
    <row r="308" spans="1:13" x14ac:dyDescent="0.25">
      <c r="A308" s="42" t="s">
        <v>1203</v>
      </c>
      <c r="B308" s="28" t="s">
        <v>916</v>
      </c>
      <c r="C308" s="28" t="s">
        <v>923</v>
      </c>
      <c r="D308" s="28" t="s">
        <v>1248</v>
      </c>
      <c r="E308" s="290" t="s">
        <v>299</v>
      </c>
      <c r="F308" s="291"/>
      <c r="G308" s="91">
        <f>+ROUND(Návrh!G305,-3)/$X$2</f>
        <v>-315</v>
      </c>
      <c r="H308" s="91">
        <f>+ROUND(Návrh!H305,-3)/$X$2</f>
        <v>-324</v>
      </c>
      <c r="I308" s="91">
        <f>+ROUND(Návrh!I305,-3)/$X$2</f>
        <v>-1830</v>
      </c>
      <c r="J308" s="91" t="e">
        <f>+ROUND(Návrh!#REF!,-3)/$X$2</f>
        <v>#REF!</v>
      </c>
      <c r="K308" s="91">
        <f>+ROUND(Návrh!J305,-3)/$X$2</f>
        <v>0</v>
      </c>
      <c r="L308" s="91">
        <f>+ROUND(Návrh!K305,-3)/$X$2</f>
        <v>-1830</v>
      </c>
      <c r="M308" s="70"/>
    </row>
    <row r="309" spans="1:13" x14ac:dyDescent="0.25">
      <c r="A309" s="42" t="s">
        <v>1204</v>
      </c>
      <c r="B309" s="27" t="s">
        <v>916</v>
      </c>
      <c r="C309" s="28" t="s">
        <v>923</v>
      </c>
      <c r="D309" s="28" t="s">
        <v>917</v>
      </c>
      <c r="E309" s="290" t="s">
        <v>300</v>
      </c>
      <c r="F309" s="291"/>
      <c r="G309" s="91">
        <f>+ROUND(Návrh!G306,-3)/$X$2</f>
        <v>-258</v>
      </c>
      <c r="H309" s="91">
        <f>+ROUND(Návrh!H306,-3)/$X$2</f>
        <v>-732</v>
      </c>
      <c r="I309" s="91">
        <f>+ROUND(Návrh!I306,-3)/$X$2</f>
        <v>-72</v>
      </c>
      <c r="J309" s="91" t="e">
        <f>+ROUND(Návrh!#REF!,-3)/$X$2</f>
        <v>#REF!</v>
      </c>
      <c r="K309" s="91">
        <f>+ROUND(Návrh!J306,-3)/$X$2</f>
        <v>0</v>
      </c>
      <c r="L309" s="91">
        <f>+ROUND(Návrh!K306,-3)/$X$2</f>
        <v>-2518</v>
      </c>
      <c r="M309" s="70"/>
    </row>
    <row r="310" spans="1:13" x14ac:dyDescent="0.25">
      <c r="A310" s="42" t="s">
        <v>1205</v>
      </c>
      <c r="B310" s="28" t="s">
        <v>922</v>
      </c>
      <c r="C310" s="28" t="s">
        <v>923</v>
      </c>
      <c r="D310" s="28" t="s">
        <v>1659</v>
      </c>
      <c r="E310" s="290" t="s">
        <v>301</v>
      </c>
      <c r="F310" s="291"/>
      <c r="G310" s="91">
        <f>+ROUND(Návrh!G307,-3)/$X$2</f>
        <v>-451</v>
      </c>
      <c r="H310" s="91">
        <f>+ROUND(Návrh!H307,-3)/$X$2</f>
        <v>-444</v>
      </c>
      <c r="I310" s="91">
        <f>+ROUND(Návrh!I307,-3)/$X$2</f>
        <v>-665</v>
      </c>
      <c r="J310" s="91" t="e">
        <f>+ROUND(Návrh!#REF!,-3)/$X$2</f>
        <v>#REF!</v>
      </c>
      <c r="K310" s="91">
        <f>+ROUND(Návrh!J307,-3)/$X$2</f>
        <v>0</v>
      </c>
      <c r="L310" s="91">
        <f>+ROUND(Návrh!K307,-3)/$X$2</f>
        <v>-500</v>
      </c>
      <c r="M310" s="70"/>
    </row>
    <row r="311" spans="1:13" x14ac:dyDescent="0.25">
      <c r="A311" s="42" t="s">
        <v>1206</v>
      </c>
      <c r="B311" s="27" t="s">
        <v>916</v>
      </c>
      <c r="C311" s="28" t="s">
        <v>920</v>
      </c>
      <c r="D311" s="28" t="s">
        <v>917</v>
      </c>
      <c r="E311" s="290" t="s">
        <v>302</v>
      </c>
      <c r="F311" s="291"/>
      <c r="G311" s="91">
        <f>+ROUND(Návrh!G308,-3)/$X$2</f>
        <v>-787</v>
      </c>
      <c r="H311" s="91">
        <f>+ROUND(Návrh!H308,-3)/$X$2</f>
        <v>-788</v>
      </c>
      <c r="I311" s="91">
        <f>+ROUND(Návrh!I308,-3)/$X$2</f>
        <v>-800</v>
      </c>
      <c r="J311" s="91" t="e">
        <f>+ROUND(Návrh!#REF!,-3)/$X$2</f>
        <v>#REF!</v>
      </c>
      <c r="K311" s="91">
        <f>+ROUND(Návrh!J308,-3)/$X$2</f>
        <v>0</v>
      </c>
      <c r="L311" s="91">
        <f>+ROUND(Návrh!K308,-3)/$X$2</f>
        <v>-800</v>
      </c>
      <c r="M311" s="70"/>
    </row>
    <row r="312" spans="1:13" x14ac:dyDescent="0.25">
      <c r="A312" s="42" t="s">
        <v>1207</v>
      </c>
      <c r="B312" s="27" t="s">
        <v>916</v>
      </c>
      <c r="C312" s="28" t="s">
        <v>920</v>
      </c>
      <c r="D312" s="28" t="s">
        <v>917</v>
      </c>
      <c r="E312" s="290" t="s">
        <v>303</v>
      </c>
      <c r="F312" s="291"/>
      <c r="G312" s="91">
        <f>+ROUND(Návrh!G309,-3)/$X$2</f>
        <v>-4568</v>
      </c>
      <c r="H312" s="91">
        <f>+ROUND(Návrh!H309,-3)/$X$2</f>
        <v>-4032</v>
      </c>
      <c r="I312" s="91">
        <f>+ROUND(Návrh!I309,-3)/$X$2</f>
        <v>-2465</v>
      </c>
      <c r="J312" s="91" t="e">
        <f>+ROUND(Návrh!#REF!,-3)/$X$2</f>
        <v>#REF!</v>
      </c>
      <c r="K312" s="91">
        <f>+ROUND(Návrh!J309,-3)/$X$2</f>
        <v>0</v>
      </c>
      <c r="L312" s="91">
        <f>+ROUND(Návrh!K309,-3)/$X$2</f>
        <v>-4790</v>
      </c>
      <c r="M312" s="70"/>
    </row>
    <row r="313" spans="1:13" x14ac:dyDescent="0.25">
      <c r="A313" s="42" t="s">
        <v>1208</v>
      </c>
      <c r="B313" s="28" t="s">
        <v>1241</v>
      </c>
      <c r="C313" s="28" t="s">
        <v>920</v>
      </c>
      <c r="D313" s="28" t="s">
        <v>1251</v>
      </c>
      <c r="E313" s="290" t="s">
        <v>304</v>
      </c>
      <c r="F313" s="291"/>
      <c r="G313" s="91">
        <f>+ROUND(Návrh!G310,-3)/$X$2</f>
        <v>-491</v>
      </c>
      <c r="H313" s="91">
        <f>+ROUND(Návrh!H310,-3)/$X$2</f>
        <v>-1564</v>
      </c>
      <c r="I313" s="91">
        <f>+ROUND(Návrh!I310,-3)/$X$2</f>
        <v>-1760</v>
      </c>
      <c r="J313" s="91" t="e">
        <f>+ROUND(Návrh!#REF!,-3)/$X$2</f>
        <v>#REF!</v>
      </c>
      <c r="K313" s="91">
        <f>+ROUND(Návrh!J310,-3)/$X$2</f>
        <v>0</v>
      </c>
      <c r="L313" s="91">
        <f>+ROUND(Návrh!K310,-3)/$X$2</f>
        <v>-1948</v>
      </c>
      <c r="M313" s="70"/>
    </row>
    <row r="314" spans="1:13" x14ac:dyDescent="0.25">
      <c r="A314" s="42" t="s">
        <v>1209</v>
      </c>
      <c r="B314" s="20" t="s">
        <v>1654</v>
      </c>
      <c r="C314" s="20" t="s">
        <v>919</v>
      </c>
      <c r="D314" s="20" t="s">
        <v>1656</v>
      </c>
      <c r="E314" s="290" t="s">
        <v>305</v>
      </c>
      <c r="F314" s="291"/>
      <c r="G314" s="91">
        <f>+ROUND(Návrh!G311,-3)/$X$2</f>
        <v>-819</v>
      </c>
      <c r="H314" s="91">
        <f>+ROUND(Návrh!H311,-3)/$X$2</f>
        <v>-196</v>
      </c>
      <c r="I314" s="91">
        <f>+ROUND(Návrh!I311,-3)/$X$2</f>
        <v>0</v>
      </c>
      <c r="J314" s="91" t="e">
        <f>+ROUND(Návrh!#REF!,-3)/$X$2</f>
        <v>#REF!</v>
      </c>
      <c r="K314" s="91">
        <f>+ROUND(Návrh!J311,-3)/$X$2</f>
        <v>0</v>
      </c>
      <c r="L314" s="91">
        <f>+ROUND(Návrh!K311,-3)/$X$2</f>
        <v>-500</v>
      </c>
      <c r="M314" s="70"/>
    </row>
    <row r="315" spans="1:13" x14ac:dyDescent="0.25">
      <c r="A315" s="42" t="s">
        <v>1210</v>
      </c>
      <c r="B315" s="20" t="s">
        <v>1654</v>
      </c>
      <c r="C315" s="20" t="s">
        <v>919</v>
      </c>
      <c r="D315" s="20" t="s">
        <v>1661</v>
      </c>
      <c r="E315" s="290" t="s">
        <v>306</v>
      </c>
      <c r="F315" s="291"/>
      <c r="G315" s="91">
        <f>+ROUND(Návrh!G312,-3)/$X$2</f>
        <v>-39504</v>
      </c>
      <c r="H315" s="91">
        <f>+ROUND(Návrh!H312,-3)/$X$2</f>
        <v>-33494</v>
      </c>
      <c r="I315" s="91">
        <f>+ROUND(Návrh!I312,-3)/$X$2</f>
        <v>-44566</v>
      </c>
      <c r="J315" s="91" t="e">
        <f>+ROUND(Návrh!#REF!,-3)/$X$2</f>
        <v>#REF!</v>
      </c>
      <c r="K315" s="91">
        <f>+ROUND(Návrh!J312,-3)/$X$2</f>
        <v>0</v>
      </c>
      <c r="L315" s="91">
        <f>+ROUND(Návrh!K312,-3)/$X$2</f>
        <v>-57904</v>
      </c>
      <c r="M315" s="70"/>
    </row>
    <row r="316" spans="1:13" x14ac:dyDescent="0.25">
      <c r="A316" s="42" t="s">
        <v>1211</v>
      </c>
      <c r="B316" s="28" t="s">
        <v>1241</v>
      </c>
      <c r="C316" s="28" t="s">
        <v>920</v>
      </c>
      <c r="D316" s="28" t="s">
        <v>1251</v>
      </c>
      <c r="E316" s="290" t="s">
        <v>307</v>
      </c>
      <c r="F316" s="291"/>
      <c r="G316" s="91">
        <f>+ROUND(Návrh!G313,-3)/$X$2</f>
        <v>-862</v>
      </c>
      <c r="H316" s="91">
        <f>+ROUND(Návrh!H313,-3)/$X$2</f>
        <v>-1036</v>
      </c>
      <c r="I316" s="91">
        <f>+ROUND(Návrh!I313,-3)/$X$2</f>
        <v>-1330</v>
      </c>
      <c r="J316" s="91" t="e">
        <f>+ROUND(Návrh!#REF!,-3)/$X$2</f>
        <v>#REF!</v>
      </c>
      <c r="K316" s="91">
        <f>+ROUND(Návrh!J313,-3)/$X$2</f>
        <v>0</v>
      </c>
      <c r="L316" s="91">
        <f>+ROUND(Návrh!K313,-3)/$X$2</f>
        <v>-1615</v>
      </c>
      <c r="M316" s="70"/>
    </row>
    <row r="317" spans="1:13" x14ac:dyDescent="0.25">
      <c r="A317" s="42" t="s">
        <v>1212</v>
      </c>
      <c r="B317" s="27" t="s">
        <v>916</v>
      </c>
      <c r="C317" s="28" t="s">
        <v>923</v>
      </c>
      <c r="D317" s="28" t="s">
        <v>917</v>
      </c>
      <c r="E317" s="290" t="s">
        <v>308</v>
      </c>
      <c r="F317" s="291"/>
      <c r="G317" s="91">
        <f>+ROUND(Návrh!G314,-3)/$X$2</f>
        <v>-231</v>
      </c>
      <c r="H317" s="91">
        <f>+ROUND(Návrh!H314,-3)/$X$2</f>
        <v>-380</v>
      </c>
      <c r="I317" s="91">
        <f>+ROUND(Návrh!I314,-3)/$X$2</f>
        <v>-393</v>
      </c>
      <c r="J317" s="91" t="e">
        <f>+ROUND(Návrh!#REF!,-3)/$X$2</f>
        <v>#REF!</v>
      </c>
      <c r="K317" s="91">
        <f>+ROUND(Návrh!J314,-3)/$X$2</f>
        <v>0</v>
      </c>
      <c r="L317" s="91">
        <f>+ROUND(Návrh!K314,-3)/$X$2</f>
        <v>-400</v>
      </c>
      <c r="M317" s="70"/>
    </row>
    <row r="318" spans="1:13" x14ac:dyDescent="0.25">
      <c r="A318" s="42" t="s">
        <v>1213</v>
      </c>
      <c r="B318" s="28" t="s">
        <v>922</v>
      </c>
      <c r="C318" s="28" t="s">
        <v>923</v>
      </c>
      <c r="D318" s="28" t="s">
        <v>1249</v>
      </c>
      <c r="E318" s="290" t="s">
        <v>309</v>
      </c>
      <c r="F318" s="291"/>
      <c r="G318" s="91">
        <f>+ROUND(Návrh!G315,-3)/$X$2</f>
        <v>-1876</v>
      </c>
      <c r="H318" s="91">
        <f>+ROUND(Návrh!H315,-3)/$X$2</f>
        <v>-2207</v>
      </c>
      <c r="I318" s="91">
        <f>+ROUND(Návrh!I315,-3)/$X$2</f>
        <v>-1500</v>
      </c>
      <c r="J318" s="91" t="e">
        <f>+ROUND(Návrh!#REF!,-3)/$X$2</f>
        <v>#REF!</v>
      </c>
      <c r="K318" s="91">
        <f>+ROUND(Návrh!J315,-3)/$X$2</f>
        <v>0</v>
      </c>
      <c r="L318" s="91">
        <f>+ROUND(Návrh!K315,-3)/$X$2</f>
        <v>-2031</v>
      </c>
      <c r="M318" s="70"/>
    </row>
    <row r="319" spans="1:13" x14ac:dyDescent="0.25">
      <c r="A319" s="42" t="s">
        <v>1214</v>
      </c>
      <c r="B319" s="20" t="s">
        <v>1243</v>
      </c>
      <c r="C319" s="20" t="s">
        <v>920</v>
      </c>
      <c r="D319" s="20" t="s">
        <v>1245</v>
      </c>
      <c r="E319" s="290" t="s">
        <v>310</v>
      </c>
      <c r="F319" s="291"/>
      <c r="G319" s="91">
        <f>+ROUND(Návrh!G316,-3)/$X$2</f>
        <v>-751</v>
      </c>
      <c r="H319" s="91">
        <f>+ROUND(Návrh!H316,-3)/$X$2</f>
        <v>-1099</v>
      </c>
      <c r="I319" s="91">
        <f>+ROUND(Návrh!I316,-3)/$X$2</f>
        <v>-1000</v>
      </c>
      <c r="J319" s="91" t="e">
        <f>+ROUND(Návrh!#REF!,-3)/$X$2</f>
        <v>#REF!</v>
      </c>
      <c r="K319" s="91">
        <f>+ROUND(Návrh!J316,-3)/$X$2</f>
        <v>0</v>
      </c>
      <c r="L319" s="91">
        <f>+ROUND(Návrh!K316,-3)/$X$2</f>
        <v>-1500</v>
      </c>
      <c r="M319" s="70"/>
    </row>
    <row r="320" spans="1:13" x14ac:dyDescent="0.25">
      <c r="A320" s="42" t="s">
        <v>1215</v>
      </c>
      <c r="B320" s="27" t="s">
        <v>922</v>
      </c>
      <c r="C320" s="28" t="s">
        <v>920</v>
      </c>
      <c r="D320" s="28" t="s">
        <v>1249</v>
      </c>
      <c r="E320" s="290" t="s">
        <v>311</v>
      </c>
      <c r="F320" s="291"/>
      <c r="G320" s="91">
        <f>+ROUND(Návrh!G317,-3)/$X$2</f>
        <v>-922</v>
      </c>
      <c r="H320" s="91">
        <f>+ROUND(Návrh!H317,-3)/$X$2</f>
        <v>-1624</v>
      </c>
      <c r="I320" s="91">
        <f>+ROUND(Návrh!I317,-3)/$X$2</f>
        <v>-1500</v>
      </c>
      <c r="J320" s="91" t="e">
        <f>+ROUND(Návrh!#REF!,-3)/$X$2</f>
        <v>#REF!</v>
      </c>
      <c r="K320" s="91">
        <f>+ROUND(Návrh!J317,-3)/$X$2</f>
        <v>0</v>
      </c>
      <c r="L320" s="91">
        <f>+ROUND(Návrh!K317,-3)/$X$2</f>
        <v>-1850</v>
      </c>
      <c r="M320" s="70"/>
    </row>
    <row r="321" spans="1:13" x14ac:dyDescent="0.25">
      <c r="A321" s="42" t="s">
        <v>1216</v>
      </c>
      <c r="B321" s="27" t="s">
        <v>916</v>
      </c>
      <c r="C321" s="28" t="s">
        <v>923</v>
      </c>
      <c r="D321" s="28" t="s">
        <v>917</v>
      </c>
      <c r="E321" s="290" t="s">
        <v>1686</v>
      </c>
      <c r="F321" s="291"/>
      <c r="G321" s="91">
        <f>+ROUND(Návrh!G318,-3)/$X$2</f>
        <v>-173</v>
      </c>
      <c r="H321" s="91">
        <f>+ROUND(Návrh!H318,-3)/$X$2</f>
        <v>-194</v>
      </c>
      <c r="I321" s="91">
        <f>+ROUND(Návrh!I318,-3)/$X$2</f>
        <v>-200</v>
      </c>
      <c r="J321" s="91" t="e">
        <f>+ROUND(Návrh!#REF!,-3)/$X$2</f>
        <v>#REF!</v>
      </c>
      <c r="K321" s="91">
        <f>+ROUND(Návrh!J318,-3)/$X$2</f>
        <v>0</v>
      </c>
      <c r="L321" s="91">
        <f>+ROUND(Návrh!K318,-3)/$X$2</f>
        <v>-175</v>
      </c>
      <c r="M321" s="70"/>
    </row>
    <row r="322" spans="1:13" x14ac:dyDescent="0.25">
      <c r="A322" s="42" t="s">
        <v>1217</v>
      </c>
      <c r="B322" s="14"/>
      <c r="C322" s="13"/>
      <c r="D322" s="13"/>
      <c r="E322" s="290" t="s">
        <v>312</v>
      </c>
      <c r="F322" s="291"/>
      <c r="G322" s="91">
        <f>+ROUND(Návrh!G319,-3)/$X$2</f>
        <v>0</v>
      </c>
      <c r="H322" s="91">
        <f>+ROUND(Návrh!H319,-3)/$X$2</f>
        <v>0</v>
      </c>
      <c r="I322" s="91">
        <f>+ROUND(Návrh!I319,-3)/$X$2</f>
        <v>0</v>
      </c>
      <c r="J322" s="91" t="e">
        <f>+ROUND(Návrh!#REF!,-3)/$X$2</f>
        <v>#REF!</v>
      </c>
      <c r="K322" s="91">
        <f>+ROUND(Návrh!J319,-3)/$X$2</f>
        <v>0</v>
      </c>
      <c r="L322" s="91">
        <f>+ROUND(Návrh!K319,-3)/$X$2</f>
        <v>0</v>
      </c>
      <c r="M322" s="70"/>
    </row>
    <row r="323" spans="1:13" x14ac:dyDescent="0.25">
      <c r="A323" s="26" t="s">
        <v>1218</v>
      </c>
      <c r="B323" s="26"/>
      <c r="C323" s="23"/>
      <c r="D323" s="23"/>
      <c r="E323" s="300" t="s">
        <v>313</v>
      </c>
      <c r="F323" s="301"/>
      <c r="G323" s="95">
        <f>+ROUND(Návrh!G320,-3)/$X$2</f>
        <v>-154</v>
      </c>
      <c r="H323" s="95">
        <f>+ROUND(Návrh!H320,-3)/$X$2</f>
        <v>-72</v>
      </c>
      <c r="I323" s="95">
        <f>+ROUND(Návrh!I320,-3)/$X$2</f>
        <v>-500</v>
      </c>
      <c r="J323" s="95" t="e">
        <f>+ROUND(Návrh!#REF!,-3)/$X$2</f>
        <v>#REF!</v>
      </c>
      <c r="K323" s="95">
        <f>+ROUND(Návrh!J320,-3)/$X$2</f>
        <v>0</v>
      </c>
      <c r="L323" s="95">
        <f>+ROUND(Návrh!K320,-3)/$X$2</f>
        <v>-500</v>
      </c>
      <c r="M323" s="70"/>
    </row>
    <row r="324" spans="1:13" x14ac:dyDescent="0.25">
      <c r="A324" s="42" t="s">
        <v>1219</v>
      </c>
      <c r="B324" s="27" t="s">
        <v>916</v>
      </c>
      <c r="C324" s="28" t="s">
        <v>920</v>
      </c>
      <c r="D324" s="28" t="s">
        <v>917</v>
      </c>
      <c r="E324" s="290" t="s">
        <v>314</v>
      </c>
      <c r="F324" s="291"/>
      <c r="G324" s="91">
        <f>+ROUND(Návrh!G321,-3)/$X$2</f>
        <v>-141</v>
      </c>
      <c r="H324" s="91">
        <f>+ROUND(Návrh!H321,-3)/$X$2</f>
        <v>-57</v>
      </c>
      <c r="I324" s="91">
        <f>+ROUND(Návrh!I321,-3)/$X$2</f>
        <v>-500</v>
      </c>
      <c r="J324" s="91" t="e">
        <f>+ROUND(Návrh!#REF!,-3)/$X$2</f>
        <v>#REF!</v>
      </c>
      <c r="K324" s="91">
        <f>+ROUND(Návrh!J321,-3)/$X$2</f>
        <v>0</v>
      </c>
      <c r="L324" s="91">
        <f>+ROUND(Návrh!K321,-3)/$X$2</f>
        <v>-500</v>
      </c>
      <c r="M324" s="70"/>
    </row>
    <row r="325" spans="1:13" x14ac:dyDescent="0.25">
      <c r="A325" s="42" t="s">
        <v>1220</v>
      </c>
      <c r="B325" s="27"/>
      <c r="C325" s="28"/>
      <c r="D325" s="28"/>
      <c r="E325" s="290" t="s">
        <v>315</v>
      </c>
      <c r="F325" s="291"/>
      <c r="G325" s="91">
        <f>+ROUND(Návrh!G322,-3)/$X$2</f>
        <v>-13</v>
      </c>
      <c r="H325" s="91">
        <f>+ROUND(Návrh!H322,-3)/$X$2</f>
        <v>-15</v>
      </c>
      <c r="I325" s="91">
        <f>+ROUND(Návrh!I322,-3)/$X$2</f>
        <v>0</v>
      </c>
      <c r="J325" s="91" t="e">
        <f>+ROUND(Návrh!#REF!,-3)/$X$2</f>
        <v>#REF!</v>
      </c>
      <c r="K325" s="91">
        <f>+ROUND(Návrh!J322,-3)/$X$2</f>
        <v>0</v>
      </c>
      <c r="L325" s="91">
        <f>+ROUND(Návrh!K322,-3)/$X$2</f>
        <v>0</v>
      </c>
      <c r="M325" s="70"/>
    </row>
    <row r="326" spans="1:13" x14ac:dyDescent="0.25">
      <c r="A326" s="26" t="s">
        <v>1221</v>
      </c>
      <c r="B326" s="31"/>
      <c r="C326" s="32"/>
      <c r="D326" s="32"/>
      <c r="E326" s="300" t="s">
        <v>316</v>
      </c>
      <c r="F326" s="301"/>
      <c r="G326" s="95">
        <f>+ROUND(Návrh!G323,-3)/$X$2</f>
        <v>-59</v>
      </c>
      <c r="H326" s="95">
        <f>+ROUND(Návrh!H323,-3)/$X$2</f>
        <v>-37</v>
      </c>
      <c r="I326" s="95">
        <f>+ROUND(Návrh!I323,-3)/$X$2</f>
        <v>0</v>
      </c>
      <c r="J326" s="95" t="e">
        <f>+ROUND(Návrh!#REF!,-3)/$X$2</f>
        <v>#REF!</v>
      </c>
      <c r="K326" s="95">
        <f>+ROUND(Návrh!J323,-3)/$X$2</f>
        <v>0</v>
      </c>
      <c r="L326" s="95">
        <f>+ROUND(Návrh!K323,-3)/$X$2</f>
        <v>0</v>
      </c>
      <c r="M326" s="70"/>
    </row>
    <row r="327" spans="1:13" x14ac:dyDescent="0.25">
      <c r="A327" s="42" t="s">
        <v>1222</v>
      </c>
      <c r="B327" s="14"/>
      <c r="C327" s="13"/>
      <c r="D327" s="13"/>
      <c r="E327" s="290" t="s">
        <v>317</v>
      </c>
      <c r="F327" s="291"/>
      <c r="G327" s="91">
        <f>+ROUND(Návrh!G324,-3)/$X$2</f>
        <v>-3</v>
      </c>
      <c r="H327" s="91">
        <f>+ROUND(Návrh!H324,-3)/$X$2</f>
        <v>-3</v>
      </c>
      <c r="I327" s="91">
        <f>+ROUND(Návrh!I324,-3)/$X$2</f>
        <v>0</v>
      </c>
      <c r="J327" s="91" t="e">
        <f>+ROUND(Návrh!#REF!,-3)/$X$2</f>
        <v>#REF!</v>
      </c>
      <c r="K327" s="91">
        <f>+ROUND(Návrh!J324,-3)/$X$2</f>
        <v>0</v>
      </c>
      <c r="L327" s="91">
        <f>+ROUND(Návrh!K324,-3)/$X$2</f>
        <v>0</v>
      </c>
      <c r="M327" s="70"/>
    </row>
    <row r="328" spans="1:13" x14ac:dyDescent="0.25">
      <c r="A328" s="42" t="s">
        <v>1223</v>
      </c>
      <c r="B328" s="14"/>
      <c r="C328" s="13"/>
      <c r="D328" s="13"/>
      <c r="E328" s="290" t="s">
        <v>318</v>
      </c>
      <c r="F328" s="291"/>
      <c r="G328" s="91">
        <f>+ROUND(Návrh!G325,-3)/$X$2</f>
        <v>-2</v>
      </c>
      <c r="H328" s="91">
        <f>+ROUND(Návrh!H325,-3)/$X$2</f>
        <v>-3</v>
      </c>
      <c r="I328" s="91">
        <f>+ROUND(Návrh!I325,-3)/$X$2</f>
        <v>0</v>
      </c>
      <c r="J328" s="91" t="e">
        <f>+ROUND(Návrh!#REF!,-3)/$X$2</f>
        <v>#REF!</v>
      </c>
      <c r="K328" s="91">
        <f>+ROUND(Návrh!J325,-3)/$X$2</f>
        <v>0</v>
      </c>
      <c r="L328" s="91">
        <f>+ROUND(Návrh!K325,-3)/$X$2</f>
        <v>0</v>
      </c>
      <c r="M328" s="70"/>
    </row>
    <row r="329" spans="1:13" x14ac:dyDescent="0.25">
      <c r="A329" s="42" t="s">
        <v>1224</v>
      </c>
      <c r="B329" s="14"/>
      <c r="C329" s="13"/>
      <c r="D329" s="13"/>
      <c r="E329" s="290" t="s">
        <v>319</v>
      </c>
      <c r="F329" s="291"/>
      <c r="G329" s="91">
        <f>+ROUND(Návrh!G326,-3)/$X$2</f>
        <v>-43</v>
      </c>
      <c r="H329" s="91">
        <f>+ROUND(Návrh!H326,-3)/$X$2</f>
        <v>-24</v>
      </c>
      <c r="I329" s="91">
        <f>+ROUND(Návrh!I326,-3)/$X$2</f>
        <v>0</v>
      </c>
      <c r="J329" s="91" t="e">
        <f>+ROUND(Návrh!#REF!,-3)/$X$2</f>
        <v>#REF!</v>
      </c>
      <c r="K329" s="91">
        <f>+ROUND(Návrh!J326,-3)/$X$2</f>
        <v>0</v>
      </c>
      <c r="L329" s="91">
        <f>+ROUND(Návrh!K326,-3)/$X$2</f>
        <v>0</v>
      </c>
      <c r="M329" s="70"/>
    </row>
    <row r="330" spans="1:13" x14ac:dyDescent="0.25">
      <c r="A330" s="42" t="s">
        <v>1225</v>
      </c>
      <c r="B330" s="14"/>
      <c r="C330" s="13"/>
      <c r="D330" s="13"/>
      <c r="E330" s="290" t="s">
        <v>320</v>
      </c>
      <c r="F330" s="291"/>
      <c r="G330" s="91">
        <f>+ROUND(Návrh!G327,-3)/$X$2</f>
        <v>-7</v>
      </c>
      <c r="H330" s="91">
        <f>+ROUND(Návrh!H327,-3)/$X$2</f>
        <v>-6</v>
      </c>
      <c r="I330" s="91">
        <f>+ROUND(Návrh!I327,-3)/$X$2</f>
        <v>0</v>
      </c>
      <c r="J330" s="91" t="e">
        <f>+ROUND(Návrh!#REF!,-3)/$X$2</f>
        <v>#REF!</v>
      </c>
      <c r="K330" s="91">
        <f>+ROUND(Návrh!J327,-3)/$X$2</f>
        <v>0</v>
      </c>
      <c r="L330" s="91">
        <f>+ROUND(Návrh!K327,-3)/$X$2</f>
        <v>0</v>
      </c>
      <c r="M330" s="70"/>
    </row>
    <row r="331" spans="1:13" x14ac:dyDescent="0.25">
      <c r="A331" s="42" t="s">
        <v>1226</v>
      </c>
      <c r="B331" s="14"/>
      <c r="C331" s="13"/>
      <c r="D331" s="13"/>
      <c r="E331" s="290" t="s">
        <v>321</v>
      </c>
      <c r="F331" s="291"/>
      <c r="G331" s="91">
        <f>+ROUND(Návrh!G328,-3)/$X$2</f>
        <v>-4</v>
      </c>
      <c r="H331" s="91">
        <f>+ROUND(Návrh!H328,-3)/$X$2</f>
        <v>-1</v>
      </c>
      <c r="I331" s="91">
        <f>+ROUND(Návrh!I328,-3)/$X$2</f>
        <v>0</v>
      </c>
      <c r="J331" s="91" t="e">
        <f>+ROUND(Návrh!#REF!,-3)/$X$2</f>
        <v>#REF!</v>
      </c>
      <c r="K331" s="91">
        <f>+ROUND(Návrh!J328,-3)/$X$2</f>
        <v>0</v>
      </c>
      <c r="L331" s="91">
        <f>+ROUND(Návrh!K328,-3)/$X$2</f>
        <v>0</v>
      </c>
      <c r="M331" s="70"/>
    </row>
    <row r="332" spans="1:13" x14ac:dyDescent="0.25">
      <c r="A332" s="41" t="s">
        <v>322</v>
      </c>
      <c r="B332" s="41"/>
      <c r="C332" s="40"/>
      <c r="D332" s="40"/>
      <c r="E332" s="298" t="s">
        <v>323</v>
      </c>
      <c r="F332" s="299"/>
      <c r="G332" s="92">
        <f>+ROUND(Návrh!G329,-3)/$X$2</f>
        <v>-2579570</v>
      </c>
      <c r="H332" s="92">
        <f>+ROUND(Návrh!H329,-3)/$X$2</f>
        <v>-2922903</v>
      </c>
      <c r="I332" s="92">
        <f>+ROUND(Návrh!I329,-3)/$X$2</f>
        <v>-3200976</v>
      </c>
      <c r="J332" s="92" t="e">
        <f>+ROUND(Návrh!#REF!,-3)/$X$2</f>
        <v>#REF!</v>
      </c>
      <c r="K332" s="92">
        <f>+ROUND(Návrh!J329,-3)/$X$2</f>
        <v>-3262533</v>
      </c>
      <c r="L332" s="92">
        <f>+ROUND(Návrh!K329,-3)/$X$2</f>
        <v>-3441236</v>
      </c>
      <c r="M332" s="70"/>
    </row>
    <row r="333" spans="1:13" x14ac:dyDescent="0.25">
      <c r="A333" s="38" t="s">
        <v>324</v>
      </c>
      <c r="B333" s="38"/>
      <c r="C333" s="22"/>
      <c r="D333" s="22"/>
      <c r="E333" s="296" t="s">
        <v>325</v>
      </c>
      <c r="F333" s="297"/>
      <c r="G333" s="94">
        <f>+ROUND(Návrh!G330,-3)/$X$2</f>
        <v>-1899260</v>
      </c>
      <c r="H333" s="94">
        <f>+ROUND(Návrh!H330,-3)/$X$2</f>
        <v>-2151128</v>
      </c>
      <c r="I333" s="94">
        <f>+ROUND(Návrh!I330,-3)/$X$2</f>
        <v>-2356093</v>
      </c>
      <c r="J333" s="94" t="e">
        <f>+ROUND(Návrh!#REF!,-3)/$X$2</f>
        <v>#REF!</v>
      </c>
      <c r="K333" s="94">
        <f>+ROUND(Návrh!J330,-3)/$X$2</f>
        <v>-2399017</v>
      </c>
      <c r="L333" s="94">
        <f>+ROUND(Návrh!K330,-3)/$X$2</f>
        <v>-2532880</v>
      </c>
      <c r="M333" s="70"/>
    </row>
    <row r="334" spans="1:13" x14ac:dyDescent="0.25">
      <c r="A334" s="26" t="s">
        <v>1227</v>
      </c>
      <c r="B334" s="26"/>
      <c r="C334" s="23"/>
      <c r="D334" s="23"/>
      <c r="E334" s="300" t="s">
        <v>326</v>
      </c>
      <c r="F334" s="301"/>
      <c r="G334" s="95">
        <f>+ROUND(Návrh!G331,-3)/$X$2</f>
        <v>1356</v>
      </c>
      <c r="H334" s="95">
        <f>+ROUND(Návrh!H331,-3)/$X$2</f>
        <v>1475</v>
      </c>
      <c r="I334" s="95">
        <f>+ROUND(Návrh!I331,-3)/$X$2</f>
        <v>0</v>
      </c>
      <c r="J334" s="95" t="e">
        <f>+ROUND(Návrh!#REF!,-3)/$X$2</f>
        <v>#REF!</v>
      </c>
      <c r="K334" s="95">
        <f>+ROUND(Návrh!J331,-3)/$X$2</f>
        <v>0</v>
      </c>
      <c r="L334" s="95">
        <f>+ROUND(Návrh!K331,-3)/$X$2</f>
        <v>0</v>
      </c>
      <c r="M334" s="70"/>
    </row>
    <row r="335" spans="1:13" x14ac:dyDescent="0.25">
      <c r="A335" s="42" t="s">
        <v>1228</v>
      </c>
      <c r="B335" s="14"/>
      <c r="C335" s="13"/>
      <c r="D335" s="13"/>
      <c r="E335" s="290" t="s">
        <v>327</v>
      </c>
      <c r="F335" s="291"/>
      <c r="G335" s="91">
        <f>+ROUND(Návrh!G332,-3)/$X$2</f>
        <v>1356</v>
      </c>
      <c r="H335" s="91">
        <f>+ROUND(Návrh!H332,-3)/$X$2</f>
        <v>1475</v>
      </c>
      <c r="I335" s="91">
        <f>+ROUND(Návrh!I332,-3)/$X$2</f>
        <v>0</v>
      </c>
      <c r="J335" s="91" t="e">
        <f>+ROUND(Návrh!#REF!,-3)/$X$2</f>
        <v>#REF!</v>
      </c>
      <c r="K335" s="91">
        <f>+ROUND(Návrh!J332,-3)/$X$2</f>
        <v>0</v>
      </c>
      <c r="L335" s="91">
        <f>+ROUND(Návrh!K332,-3)/$X$2</f>
        <v>0</v>
      </c>
      <c r="M335" s="70"/>
    </row>
    <row r="336" spans="1:13" x14ac:dyDescent="0.25">
      <c r="A336" s="26" t="s">
        <v>1229</v>
      </c>
      <c r="B336" s="24"/>
      <c r="C336" s="23"/>
      <c r="D336" s="23"/>
      <c r="E336" s="300" t="s">
        <v>328</v>
      </c>
      <c r="F336" s="301"/>
      <c r="G336" s="95">
        <f>+ROUND(Návrh!G333,-3)/$X$2</f>
        <v>-1870912</v>
      </c>
      <c r="H336" s="95">
        <f>+ROUND(Návrh!H333,-3)/$X$2</f>
        <v>-2117619</v>
      </c>
      <c r="I336" s="95">
        <f>+ROUND(Návrh!I333,-3)/$X$2</f>
        <v>-2320703</v>
      </c>
      <c r="J336" s="95" t="e">
        <f>+ROUND(Návrh!#REF!,-3)/$X$2</f>
        <v>#REF!</v>
      </c>
      <c r="K336" s="95">
        <f>+ROUND(Návrh!J333,-3)/$X$2</f>
        <v>-2357948</v>
      </c>
      <c r="L336" s="95">
        <f>+ROUND(Návrh!K333,-3)/$X$2</f>
        <v>-2493774</v>
      </c>
      <c r="M336" s="70"/>
    </row>
    <row r="337" spans="1:13" x14ac:dyDescent="0.25">
      <c r="A337" s="42" t="s">
        <v>1230</v>
      </c>
      <c r="B337" s="20" t="s">
        <v>1432</v>
      </c>
      <c r="C337" s="20" t="s">
        <v>920</v>
      </c>
      <c r="D337" s="20" t="s">
        <v>1244</v>
      </c>
      <c r="E337" s="290" t="s">
        <v>329</v>
      </c>
      <c r="F337" s="291"/>
      <c r="G337" s="91">
        <f>+ROUND(Návrh!G334,-3)/$X$2</f>
        <v>-1870912</v>
      </c>
      <c r="H337" s="91">
        <f>+ROUND(Návrh!H334,-3)/$X$2</f>
        <v>-2117619</v>
      </c>
      <c r="I337" s="91">
        <f>+ROUND(Návrh!I334,-3)/$X$2</f>
        <v>-2320703</v>
      </c>
      <c r="J337" s="91" t="e">
        <f>+ROUND(Návrh!#REF!,-3)/$X$2</f>
        <v>#REF!</v>
      </c>
      <c r="K337" s="91">
        <f>+ROUND(Návrh!J334,-3)/$X$2</f>
        <v>-2357948</v>
      </c>
      <c r="L337" s="91">
        <f>+ROUND(Návrh!K334,-3)/$X$2</f>
        <v>-2493774</v>
      </c>
      <c r="M337" s="70"/>
    </row>
    <row r="338" spans="1:13" x14ac:dyDescent="0.25">
      <c r="A338" s="26" t="s">
        <v>1231</v>
      </c>
      <c r="B338" s="24"/>
      <c r="C338" s="23"/>
      <c r="D338" s="23"/>
      <c r="E338" s="300" t="s">
        <v>330</v>
      </c>
      <c r="F338" s="301"/>
      <c r="G338" s="95">
        <f>+ROUND(Návrh!G335,-3)/$X$2</f>
        <v>-74</v>
      </c>
      <c r="H338" s="95">
        <f>+ROUND(Návrh!H335,-3)/$X$2</f>
        <v>-73</v>
      </c>
      <c r="I338" s="95">
        <f>+ROUND(Návrh!I335,-3)/$X$2</f>
        <v>0</v>
      </c>
      <c r="J338" s="95" t="e">
        <f>+ROUND(Návrh!#REF!,-3)/$X$2</f>
        <v>#REF!</v>
      </c>
      <c r="K338" s="95">
        <f>+ROUND(Návrh!J335,-3)/$X$2</f>
        <v>0</v>
      </c>
      <c r="L338" s="95">
        <f>+ROUND(Návrh!K335,-3)/$X$2</f>
        <v>0</v>
      </c>
      <c r="M338" s="70"/>
    </row>
    <row r="339" spans="1:13" x14ac:dyDescent="0.25">
      <c r="A339" s="42" t="s">
        <v>1232</v>
      </c>
      <c r="B339" s="20"/>
      <c r="C339" s="20"/>
      <c r="D339" s="20"/>
      <c r="E339" s="290" t="s">
        <v>331</v>
      </c>
      <c r="F339" s="291"/>
      <c r="G339" s="91">
        <f>+ROUND(Návrh!G336,-3)/$X$2</f>
        <v>-74</v>
      </c>
      <c r="H339" s="91">
        <f>+ROUND(Návrh!H336,-3)/$X$2</f>
        <v>-73</v>
      </c>
      <c r="I339" s="91">
        <f>+ROUND(Návrh!I336,-3)/$X$2</f>
        <v>0</v>
      </c>
      <c r="J339" s="91" t="e">
        <f>+ROUND(Návrh!#REF!,-3)/$X$2</f>
        <v>#REF!</v>
      </c>
      <c r="K339" s="91">
        <f>+ROUND(Návrh!J336,-3)/$X$2</f>
        <v>0</v>
      </c>
      <c r="L339" s="91">
        <f>+ROUND(Návrh!K336,-3)/$X$2</f>
        <v>0</v>
      </c>
      <c r="M339" s="70"/>
    </row>
    <row r="340" spans="1:13" x14ac:dyDescent="0.25">
      <c r="A340" s="26" t="s">
        <v>1233</v>
      </c>
      <c r="B340" s="24"/>
      <c r="C340" s="23"/>
      <c r="D340" s="23"/>
      <c r="E340" s="300" t="s">
        <v>332</v>
      </c>
      <c r="F340" s="301"/>
      <c r="G340" s="95">
        <f>+ROUND(Návrh!G337,-3)/$X$2</f>
        <v>469</v>
      </c>
      <c r="H340" s="95">
        <f>+ROUND(Návrh!H337,-3)/$X$2</f>
        <v>578</v>
      </c>
      <c r="I340" s="95">
        <f>+ROUND(Návrh!I337,-3)/$X$2</f>
        <v>0</v>
      </c>
      <c r="J340" s="95" t="e">
        <f>+ROUND(Návrh!#REF!,-3)/$X$2</f>
        <v>#REF!</v>
      </c>
      <c r="K340" s="95">
        <f>+ROUND(Návrh!J337,-3)/$X$2</f>
        <v>0</v>
      </c>
      <c r="L340" s="95">
        <f>+ROUND(Návrh!K337,-3)/$X$2</f>
        <v>0</v>
      </c>
      <c r="M340" s="70"/>
    </row>
    <row r="341" spans="1:13" x14ac:dyDescent="0.25">
      <c r="A341" s="42" t="s">
        <v>1234</v>
      </c>
      <c r="B341" s="20"/>
      <c r="C341" s="20"/>
      <c r="D341" s="20"/>
      <c r="E341" s="290" t="s">
        <v>333</v>
      </c>
      <c r="F341" s="291"/>
      <c r="G341" s="91">
        <f>+ROUND(Návrh!G338,-3)/$X$2</f>
        <v>469</v>
      </c>
      <c r="H341" s="91">
        <f>+ROUND(Návrh!H338,-3)/$X$2</f>
        <v>578</v>
      </c>
      <c r="I341" s="91">
        <f>+ROUND(Návrh!I338,-3)/$X$2</f>
        <v>0</v>
      </c>
      <c r="J341" s="91" t="e">
        <f>+ROUND(Návrh!#REF!,-3)/$X$2</f>
        <v>#REF!</v>
      </c>
      <c r="K341" s="91">
        <f>+ROUND(Návrh!J338,-3)/$X$2</f>
        <v>0</v>
      </c>
      <c r="L341" s="91">
        <f>+ROUND(Návrh!K338,-3)/$X$2</f>
        <v>0</v>
      </c>
      <c r="M341" s="70"/>
    </row>
    <row r="342" spans="1:13" x14ac:dyDescent="0.25">
      <c r="A342" s="26" t="s">
        <v>1235</v>
      </c>
      <c r="B342" s="24"/>
      <c r="C342" s="23"/>
      <c r="D342" s="23"/>
      <c r="E342" s="300" t="s">
        <v>334</v>
      </c>
      <c r="F342" s="301"/>
      <c r="G342" s="95">
        <f>+ROUND(Návrh!G339,-3)/$X$2</f>
        <v>-11</v>
      </c>
      <c r="H342" s="95">
        <f>+ROUND(Návrh!H339,-3)/$X$2</f>
        <v>11</v>
      </c>
      <c r="I342" s="95">
        <f>+ROUND(Návrh!I339,-3)/$X$2</f>
        <v>0</v>
      </c>
      <c r="J342" s="95" t="e">
        <f>+ROUND(Návrh!#REF!,-3)/$X$2</f>
        <v>#REF!</v>
      </c>
      <c r="K342" s="95">
        <f>+ROUND(Návrh!J339,-3)/$X$2</f>
        <v>0</v>
      </c>
      <c r="L342" s="95">
        <f>+ROUND(Návrh!K339,-3)/$X$2</f>
        <v>0</v>
      </c>
      <c r="M342" s="70"/>
    </row>
    <row r="343" spans="1:13" x14ac:dyDescent="0.25">
      <c r="A343" s="42" t="s">
        <v>1236</v>
      </c>
      <c r="B343" s="20"/>
      <c r="C343" s="20"/>
      <c r="D343" s="20"/>
      <c r="E343" s="290" t="s">
        <v>335</v>
      </c>
      <c r="F343" s="291"/>
      <c r="G343" s="91">
        <f>+ROUND(Návrh!G340,-3)/$X$2</f>
        <v>-11</v>
      </c>
      <c r="H343" s="91">
        <f>+ROUND(Návrh!H340,-3)/$X$2</f>
        <v>11</v>
      </c>
      <c r="I343" s="91">
        <f>+ROUND(Návrh!I340,-3)/$X$2</f>
        <v>0</v>
      </c>
      <c r="J343" s="91" t="e">
        <f>+ROUND(Návrh!#REF!,-3)/$X$2</f>
        <v>#REF!</v>
      </c>
      <c r="K343" s="91">
        <f>+ROUND(Návrh!J340,-3)/$X$2</f>
        <v>0</v>
      </c>
      <c r="L343" s="91">
        <f>+ROUND(Návrh!K340,-3)/$X$2</f>
        <v>0</v>
      </c>
      <c r="M343" s="70"/>
    </row>
    <row r="344" spans="1:13" x14ac:dyDescent="0.25">
      <c r="A344" s="26" t="s">
        <v>1237</v>
      </c>
      <c r="B344" s="24"/>
      <c r="C344" s="23"/>
      <c r="D344" s="23"/>
      <c r="E344" s="300" t="s">
        <v>336</v>
      </c>
      <c r="F344" s="301"/>
      <c r="G344" s="95">
        <f>+ROUND(Návrh!G341,-3)/$X$2</f>
        <v>0</v>
      </c>
      <c r="H344" s="95">
        <f>+ROUND(Návrh!H341,-3)/$X$2</f>
        <v>0</v>
      </c>
      <c r="I344" s="95">
        <f>+ROUND(Návrh!I341,-3)/$X$2</f>
        <v>0</v>
      </c>
      <c r="J344" s="95" t="e">
        <f>+ROUND(Návrh!#REF!,-3)/$X$2</f>
        <v>#REF!</v>
      </c>
      <c r="K344" s="95">
        <f>+ROUND(Návrh!J341,-3)/$X$2</f>
        <v>0</v>
      </c>
      <c r="L344" s="95">
        <f>+ROUND(Návrh!K341,-3)/$X$2</f>
        <v>0</v>
      </c>
      <c r="M344" s="70"/>
    </row>
    <row r="345" spans="1:13" x14ac:dyDescent="0.25">
      <c r="A345" s="42" t="s">
        <v>1238</v>
      </c>
      <c r="B345" s="14"/>
      <c r="C345" s="13"/>
      <c r="D345" s="13"/>
      <c r="E345" s="290" t="s">
        <v>337</v>
      </c>
      <c r="F345" s="291"/>
      <c r="G345" s="91">
        <f>+ROUND(Návrh!G342,-3)/$X$2</f>
        <v>0</v>
      </c>
      <c r="H345" s="91">
        <f>+ROUND(Návrh!H342,-3)/$X$2</f>
        <v>0</v>
      </c>
      <c r="I345" s="91">
        <f>+ROUND(Návrh!I342,-3)/$X$2</f>
        <v>0</v>
      </c>
      <c r="J345" s="91" t="e">
        <f>+ROUND(Návrh!#REF!,-3)/$X$2</f>
        <v>#REF!</v>
      </c>
      <c r="K345" s="91">
        <f>+ROUND(Návrh!J342,-3)/$X$2</f>
        <v>0</v>
      </c>
      <c r="L345" s="91">
        <f>+ROUND(Návrh!K342,-3)/$X$2</f>
        <v>0</v>
      </c>
      <c r="M345" s="70"/>
    </row>
    <row r="346" spans="1:13" x14ac:dyDescent="0.25">
      <c r="A346" s="26" t="s">
        <v>1239</v>
      </c>
      <c r="B346" s="24"/>
      <c r="C346" s="23"/>
      <c r="D346" s="23"/>
      <c r="E346" s="300" t="s">
        <v>338</v>
      </c>
      <c r="F346" s="301"/>
      <c r="G346" s="95">
        <f>+ROUND(Návrh!G343,-3)/$X$2</f>
        <v>-22099</v>
      </c>
      <c r="H346" s="95">
        <f>+ROUND(Návrh!H343,-3)/$X$2</f>
        <v>-25376</v>
      </c>
      <c r="I346" s="95">
        <f>+ROUND(Návrh!I343,-3)/$X$2</f>
        <v>-25320</v>
      </c>
      <c r="J346" s="95" t="e">
        <f>+ROUND(Návrh!#REF!,-3)/$X$2</f>
        <v>#REF!</v>
      </c>
      <c r="K346" s="95">
        <f>+ROUND(Návrh!J343,-3)/$X$2</f>
        <v>-29441</v>
      </c>
      <c r="L346" s="95">
        <f>+ROUND(Návrh!K343,-3)/$X$2</f>
        <v>-27240</v>
      </c>
      <c r="M346" s="70"/>
    </row>
    <row r="347" spans="1:13" x14ac:dyDescent="0.25">
      <c r="A347" s="42" t="s">
        <v>1240</v>
      </c>
      <c r="B347" s="20" t="s">
        <v>1432</v>
      </c>
      <c r="C347" s="20" t="s">
        <v>920</v>
      </c>
      <c r="D347" s="20" t="s">
        <v>1244</v>
      </c>
      <c r="E347" s="290" t="s">
        <v>339</v>
      </c>
      <c r="F347" s="291"/>
      <c r="G347" s="91">
        <f>+ROUND(Návrh!G344,-3)/$X$2</f>
        <v>-22099</v>
      </c>
      <c r="H347" s="91">
        <f>+ROUND(Návrh!H344,-3)/$X$2</f>
        <v>-25376</v>
      </c>
      <c r="I347" s="91">
        <f>+ROUND(Návrh!I344,-3)/$X$2</f>
        <v>-25320</v>
      </c>
      <c r="J347" s="91" t="e">
        <f>+ROUND(Návrh!#REF!,-3)/$X$2</f>
        <v>#REF!</v>
      </c>
      <c r="K347" s="91">
        <f>+ROUND(Návrh!J344,-3)/$X$2</f>
        <v>-29441</v>
      </c>
      <c r="L347" s="91">
        <f>+ROUND(Návrh!K344,-3)/$X$2</f>
        <v>-27240</v>
      </c>
      <c r="M347" s="70"/>
    </row>
    <row r="348" spans="1:13" x14ac:dyDescent="0.25">
      <c r="A348" s="26" t="s">
        <v>1252</v>
      </c>
      <c r="B348" s="24"/>
      <c r="C348" s="23"/>
      <c r="D348" s="23"/>
      <c r="E348" s="300" t="s">
        <v>340</v>
      </c>
      <c r="F348" s="301"/>
      <c r="G348" s="95">
        <f>+ROUND(Návrh!G345,-3)/$X$2</f>
        <v>-52</v>
      </c>
      <c r="H348" s="95">
        <f>+ROUND(Návrh!H345,-3)/$X$2</f>
        <v>0</v>
      </c>
      <c r="I348" s="95">
        <f>+ROUND(Návrh!I345,-3)/$X$2</f>
        <v>0</v>
      </c>
      <c r="J348" s="95" t="e">
        <f>+ROUND(Návrh!#REF!,-3)/$X$2</f>
        <v>#REF!</v>
      </c>
      <c r="K348" s="95">
        <f>+ROUND(Návrh!J345,-3)/$X$2</f>
        <v>0</v>
      </c>
      <c r="L348" s="95">
        <f>+ROUND(Návrh!K345,-3)/$X$2</f>
        <v>0</v>
      </c>
      <c r="M348" s="70"/>
    </row>
    <row r="349" spans="1:13" x14ac:dyDescent="0.25">
      <c r="A349" s="42" t="s">
        <v>1253</v>
      </c>
      <c r="B349" s="20"/>
      <c r="C349" s="20"/>
      <c r="D349" s="20"/>
      <c r="E349" s="290" t="s">
        <v>341</v>
      </c>
      <c r="F349" s="291"/>
      <c r="G349" s="91">
        <f>+ROUND(Návrh!G346,-3)/$X$2</f>
        <v>-52</v>
      </c>
      <c r="H349" s="91">
        <f>+ROUND(Návrh!H346,-3)/$X$2</f>
        <v>0</v>
      </c>
      <c r="I349" s="91">
        <f>+ROUND(Návrh!I346,-3)/$X$2</f>
        <v>0</v>
      </c>
      <c r="J349" s="91" t="e">
        <f>+ROUND(Návrh!#REF!,-3)/$X$2</f>
        <v>#REF!</v>
      </c>
      <c r="K349" s="91">
        <f>+ROUND(Návrh!J346,-3)/$X$2</f>
        <v>0</v>
      </c>
      <c r="L349" s="91">
        <f>+ROUND(Návrh!K346,-3)/$X$2</f>
        <v>0</v>
      </c>
      <c r="M349" s="70"/>
    </row>
    <row r="350" spans="1:13" x14ac:dyDescent="0.25">
      <c r="A350" s="26" t="s">
        <v>1254</v>
      </c>
      <c r="B350" s="24"/>
      <c r="C350" s="23"/>
      <c r="D350" s="23"/>
      <c r="E350" s="300" t="s">
        <v>342</v>
      </c>
      <c r="F350" s="301"/>
      <c r="G350" s="95">
        <f>+ROUND(Návrh!G347,-3)/$X$2</f>
        <v>-4156</v>
      </c>
      <c r="H350" s="95">
        <f>+ROUND(Návrh!H347,-3)/$X$2</f>
        <v>-4835</v>
      </c>
      <c r="I350" s="95">
        <f>+ROUND(Návrh!I347,-3)/$X$2</f>
        <v>-4744</v>
      </c>
      <c r="J350" s="95" t="e">
        <f>+ROUND(Návrh!#REF!,-3)/$X$2</f>
        <v>#REF!</v>
      </c>
      <c r="K350" s="95">
        <f>+ROUND(Návrh!J347,-3)/$X$2</f>
        <v>-7097</v>
      </c>
      <c r="L350" s="95">
        <f>+ROUND(Návrh!K347,-3)/$X$2</f>
        <v>-7361</v>
      </c>
      <c r="M350" s="70"/>
    </row>
    <row r="351" spans="1:13" x14ac:dyDescent="0.25">
      <c r="A351" s="42" t="s">
        <v>1255</v>
      </c>
      <c r="B351" s="20" t="s">
        <v>1432</v>
      </c>
      <c r="C351" s="20" t="s">
        <v>920</v>
      </c>
      <c r="D351" s="20" t="s">
        <v>1244</v>
      </c>
      <c r="E351" s="290" t="s">
        <v>343</v>
      </c>
      <c r="F351" s="291"/>
      <c r="G351" s="91">
        <f>+ROUND(Návrh!G348,-3)/$X$2</f>
        <v>-4156</v>
      </c>
      <c r="H351" s="91">
        <f>+ROUND(Návrh!H348,-3)/$X$2</f>
        <v>-4835</v>
      </c>
      <c r="I351" s="91">
        <f>+ROUND(Návrh!I348,-3)/$X$2</f>
        <v>-4744</v>
      </c>
      <c r="J351" s="91" t="e">
        <f>+ROUND(Návrh!#REF!,-3)/$X$2</f>
        <v>#REF!</v>
      </c>
      <c r="K351" s="91">
        <f>+ROUND(Návrh!J348,-3)/$X$2</f>
        <v>-7097</v>
      </c>
      <c r="L351" s="91">
        <f>+ROUND(Návrh!K348,-3)/$X$2</f>
        <v>-7361</v>
      </c>
      <c r="M351" s="70"/>
    </row>
    <row r="352" spans="1:13" x14ac:dyDescent="0.25">
      <c r="A352" s="26" t="s">
        <v>1256</v>
      </c>
      <c r="B352" s="24"/>
      <c r="C352" s="23"/>
      <c r="D352" s="23"/>
      <c r="E352" s="300" t="s">
        <v>344</v>
      </c>
      <c r="F352" s="301"/>
      <c r="G352" s="95">
        <f>+ROUND(Návrh!G349,-3)/$X$2</f>
        <v>-2425</v>
      </c>
      <c r="H352" s="95">
        <f>+ROUND(Návrh!H349,-3)/$X$2</f>
        <v>-3814</v>
      </c>
      <c r="I352" s="95">
        <f>+ROUND(Návrh!I349,-3)/$X$2</f>
        <v>-5326</v>
      </c>
      <c r="J352" s="95" t="e">
        <f>+ROUND(Návrh!#REF!,-3)/$X$2</f>
        <v>#REF!</v>
      </c>
      <c r="K352" s="95">
        <f>+ROUND(Návrh!J349,-3)/$X$2</f>
        <v>-4530</v>
      </c>
      <c r="L352" s="95">
        <f>+ROUND(Návrh!K349,-3)/$X$2</f>
        <v>-4505</v>
      </c>
      <c r="M352" s="70"/>
    </row>
    <row r="353" spans="1:13" x14ac:dyDescent="0.25">
      <c r="A353" s="42" t="s">
        <v>1257</v>
      </c>
      <c r="B353" s="20" t="s">
        <v>916</v>
      </c>
      <c r="C353" s="20" t="s">
        <v>920</v>
      </c>
      <c r="D353" s="20" t="s">
        <v>917</v>
      </c>
      <c r="E353" s="290" t="s">
        <v>345</v>
      </c>
      <c r="F353" s="291"/>
      <c r="G353" s="91">
        <f>+ROUND(Návrh!G350,-3)/$X$2</f>
        <v>-2425</v>
      </c>
      <c r="H353" s="91">
        <f>+ROUND(Návrh!H350,-3)/$X$2</f>
        <v>-3814</v>
      </c>
      <c r="I353" s="91">
        <f>+ROUND(Návrh!I350,-3)/$X$2</f>
        <v>-5326</v>
      </c>
      <c r="J353" s="91" t="e">
        <f>+ROUND(Návrh!#REF!,-3)/$X$2</f>
        <v>#REF!</v>
      </c>
      <c r="K353" s="91">
        <f>+ROUND(Návrh!J350,-3)/$X$2</f>
        <v>-4530</v>
      </c>
      <c r="L353" s="91">
        <f>+ROUND(Návrh!K350,-3)/$X$2</f>
        <v>-4505</v>
      </c>
      <c r="M353" s="70"/>
    </row>
    <row r="354" spans="1:13" x14ac:dyDescent="0.25">
      <c r="A354" s="26" t="s">
        <v>1258</v>
      </c>
      <c r="B354" s="24"/>
      <c r="C354" s="23"/>
      <c r="D354" s="23"/>
      <c r="E354" s="300" t="s">
        <v>346</v>
      </c>
      <c r="F354" s="301"/>
      <c r="G354" s="95">
        <f>+ROUND(Návrh!G351,-3)/$X$2</f>
        <v>-1356</v>
      </c>
      <c r="H354" s="95">
        <f>+ROUND(Návrh!H351,-3)/$X$2</f>
        <v>-1475</v>
      </c>
      <c r="I354" s="95">
        <f>+ROUND(Návrh!I351,-3)/$X$2</f>
        <v>0</v>
      </c>
      <c r="J354" s="95" t="e">
        <f>+ROUND(Návrh!#REF!,-3)/$X$2</f>
        <v>#REF!</v>
      </c>
      <c r="K354" s="95">
        <f>+ROUND(Návrh!J351,-3)/$X$2</f>
        <v>0</v>
      </c>
      <c r="L354" s="95">
        <f>+ROUND(Návrh!K351,-3)/$X$2</f>
        <v>0</v>
      </c>
      <c r="M354" s="70"/>
    </row>
    <row r="355" spans="1:13" x14ac:dyDescent="0.25">
      <c r="A355" s="42" t="s">
        <v>1259</v>
      </c>
      <c r="B355" s="14"/>
      <c r="C355" s="13"/>
      <c r="D355" s="13"/>
      <c r="E355" s="290" t="s">
        <v>347</v>
      </c>
      <c r="F355" s="291"/>
      <c r="G355" s="91">
        <f>+ROUND(Návrh!G352,-3)/$X$2</f>
        <v>-1209</v>
      </c>
      <c r="H355" s="91">
        <f>+ROUND(Návrh!H352,-3)/$X$2</f>
        <v>-1443</v>
      </c>
      <c r="I355" s="91">
        <f>+ROUND(Návrh!I352,-3)/$X$2</f>
        <v>0</v>
      </c>
      <c r="J355" s="91" t="e">
        <f>+ROUND(Návrh!#REF!,-3)/$X$2</f>
        <v>#REF!</v>
      </c>
      <c r="K355" s="91">
        <f>+ROUND(Návrh!J352,-3)/$X$2</f>
        <v>0</v>
      </c>
      <c r="L355" s="91">
        <f>+ROUND(Návrh!K352,-3)/$X$2</f>
        <v>0</v>
      </c>
      <c r="M355" s="70"/>
    </row>
    <row r="356" spans="1:13" x14ac:dyDescent="0.25">
      <c r="A356" s="42" t="s">
        <v>1260</v>
      </c>
      <c r="B356" s="14"/>
      <c r="C356" s="13"/>
      <c r="D356" s="13"/>
      <c r="E356" s="290" t="s">
        <v>348</v>
      </c>
      <c r="F356" s="291"/>
      <c r="G356" s="91">
        <f>+ROUND(Návrh!G353,-3)/$X$2</f>
        <v>-139</v>
      </c>
      <c r="H356" s="91">
        <f>+ROUND(Návrh!H353,-3)/$X$2</f>
        <v>-25</v>
      </c>
      <c r="I356" s="91">
        <f>+ROUND(Návrh!I353,-3)/$X$2</f>
        <v>0</v>
      </c>
      <c r="J356" s="91" t="e">
        <f>+ROUND(Návrh!#REF!,-3)/$X$2</f>
        <v>#REF!</v>
      </c>
      <c r="K356" s="91">
        <f>+ROUND(Návrh!J353,-3)/$X$2</f>
        <v>0</v>
      </c>
      <c r="L356" s="91">
        <f>+ROUND(Návrh!K353,-3)/$X$2</f>
        <v>0</v>
      </c>
      <c r="M356" s="70"/>
    </row>
    <row r="357" spans="1:13" x14ac:dyDescent="0.25">
      <c r="A357" s="42" t="s">
        <v>1261</v>
      </c>
      <c r="B357" s="14"/>
      <c r="C357" s="13"/>
      <c r="D357" s="13"/>
      <c r="E357" s="290" t="s">
        <v>349</v>
      </c>
      <c r="F357" s="291"/>
      <c r="G357" s="91">
        <f>+ROUND(Návrh!G354,-3)/$X$2</f>
        <v>0</v>
      </c>
      <c r="H357" s="91">
        <f>+ROUND(Návrh!H354,-3)/$X$2</f>
        <v>0</v>
      </c>
      <c r="I357" s="91">
        <f>+ROUND(Návrh!I354,-3)/$X$2</f>
        <v>0</v>
      </c>
      <c r="J357" s="91" t="e">
        <f>+ROUND(Návrh!#REF!,-3)/$X$2</f>
        <v>#REF!</v>
      </c>
      <c r="K357" s="91">
        <f>+ROUND(Návrh!J354,-3)/$X$2</f>
        <v>0</v>
      </c>
      <c r="L357" s="91">
        <f>+ROUND(Návrh!K354,-3)/$X$2</f>
        <v>0</v>
      </c>
      <c r="M357" s="70"/>
    </row>
    <row r="358" spans="1:13" x14ac:dyDescent="0.25">
      <c r="A358" s="42" t="s">
        <v>1262</v>
      </c>
      <c r="B358" s="14"/>
      <c r="C358" s="13"/>
      <c r="D358" s="13"/>
      <c r="E358" s="290" t="s">
        <v>350</v>
      </c>
      <c r="F358" s="291"/>
      <c r="G358" s="91">
        <f>+ROUND(Návrh!G355,-3)/$X$2</f>
        <v>-9</v>
      </c>
      <c r="H358" s="91">
        <f>+ROUND(Návrh!H355,-3)/$X$2</f>
        <v>-7</v>
      </c>
      <c r="I358" s="91">
        <f>+ROUND(Návrh!I355,-3)/$X$2</f>
        <v>0</v>
      </c>
      <c r="J358" s="91" t="e">
        <f>+ROUND(Návrh!#REF!,-3)/$X$2</f>
        <v>#REF!</v>
      </c>
      <c r="K358" s="91">
        <f>+ROUND(Návrh!J355,-3)/$X$2</f>
        <v>0</v>
      </c>
      <c r="L358" s="91">
        <f>+ROUND(Návrh!K355,-3)/$X$2</f>
        <v>0</v>
      </c>
      <c r="M358" s="70"/>
    </row>
    <row r="359" spans="1:13" x14ac:dyDescent="0.25">
      <c r="A359" s="38" t="s">
        <v>351</v>
      </c>
      <c r="B359" s="38"/>
      <c r="C359" s="22"/>
      <c r="D359" s="22"/>
      <c r="E359" s="296" t="s">
        <v>352</v>
      </c>
      <c r="F359" s="297"/>
      <c r="G359" s="94">
        <f>+ROUND(Návrh!G356,-3)/$X$2</f>
        <v>0</v>
      </c>
      <c r="H359" s="94">
        <f>+ROUND(Návrh!H356,-3)/$X$2</f>
        <v>0</v>
      </c>
      <c r="I359" s="94">
        <f>+ROUND(Návrh!I356,-3)/$X$2</f>
        <v>0</v>
      </c>
      <c r="J359" s="94" t="e">
        <f>+ROUND(Návrh!#REF!,-3)/$X$2</f>
        <v>#REF!</v>
      </c>
      <c r="K359" s="94">
        <f>+ROUND(Návrh!J356,-3)/$X$2</f>
        <v>0</v>
      </c>
      <c r="L359" s="94">
        <f>+ROUND(Návrh!K356,-3)/$X$2</f>
        <v>0</v>
      </c>
      <c r="M359" s="70"/>
    </row>
    <row r="360" spans="1:13" x14ac:dyDescent="0.25">
      <c r="A360" s="38" t="s">
        <v>353</v>
      </c>
      <c r="B360" s="38"/>
      <c r="C360" s="22"/>
      <c r="D360" s="22"/>
      <c r="E360" s="296" t="s">
        <v>354</v>
      </c>
      <c r="F360" s="297"/>
      <c r="G360" s="94">
        <f>+ROUND(Návrh!G357,-3)/$X$2</f>
        <v>0</v>
      </c>
      <c r="H360" s="94">
        <f>+ROUND(Návrh!H357,-3)/$X$2</f>
        <v>0</v>
      </c>
      <c r="I360" s="94">
        <f>+ROUND(Návrh!I357,-3)/$X$2</f>
        <v>0</v>
      </c>
      <c r="J360" s="94" t="e">
        <f>+ROUND(Návrh!#REF!,-3)/$X$2</f>
        <v>#REF!</v>
      </c>
      <c r="K360" s="94">
        <f>+ROUND(Návrh!J357,-3)/$X$2</f>
        <v>0</v>
      </c>
      <c r="L360" s="94">
        <f>+ROUND(Návrh!K357,-3)/$X$2</f>
        <v>0</v>
      </c>
      <c r="M360" s="70"/>
    </row>
    <row r="361" spans="1:13" x14ac:dyDescent="0.25">
      <c r="A361" s="38" t="s">
        <v>355</v>
      </c>
      <c r="B361" s="38"/>
      <c r="C361" s="22"/>
      <c r="D361" s="22"/>
      <c r="E361" s="296" t="s">
        <v>356</v>
      </c>
      <c r="F361" s="297"/>
      <c r="G361" s="94">
        <f>+ROUND(Návrh!G358,-3)/$X$2</f>
        <v>-634874</v>
      </c>
      <c r="H361" s="94">
        <f>+ROUND(Návrh!H358,-3)/$X$2</f>
        <v>-720337</v>
      </c>
      <c r="I361" s="94">
        <f>+ROUND(Návrh!I358,-3)/$X$2</f>
        <v>-788099</v>
      </c>
      <c r="J361" s="94" t="e">
        <f>+ROUND(Návrh!#REF!,-3)/$X$2</f>
        <v>#REF!</v>
      </c>
      <c r="K361" s="94">
        <f>+ROUND(Návrh!J358,-3)/$X$2</f>
        <v>-808375</v>
      </c>
      <c r="L361" s="94">
        <f>+ROUND(Návrh!K358,-3)/$X$2</f>
        <v>-847225</v>
      </c>
      <c r="M361" s="70"/>
    </row>
    <row r="362" spans="1:13" x14ac:dyDescent="0.25">
      <c r="A362" s="26" t="s">
        <v>1263</v>
      </c>
      <c r="B362" s="26"/>
      <c r="C362" s="23"/>
      <c r="D362" s="23"/>
      <c r="E362" s="300" t="s">
        <v>357</v>
      </c>
      <c r="F362" s="301"/>
      <c r="G362" s="95">
        <f>+ROUND(Návrh!G359,-3)/$X$2</f>
        <v>459</v>
      </c>
      <c r="H362" s="95">
        <f>+ROUND(Návrh!H359,-3)/$X$2</f>
        <v>491</v>
      </c>
      <c r="I362" s="95">
        <f>+ROUND(Návrh!I359,-3)/$X$2</f>
        <v>0</v>
      </c>
      <c r="J362" s="95" t="e">
        <f>+ROUND(Návrh!#REF!,-3)/$X$2</f>
        <v>#REF!</v>
      </c>
      <c r="K362" s="95">
        <f>+ROUND(Návrh!J359,-3)/$X$2</f>
        <v>0</v>
      </c>
      <c r="L362" s="95">
        <f>+ROUND(Návrh!K359,-3)/$X$2</f>
        <v>0</v>
      </c>
      <c r="M362" s="70"/>
    </row>
    <row r="363" spans="1:13" x14ac:dyDescent="0.25">
      <c r="A363" s="42" t="s">
        <v>1264</v>
      </c>
      <c r="B363" s="14"/>
      <c r="C363" s="13"/>
      <c r="D363" s="13"/>
      <c r="E363" s="290" t="s">
        <v>358</v>
      </c>
      <c r="F363" s="291"/>
      <c r="G363" s="91">
        <f>+ROUND(Návrh!G360,-3)/$X$2</f>
        <v>459</v>
      </c>
      <c r="H363" s="91">
        <f>+ROUND(Návrh!H360,-3)/$X$2</f>
        <v>491</v>
      </c>
      <c r="I363" s="91">
        <f>+ROUND(Návrh!I360,-3)/$X$2</f>
        <v>0</v>
      </c>
      <c r="J363" s="91" t="e">
        <f>+ROUND(Návrh!#REF!,-3)/$X$2</f>
        <v>#REF!</v>
      </c>
      <c r="K363" s="91">
        <f>+ROUND(Návrh!J360,-3)/$X$2</f>
        <v>0</v>
      </c>
      <c r="L363" s="91">
        <f>+ROUND(Návrh!K360,-3)/$X$2</f>
        <v>0</v>
      </c>
      <c r="M363" s="70"/>
    </row>
    <row r="364" spans="1:13" x14ac:dyDescent="0.25">
      <c r="A364" s="26" t="s">
        <v>1265</v>
      </c>
      <c r="B364" s="23"/>
      <c r="C364" s="23"/>
      <c r="D364" s="23"/>
      <c r="E364" s="300" t="s">
        <v>359</v>
      </c>
      <c r="F364" s="301"/>
      <c r="G364" s="95">
        <f>+ROUND(Návrh!G361,-3)/$X$2</f>
        <v>-170343</v>
      </c>
      <c r="H364" s="95">
        <f>+ROUND(Návrh!H361,-3)/$X$2</f>
        <v>-192976</v>
      </c>
      <c r="I364" s="95">
        <f>+ROUND(Návrh!I361,-3)/$X$2</f>
        <v>-211120</v>
      </c>
      <c r="J364" s="95" t="e">
        <f>+ROUND(Návrh!#REF!,-3)/$X$2</f>
        <v>#REF!</v>
      </c>
      <c r="K364" s="95">
        <f>+ROUND(Návrh!J361,-3)/$X$2</f>
        <v>-215352</v>
      </c>
      <c r="L364" s="95">
        <f>+ROUND(Návrh!K361,-3)/$X$2</f>
        <v>-227246</v>
      </c>
      <c r="M364" s="70"/>
    </row>
    <row r="365" spans="1:13" x14ac:dyDescent="0.25">
      <c r="A365" s="42" t="s">
        <v>1266</v>
      </c>
      <c r="B365" s="20" t="s">
        <v>1432</v>
      </c>
      <c r="C365" s="20" t="s">
        <v>920</v>
      </c>
      <c r="D365" s="20" t="s">
        <v>1244</v>
      </c>
      <c r="E365" s="290" t="s">
        <v>360</v>
      </c>
      <c r="F365" s="291"/>
      <c r="G365" s="91">
        <f>+ROUND(Návrh!G362,-3)/$X$2</f>
        <v>-170343</v>
      </c>
      <c r="H365" s="91">
        <f>+ROUND(Návrh!H362,-3)/$X$2</f>
        <v>-192976</v>
      </c>
      <c r="I365" s="91">
        <f>+ROUND(Návrh!I362,-3)/$X$2</f>
        <v>-211120</v>
      </c>
      <c r="J365" s="91" t="e">
        <f>+ROUND(Návrh!#REF!,-3)/$X$2</f>
        <v>#REF!</v>
      </c>
      <c r="K365" s="91">
        <f>+ROUND(Návrh!J362,-3)/$X$2</f>
        <v>-215352</v>
      </c>
      <c r="L365" s="91">
        <f>+ROUND(Návrh!K362,-3)/$X$2</f>
        <v>-227246</v>
      </c>
      <c r="M365" s="70"/>
    </row>
    <row r="366" spans="1:13" x14ac:dyDescent="0.25">
      <c r="A366" s="26" t="s">
        <v>1267</v>
      </c>
      <c r="B366" s="26"/>
      <c r="C366" s="23"/>
      <c r="D366" s="23"/>
      <c r="E366" s="300" t="s">
        <v>361</v>
      </c>
      <c r="F366" s="301"/>
      <c r="G366" s="95">
        <f>+ROUND(Návrh!G363,-3)/$X$2</f>
        <v>-464687</v>
      </c>
      <c r="H366" s="95">
        <f>+ROUND(Návrh!H363,-3)/$X$2</f>
        <v>-527558</v>
      </c>
      <c r="I366" s="95">
        <f>+ROUND(Návrh!I363,-3)/$X$2</f>
        <v>-576979</v>
      </c>
      <c r="J366" s="95" t="e">
        <f>+ROUND(Návrh!#REF!,-3)/$X$2</f>
        <v>#REF!</v>
      </c>
      <c r="K366" s="95">
        <f>+ROUND(Návrh!J363,-3)/$X$2</f>
        <v>-593022</v>
      </c>
      <c r="L366" s="95">
        <f>+ROUND(Návrh!K363,-3)/$X$2</f>
        <v>-619979</v>
      </c>
      <c r="M366" s="70"/>
    </row>
    <row r="367" spans="1:13" x14ac:dyDescent="0.25">
      <c r="A367" s="42" t="s">
        <v>1268</v>
      </c>
      <c r="B367" s="20" t="s">
        <v>1432</v>
      </c>
      <c r="C367" s="20" t="s">
        <v>920</v>
      </c>
      <c r="D367" s="20" t="s">
        <v>1244</v>
      </c>
      <c r="E367" s="290" t="s">
        <v>362</v>
      </c>
      <c r="F367" s="291"/>
      <c r="G367" s="91">
        <f>+ROUND(Návrh!G364,-3)/$X$2</f>
        <v>-464687</v>
      </c>
      <c r="H367" s="91">
        <f>+ROUND(Návrh!H364,-3)/$X$2</f>
        <v>-527558</v>
      </c>
      <c r="I367" s="91">
        <f>+ROUND(Návrh!I364,-3)/$X$2</f>
        <v>-576979</v>
      </c>
      <c r="J367" s="91" t="e">
        <f>+ROUND(Návrh!#REF!,-3)/$X$2</f>
        <v>#REF!</v>
      </c>
      <c r="K367" s="91">
        <f>+ROUND(Návrh!J364,-3)/$X$2</f>
        <v>-593022</v>
      </c>
      <c r="L367" s="91">
        <f>+ROUND(Návrh!K364,-3)/$X$2</f>
        <v>-619979</v>
      </c>
      <c r="M367" s="70"/>
    </row>
    <row r="368" spans="1:13" x14ac:dyDescent="0.25">
      <c r="A368" s="26" t="s">
        <v>1269</v>
      </c>
      <c r="B368" s="26"/>
      <c r="C368" s="23"/>
      <c r="D368" s="23"/>
      <c r="E368" s="300" t="s">
        <v>363</v>
      </c>
      <c r="F368" s="301"/>
      <c r="G368" s="95">
        <f>+ROUND(Návrh!G365,-3)/$X$2</f>
        <v>41</v>
      </c>
      <c r="H368" s="95">
        <f>+ROUND(Návrh!H365,-3)/$X$2</f>
        <v>52</v>
      </c>
      <c r="I368" s="95">
        <f>+ROUND(Návrh!I365,-3)/$X$2</f>
        <v>0</v>
      </c>
      <c r="J368" s="95" t="e">
        <f>+ROUND(Návrh!#REF!,-3)/$X$2</f>
        <v>#REF!</v>
      </c>
      <c r="K368" s="95">
        <f>+ROUND(Návrh!J365,-3)/$X$2</f>
        <v>0</v>
      </c>
      <c r="L368" s="95">
        <f>+ROUND(Návrh!K365,-3)/$X$2</f>
        <v>0</v>
      </c>
      <c r="M368" s="70"/>
    </row>
    <row r="369" spans="1:13" x14ac:dyDescent="0.25">
      <c r="A369" s="42" t="s">
        <v>1270</v>
      </c>
      <c r="B369" s="20"/>
      <c r="C369" s="20"/>
      <c r="D369" s="20"/>
      <c r="E369" s="290" t="s">
        <v>364</v>
      </c>
      <c r="F369" s="291"/>
      <c r="G369" s="91">
        <f>+ROUND(Návrh!G366,-3)/$X$2</f>
        <v>41</v>
      </c>
      <c r="H369" s="91">
        <f>+ROUND(Návrh!H366,-3)/$X$2</f>
        <v>52</v>
      </c>
      <c r="I369" s="91">
        <f>+ROUND(Návrh!I366,-3)/$X$2</f>
        <v>0</v>
      </c>
      <c r="J369" s="91" t="e">
        <f>+ROUND(Návrh!#REF!,-3)/$X$2</f>
        <v>#REF!</v>
      </c>
      <c r="K369" s="91">
        <f>+ROUND(Návrh!J366,-3)/$X$2</f>
        <v>0</v>
      </c>
      <c r="L369" s="91">
        <f>+ROUND(Návrh!K366,-3)/$X$2</f>
        <v>0</v>
      </c>
      <c r="M369" s="70"/>
    </row>
    <row r="370" spans="1:13" x14ac:dyDescent="0.25">
      <c r="A370" s="26" t="s">
        <v>1271</v>
      </c>
      <c r="B370" s="26"/>
      <c r="C370" s="23"/>
      <c r="D370" s="23"/>
      <c r="E370" s="300" t="s">
        <v>365</v>
      </c>
      <c r="F370" s="301"/>
      <c r="G370" s="95">
        <f>+ROUND(Návrh!G367,-3)/$X$2</f>
        <v>114</v>
      </c>
      <c r="H370" s="95">
        <f>+ROUND(Návrh!H367,-3)/$X$2</f>
        <v>145</v>
      </c>
      <c r="I370" s="95">
        <f>+ROUND(Návrh!I367,-3)/$X$2</f>
        <v>0</v>
      </c>
      <c r="J370" s="95" t="e">
        <f>+ROUND(Návrh!#REF!,-3)/$X$2</f>
        <v>#REF!</v>
      </c>
      <c r="K370" s="95">
        <f>+ROUND(Návrh!J367,-3)/$X$2</f>
        <v>0</v>
      </c>
      <c r="L370" s="95">
        <f>+ROUND(Návrh!K367,-3)/$X$2</f>
        <v>0</v>
      </c>
      <c r="M370" s="70"/>
    </row>
    <row r="371" spans="1:13" x14ac:dyDescent="0.25">
      <c r="A371" s="42" t="s">
        <v>1272</v>
      </c>
      <c r="B371" s="20"/>
      <c r="C371" s="20"/>
      <c r="D371" s="20"/>
      <c r="E371" s="290" t="s">
        <v>366</v>
      </c>
      <c r="F371" s="291"/>
      <c r="G371" s="91">
        <f>+ROUND(Návrh!G368,-3)/$X$2</f>
        <v>114</v>
      </c>
      <c r="H371" s="91">
        <f>+ROUND(Návrh!H368,-3)/$X$2</f>
        <v>145</v>
      </c>
      <c r="I371" s="91">
        <f>+ROUND(Návrh!I368,-3)/$X$2</f>
        <v>0</v>
      </c>
      <c r="J371" s="91" t="e">
        <f>+ROUND(Návrh!#REF!,-3)/$X$2</f>
        <v>#REF!</v>
      </c>
      <c r="K371" s="91">
        <f>+ROUND(Návrh!J368,-3)/$X$2</f>
        <v>0</v>
      </c>
      <c r="L371" s="91">
        <f>+ROUND(Návrh!K368,-3)/$X$2</f>
        <v>0</v>
      </c>
      <c r="M371" s="70"/>
    </row>
    <row r="372" spans="1:13" x14ac:dyDescent="0.25">
      <c r="A372" s="26" t="s">
        <v>1273</v>
      </c>
      <c r="B372" s="26"/>
      <c r="C372" s="23"/>
      <c r="D372" s="23"/>
      <c r="E372" s="300" t="s">
        <v>367</v>
      </c>
      <c r="F372" s="301"/>
      <c r="G372" s="95">
        <f>+ROUND(Návrh!G369,-3)/$X$2</f>
        <v>-459</v>
      </c>
      <c r="H372" s="95">
        <f>+ROUND(Návrh!H369,-3)/$X$2</f>
        <v>-491</v>
      </c>
      <c r="I372" s="95">
        <f>+ROUND(Návrh!I369,-3)/$X$2</f>
        <v>0</v>
      </c>
      <c r="J372" s="95" t="e">
        <f>+ROUND(Návrh!#REF!,-3)/$X$2</f>
        <v>#REF!</v>
      </c>
      <c r="K372" s="95">
        <f>+ROUND(Návrh!J369,-3)/$X$2</f>
        <v>0</v>
      </c>
      <c r="L372" s="95">
        <f>+ROUND(Návrh!K369,-3)/$X$2</f>
        <v>0</v>
      </c>
      <c r="M372" s="70"/>
    </row>
    <row r="373" spans="1:13" x14ac:dyDescent="0.25">
      <c r="A373" s="42" t="s">
        <v>1274</v>
      </c>
      <c r="B373" s="14"/>
      <c r="C373" s="13"/>
      <c r="D373" s="13"/>
      <c r="E373" s="290" t="s">
        <v>368</v>
      </c>
      <c r="F373" s="291"/>
      <c r="G373" s="91">
        <f>+ROUND(Návrh!G370,-3)/$X$2</f>
        <v>-121</v>
      </c>
      <c r="H373" s="91">
        <f>+ROUND(Návrh!H370,-3)/$X$2</f>
        <v>-130</v>
      </c>
      <c r="I373" s="91">
        <f>+ROUND(Návrh!I370,-3)/$X$2</f>
        <v>0</v>
      </c>
      <c r="J373" s="91" t="e">
        <f>+ROUND(Návrh!#REF!,-3)/$X$2</f>
        <v>#REF!</v>
      </c>
      <c r="K373" s="91">
        <f>+ROUND(Návrh!J370,-3)/$X$2</f>
        <v>0</v>
      </c>
      <c r="L373" s="91">
        <f>+ROUND(Návrh!K370,-3)/$X$2</f>
        <v>0</v>
      </c>
      <c r="M373" s="70"/>
    </row>
    <row r="374" spans="1:13" x14ac:dyDescent="0.25">
      <c r="A374" s="42" t="s">
        <v>1275</v>
      </c>
      <c r="B374" s="14"/>
      <c r="C374" s="13"/>
      <c r="D374" s="13"/>
      <c r="E374" s="290" t="s">
        <v>369</v>
      </c>
      <c r="F374" s="291"/>
      <c r="G374" s="91">
        <f>+ROUND(Návrh!G371,-3)/$X$2</f>
        <v>-337</v>
      </c>
      <c r="H374" s="91">
        <f>+ROUND(Návrh!H371,-3)/$X$2</f>
        <v>-361</v>
      </c>
      <c r="I374" s="91">
        <f>+ROUND(Návrh!I371,-3)/$X$2</f>
        <v>0</v>
      </c>
      <c r="J374" s="91" t="e">
        <f>+ROUND(Návrh!#REF!,-3)/$X$2</f>
        <v>#REF!</v>
      </c>
      <c r="K374" s="91">
        <f>+ROUND(Návrh!J371,-3)/$X$2</f>
        <v>0</v>
      </c>
      <c r="L374" s="91">
        <f>+ROUND(Návrh!K371,-3)/$X$2</f>
        <v>0</v>
      </c>
      <c r="M374" s="70"/>
    </row>
    <row r="375" spans="1:13" x14ac:dyDescent="0.25">
      <c r="A375" s="38" t="s">
        <v>370</v>
      </c>
      <c r="B375" s="38"/>
      <c r="C375" s="22"/>
      <c r="D375" s="22"/>
      <c r="E375" s="296" t="s">
        <v>371</v>
      </c>
      <c r="F375" s="297"/>
      <c r="G375" s="94">
        <f>+ROUND(Návrh!G372,-3)/$X$2</f>
        <v>-7943</v>
      </c>
      <c r="H375" s="94">
        <f>+ROUND(Návrh!H372,-3)/$X$2</f>
        <v>-9000</v>
      </c>
      <c r="I375" s="94">
        <f>+ROUND(Návrh!I372,-3)/$X$2</f>
        <v>-9732</v>
      </c>
      <c r="J375" s="94" t="e">
        <f>+ROUND(Návrh!#REF!,-3)/$X$2</f>
        <v>#REF!</v>
      </c>
      <c r="K375" s="94">
        <f>+ROUND(Návrh!J372,-3)/$X$2</f>
        <v>-7161</v>
      </c>
      <c r="L375" s="94">
        <f>+ROUND(Návrh!K372,-3)/$X$2</f>
        <v>-10474</v>
      </c>
      <c r="M375" s="70"/>
    </row>
    <row r="376" spans="1:13" x14ac:dyDescent="0.25">
      <c r="A376" s="26" t="s">
        <v>1276</v>
      </c>
      <c r="B376" s="26"/>
      <c r="C376" s="23"/>
      <c r="D376" s="23"/>
      <c r="E376" s="300" t="s">
        <v>372</v>
      </c>
      <c r="F376" s="301"/>
      <c r="G376" s="95">
        <f>+ROUND(Návrh!G373,-3)/$X$2</f>
        <v>-7943</v>
      </c>
      <c r="H376" s="95">
        <f>+ROUND(Návrh!H373,-3)/$X$2</f>
        <v>-9000</v>
      </c>
      <c r="I376" s="95">
        <f>+ROUND(Návrh!I373,-3)/$X$2</f>
        <v>-9732</v>
      </c>
      <c r="J376" s="95" t="e">
        <f>+ROUND(Návrh!#REF!,-3)/$X$2</f>
        <v>#REF!</v>
      </c>
      <c r="K376" s="95">
        <f>+ROUND(Návrh!J373,-3)/$X$2</f>
        <v>-7161</v>
      </c>
      <c r="L376" s="95">
        <f>+ROUND(Návrh!K373,-3)/$X$2</f>
        <v>-10474</v>
      </c>
      <c r="M376" s="70"/>
    </row>
    <row r="377" spans="1:13" x14ac:dyDescent="0.25">
      <c r="A377" s="42" t="s">
        <v>1277</v>
      </c>
      <c r="B377" s="20" t="s">
        <v>1432</v>
      </c>
      <c r="C377" s="20" t="s">
        <v>920</v>
      </c>
      <c r="D377" s="20" t="s">
        <v>1244</v>
      </c>
      <c r="E377" s="290" t="s">
        <v>373</v>
      </c>
      <c r="F377" s="291"/>
      <c r="G377" s="91">
        <f>+ROUND(Návrh!G374,-3)/$X$2</f>
        <v>-7943</v>
      </c>
      <c r="H377" s="91">
        <f>+ROUND(Návrh!H374,-3)/$X$2</f>
        <v>-9000</v>
      </c>
      <c r="I377" s="91">
        <f>+ROUND(Návrh!I374,-3)/$X$2</f>
        <v>-9732</v>
      </c>
      <c r="J377" s="91" t="e">
        <f>+ROUND(Návrh!#REF!,-3)/$X$2</f>
        <v>#REF!</v>
      </c>
      <c r="K377" s="91">
        <f>+ROUND(Návrh!J374,-3)/$X$2</f>
        <v>-7161</v>
      </c>
      <c r="L377" s="91">
        <f>+ROUND(Návrh!K374,-3)/$X$2</f>
        <v>-10474</v>
      </c>
      <c r="M377" s="70"/>
    </row>
    <row r="378" spans="1:13" x14ac:dyDescent="0.25">
      <c r="A378" s="86" t="s">
        <v>1662</v>
      </c>
      <c r="B378" s="21" t="s">
        <v>1432</v>
      </c>
      <c r="C378" s="21" t="s">
        <v>920</v>
      </c>
      <c r="D378" s="21" t="s">
        <v>1245</v>
      </c>
      <c r="E378" s="292" t="s">
        <v>1663</v>
      </c>
      <c r="F378" s="293"/>
      <c r="G378" s="98">
        <f>+ROUND(Návrh!G375,-3)/$X$2</f>
        <v>0</v>
      </c>
      <c r="H378" s="98">
        <f>+ROUND(Návrh!H375,-3)/$X$2</f>
        <v>0</v>
      </c>
      <c r="I378" s="98">
        <f>+ROUND(Návrh!I375,-3)/$X$2</f>
        <v>0</v>
      </c>
      <c r="J378" s="98" t="e">
        <f>+ROUND(Návrh!#REF!,-3)/$X$2</f>
        <v>#REF!</v>
      </c>
      <c r="K378" s="98">
        <f>+ROUND(Návrh!J375,-3)/$X$2</f>
        <v>0</v>
      </c>
      <c r="L378" s="98">
        <f>+ROUND(Návrh!K375,-3)/$X$2</f>
        <v>0</v>
      </c>
      <c r="M378" s="70"/>
    </row>
    <row r="379" spans="1:13" x14ac:dyDescent="0.25">
      <c r="A379" s="38" t="s">
        <v>374</v>
      </c>
      <c r="B379" s="36"/>
      <c r="C379" s="22"/>
      <c r="D379" s="22"/>
      <c r="E379" s="296" t="s">
        <v>375</v>
      </c>
      <c r="F379" s="297"/>
      <c r="G379" s="94">
        <f>+ROUND(Návrh!G376,-3)/$X$2</f>
        <v>0</v>
      </c>
      <c r="H379" s="94">
        <f>+ROUND(Návrh!H376,-3)/$X$2</f>
        <v>0</v>
      </c>
      <c r="I379" s="94">
        <f>+ROUND(Návrh!I376,-3)/$X$2</f>
        <v>0</v>
      </c>
      <c r="J379" s="94" t="e">
        <f>+ROUND(Návrh!#REF!,-3)/$X$2</f>
        <v>#REF!</v>
      </c>
      <c r="K379" s="94">
        <f>+ROUND(Návrh!J376,-3)/$X$2</f>
        <v>0</v>
      </c>
      <c r="L379" s="94">
        <f>+ROUND(Návrh!K376,-3)/$X$2</f>
        <v>0</v>
      </c>
      <c r="M379" s="70"/>
    </row>
    <row r="380" spans="1:13" x14ac:dyDescent="0.25">
      <c r="A380" s="38" t="s">
        <v>376</v>
      </c>
      <c r="B380" s="36"/>
      <c r="C380" s="22"/>
      <c r="D380" s="22"/>
      <c r="E380" s="296" t="s">
        <v>377</v>
      </c>
      <c r="F380" s="297"/>
      <c r="G380" s="94">
        <f>+ROUND(Návrh!G377,-3)/$X$2</f>
        <v>-37492</v>
      </c>
      <c r="H380" s="94">
        <f>+ROUND(Návrh!H377,-3)/$X$2</f>
        <v>-42438</v>
      </c>
      <c r="I380" s="94">
        <f>+ROUND(Návrh!I377,-3)/$X$2</f>
        <v>-47051</v>
      </c>
      <c r="J380" s="94" t="e">
        <f>+ROUND(Návrh!#REF!,-3)/$X$2</f>
        <v>#REF!</v>
      </c>
      <c r="K380" s="94">
        <f>+ROUND(Návrh!J377,-3)/$X$2</f>
        <v>-47980</v>
      </c>
      <c r="L380" s="94">
        <f>+ROUND(Návrh!K377,-3)/$X$2</f>
        <v>-50658</v>
      </c>
      <c r="M380" s="70"/>
    </row>
    <row r="381" spans="1:13" x14ac:dyDescent="0.25">
      <c r="A381" s="26" t="s">
        <v>1278</v>
      </c>
      <c r="B381" s="26"/>
      <c r="C381" s="23"/>
      <c r="D381" s="23"/>
      <c r="E381" s="300" t="s">
        <v>378</v>
      </c>
      <c r="F381" s="301"/>
      <c r="G381" s="95">
        <f>+ROUND(Návrh!G378,-3)/$X$2</f>
        <v>27</v>
      </c>
      <c r="H381" s="95">
        <f>+ROUND(Návrh!H378,-3)/$X$2</f>
        <v>29</v>
      </c>
      <c r="I381" s="95">
        <f>+ROUND(Návrh!I378,-3)/$X$2</f>
        <v>0</v>
      </c>
      <c r="J381" s="95" t="e">
        <f>+ROUND(Návrh!#REF!,-3)/$X$2</f>
        <v>#REF!</v>
      </c>
      <c r="K381" s="95">
        <f>+ROUND(Návrh!J378,-3)/$X$2</f>
        <v>0</v>
      </c>
      <c r="L381" s="95">
        <f>+ROUND(Návrh!K378,-3)/$X$2</f>
        <v>0</v>
      </c>
      <c r="M381" s="70"/>
    </row>
    <row r="382" spans="1:13" x14ac:dyDescent="0.25">
      <c r="A382" s="42" t="s">
        <v>1279</v>
      </c>
      <c r="B382" s="14"/>
      <c r="C382" s="13"/>
      <c r="D382" s="13"/>
      <c r="E382" s="290" t="s">
        <v>379</v>
      </c>
      <c r="F382" s="291"/>
      <c r="G382" s="91">
        <f>+ROUND(Návrh!G379,-3)/$X$2</f>
        <v>27</v>
      </c>
      <c r="H382" s="91">
        <f>+ROUND(Návrh!H379,-3)/$X$2</f>
        <v>29</v>
      </c>
      <c r="I382" s="91">
        <f>+ROUND(Návrh!I379,-3)/$X$2</f>
        <v>0</v>
      </c>
      <c r="J382" s="91" t="e">
        <f>+ROUND(Návrh!#REF!,-3)/$X$2</f>
        <v>#REF!</v>
      </c>
      <c r="K382" s="91">
        <f>+ROUND(Návrh!J379,-3)/$X$2</f>
        <v>0</v>
      </c>
      <c r="L382" s="91">
        <f>+ROUND(Návrh!K379,-3)/$X$2</f>
        <v>0</v>
      </c>
      <c r="M382" s="70"/>
    </row>
    <row r="383" spans="1:13" x14ac:dyDescent="0.25">
      <c r="A383" s="26" t="s">
        <v>1280</v>
      </c>
      <c r="B383" s="26"/>
      <c r="C383" s="23"/>
      <c r="D383" s="23"/>
      <c r="E383" s="300" t="s">
        <v>380</v>
      </c>
      <c r="F383" s="301"/>
      <c r="G383" s="95">
        <f>+ROUND(Návrh!G380,-3)/$X$2</f>
        <v>-37492</v>
      </c>
      <c r="H383" s="95">
        <f>+ROUND(Návrh!H380,-3)/$X$2</f>
        <v>-42438</v>
      </c>
      <c r="I383" s="95">
        <f>+ROUND(Návrh!I380,-3)/$X$2</f>
        <v>-47051</v>
      </c>
      <c r="J383" s="95" t="e">
        <f>+ROUND(Návrh!#REF!,-3)/$X$2</f>
        <v>#REF!</v>
      </c>
      <c r="K383" s="95">
        <f>+ROUND(Návrh!J380,-3)/$X$2</f>
        <v>-47980</v>
      </c>
      <c r="L383" s="95">
        <f>+ROUND(Návrh!K380,-3)/$X$2</f>
        <v>-50658</v>
      </c>
      <c r="M383" s="70"/>
    </row>
    <row r="384" spans="1:13" x14ac:dyDescent="0.25">
      <c r="A384" s="42" t="s">
        <v>1281</v>
      </c>
      <c r="B384" s="20" t="s">
        <v>1432</v>
      </c>
      <c r="C384" s="20" t="s">
        <v>920</v>
      </c>
      <c r="D384" s="20" t="s">
        <v>1244</v>
      </c>
      <c r="E384" s="290" t="s">
        <v>381</v>
      </c>
      <c r="F384" s="291"/>
      <c r="G384" s="91">
        <f>+ROUND(Návrh!G381,-3)/$X$2</f>
        <v>-37492</v>
      </c>
      <c r="H384" s="91">
        <f>+ROUND(Návrh!H381,-3)/$X$2</f>
        <v>-42438</v>
      </c>
      <c r="I384" s="91">
        <f>+ROUND(Návrh!I381,-3)/$X$2</f>
        <v>-47051</v>
      </c>
      <c r="J384" s="91" t="e">
        <f>+ROUND(Návrh!#REF!,-3)/$X$2</f>
        <v>#REF!</v>
      </c>
      <c r="K384" s="91">
        <f>+ROUND(Návrh!J381,-3)/$X$2</f>
        <v>-47980</v>
      </c>
      <c r="L384" s="91">
        <f>+ROUND(Návrh!K381,-3)/$X$2</f>
        <v>-50658</v>
      </c>
      <c r="M384" s="70"/>
    </row>
    <row r="385" spans="1:13" x14ac:dyDescent="0.25">
      <c r="A385" s="26" t="s">
        <v>1282</v>
      </c>
      <c r="B385" s="26"/>
      <c r="C385" s="23"/>
      <c r="D385" s="23"/>
      <c r="E385" s="300" t="s">
        <v>382</v>
      </c>
      <c r="F385" s="301"/>
      <c r="G385" s="95">
        <f>+ROUND(Návrh!G382,-3)/$X$2</f>
        <v>-27</v>
      </c>
      <c r="H385" s="95">
        <f>+ROUND(Návrh!H382,-3)/$X$2</f>
        <v>-29</v>
      </c>
      <c r="I385" s="95">
        <f>+ROUND(Návrh!I382,-3)/$X$2</f>
        <v>0</v>
      </c>
      <c r="J385" s="95" t="e">
        <f>+ROUND(Návrh!#REF!,-3)/$X$2</f>
        <v>#REF!</v>
      </c>
      <c r="K385" s="95">
        <f>+ROUND(Návrh!J382,-3)/$X$2</f>
        <v>0</v>
      </c>
      <c r="L385" s="95">
        <f>+ROUND(Návrh!K382,-3)/$X$2</f>
        <v>0</v>
      </c>
      <c r="M385" s="70"/>
    </row>
    <row r="386" spans="1:13" x14ac:dyDescent="0.25">
      <c r="A386" s="42" t="s">
        <v>1283</v>
      </c>
      <c r="B386" s="14"/>
      <c r="C386" s="13"/>
      <c r="D386" s="13"/>
      <c r="E386" s="290" t="s">
        <v>383</v>
      </c>
      <c r="F386" s="291"/>
      <c r="G386" s="91">
        <f>+ROUND(Návrh!G383,-3)/$X$2</f>
        <v>-27</v>
      </c>
      <c r="H386" s="91">
        <f>+ROUND(Návrh!H383,-3)/$X$2</f>
        <v>-29</v>
      </c>
      <c r="I386" s="91">
        <f>+ROUND(Návrh!I383,-3)/$X$2</f>
        <v>0</v>
      </c>
      <c r="J386" s="91" t="e">
        <f>+ROUND(Návrh!#REF!,-3)/$X$2</f>
        <v>#REF!</v>
      </c>
      <c r="K386" s="91">
        <f>+ROUND(Návrh!J383,-3)/$X$2</f>
        <v>0</v>
      </c>
      <c r="L386" s="91">
        <f>+ROUND(Návrh!K383,-3)/$X$2</f>
        <v>0</v>
      </c>
      <c r="M386" s="70"/>
    </row>
    <row r="387" spans="1:13" x14ac:dyDescent="0.25">
      <c r="A387" s="38" t="s">
        <v>384</v>
      </c>
      <c r="B387" s="38"/>
      <c r="C387" s="22"/>
      <c r="D387" s="22"/>
      <c r="E387" s="296" t="s">
        <v>385</v>
      </c>
      <c r="F387" s="297"/>
      <c r="G387" s="94">
        <f>+ROUND(Návrh!G384,-3)/$X$2</f>
        <v>0</v>
      </c>
      <c r="H387" s="94">
        <f>+ROUND(Návrh!H384,-3)/$X$2</f>
        <v>0</v>
      </c>
      <c r="I387" s="94">
        <f>+ROUND(Návrh!I384,-3)/$X$2</f>
        <v>0</v>
      </c>
      <c r="J387" s="94" t="e">
        <f>+ROUND(Návrh!#REF!,-3)/$X$2</f>
        <v>#REF!</v>
      </c>
      <c r="K387" s="94">
        <f>+ROUND(Návrh!J384,-3)/$X$2</f>
        <v>0</v>
      </c>
      <c r="L387" s="94">
        <f>+ROUND(Návrh!K384,-3)/$X$2</f>
        <v>0</v>
      </c>
      <c r="M387" s="70"/>
    </row>
    <row r="388" spans="1:13" x14ac:dyDescent="0.25">
      <c r="A388" s="26" t="s">
        <v>1284</v>
      </c>
      <c r="B388" s="26"/>
      <c r="C388" s="23"/>
      <c r="D388" s="23"/>
      <c r="E388" s="300" t="s">
        <v>386</v>
      </c>
      <c r="F388" s="301"/>
      <c r="G388" s="95">
        <f>+ROUND(Návrh!G385,-3)/$X$2</f>
        <v>0</v>
      </c>
      <c r="H388" s="95">
        <f>+ROUND(Návrh!H385,-3)/$X$2</f>
        <v>0</v>
      </c>
      <c r="I388" s="95">
        <f>+ROUND(Návrh!I385,-3)/$X$2</f>
        <v>0</v>
      </c>
      <c r="J388" s="95" t="e">
        <f>+ROUND(Návrh!#REF!,-3)/$X$2</f>
        <v>#REF!</v>
      </c>
      <c r="K388" s="95">
        <f>+ROUND(Návrh!J385,-3)/$X$2</f>
        <v>0</v>
      </c>
      <c r="L388" s="95">
        <f>+ROUND(Návrh!K385,-3)/$X$2</f>
        <v>0</v>
      </c>
      <c r="M388" s="70"/>
    </row>
    <row r="389" spans="1:13" x14ac:dyDescent="0.25">
      <c r="A389" s="86" t="s">
        <v>1657</v>
      </c>
      <c r="B389" s="21" t="s">
        <v>1432</v>
      </c>
      <c r="C389" s="21" t="s">
        <v>920</v>
      </c>
      <c r="D389" s="21" t="s">
        <v>1244</v>
      </c>
      <c r="E389" s="292" t="s">
        <v>1658</v>
      </c>
      <c r="F389" s="293"/>
      <c r="G389" s="98">
        <f>+ROUND(Návrh!G386,-3)/$X$2</f>
        <v>0</v>
      </c>
      <c r="H389" s="98">
        <f>+ROUND(Návrh!H386,-3)/$X$2</f>
        <v>0</v>
      </c>
      <c r="I389" s="98">
        <f>+ROUND(Návrh!I386,-3)/$X$2</f>
        <v>0</v>
      </c>
      <c r="J389" s="98" t="e">
        <f>+ROUND(Návrh!#REF!,-3)/$X$2</f>
        <v>#REF!</v>
      </c>
      <c r="K389" s="98">
        <f>+ROUND(Návrh!J386,-3)/$X$2</f>
        <v>0</v>
      </c>
      <c r="L389" s="98">
        <f>+ROUND(Návrh!K386,-3)/$X$2</f>
        <v>0</v>
      </c>
      <c r="M389" s="70"/>
    </row>
    <row r="390" spans="1:13" x14ac:dyDescent="0.25">
      <c r="A390" s="42" t="s">
        <v>1285</v>
      </c>
      <c r="B390" s="20" t="s">
        <v>1432</v>
      </c>
      <c r="C390" s="20" t="s">
        <v>920</v>
      </c>
      <c r="D390" s="20" t="s">
        <v>1244</v>
      </c>
      <c r="E390" s="290" t="s">
        <v>387</v>
      </c>
      <c r="F390" s="291"/>
      <c r="G390" s="91">
        <f>+ROUND(Návrh!G387,-3)/$X$2</f>
        <v>0</v>
      </c>
      <c r="H390" s="91">
        <f>+ROUND(Návrh!H387,-3)/$X$2</f>
        <v>0</v>
      </c>
      <c r="I390" s="91">
        <f>+ROUND(Návrh!I387,-3)/$X$2</f>
        <v>0</v>
      </c>
      <c r="J390" s="91" t="e">
        <f>+ROUND(Návrh!#REF!,-3)/$X$2</f>
        <v>#REF!</v>
      </c>
      <c r="K390" s="91">
        <f>+ROUND(Návrh!J387,-3)/$X$2</f>
        <v>0</v>
      </c>
      <c r="L390" s="91">
        <f>+ROUND(Návrh!K387,-3)/$X$2</f>
        <v>0</v>
      </c>
      <c r="M390" s="70"/>
    </row>
    <row r="391" spans="1:13" x14ac:dyDescent="0.25">
      <c r="A391" s="41" t="s">
        <v>388</v>
      </c>
      <c r="B391" s="41"/>
      <c r="C391" s="40"/>
      <c r="D391" s="40"/>
      <c r="E391" s="298" t="s">
        <v>389</v>
      </c>
      <c r="F391" s="299"/>
      <c r="G391" s="92">
        <f>+ROUND(Návrh!G388,-3)/$X$2</f>
        <v>-201</v>
      </c>
      <c r="H391" s="92">
        <f>+ROUND(Návrh!H388,-3)/$X$2</f>
        <v>-215</v>
      </c>
      <c r="I391" s="92">
        <f>+ROUND(Návrh!I388,-3)/$X$2</f>
        <v>-231</v>
      </c>
      <c r="J391" s="92" t="e">
        <f>+ROUND(Návrh!#REF!,-3)/$X$2</f>
        <v>#REF!</v>
      </c>
      <c r="K391" s="92">
        <f>+ROUND(Návrh!J388,-3)/$X$2</f>
        <v>-65</v>
      </c>
      <c r="L391" s="92">
        <f>+ROUND(Návrh!K388,-3)/$X$2</f>
        <v>-221</v>
      </c>
      <c r="M391" s="70"/>
    </row>
    <row r="392" spans="1:13" x14ac:dyDescent="0.25">
      <c r="A392" s="38" t="s">
        <v>390</v>
      </c>
      <c r="B392" s="36"/>
      <c r="C392" s="22"/>
      <c r="D392" s="22"/>
      <c r="E392" s="296" t="s">
        <v>391</v>
      </c>
      <c r="F392" s="297"/>
      <c r="G392" s="94">
        <f>+ROUND(Návrh!G389,-3)/$X$2</f>
        <v>-95</v>
      </c>
      <c r="H392" s="94">
        <f>+ROUND(Návrh!H389,-3)/$X$2</f>
        <v>-99</v>
      </c>
      <c r="I392" s="94">
        <f>+ROUND(Návrh!I389,-3)/$X$2</f>
        <v>-96</v>
      </c>
      <c r="J392" s="94" t="e">
        <f>+ROUND(Návrh!#REF!,-3)/$X$2</f>
        <v>#REF!</v>
      </c>
      <c r="K392" s="94">
        <f>+ROUND(Návrh!J389,-3)/$X$2</f>
        <v>0</v>
      </c>
      <c r="L392" s="94">
        <f>+ROUND(Návrh!K389,-3)/$X$2</f>
        <v>-110</v>
      </c>
      <c r="M392" s="70"/>
    </row>
    <row r="393" spans="1:13" x14ac:dyDescent="0.25">
      <c r="A393" s="26" t="s">
        <v>1286</v>
      </c>
      <c r="B393" s="26"/>
      <c r="C393" s="23"/>
      <c r="D393" s="23"/>
      <c r="E393" s="300" t="s">
        <v>392</v>
      </c>
      <c r="F393" s="301"/>
      <c r="G393" s="95">
        <f>+ROUND(Návrh!G390,-3)/$X$2</f>
        <v>-95</v>
      </c>
      <c r="H393" s="95">
        <f>+ROUND(Návrh!H390,-3)/$X$2</f>
        <v>-99</v>
      </c>
      <c r="I393" s="95">
        <f>+ROUND(Návrh!I390,-3)/$X$2</f>
        <v>-96</v>
      </c>
      <c r="J393" s="95" t="e">
        <f>+ROUND(Návrh!#REF!,-3)/$X$2</f>
        <v>#REF!</v>
      </c>
      <c r="K393" s="95">
        <f>+ROUND(Návrh!J390,-3)/$X$2</f>
        <v>0</v>
      </c>
      <c r="L393" s="95">
        <f>+ROUND(Návrh!K390,-3)/$X$2</f>
        <v>-110</v>
      </c>
      <c r="M393" s="70"/>
    </row>
    <row r="394" spans="1:13" x14ac:dyDescent="0.25">
      <c r="A394" s="42" t="s">
        <v>1287</v>
      </c>
      <c r="B394" s="27" t="s">
        <v>916</v>
      </c>
      <c r="C394" s="28" t="s">
        <v>923</v>
      </c>
      <c r="D394" s="28" t="s">
        <v>1643</v>
      </c>
      <c r="E394" s="290" t="s">
        <v>393</v>
      </c>
      <c r="F394" s="291"/>
      <c r="G394" s="91">
        <f>+ROUND(Návrh!G391,-3)/$X$2</f>
        <v>-95</v>
      </c>
      <c r="H394" s="91">
        <f>+ROUND(Návrh!H391,-3)/$X$2</f>
        <v>-99</v>
      </c>
      <c r="I394" s="91">
        <f>+ROUND(Návrh!I391,-3)/$X$2</f>
        <v>-96</v>
      </c>
      <c r="J394" s="91" t="e">
        <f>+ROUND(Návrh!#REF!,-3)/$X$2</f>
        <v>#REF!</v>
      </c>
      <c r="K394" s="91">
        <f>+ROUND(Návrh!J391,-3)/$X$2</f>
        <v>0</v>
      </c>
      <c r="L394" s="91">
        <f>+ROUND(Návrh!K391,-3)/$X$2</f>
        <v>-110</v>
      </c>
      <c r="M394" s="70"/>
    </row>
    <row r="395" spans="1:13" x14ac:dyDescent="0.25">
      <c r="A395" s="38" t="s">
        <v>394</v>
      </c>
      <c r="B395" s="38"/>
      <c r="C395" s="22"/>
      <c r="D395" s="22"/>
      <c r="E395" s="296" t="s">
        <v>395</v>
      </c>
      <c r="F395" s="297"/>
      <c r="G395" s="94">
        <f>+ROUND(Návrh!G392,-3)/$X$2</f>
        <v>-88</v>
      </c>
      <c r="H395" s="94">
        <f>+ROUND(Návrh!H392,-3)/$X$2</f>
        <v>-85</v>
      </c>
      <c r="I395" s="94">
        <f>+ROUND(Návrh!I392,-3)/$X$2</f>
        <v>-110</v>
      </c>
      <c r="J395" s="94" t="e">
        <f>+ROUND(Návrh!#REF!,-3)/$X$2</f>
        <v>#REF!</v>
      </c>
      <c r="K395" s="94">
        <f>+ROUND(Návrh!J392,-3)/$X$2</f>
        <v>0</v>
      </c>
      <c r="L395" s="94">
        <f>+ROUND(Návrh!K392,-3)/$X$2</f>
        <v>-86</v>
      </c>
      <c r="M395" s="70"/>
    </row>
    <row r="396" spans="1:13" x14ac:dyDescent="0.25">
      <c r="A396" s="26" t="s">
        <v>1288</v>
      </c>
      <c r="B396" s="24"/>
      <c r="C396" s="23"/>
      <c r="D396" s="23"/>
      <c r="E396" s="300" t="s">
        <v>396</v>
      </c>
      <c r="F396" s="301"/>
      <c r="G396" s="95">
        <f>+ROUND(Návrh!G393,-3)/$X$2</f>
        <v>-88</v>
      </c>
      <c r="H396" s="95">
        <f>+ROUND(Návrh!H393,-3)/$X$2</f>
        <v>-85</v>
      </c>
      <c r="I396" s="95">
        <f>+ROUND(Návrh!I393,-3)/$X$2</f>
        <v>-110</v>
      </c>
      <c r="J396" s="95" t="e">
        <f>+ROUND(Návrh!#REF!,-3)/$X$2</f>
        <v>#REF!</v>
      </c>
      <c r="K396" s="95">
        <f>+ROUND(Návrh!J393,-3)/$X$2</f>
        <v>0</v>
      </c>
      <c r="L396" s="95">
        <f>+ROUND(Návrh!K393,-3)/$X$2</f>
        <v>-86</v>
      </c>
      <c r="M396" s="70"/>
    </row>
    <row r="397" spans="1:13" x14ac:dyDescent="0.25">
      <c r="A397" s="42" t="s">
        <v>1289</v>
      </c>
      <c r="B397" s="27" t="s">
        <v>916</v>
      </c>
      <c r="C397" s="28" t="s">
        <v>923</v>
      </c>
      <c r="D397" s="28" t="s">
        <v>1643</v>
      </c>
      <c r="E397" s="290" t="s">
        <v>397</v>
      </c>
      <c r="F397" s="291"/>
      <c r="G397" s="91">
        <f>+ROUND(Návrh!G394,-3)/$X$2</f>
        <v>-88</v>
      </c>
      <c r="H397" s="91">
        <f>+ROUND(Návrh!H394,-3)/$X$2</f>
        <v>-85</v>
      </c>
      <c r="I397" s="91">
        <f>+ROUND(Návrh!I394,-3)/$X$2</f>
        <v>-110</v>
      </c>
      <c r="J397" s="91" t="e">
        <f>+ROUND(Návrh!#REF!,-3)/$X$2</f>
        <v>#REF!</v>
      </c>
      <c r="K397" s="91">
        <f>+ROUND(Návrh!J394,-3)/$X$2</f>
        <v>0</v>
      </c>
      <c r="L397" s="91">
        <f>+ROUND(Návrh!K394,-3)/$X$2</f>
        <v>-86</v>
      </c>
      <c r="M397" s="70"/>
    </row>
    <row r="398" spans="1:13" x14ac:dyDescent="0.25">
      <c r="A398" s="38" t="s">
        <v>398</v>
      </c>
      <c r="B398" s="38"/>
      <c r="C398" s="22"/>
      <c r="D398" s="22"/>
      <c r="E398" s="296" t="s">
        <v>399</v>
      </c>
      <c r="F398" s="297"/>
      <c r="G398" s="94">
        <f>+ROUND(Návrh!G395,-3)/$X$2</f>
        <v>-19</v>
      </c>
      <c r="H398" s="94">
        <f>+ROUND(Návrh!H395,-3)/$X$2</f>
        <v>-32</v>
      </c>
      <c r="I398" s="94">
        <f>+ROUND(Návrh!I395,-3)/$X$2</f>
        <v>-25</v>
      </c>
      <c r="J398" s="94" t="e">
        <f>+ROUND(Návrh!#REF!,-3)/$X$2</f>
        <v>#REF!</v>
      </c>
      <c r="K398" s="94">
        <f>+ROUND(Návrh!J395,-3)/$X$2</f>
        <v>-65</v>
      </c>
      <c r="L398" s="94">
        <f>+ROUND(Návrh!K395,-3)/$X$2</f>
        <v>-25</v>
      </c>
      <c r="M398" s="70"/>
    </row>
    <row r="399" spans="1:13" x14ac:dyDescent="0.25">
      <c r="A399" s="26" t="s">
        <v>1290</v>
      </c>
      <c r="B399" s="26"/>
      <c r="C399" s="23"/>
      <c r="D399" s="23"/>
      <c r="E399" s="300" t="s">
        <v>400</v>
      </c>
      <c r="F399" s="301"/>
      <c r="G399" s="95">
        <f>+ROUND(Návrh!G396,-3)/$X$2</f>
        <v>-19</v>
      </c>
      <c r="H399" s="95">
        <f>+ROUND(Návrh!H396,-3)/$X$2</f>
        <v>-32</v>
      </c>
      <c r="I399" s="95">
        <f>+ROUND(Návrh!I396,-3)/$X$2</f>
        <v>-25</v>
      </c>
      <c r="J399" s="95" t="e">
        <f>+ROUND(Návrh!#REF!,-3)/$X$2</f>
        <v>#REF!</v>
      </c>
      <c r="K399" s="95">
        <f>+ROUND(Návrh!J396,-3)/$X$2</f>
        <v>0</v>
      </c>
      <c r="L399" s="95">
        <f>+ROUND(Návrh!K396,-3)/$X$2</f>
        <v>-25</v>
      </c>
      <c r="M399" s="70"/>
    </row>
    <row r="400" spans="1:13" x14ac:dyDescent="0.25">
      <c r="A400" s="42" t="s">
        <v>1291</v>
      </c>
      <c r="B400" s="44"/>
      <c r="C400" s="34"/>
      <c r="D400" s="34"/>
      <c r="E400" s="290" t="s">
        <v>401</v>
      </c>
      <c r="F400" s="291"/>
      <c r="G400" s="91">
        <f>+ROUND(Návrh!G397,-3)/$X$2</f>
        <v>0</v>
      </c>
      <c r="H400" s="91">
        <f>+ROUND(Návrh!H397,-3)/$X$2</f>
        <v>0</v>
      </c>
      <c r="I400" s="91">
        <f>+ROUND(Návrh!I397,-3)/$X$2</f>
        <v>0</v>
      </c>
      <c r="J400" s="91" t="e">
        <f>+ROUND(Návrh!#REF!,-3)/$X$2</f>
        <v>#REF!</v>
      </c>
      <c r="K400" s="91">
        <f>+ROUND(Návrh!J397,-3)/$X$2</f>
        <v>0</v>
      </c>
      <c r="L400" s="91">
        <f>+ROUND(Návrh!K397,-3)/$X$2</f>
        <v>0</v>
      </c>
      <c r="M400" s="70"/>
    </row>
    <row r="401" spans="1:13" x14ac:dyDescent="0.25">
      <c r="A401" s="42" t="s">
        <v>1292</v>
      </c>
      <c r="B401" s="27" t="s">
        <v>916</v>
      </c>
      <c r="C401" s="28" t="s">
        <v>923</v>
      </c>
      <c r="D401" s="28" t="s">
        <v>917</v>
      </c>
      <c r="E401" s="290" t="s">
        <v>402</v>
      </c>
      <c r="F401" s="291"/>
      <c r="G401" s="91">
        <f>+ROUND(Návrh!G398,-3)/$X$2</f>
        <v>49</v>
      </c>
      <c r="H401" s="91">
        <f>+ROUND(Návrh!H398,-3)/$X$2</f>
        <v>57</v>
      </c>
      <c r="I401" s="91">
        <f>+ROUND(Návrh!I398,-3)/$X$2</f>
        <v>0</v>
      </c>
      <c r="J401" s="91" t="e">
        <f>+ROUND(Návrh!#REF!,-3)/$X$2</f>
        <v>#REF!</v>
      </c>
      <c r="K401" s="91">
        <f>+ROUND(Návrh!J398,-3)/$X$2</f>
        <v>0</v>
      </c>
      <c r="L401" s="91">
        <f>+ROUND(Návrh!K398,-3)/$X$2</f>
        <v>0</v>
      </c>
      <c r="M401" s="70"/>
    </row>
    <row r="402" spans="1:13" x14ac:dyDescent="0.25">
      <c r="A402" s="42" t="s">
        <v>1293</v>
      </c>
      <c r="B402" s="27" t="s">
        <v>916</v>
      </c>
      <c r="C402" s="28" t="s">
        <v>920</v>
      </c>
      <c r="D402" s="28" t="s">
        <v>917</v>
      </c>
      <c r="E402" s="290" t="s">
        <v>403</v>
      </c>
      <c r="F402" s="291"/>
      <c r="G402" s="91">
        <f>+ROUND(Návrh!G399,-3)/$X$2</f>
        <v>-48</v>
      </c>
      <c r="H402" s="91">
        <f>+ROUND(Návrh!H399,-3)/$X$2</f>
        <v>-72</v>
      </c>
      <c r="I402" s="91">
        <f>+ROUND(Návrh!I399,-3)/$X$2</f>
        <v>0</v>
      </c>
      <c r="J402" s="91" t="e">
        <f>+ROUND(Návrh!#REF!,-3)/$X$2</f>
        <v>#REF!</v>
      </c>
      <c r="K402" s="91">
        <f>+ROUND(Návrh!J399,-3)/$X$2</f>
        <v>0</v>
      </c>
      <c r="L402" s="91">
        <f>+ROUND(Návrh!K399,-3)/$X$2</f>
        <v>0</v>
      </c>
      <c r="M402" s="70"/>
    </row>
    <row r="403" spans="1:13" x14ac:dyDescent="0.25">
      <c r="A403" s="42" t="s">
        <v>1294</v>
      </c>
      <c r="B403" s="20" t="s">
        <v>916</v>
      </c>
      <c r="C403" s="20" t="s">
        <v>919</v>
      </c>
      <c r="D403" s="20" t="s">
        <v>918</v>
      </c>
      <c r="E403" s="290" t="s">
        <v>404</v>
      </c>
      <c r="F403" s="291"/>
      <c r="G403" s="91">
        <f>+ROUND(Návrh!G400,-3)/$X$2</f>
        <v>-20</v>
      </c>
      <c r="H403" s="91">
        <f>+ROUND(Návrh!H400,-3)/$X$2</f>
        <v>-17</v>
      </c>
      <c r="I403" s="91">
        <f>+ROUND(Návrh!I400,-3)/$X$2</f>
        <v>-25</v>
      </c>
      <c r="J403" s="91" t="e">
        <f>+ROUND(Návrh!#REF!,-3)/$X$2</f>
        <v>#REF!</v>
      </c>
      <c r="K403" s="91">
        <f>+ROUND(Návrh!J400,-3)/$X$2</f>
        <v>0</v>
      </c>
      <c r="L403" s="91">
        <f>+ROUND(Návrh!K400,-3)/$X$2</f>
        <v>-25</v>
      </c>
      <c r="M403" s="70"/>
    </row>
    <row r="404" spans="1:13" x14ac:dyDescent="0.25">
      <c r="A404" s="42" t="s">
        <v>1295</v>
      </c>
      <c r="B404" s="27" t="s">
        <v>916</v>
      </c>
      <c r="C404" s="28" t="s">
        <v>919</v>
      </c>
      <c r="D404" s="28" t="s">
        <v>917</v>
      </c>
      <c r="E404" s="290" t="s">
        <v>405</v>
      </c>
      <c r="F404" s="291"/>
      <c r="G404" s="91">
        <f>+ROUND(Návrh!G401,-3)/$X$2</f>
        <v>0</v>
      </c>
      <c r="H404" s="91">
        <f>+ROUND(Návrh!H401,-3)/$X$2</f>
        <v>0</v>
      </c>
      <c r="I404" s="91">
        <f>+ROUND(Návrh!I401,-3)/$X$2</f>
        <v>0</v>
      </c>
      <c r="J404" s="91" t="e">
        <f>+ROUND(Návrh!#REF!,-3)/$X$2</f>
        <v>#REF!</v>
      </c>
      <c r="K404" s="91">
        <f>+ROUND(Návrh!J401,-3)/$X$2</f>
        <v>0</v>
      </c>
      <c r="L404" s="91">
        <f>+ROUND(Návrh!K401,-3)/$X$2</f>
        <v>0</v>
      </c>
      <c r="M404" s="70"/>
    </row>
    <row r="405" spans="1:13" x14ac:dyDescent="0.25">
      <c r="A405" s="41" t="s">
        <v>406</v>
      </c>
      <c r="B405" s="41"/>
      <c r="C405" s="40"/>
      <c r="D405" s="40"/>
      <c r="E405" s="298" t="s">
        <v>407</v>
      </c>
      <c r="F405" s="299"/>
      <c r="G405" s="92">
        <f>+ROUND(Návrh!G402,-3)/$X$2</f>
        <v>-63418</v>
      </c>
      <c r="H405" s="92">
        <f>+ROUND(Návrh!H402,-3)/$X$2</f>
        <v>-66223</v>
      </c>
      <c r="I405" s="92">
        <f>+ROUND(Návrh!I402,-3)/$X$2</f>
        <v>-73608</v>
      </c>
      <c r="J405" s="92" t="e">
        <f>+ROUND(Návrh!#REF!,-3)/$X$2</f>
        <v>#REF!</v>
      </c>
      <c r="K405" s="92">
        <f>+ROUND(Návrh!J402,-3)/$X$2</f>
        <v>-66417</v>
      </c>
      <c r="L405" s="92">
        <f>+ROUND(Návrh!K402,-3)/$X$2</f>
        <v>-66634</v>
      </c>
      <c r="M405" s="70"/>
    </row>
    <row r="406" spans="1:13" x14ac:dyDescent="0.25">
      <c r="A406" s="38" t="s">
        <v>408</v>
      </c>
      <c r="B406" s="38"/>
      <c r="C406" s="22"/>
      <c r="D406" s="22"/>
      <c r="E406" s="296" t="s">
        <v>409</v>
      </c>
      <c r="F406" s="297"/>
      <c r="G406" s="94">
        <f>+ROUND(Návrh!G403,-3)/$X$2</f>
        <v>-1</v>
      </c>
      <c r="H406" s="94">
        <f>+ROUND(Návrh!H403,-3)/$X$2</f>
        <v>-100</v>
      </c>
      <c r="I406" s="94">
        <f>+ROUND(Návrh!I403,-3)/$X$2</f>
        <v>0</v>
      </c>
      <c r="J406" s="94" t="e">
        <f>+ROUND(Návrh!#REF!,-3)/$X$2</f>
        <v>#REF!</v>
      </c>
      <c r="K406" s="94">
        <f>+ROUND(Návrh!J403,-3)/$X$2</f>
        <v>0</v>
      </c>
      <c r="L406" s="94">
        <f>+ROUND(Návrh!K403,-3)/$X$2</f>
        <v>0</v>
      </c>
      <c r="M406" s="70"/>
    </row>
    <row r="407" spans="1:13" x14ac:dyDescent="0.25">
      <c r="A407" s="26" t="s">
        <v>1296</v>
      </c>
      <c r="B407" s="26"/>
      <c r="C407" s="23"/>
      <c r="D407" s="23"/>
      <c r="E407" s="300" t="s">
        <v>410</v>
      </c>
      <c r="F407" s="301"/>
      <c r="G407" s="95">
        <f>+ROUND(Návrh!G404,-3)/$X$2</f>
        <v>-1</v>
      </c>
      <c r="H407" s="95">
        <f>+ROUND(Návrh!H404,-3)/$X$2</f>
        <v>0</v>
      </c>
      <c r="I407" s="95">
        <f>+ROUND(Návrh!I404,-3)/$X$2</f>
        <v>0</v>
      </c>
      <c r="J407" s="95" t="e">
        <f>+ROUND(Návrh!#REF!,-3)/$X$2</f>
        <v>#REF!</v>
      </c>
      <c r="K407" s="95">
        <f>+ROUND(Návrh!J404,-3)/$X$2</f>
        <v>0</v>
      </c>
      <c r="L407" s="95">
        <f>+ROUND(Návrh!K404,-3)/$X$2</f>
        <v>0</v>
      </c>
      <c r="M407" s="70"/>
    </row>
    <row r="408" spans="1:13" x14ac:dyDescent="0.25">
      <c r="A408" s="42" t="s">
        <v>1297</v>
      </c>
      <c r="B408" s="14"/>
      <c r="C408" s="13"/>
      <c r="D408" s="13"/>
      <c r="E408" s="290" t="s">
        <v>411</v>
      </c>
      <c r="F408" s="291"/>
      <c r="G408" s="91">
        <f>+ROUND(Návrh!G405,-3)/$X$2</f>
        <v>-1</v>
      </c>
      <c r="H408" s="91">
        <f>+ROUND(Návrh!H405,-3)/$X$2</f>
        <v>0</v>
      </c>
      <c r="I408" s="91">
        <f>+ROUND(Návrh!I405,-3)/$X$2</f>
        <v>0</v>
      </c>
      <c r="J408" s="91" t="e">
        <f>+ROUND(Návrh!#REF!,-3)/$X$2</f>
        <v>#REF!</v>
      </c>
      <c r="K408" s="91">
        <f>+ROUND(Návrh!J405,-3)/$X$2</f>
        <v>0</v>
      </c>
      <c r="L408" s="91">
        <f>+ROUND(Návrh!K405,-3)/$X$2</f>
        <v>0</v>
      </c>
      <c r="M408" s="70"/>
    </row>
    <row r="409" spans="1:13" x14ac:dyDescent="0.25">
      <c r="A409" s="26" t="s">
        <v>1298</v>
      </c>
      <c r="B409" s="26"/>
      <c r="C409" s="23"/>
      <c r="D409" s="23"/>
      <c r="E409" s="300" t="s">
        <v>412</v>
      </c>
      <c r="F409" s="301"/>
      <c r="G409" s="95">
        <f>+ROUND(Návrh!G406,-3)/$X$2</f>
        <v>0</v>
      </c>
      <c r="H409" s="95">
        <f>+ROUND(Návrh!H406,-3)/$X$2</f>
        <v>-100</v>
      </c>
      <c r="I409" s="95">
        <f>+ROUND(Návrh!I406,-3)/$X$2</f>
        <v>0</v>
      </c>
      <c r="J409" s="95" t="e">
        <f>+ROUND(Návrh!#REF!,-3)/$X$2</f>
        <v>#REF!</v>
      </c>
      <c r="K409" s="95">
        <f>+ROUND(Návrh!J406,-3)/$X$2</f>
        <v>0</v>
      </c>
      <c r="L409" s="95">
        <f>+ROUND(Návrh!K406,-3)/$X$2</f>
        <v>0</v>
      </c>
      <c r="M409" s="70"/>
    </row>
    <row r="410" spans="1:13" x14ac:dyDescent="0.25">
      <c r="A410" s="42" t="s">
        <v>1299</v>
      </c>
      <c r="B410" s="14"/>
      <c r="C410" s="13"/>
      <c r="D410" s="13"/>
      <c r="E410" s="290" t="s">
        <v>413</v>
      </c>
      <c r="F410" s="291"/>
      <c r="G410" s="91">
        <f>+ROUND(Návrh!G407,-3)/$X$2</f>
        <v>0</v>
      </c>
      <c r="H410" s="91">
        <f>+ROUND(Návrh!H407,-3)/$X$2</f>
        <v>-100</v>
      </c>
      <c r="I410" s="91">
        <f>+ROUND(Návrh!I407,-3)/$X$2</f>
        <v>0</v>
      </c>
      <c r="J410" s="91" t="e">
        <f>+ROUND(Návrh!#REF!,-3)/$X$2</f>
        <v>#REF!</v>
      </c>
      <c r="K410" s="91">
        <f>+ROUND(Návrh!J407,-3)/$X$2</f>
        <v>0</v>
      </c>
      <c r="L410" s="91">
        <f>+ROUND(Návrh!K407,-3)/$X$2</f>
        <v>0</v>
      </c>
      <c r="M410" s="70"/>
    </row>
    <row r="411" spans="1:13" x14ac:dyDescent="0.25">
      <c r="A411" s="38" t="s">
        <v>414</v>
      </c>
      <c r="B411" s="36"/>
      <c r="C411" s="22"/>
      <c r="D411" s="22"/>
      <c r="E411" s="296" t="s">
        <v>415</v>
      </c>
      <c r="F411" s="297"/>
      <c r="G411" s="94">
        <f>+ROUND(Návrh!G408,-3)/$X$2</f>
        <v>-2652</v>
      </c>
      <c r="H411" s="94">
        <f>+ROUND(Návrh!H408,-3)/$X$2</f>
        <v>-411</v>
      </c>
      <c r="I411" s="94">
        <f>+ROUND(Návrh!I408,-3)/$X$2</f>
        <v>-7700</v>
      </c>
      <c r="J411" s="94" t="e">
        <f>+ROUND(Návrh!#REF!,-3)/$X$2</f>
        <v>#REF!</v>
      </c>
      <c r="K411" s="94">
        <f>+ROUND(Návrh!J408,-3)/$X$2</f>
        <v>-4448</v>
      </c>
      <c r="L411" s="94">
        <f>+ROUND(Návrh!K408,-3)/$X$2</f>
        <v>-1000</v>
      </c>
      <c r="M411" s="70"/>
    </row>
    <row r="412" spans="1:13" x14ac:dyDescent="0.25">
      <c r="A412" s="26" t="s">
        <v>1300</v>
      </c>
      <c r="B412" s="26"/>
      <c r="C412" s="23"/>
      <c r="D412" s="23"/>
      <c r="E412" s="300" t="s">
        <v>416</v>
      </c>
      <c r="F412" s="301"/>
      <c r="G412" s="95">
        <f>+ROUND(Návrh!G409,-3)/$X$2</f>
        <v>1000</v>
      </c>
      <c r="H412" s="95">
        <f>+ROUND(Návrh!H409,-3)/$X$2</f>
        <v>0</v>
      </c>
      <c r="I412" s="95">
        <f>+ROUND(Návrh!I409,-3)/$X$2</f>
        <v>-7700</v>
      </c>
      <c r="J412" s="95" t="e">
        <f>+ROUND(Návrh!#REF!,-3)/$X$2</f>
        <v>#REF!</v>
      </c>
      <c r="K412" s="95">
        <f>+ROUND(Návrh!J409,-3)/$X$2</f>
        <v>0</v>
      </c>
      <c r="L412" s="95">
        <f>+ROUND(Návrh!K409,-3)/$X$2</f>
        <v>-1000</v>
      </c>
      <c r="M412" s="70"/>
    </row>
    <row r="413" spans="1:13" x14ac:dyDescent="0.25">
      <c r="A413" s="42" t="s">
        <v>1301</v>
      </c>
      <c r="B413" s="27" t="s">
        <v>916</v>
      </c>
      <c r="C413" s="16" t="s">
        <v>923</v>
      </c>
      <c r="D413" s="16" t="s">
        <v>917</v>
      </c>
      <c r="E413" s="290" t="s">
        <v>1640</v>
      </c>
      <c r="F413" s="291"/>
      <c r="G413" s="91">
        <f>+ROUND(Návrh!G410,-3)/$X$2</f>
        <v>1000</v>
      </c>
      <c r="H413" s="91">
        <f>+ROUND(Návrh!H410,-3)/$X$2</f>
        <v>0</v>
      </c>
      <c r="I413" s="91">
        <f>+ROUND(Návrh!I410,-3)/$X$2</f>
        <v>-7700</v>
      </c>
      <c r="J413" s="91" t="e">
        <f>+ROUND(Návrh!#REF!,-3)/$X$2</f>
        <v>#REF!</v>
      </c>
      <c r="K413" s="91">
        <f>+ROUND(Návrh!J410,-3)/$X$2</f>
        <v>0</v>
      </c>
      <c r="L413" s="91">
        <f>+ROUND(Návrh!K410,-3)/$X$2</f>
        <v>-1000</v>
      </c>
      <c r="M413" s="70"/>
    </row>
    <row r="414" spans="1:13" x14ac:dyDescent="0.25">
      <c r="A414" s="26" t="s">
        <v>1302</v>
      </c>
      <c r="B414" s="26"/>
      <c r="C414" s="23"/>
      <c r="D414" s="23"/>
      <c r="E414" s="300" t="s">
        <v>417</v>
      </c>
      <c r="F414" s="301"/>
      <c r="G414" s="95">
        <f>+ROUND(Návrh!G411,-3)/$X$2</f>
        <v>-3652</v>
      </c>
      <c r="H414" s="95">
        <f>+ROUND(Návrh!H411,-3)/$X$2</f>
        <v>-411</v>
      </c>
      <c r="I414" s="95">
        <f>+ROUND(Návrh!I411,-3)/$X$2</f>
        <v>0</v>
      </c>
      <c r="J414" s="95" t="e">
        <f>+ROUND(Návrh!#REF!,-3)/$X$2</f>
        <v>#REF!</v>
      </c>
      <c r="K414" s="95">
        <f>+ROUND(Návrh!J411,-3)/$X$2</f>
        <v>0</v>
      </c>
      <c r="L414" s="95">
        <f>+ROUND(Návrh!K411,-3)/$X$2</f>
        <v>0</v>
      </c>
      <c r="M414" s="70"/>
    </row>
    <row r="415" spans="1:13" x14ac:dyDescent="0.25">
      <c r="A415" s="42" t="s">
        <v>1303</v>
      </c>
      <c r="B415" s="14"/>
      <c r="C415" s="13"/>
      <c r="D415" s="13"/>
      <c r="E415" s="290" t="s">
        <v>418</v>
      </c>
      <c r="F415" s="291"/>
      <c r="G415" s="91">
        <f>+ROUND(Návrh!G412,-3)/$X$2</f>
        <v>-18</v>
      </c>
      <c r="H415" s="91">
        <f>+ROUND(Návrh!H412,-3)/$X$2</f>
        <v>-9</v>
      </c>
      <c r="I415" s="91">
        <f>+ROUND(Návrh!I412,-3)/$X$2</f>
        <v>0</v>
      </c>
      <c r="J415" s="91" t="e">
        <f>+ROUND(Návrh!#REF!,-3)/$X$2</f>
        <v>#REF!</v>
      </c>
      <c r="K415" s="91">
        <f>+ROUND(Návrh!J412,-3)/$X$2</f>
        <v>0</v>
      </c>
      <c r="L415" s="91">
        <f>+ROUND(Návrh!K412,-3)/$X$2</f>
        <v>0</v>
      </c>
      <c r="M415" s="70"/>
    </row>
    <row r="416" spans="1:13" x14ac:dyDescent="0.25">
      <c r="A416" s="42" t="s">
        <v>1304</v>
      </c>
      <c r="B416" s="14"/>
      <c r="C416" s="13"/>
      <c r="D416" s="13"/>
      <c r="E416" s="290" t="s">
        <v>419</v>
      </c>
      <c r="F416" s="291"/>
      <c r="G416" s="91">
        <f>+ROUND(Návrh!G413,-3)/$X$2</f>
        <v>0</v>
      </c>
      <c r="H416" s="91">
        <f>+ROUND(Návrh!H413,-3)/$X$2</f>
        <v>-300</v>
      </c>
      <c r="I416" s="91">
        <f>+ROUND(Návrh!I413,-3)/$X$2</f>
        <v>0</v>
      </c>
      <c r="J416" s="91" t="e">
        <f>+ROUND(Návrh!#REF!,-3)/$X$2</f>
        <v>#REF!</v>
      </c>
      <c r="K416" s="91">
        <f>+ROUND(Návrh!J413,-3)/$X$2</f>
        <v>0</v>
      </c>
      <c r="L416" s="91">
        <f>+ROUND(Návrh!K413,-3)/$X$2</f>
        <v>0</v>
      </c>
      <c r="M416" s="70"/>
    </row>
    <row r="417" spans="1:13" x14ac:dyDescent="0.25">
      <c r="A417" s="42" t="s">
        <v>1305</v>
      </c>
      <c r="B417" s="14"/>
      <c r="C417" s="13"/>
      <c r="D417" s="13"/>
      <c r="E417" s="290" t="s">
        <v>420</v>
      </c>
      <c r="F417" s="291"/>
      <c r="G417" s="91">
        <f>+ROUND(Návrh!G414,-3)/$X$2</f>
        <v>-17</v>
      </c>
      <c r="H417" s="91">
        <f>+ROUND(Návrh!H414,-3)/$X$2</f>
        <v>-5</v>
      </c>
      <c r="I417" s="91">
        <f>+ROUND(Návrh!I414,-3)/$X$2</f>
        <v>0</v>
      </c>
      <c r="J417" s="91" t="e">
        <f>+ROUND(Návrh!#REF!,-3)/$X$2</f>
        <v>#REF!</v>
      </c>
      <c r="K417" s="91">
        <f>+ROUND(Návrh!J414,-3)/$X$2</f>
        <v>0</v>
      </c>
      <c r="L417" s="91">
        <f>+ROUND(Návrh!K414,-3)/$X$2</f>
        <v>0</v>
      </c>
      <c r="M417" s="70"/>
    </row>
    <row r="418" spans="1:13" x14ac:dyDescent="0.25">
      <c r="A418" s="42" t="s">
        <v>1306</v>
      </c>
      <c r="B418" s="14"/>
      <c r="C418" s="13"/>
      <c r="D418" s="13"/>
      <c r="E418" s="290" t="s">
        <v>421</v>
      </c>
      <c r="F418" s="291"/>
      <c r="G418" s="91">
        <f>+ROUND(Návrh!G415,-3)/$X$2</f>
        <v>0</v>
      </c>
      <c r="H418" s="91">
        <f>+ROUND(Návrh!H415,-3)/$X$2</f>
        <v>-96</v>
      </c>
      <c r="I418" s="91">
        <f>+ROUND(Návrh!I415,-3)/$X$2</f>
        <v>0</v>
      </c>
      <c r="J418" s="91" t="e">
        <f>+ROUND(Návrh!#REF!,-3)/$X$2</f>
        <v>#REF!</v>
      </c>
      <c r="K418" s="91">
        <f>+ROUND(Návrh!J415,-3)/$X$2</f>
        <v>0</v>
      </c>
      <c r="L418" s="91">
        <f>+ROUND(Návrh!K415,-3)/$X$2</f>
        <v>0</v>
      </c>
      <c r="M418" s="70"/>
    </row>
    <row r="419" spans="1:13" x14ac:dyDescent="0.25">
      <c r="A419" s="42" t="s">
        <v>1307</v>
      </c>
      <c r="B419" s="14"/>
      <c r="C419" s="13"/>
      <c r="D419" s="13"/>
      <c r="E419" s="290" t="s">
        <v>422</v>
      </c>
      <c r="F419" s="291"/>
      <c r="G419" s="91">
        <f>+ROUND(Návrh!G416,-3)/$X$2</f>
        <v>80</v>
      </c>
      <c r="H419" s="91">
        <f>+ROUND(Návrh!H416,-3)/$X$2</f>
        <v>0</v>
      </c>
      <c r="I419" s="91">
        <f>+ROUND(Návrh!I416,-3)/$X$2</f>
        <v>0</v>
      </c>
      <c r="J419" s="91" t="e">
        <f>+ROUND(Návrh!#REF!,-3)/$X$2</f>
        <v>#REF!</v>
      </c>
      <c r="K419" s="91">
        <f>+ROUND(Návrh!J416,-3)/$X$2</f>
        <v>0</v>
      </c>
      <c r="L419" s="91">
        <f>+ROUND(Návrh!K416,-3)/$X$2</f>
        <v>0</v>
      </c>
      <c r="M419" s="70"/>
    </row>
    <row r="420" spans="1:13" x14ac:dyDescent="0.25">
      <c r="A420" s="42" t="s">
        <v>1308</v>
      </c>
      <c r="B420" s="14"/>
      <c r="C420" s="13"/>
      <c r="D420" s="13"/>
      <c r="E420" s="290" t="s">
        <v>423</v>
      </c>
      <c r="F420" s="291"/>
      <c r="G420" s="91">
        <f>+ROUND(Návrh!G417,-3)/$X$2</f>
        <v>-3698</v>
      </c>
      <c r="H420" s="91">
        <f>+ROUND(Návrh!H417,-3)/$X$2</f>
        <v>0</v>
      </c>
      <c r="I420" s="91">
        <f>+ROUND(Návrh!I417,-3)/$X$2</f>
        <v>0</v>
      </c>
      <c r="J420" s="91" t="e">
        <f>+ROUND(Návrh!#REF!,-3)/$X$2</f>
        <v>#REF!</v>
      </c>
      <c r="K420" s="91">
        <f>+ROUND(Návrh!J417,-3)/$X$2</f>
        <v>0</v>
      </c>
      <c r="L420" s="91">
        <f>+ROUND(Návrh!K417,-3)/$X$2</f>
        <v>0</v>
      </c>
      <c r="M420" s="70"/>
    </row>
    <row r="421" spans="1:13" x14ac:dyDescent="0.25">
      <c r="A421" s="38" t="s">
        <v>424</v>
      </c>
      <c r="B421" s="36"/>
      <c r="C421" s="22"/>
      <c r="D421" s="22"/>
      <c r="E421" s="296" t="s">
        <v>425</v>
      </c>
      <c r="F421" s="297"/>
      <c r="G421" s="94">
        <f>+ROUND(Návrh!G418,-3)/$X$2</f>
        <v>0</v>
      </c>
      <c r="H421" s="94">
        <f>+ROUND(Návrh!H418,-3)/$X$2</f>
        <v>0</v>
      </c>
      <c r="I421" s="94">
        <f>+ROUND(Návrh!I418,-3)/$X$2</f>
        <v>0</v>
      </c>
      <c r="J421" s="94" t="e">
        <f>+ROUND(Návrh!#REF!,-3)/$X$2</f>
        <v>#REF!</v>
      </c>
      <c r="K421" s="94">
        <f>+ROUND(Návrh!J418,-3)/$X$2</f>
        <v>0</v>
      </c>
      <c r="L421" s="94">
        <f>+ROUND(Návrh!K418,-3)/$X$2</f>
        <v>0</v>
      </c>
      <c r="M421" s="70"/>
    </row>
    <row r="422" spans="1:13" x14ac:dyDescent="0.25">
      <c r="A422" s="38" t="s">
        <v>426</v>
      </c>
      <c r="B422" s="36"/>
      <c r="C422" s="22"/>
      <c r="D422" s="22"/>
      <c r="E422" s="296" t="s">
        <v>427</v>
      </c>
      <c r="F422" s="297"/>
      <c r="G422" s="94">
        <f>+ROUND(Návrh!G419,-3)/$X$2</f>
        <v>-45438</v>
      </c>
      <c r="H422" s="94">
        <f>+ROUND(Návrh!H419,-3)/$X$2</f>
        <v>-47113</v>
      </c>
      <c r="I422" s="94">
        <f>+ROUND(Návrh!I419,-3)/$X$2</f>
        <v>-48500</v>
      </c>
      <c r="J422" s="94" t="e">
        <f>+ROUND(Návrh!#REF!,-3)/$X$2</f>
        <v>#REF!</v>
      </c>
      <c r="K422" s="94">
        <f>+ROUND(Návrh!J419,-3)/$X$2</f>
        <v>-43771</v>
      </c>
      <c r="L422" s="94">
        <f>+ROUND(Návrh!K419,-3)/$X$2</f>
        <v>-47172</v>
      </c>
      <c r="M422" s="70"/>
    </row>
    <row r="423" spans="1:13" x14ac:dyDescent="0.25">
      <c r="A423" s="26" t="s">
        <v>1309</v>
      </c>
      <c r="B423" s="26"/>
      <c r="C423" s="23"/>
      <c r="D423" s="23"/>
      <c r="E423" s="300" t="s">
        <v>428</v>
      </c>
      <c r="F423" s="301"/>
      <c r="G423" s="95">
        <f>+ROUND(Návrh!G420,-3)/$X$2</f>
        <v>-45438</v>
      </c>
      <c r="H423" s="95">
        <f>+ROUND(Návrh!H420,-3)/$X$2</f>
        <v>-47113</v>
      </c>
      <c r="I423" s="95">
        <f>+ROUND(Návrh!I420,-3)/$X$2</f>
        <v>-48500</v>
      </c>
      <c r="J423" s="95" t="e">
        <f>+ROUND(Návrh!#REF!,-3)/$X$2</f>
        <v>#REF!</v>
      </c>
      <c r="K423" s="95">
        <f>+ROUND(Návrh!J420,-3)/$X$2</f>
        <v>0</v>
      </c>
      <c r="L423" s="95">
        <f>+ROUND(Návrh!K420,-3)/$X$2</f>
        <v>-47172</v>
      </c>
      <c r="M423" s="70"/>
    </row>
    <row r="424" spans="1:13" x14ac:dyDescent="0.25">
      <c r="A424" s="42" t="s">
        <v>1310</v>
      </c>
      <c r="B424" s="20" t="s">
        <v>922</v>
      </c>
      <c r="C424" s="20" t="s">
        <v>919</v>
      </c>
      <c r="D424" s="20" t="s">
        <v>924</v>
      </c>
      <c r="E424" s="290" t="s">
        <v>429</v>
      </c>
      <c r="F424" s="291"/>
      <c r="G424" s="91">
        <f>+ROUND(Návrh!G421,-3)/$X$2</f>
        <v>-7927</v>
      </c>
      <c r="H424" s="91">
        <f>+ROUND(Návrh!H421,-3)/$X$2</f>
        <v>-8095</v>
      </c>
      <c r="I424" s="91">
        <f>+ROUND(Návrh!I421,-3)/$X$2</f>
        <v>-9600</v>
      </c>
      <c r="J424" s="91" t="e">
        <f>+ROUND(Návrh!#REF!,-3)/$X$2</f>
        <v>#REF!</v>
      </c>
      <c r="K424" s="91">
        <f>+ROUND(Návrh!J421,-3)/$X$2</f>
        <v>0</v>
      </c>
      <c r="L424" s="91">
        <f>+ROUND(Návrh!K421,-3)/$X$2</f>
        <v>-9424</v>
      </c>
      <c r="M424" s="70"/>
    </row>
    <row r="425" spans="1:13" x14ac:dyDescent="0.25">
      <c r="A425" s="42" t="s">
        <v>1311</v>
      </c>
      <c r="B425" s="20" t="s">
        <v>922</v>
      </c>
      <c r="C425" s="20" t="s">
        <v>919</v>
      </c>
      <c r="D425" s="20" t="s">
        <v>924</v>
      </c>
      <c r="E425" s="290" t="s">
        <v>430</v>
      </c>
      <c r="F425" s="291"/>
      <c r="G425" s="91">
        <f>+ROUND(Návrh!G422,-3)/$X$2</f>
        <v>-37338</v>
      </c>
      <c r="H425" s="91">
        <f>+ROUND(Návrh!H422,-3)/$X$2</f>
        <v>-38941</v>
      </c>
      <c r="I425" s="91">
        <f>+ROUND(Návrh!I422,-3)/$X$2</f>
        <v>-38800</v>
      </c>
      <c r="J425" s="91" t="e">
        <f>+ROUND(Návrh!#REF!,-3)/$X$2</f>
        <v>#REF!</v>
      </c>
      <c r="K425" s="91">
        <f>+ROUND(Návrh!J422,-3)/$X$2</f>
        <v>0</v>
      </c>
      <c r="L425" s="91">
        <f>+ROUND(Návrh!K422,-3)/$X$2</f>
        <v>-37437</v>
      </c>
      <c r="M425" s="70"/>
    </row>
    <row r="426" spans="1:13" x14ac:dyDescent="0.25">
      <c r="A426" s="42" t="s">
        <v>1312</v>
      </c>
      <c r="B426" s="20" t="s">
        <v>922</v>
      </c>
      <c r="C426" s="20" t="s">
        <v>919</v>
      </c>
      <c r="D426" s="20" t="s">
        <v>924</v>
      </c>
      <c r="E426" s="290" t="s">
        <v>431</v>
      </c>
      <c r="F426" s="291"/>
      <c r="G426" s="91">
        <f>+ROUND(Návrh!G423,-3)/$X$2</f>
        <v>-173</v>
      </c>
      <c r="H426" s="91">
        <f>+ROUND(Návrh!H423,-3)/$X$2</f>
        <v>-77</v>
      </c>
      <c r="I426" s="91">
        <f>+ROUND(Návrh!I423,-3)/$X$2</f>
        <v>-100</v>
      </c>
      <c r="J426" s="91" t="e">
        <f>+ROUND(Návrh!#REF!,-3)/$X$2</f>
        <v>#REF!</v>
      </c>
      <c r="K426" s="91">
        <f>+ROUND(Návrh!J423,-3)/$X$2</f>
        <v>0</v>
      </c>
      <c r="L426" s="91">
        <f>+ROUND(Návrh!K423,-3)/$X$2</f>
        <v>-311</v>
      </c>
      <c r="M426" s="70"/>
    </row>
    <row r="427" spans="1:13" x14ac:dyDescent="0.25">
      <c r="A427" s="38" t="s">
        <v>432</v>
      </c>
      <c r="B427" s="36"/>
      <c r="C427" s="22"/>
      <c r="D427" s="22"/>
      <c r="E427" s="296" t="s">
        <v>433</v>
      </c>
      <c r="F427" s="297"/>
      <c r="G427" s="94">
        <f>+ROUND(Návrh!G424,-3)/$X$2</f>
        <v>0</v>
      </c>
      <c r="H427" s="94">
        <f>+ROUND(Návrh!H424,-3)/$X$2</f>
        <v>0</v>
      </c>
      <c r="I427" s="94">
        <f>+ROUND(Návrh!I424,-3)/$X$2</f>
        <v>0</v>
      </c>
      <c r="J427" s="94" t="e">
        <f>+ROUND(Návrh!#REF!,-3)/$X$2</f>
        <v>#REF!</v>
      </c>
      <c r="K427" s="94">
        <f>+ROUND(Návrh!J424,-3)/$X$2</f>
        <v>0</v>
      </c>
      <c r="L427" s="94">
        <f>+ROUND(Návrh!K424,-3)/$X$2</f>
        <v>0</v>
      </c>
      <c r="M427" s="70"/>
    </row>
    <row r="428" spans="1:13" x14ac:dyDescent="0.25">
      <c r="A428" s="38" t="s">
        <v>434</v>
      </c>
      <c r="B428" s="36"/>
      <c r="C428" s="22"/>
      <c r="D428" s="22"/>
      <c r="E428" s="296" t="s">
        <v>435</v>
      </c>
      <c r="F428" s="297"/>
      <c r="G428" s="94">
        <f>+ROUND(Návrh!G425,-3)/$X$2</f>
        <v>0</v>
      </c>
      <c r="H428" s="94">
        <f>+ROUND(Návrh!H425,-3)/$X$2</f>
        <v>0</v>
      </c>
      <c r="I428" s="94">
        <f>+ROUND(Návrh!I425,-3)/$X$2</f>
        <v>0</v>
      </c>
      <c r="J428" s="94" t="e">
        <f>+ROUND(Návrh!#REF!,-3)/$X$2</f>
        <v>#REF!</v>
      </c>
      <c r="K428" s="94">
        <f>+ROUND(Návrh!J425,-3)/$X$2</f>
        <v>0</v>
      </c>
      <c r="L428" s="94">
        <f>+ROUND(Návrh!K425,-3)/$X$2</f>
        <v>0</v>
      </c>
      <c r="M428" s="70"/>
    </row>
    <row r="429" spans="1:13" x14ac:dyDescent="0.25">
      <c r="A429" s="38" t="s">
        <v>436</v>
      </c>
      <c r="B429" s="36"/>
      <c r="C429" s="22"/>
      <c r="D429" s="22"/>
      <c r="E429" s="296" t="s">
        <v>437</v>
      </c>
      <c r="F429" s="297"/>
      <c r="G429" s="94">
        <f>+ROUND(Návrh!G426,-3)/$X$2</f>
        <v>-267</v>
      </c>
      <c r="H429" s="94">
        <f>+ROUND(Návrh!H426,-3)/$X$2</f>
        <v>-263</v>
      </c>
      <c r="I429" s="94">
        <f>+ROUND(Návrh!I426,-3)/$X$2</f>
        <v>0</v>
      </c>
      <c r="J429" s="94" t="e">
        <f>+ROUND(Návrh!#REF!,-3)/$X$2</f>
        <v>#REF!</v>
      </c>
      <c r="K429" s="94">
        <f>+ROUND(Návrh!J426,-3)/$X$2</f>
        <v>-144</v>
      </c>
      <c r="L429" s="94">
        <f>+ROUND(Návrh!K426,-3)/$X$2</f>
        <v>0</v>
      </c>
      <c r="M429" s="70"/>
    </row>
    <row r="430" spans="1:13" x14ac:dyDescent="0.25">
      <c r="A430" s="26" t="s">
        <v>1313</v>
      </c>
      <c r="B430" s="26"/>
      <c r="C430" s="23"/>
      <c r="D430" s="23"/>
      <c r="E430" s="300" t="s">
        <v>438</v>
      </c>
      <c r="F430" s="301"/>
      <c r="G430" s="95">
        <f>+ROUND(Návrh!G427,-3)/$X$2</f>
        <v>-35</v>
      </c>
      <c r="H430" s="95">
        <f>+ROUND(Návrh!H427,-3)/$X$2</f>
        <v>-18</v>
      </c>
      <c r="I430" s="95">
        <f>+ROUND(Návrh!I427,-3)/$X$2</f>
        <v>0</v>
      </c>
      <c r="J430" s="95" t="e">
        <f>+ROUND(Návrh!#REF!,-3)/$X$2</f>
        <v>#REF!</v>
      </c>
      <c r="K430" s="95">
        <f>+ROUND(Návrh!J427,-3)/$X$2</f>
        <v>0</v>
      </c>
      <c r="L430" s="95">
        <f>+ROUND(Návrh!K427,-3)/$X$2</f>
        <v>0</v>
      </c>
      <c r="M430" s="70"/>
    </row>
    <row r="431" spans="1:13" x14ac:dyDescent="0.25">
      <c r="A431" s="42" t="s">
        <v>1314</v>
      </c>
      <c r="B431" s="14"/>
      <c r="C431" s="13"/>
      <c r="D431" s="13"/>
      <c r="E431" s="290" t="s">
        <v>439</v>
      </c>
      <c r="F431" s="291"/>
      <c r="G431" s="91">
        <f>+ROUND(Návrh!G428,-3)/$X$2</f>
        <v>-35</v>
      </c>
      <c r="H431" s="91">
        <f>+ROUND(Návrh!H428,-3)/$X$2</f>
        <v>-18</v>
      </c>
      <c r="I431" s="91">
        <f>+ROUND(Návrh!I428,-3)/$X$2</f>
        <v>0</v>
      </c>
      <c r="J431" s="91" t="e">
        <f>+ROUND(Návrh!#REF!,-3)/$X$2</f>
        <v>#REF!</v>
      </c>
      <c r="K431" s="91">
        <f>+ROUND(Návrh!J428,-3)/$X$2</f>
        <v>0</v>
      </c>
      <c r="L431" s="91">
        <f>+ROUND(Návrh!K428,-3)/$X$2</f>
        <v>0</v>
      </c>
      <c r="M431" s="70"/>
    </row>
    <row r="432" spans="1:13" x14ac:dyDescent="0.25">
      <c r="A432" s="26" t="s">
        <v>1315</v>
      </c>
      <c r="B432" s="26"/>
      <c r="C432" s="23"/>
      <c r="D432" s="23"/>
      <c r="E432" s="300" t="s">
        <v>440</v>
      </c>
      <c r="F432" s="301"/>
      <c r="G432" s="95">
        <f>+ROUND(Návrh!G429,-3)/$X$2</f>
        <v>-229</v>
      </c>
      <c r="H432" s="95">
        <f>+ROUND(Návrh!H429,-3)/$X$2</f>
        <v>-245</v>
      </c>
      <c r="I432" s="95">
        <f>+ROUND(Návrh!I429,-3)/$X$2</f>
        <v>0</v>
      </c>
      <c r="J432" s="95" t="e">
        <f>+ROUND(Návrh!#REF!,-3)/$X$2</f>
        <v>#REF!</v>
      </c>
      <c r="K432" s="95">
        <f>+ROUND(Návrh!J429,-3)/$X$2</f>
        <v>0</v>
      </c>
      <c r="L432" s="95">
        <f>+ROUND(Návrh!K429,-3)/$X$2</f>
        <v>0</v>
      </c>
      <c r="M432" s="70"/>
    </row>
    <row r="433" spans="1:13" x14ac:dyDescent="0.25">
      <c r="A433" s="42" t="s">
        <v>1316</v>
      </c>
      <c r="B433" s="27" t="s">
        <v>916</v>
      </c>
      <c r="C433" s="16" t="s">
        <v>923</v>
      </c>
      <c r="D433" s="16" t="s">
        <v>917</v>
      </c>
      <c r="E433" s="290" t="s">
        <v>441</v>
      </c>
      <c r="F433" s="291"/>
      <c r="G433" s="91">
        <f>+ROUND(Návrh!G430,-3)/$X$2</f>
        <v>-229</v>
      </c>
      <c r="H433" s="91">
        <f>+ROUND(Návrh!H430,-3)/$X$2</f>
        <v>-245</v>
      </c>
      <c r="I433" s="91">
        <f>+ROUND(Návrh!I430,-3)/$X$2</f>
        <v>0</v>
      </c>
      <c r="J433" s="91" t="e">
        <f>+ROUND(Návrh!#REF!,-3)/$X$2</f>
        <v>#REF!</v>
      </c>
      <c r="K433" s="91">
        <f>+ROUND(Návrh!J430,-3)/$X$2</f>
        <v>0</v>
      </c>
      <c r="L433" s="91">
        <f>+ROUND(Návrh!K430,-3)/$X$2</f>
        <v>0</v>
      </c>
      <c r="M433" s="70"/>
    </row>
    <row r="434" spans="1:13" x14ac:dyDescent="0.25">
      <c r="A434" s="26" t="s">
        <v>1317</v>
      </c>
      <c r="B434" s="26"/>
      <c r="C434" s="23"/>
      <c r="D434" s="23"/>
      <c r="E434" s="300" t="s">
        <v>442</v>
      </c>
      <c r="F434" s="301"/>
      <c r="G434" s="95">
        <f>+ROUND(Návrh!G431,-3)/$X$2</f>
        <v>-3</v>
      </c>
      <c r="H434" s="95">
        <f>+ROUND(Návrh!H431,-3)/$X$2</f>
        <v>0</v>
      </c>
      <c r="I434" s="95">
        <f>+ROUND(Návrh!I431,-3)/$X$2</f>
        <v>0</v>
      </c>
      <c r="J434" s="95" t="e">
        <f>+ROUND(Návrh!#REF!,-3)/$X$2</f>
        <v>#REF!</v>
      </c>
      <c r="K434" s="95">
        <f>+ROUND(Návrh!J431,-3)/$X$2</f>
        <v>0</v>
      </c>
      <c r="L434" s="95">
        <f>+ROUND(Návrh!K431,-3)/$X$2</f>
        <v>0</v>
      </c>
      <c r="M434" s="70"/>
    </row>
    <row r="435" spans="1:13" x14ac:dyDescent="0.25">
      <c r="A435" s="42" t="s">
        <v>1318</v>
      </c>
      <c r="B435" s="14"/>
      <c r="C435" s="13"/>
      <c r="D435" s="13"/>
      <c r="E435" s="290" t="s">
        <v>443</v>
      </c>
      <c r="F435" s="291"/>
      <c r="G435" s="91">
        <f>+ROUND(Návrh!G432,-3)/$X$2</f>
        <v>-3</v>
      </c>
      <c r="H435" s="91">
        <f>+ROUND(Návrh!H432,-3)/$X$2</f>
        <v>0</v>
      </c>
      <c r="I435" s="91">
        <f>+ROUND(Návrh!I432,-3)/$X$2</f>
        <v>0</v>
      </c>
      <c r="J435" s="91" t="e">
        <f>+ROUND(Návrh!#REF!,-3)/$X$2</f>
        <v>#REF!</v>
      </c>
      <c r="K435" s="91">
        <f>+ROUND(Návrh!J432,-3)/$X$2</f>
        <v>0</v>
      </c>
      <c r="L435" s="91">
        <f>+ROUND(Návrh!K432,-3)/$X$2</f>
        <v>0</v>
      </c>
      <c r="M435" s="70"/>
    </row>
    <row r="436" spans="1:13" x14ac:dyDescent="0.25">
      <c r="A436" s="38" t="s">
        <v>444</v>
      </c>
      <c r="B436" s="38"/>
      <c r="C436" s="22"/>
      <c r="D436" s="22"/>
      <c r="E436" s="296" t="s">
        <v>445</v>
      </c>
      <c r="F436" s="297"/>
      <c r="G436" s="94">
        <f>+ROUND(Návrh!G433,-3)/$X$2</f>
        <v>0</v>
      </c>
      <c r="H436" s="94">
        <f>+ROUND(Návrh!H433,-3)/$X$2</f>
        <v>0</v>
      </c>
      <c r="I436" s="94">
        <f>+ROUND(Návrh!I433,-3)/$X$2</f>
        <v>0</v>
      </c>
      <c r="J436" s="94" t="e">
        <f>+ROUND(Návrh!#REF!,-3)/$X$2</f>
        <v>#REF!</v>
      </c>
      <c r="K436" s="94">
        <f>+ROUND(Návrh!J433,-3)/$X$2</f>
        <v>0</v>
      </c>
      <c r="L436" s="94">
        <f>+ROUND(Návrh!K433,-3)/$X$2</f>
        <v>0</v>
      </c>
      <c r="M436" s="70"/>
    </row>
    <row r="437" spans="1:13" x14ac:dyDescent="0.25">
      <c r="A437" s="38" t="s">
        <v>446</v>
      </c>
      <c r="B437" s="38"/>
      <c r="C437" s="22"/>
      <c r="D437" s="22"/>
      <c r="E437" s="296" t="s">
        <v>447</v>
      </c>
      <c r="F437" s="297"/>
      <c r="G437" s="94">
        <f>+ROUND(Návrh!G434,-3)/$X$2</f>
        <v>-15061</v>
      </c>
      <c r="H437" s="94">
        <f>+ROUND(Návrh!H434,-3)/$X$2</f>
        <v>-18337</v>
      </c>
      <c r="I437" s="94">
        <f>+ROUND(Návrh!I434,-3)/$X$2</f>
        <v>-17408</v>
      </c>
      <c r="J437" s="94" t="e">
        <f>+ROUND(Návrh!#REF!,-3)/$X$2</f>
        <v>#REF!</v>
      </c>
      <c r="K437" s="94">
        <f>+ROUND(Návrh!J434,-3)/$X$2</f>
        <v>-18054</v>
      </c>
      <c r="L437" s="94">
        <f>+ROUND(Návrh!K434,-3)/$X$2</f>
        <v>-18462</v>
      </c>
      <c r="M437" s="70"/>
    </row>
    <row r="438" spans="1:13" x14ac:dyDescent="0.25">
      <c r="A438" s="26" t="s">
        <v>1319</v>
      </c>
      <c r="B438" s="26"/>
      <c r="C438" s="23"/>
      <c r="D438" s="23"/>
      <c r="E438" s="300" t="s">
        <v>448</v>
      </c>
      <c r="F438" s="301"/>
      <c r="G438" s="95">
        <f>+ROUND(Návrh!G435,-3)/$X$2</f>
        <v>14</v>
      </c>
      <c r="H438" s="95">
        <f>+ROUND(Návrh!H435,-3)/$X$2</f>
        <v>10</v>
      </c>
      <c r="I438" s="95">
        <f>+ROUND(Návrh!I435,-3)/$X$2</f>
        <v>0</v>
      </c>
      <c r="J438" s="95" t="e">
        <f>+ROUND(Návrh!#REF!,-3)/$X$2</f>
        <v>#REF!</v>
      </c>
      <c r="K438" s="95">
        <f>+ROUND(Návrh!J435,-3)/$X$2</f>
        <v>0</v>
      </c>
      <c r="L438" s="95">
        <f>+ROUND(Návrh!K435,-3)/$X$2</f>
        <v>0</v>
      </c>
      <c r="M438" s="70"/>
    </row>
    <row r="439" spans="1:13" x14ac:dyDescent="0.25">
      <c r="A439" s="42" t="s">
        <v>1320</v>
      </c>
      <c r="B439" s="14"/>
      <c r="C439" s="13"/>
      <c r="D439" s="13"/>
      <c r="E439" s="290" t="s">
        <v>449</v>
      </c>
      <c r="F439" s="291"/>
      <c r="G439" s="91">
        <f>+ROUND(Návrh!G436,-3)/$X$2</f>
        <v>14</v>
      </c>
      <c r="H439" s="91">
        <f>+ROUND(Návrh!H436,-3)/$X$2</f>
        <v>10</v>
      </c>
      <c r="I439" s="91">
        <f>+ROUND(Návrh!I436,-3)/$X$2</f>
        <v>0</v>
      </c>
      <c r="J439" s="91" t="e">
        <f>+ROUND(Návrh!#REF!,-3)/$X$2</f>
        <v>#REF!</v>
      </c>
      <c r="K439" s="91">
        <f>+ROUND(Návrh!J436,-3)/$X$2</f>
        <v>0</v>
      </c>
      <c r="L439" s="91">
        <f>+ROUND(Návrh!K436,-3)/$X$2</f>
        <v>0</v>
      </c>
      <c r="M439" s="70"/>
    </row>
    <row r="440" spans="1:13" x14ac:dyDescent="0.25">
      <c r="A440" s="26" t="s">
        <v>1321</v>
      </c>
      <c r="B440" s="26"/>
      <c r="C440" s="23"/>
      <c r="D440" s="23"/>
      <c r="E440" s="300" t="s">
        <v>450</v>
      </c>
      <c r="F440" s="301"/>
      <c r="G440" s="95">
        <f>+ROUND(Návrh!G437,-3)/$X$2</f>
        <v>-1085</v>
      </c>
      <c r="H440" s="95">
        <f>+ROUND(Návrh!H437,-3)/$X$2</f>
        <v>-490</v>
      </c>
      <c r="I440" s="95">
        <f>+ROUND(Návrh!I437,-3)/$X$2</f>
        <v>0</v>
      </c>
      <c r="J440" s="95" t="e">
        <f>+ROUND(Návrh!#REF!,-3)/$X$2</f>
        <v>#REF!</v>
      </c>
      <c r="K440" s="95">
        <f>+ROUND(Návrh!J437,-3)/$X$2</f>
        <v>0</v>
      </c>
      <c r="L440" s="95">
        <f>+ROUND(Návrh!K437,-3)/$X$2</f>
        <v>0</v>
      </c>
      <c r="M440" s="70"/>
    </row>
    <row r="441" spans="1:13" x14ac:dyDescent="0.25">
      <c r="A441" s="42" t="s">
        <v>1322</v>
      </c>
      <c r="B441" s="28" t="s">
        <v>916</v>
      </c>
      <c r="C441" s="20" t="s">
        <v>919</v>
      </c>
      <c r="D441" s="28" t="s">
        <v>1089</v>
      </c>
      <c r="E441" s="290" t="s">
        <v>451</v>
      </c>
      <c r="F441" s="291"/>
      <c r="G441" s="91">
        <f>+ROUND(Návrh!G438,-3)/$X$2</f>
        <v>-875</v>
      </c>
      <c r="H441" s="91">
        <f>+ROUND(Návrh!H438,-3)/$X$2</f>
        <v>-432</v>
      </c>
      <c r="I441" s="91">
        <f>+ROUND(Návrh!I438,-3)/$X$2</f>
        <v>0</v>
      </c>
      <c r="J441" s="91" t="e">
        <f>+ROUND(Návrh!#REF!,-3)/$X$2</f>
        <v>#REF!</v>
      </c>
      <c r="K441" s="91">
        <f>+ROUND(Návrh!J438,-3)/$X$2</f>
        <v>0</v>
      </c>
      <c r="L441" s="91">
        <f>+ROUND(Návrh!K438,-3)/$X$2</f>
        <v>0</v>
      </c>
      <c r="M441" s="70"/>
    </row>
    <row r="442" spans="1:13" x14ac:dyDescent="0.25">
      <c r="A442" s="42" t="s">
        <v>1323</v>
      </c>
      <c r="B442" s="20" t="s">
        <v>916</v>
      </c>
      <c r="C442" s="20" t="s">
        <v>923</v>
      </c>
      <c r="D442" s="20" t="s">
        <v>1648</v>
      </c>
      <c r="E442" s="290" t="s">
        <v>452</v>
      </c>
      <c r="F442" s="291"/>
      <c r="G442" s="91">
        <f>+ROUND(Návrh!G439,-3)/$X$2</f>
        <v>-210</v>
      </c>
      <c r="H442" s="91">
        <f>+ROUND(Návrh!H439,-3)/$X$2</f>
        <v>-58</v>
      </c>
      <c r="I442" s="91">
        <f>+ROUND(Návrh!I439,-3)/$X$2</f>
        <v>0</v>
      </c>
      <c r="J442" s="91" t="e">
        <f>+ROUND(Návrh!#REF!,-3)/$X$2</f>
        <v>#REF!</v>
      </c>
      <c r="K442" s="91">
        <f>+ROUND(Návrh!J439,-3)/$X$2</f>
        <v>0</v>
      </c>
      <c r="L442" s="91">
        <f>+ROUND(Návrh!K439,-3)/$X$2</f>
        <v>0</v>
      </c>
      <c r="M442" s="70"/>
    </row>
    <row r="443" spans="1:13" x14ac:dyDescent="0.25">
      <c r="A443" s="26" t="s">
        <v>1324</v>
      </c>
      <c r="B443" s="26"/>
      <c r="C443" s="23"/>
      <c r="D443" s="23"/>
      <c r="E443" s="300" t="s">
        <v>453</v>
      </c>
      <c r="F443" s="301"/>
      <c r="G443" s="95">
        <f>+ROUND(Návrh!G440,-3)/$X$2</f>
        <v>2687</v>
      </c>
      <c r="H443" s="95">
        <f>+ROUND(Návrh!H440,-3)/$X$2</f>
        <v>2647</v>
      </c>
      <c r="I443" s="95">
        <f>+ROUND(Návrh!I440,-3)/$X$2</f>
        <v>2500</v>
      </c>
      <c r="J443" s="95" t="e">
        <f>+ROUND(Návrh!#REF!,-3)/$X$2</f>
        <v>#REF!</v>
      </c>
      <c r="K443" s="95">
        <f>+ROUND(Návrh!J440,-3)/$X$2</f>
        <v>0</v>
      </c>
      <c r="L443" s="95">
        <f>+ROUND(Návrh!K440,-3)/$X$2</f>
        <v>2800</v>
      </c>
      <c r="M443" s="70"/>
    </row>
    <row r="444" spans="1:13" x14ac:dyDescent="0.25">
      <c r="A444" s="42" t="s">
        <v>1325</v>
      </c>
      <c r="B444" s="27" t="s">
        <v>916</v>
      </c>
      <c r="C444" s="28" t="s">
        <v>923</v>
      </c>
      <c r="D444" s="28" t="s">
        <v>1643</v>
      </c>
      <c r="E444" s="290" t="s">
        <v>454</v>
      </c>
      <c r="F444" s="291"/>
      <c r="G444" s="91">
        <f>+ROUND(Návrh!G441,-3)/$X$2</f>
        <v>2412</v>
      </c>
      <c r="H444" s="91">
        <f>+ROUND(Návrh!H441,-3)/$X$2</f>
        <v>2647</v>
      </c>
      <c r="I444" s="91">
        <f>+ROUND(Návrh!I441,-3)/$X$2</f>
        <v>2500</v>
      </c>
      <c r="J444" s="91" t="e">
        <f>+ROUND(Návrh!#REF!,-3)/$X$2</f>
        <v>#REF!</v>
      </c>
      <c r="K444" s="91">
        <f>+ROUND(Návrh!J441,-3)/$X$2</f>
        <v>0</v>
      </c>
      <c r="L444" s="91">
        <f>+ROUND(Návrh!K441,-3)/$X$2</f>
        <v>2800</v>
      </c>
      <c r="M444" s="70"/>
    </row>
    <row r="445" spans="1:13" x14ac:dyDescent="0.25">
      <c r="A445" s="42" t="s">
        <v>1326</v>
      </c>
      <c r="B445" s="27"/>
      <c r="C445" s="28"/>
      <c r="D445" s="28"/>
      <c r="E445" s="290" t="s">
        <v>455</v>
      </c>
      <c r="F445" s="291"/>
      <c r="G445" s="91">
        <f>+ROUND(Návrh!G442,-3)/$X$2</f>
        <v>0</v>
      </c>
      <c r="H445" s="91">
        <f>+ROUND(Návrh!H442,-3)/$X$2</f>
        <v>0</v>
      </c>
      <c r="I445" s="91">
        <f>+ROUND(Návrh!I442,-3)/$X$2</f>
        <v>0</v>
      </c>
      <c r="J445" s="91" t="e">
        <f>+ROUND(Návrh!#REF!,-3)/$X$2</f>
        <v>#REF!</v>
      </c>
      <c r="K445" s="91">
        <f>+ROUND(Návrh!J442,-3)/$X$2</f>
        <v>0</v>
      </c>
      <c r="L445" s="91">
        <f>+ROUND(Návrh!K442,-3)/$X$2</f>
        <v>0</v>
      </c>
      <c r="M445" s="70"/>
    </row>
    <row r="446" spans="1:13" x14ac:dyDescent="0.25">
      <c r="A446" s="42" t="s">
        <v>1327</v>
      </c>
      <c r="B446" s="27"/>
      <c r="C446" s="28"/>
      <c r="D446" s="28"/>
      <c r="E446" s="290" t="s">
        <v>456</v>
      </c>
      <c r="F446" s="291"/>
      <c r="G446" s="91">
        <f>+ROUND(Návrh!G443,-3)/$X$2</f>
        <v>275</v>
      </c>
      <c r="H446" s="91">
        <f>+ROUND(Návrh!H443,-3)/$X$2</f>
        <v>0</v>
      </c>
      <c r="I446" s="91">
        <f>+ROUND(Návrh!I443,-3)/$X$2</f>
        <v>0</v>
      </c>
      <c r="J446" s="91" t="e">
        <f>+ROUND(Návrh!#REF!,-3)/$X$2</f>
        <v>#REF!</v>
      </c>
      <c r="K446" s="91">
        <f>+ROUND(Návrh!J443,-3)/$X$2</f>
        <v>0</v>
      </c>
      <c r="L446" s="91">
        <f>+ROUND(Návrh!K443,-3)/$X$2</f>
        <v>0</v>
      </c>
      <c r="M446" s="70"/>
    </row>
    <row r="447" spans="1:13" x14ac:dyDescent="0.25">
      <c r="A447" s="26" t="s">
        <v>1328</v>
      </c>
      <c r="B447" s="31"/>
      <c r="C447" s="32"/>
      <c r="D447" s="32"/>
      <c r="E447" s="300" t="s">
        <v>457</v>
      </c>
      <c r="F447" s="301"/>
      <c r="G447" s="95">
        <f>+ROUND(Návrh!G444,-3)/$X$2</f>
        <v>0</v>
      </c>
      <c r="H447" s="95">
        <f>+ROUND(Návrh!H444,-3)/$X$2</f>
        <v>-65</v>
      </c>
      <c r="I447" s="95">
        <f>+ROUND(Návrh!I444,-3)/$X$2</f>
        <v>0</v>
      </c>
      <c r="J447" s="95" t="e">
        <f>+ROUND(Návrh!#REF!,-3)/$X$2</f>
        <v>#REF!</v>
      </c>
      <c r="K447" s="95">
        <f>+ROUND(Návrh!J444,-3)/$X$2</f>
        <v>0</v>
      </c>
      <c r="L447" s="95">
        <f>+ROUND(Návrh!K444,-3)/$X$2</f>
        <v>0</v>
      </c>
      <c r="M447" s="70"/>
    </row>
    <row r="448" spans="1:13" x14ac:dyDescent="0.25">
      <c r="A448" s="42" t="s">
        <v>1329</v>
      </c>
      <c r="B448" s="14"/>
      <c r="C448" s="13"/>
      <c r="D448" s="13"/>
      <c r="E448" s="290" t="s">
        <v>458</v>
      </c>
      <c r="F448" s="291"/>
      <c r="G448" s="91">
        <f>+ROUND(Návrh!G445,-3)/$X$2</f>
        <v>0</v>
      </c>
      <c r="H448" s="91">
        <f>+ROUND(Návrh!H445,-3)/$X$2</f>
        <v>-65</v>
      </c>
      <c r="I448" s="91">
        <f>+ROUND(Návrh!I445,-3)/$X$2</f>
        <v>0</v>
      </c>
      <c r="J448" s="91" t="e">
        <f>+ROUND(Návrh!#REF!,-3)/$X$2</f>
        <v>#REF!</v>
      </c>
      <c r="K448" s="91">
        <f>+ROUND(Návrh!J445,-3)/$X$2</f>
        <v>0</v>
      </c>
      <c r="L448" s="91">
        <f>+ROUND(Návrh!K445,-3)/$X$2</f>
        <v>0</v>
      </c>
      <c r="M448" s="70"/>
    </row>
    <row r="449" spans="1:13" x14ac:dyDescent="0.25">
      <c r="A449" s="26" t="s">
        <v>1330</v>
      </c>
      <c r="B449" s="26"/>
      <c r="C449" s="23"/>
      <c r="D449" s="23"/>
      <c r="E449" s="300" t="s">
        <v>459</v>
      </c>
      <c r="F449" s="301"/>
      <c r="G449" s="95">
        <f>+ROUND(Návrh!G446,-3)/$X$2</f>
        <v>-6233</v>
      </c>
      <c r="H449" s="95">
        <f>+ROUND(Návrh!H446,-3)/$X$2</f>
        <v>-6767</v>
      </c>
      <c r="I449" s="95">
        <f>+ROUND(Návrh!I446,-3)/$X$2</f>
        <v>-7331</v>
      </c>
      <c r="J449" s="95" t="e">
        <f>+ROUND(Návrh!#REF!,-3)/$X$2</f>
        <v>#REF!</v>
      </c>
      <c r="K449" s="95">
        <f>+ROUND(Návrh!J446,-3)/$X$2</f>
        <v>0</v>
      </c>
      <c r="L449" s="95">
        <f>+ROUND(Návrh!K446,-3)/$X$2</f>
        <v>-5672</v>
      </c>
      <c r="M449" s="70"/>
    </row>
    <row r="450" spans="1:13" x14ac:dyDescent="0.25">
      <c r="A450" s="42" t="s">
        <v>1331</v>
      </c>
      <c r="B450" s="27" t="s">
        <v>916</v>
      </c>
      <c r="C450" s="28" t="s">
        <v>919</v>
      </c>
      <c r="D450" s="28" t="s">
        <v>917</v>
      </c>
      <c r="E450" s="290" t="s">
        <v>460</v>
      </c>
      <c r="F450" s="291"/>
      <c r="G450" s="91">
        <f>+ROUND(Návrh!G447,-3)/$X$2</f>
        <v>0</v>
      </c>
      <c r="H450" s="91">
        <f>+ROUND(Návrh!H447,-3)/$X$2</f>
        <v>-98</v>
      </c>
      <c r="I450" s="91">
        <f>+ROUND(Návrh!I447,-3)/$X$2</f>
        <v>0</v>
      </c>
      <c r="J450" s="91" t="e">
        <f>+ROUND(Návrh!#REF!,-3)/$X$2</f>
        <v>#REF!</v>
      </c>
      <c r="K450" s="91">
        <f>+ROUND(Návrh!J447,-3)/$X$2</f>
        <v>0</v>
      </c>
      <c r="L450" s="91">
        <f>+ROUND(Návrh!K447,-3)/$X$2</f>
        <v>0</v>
      </c>
      <c r="M450" s="70"/>
    </row>
    <row r="451" spans="1:13" x14ac:dyDescent="0.25">
      <c r="A451" s="42" t="s">
        <v>1332</v>
      </c>
      <c r="B451" s="27" t="s">
        <v>916</v>
      </c>
      <c r="C451" s="28" t="s">
        <v>919</v>
      </c>
      <c r="D451" s="28" t="s">
        <v>917</v>
      </c>
      <c r="E451" s="290" t="s">
        <v>461</v>
      </c>
      <c r="F451" s="291"/>
      <c r="G451" s="91">
        <f>+ROUND(Návrh!G448,-3)/$X$2</f>
        <v>-324</v>
      </c>
      <c r="H451" s="91">
        <f>+ROUND(Návrh!H448,-3)/$X$2</f>
        <v>-327</v>
      </c>
      <c r="I451" s="91">
        <f>+ROUND(Návrh!I448,-3)/$X$2</f>
        <v>-1880</v>
      </c>
      <c r="J451" s="91" t="e">
        <f>+ROUND(Návrh!#REF!,-3)/$X$2</f>
        <v>#REF!</v>
      </c>
      <c r="K451" s="91">
        <f>+ROUND(Návrh!J448,-3)/$X$2</f>
        <v>0</v>
      </c>
      <c r="L451" s="91">
        <f>+ROUND(Návrh!K448,-3)/$X$2</f>
        <v>-240</v>
      </c>
      <c r="M451" s="70"/>
    </row>
    <row r="452" spans="1:13" x14ac:dyDescent="0.25">
      <c r="A452" s="42" t="s">
        <v>1333</v>
      </c>
      <c r="B452" s="14"/>
      <c r="C452" s="13"/>
      <c r="D452" s="13"/>
      <c r="E452" s="290" t="s">
        <v>462</v>
      </c>
      <c r="F452" s="291"/>
      <c r="G452" s="91">
        <f>+ROUND(Návrh!G449,-3)/$X$2</f>
        <v>-266</v>
      </c>
      <c r="H452" s="91">
        <f>+ROUND(Návrh!H449,-3)/$X$2</f>
        <v>-388</v>
      </c>
      <c r="I452" s="91">
        <f>+ROUND(Návrh!I449,-3)/$X$2</f>
        <v>0</v>
      </c>
      <c r="J452" s="91" t="e">
        <f>+ROUND(Návrh!#REF!,-3)/$X$2</f>
        <v>#REF!</v>
      </c>
      <c r="K452" s="91">
        <f>+ROUND(Návrh!J449,-3)/$X$2</f>
        <v>0</v>
      </c>
      <c r="L452" s="91">
        <f>+ROUND(Návrh!K449,-3)/$X$2</f>
        <v>0</v>
      </c>
      <c r="M452" s="70"/>
    </row>
    <row r="453" spans="1:13" x14ac:dyDescent="0.25">
      <c r="A453" s="42" t="s">
        <v>1334</v>
      </c>
      <c r="B453" s="14"/>
      <c r="C453" s="13"/>
      <c r="D453" s="13"/>
      <c r="E453" s="290" t="s">
        <v>463</v>
      </c>
      <c r="F453" s="291"/>
      <c r="G453" s="91">
        <f>+ROUND(Návrh!G450,-3)/$X$2</f>
        <v>14</v>
      </c>
      <c r="H453" s="91">
        <f>+ROUND(Návrh!H450,-3)/$X$2</f>
        <v>32</v>
      </c>
      <c r="I453" s="91">
        <f>+ROUND(Návrh!I450,-3)/$X$2</f>
        <v>0</v>
      </c>
      <c r="J453" s="91" t="e">
        <f>+ROUND(Návrh!#REF!,-3)/$X$2</f>
        <v>#REF!</v>
      </c>
      <c r="K453" s="91">
        <f>+ROUND(Návrh!J450,-3)/$X$2</f>
        <v>0</v>
      </c>
      <c r="L453" s="91">
        <f>+ROUND(Návrh!K450,-3)/$X$2</f>
        <v>0</v>
      </c>
      <c r="M453" s="70"/>
    </row>
    <row r="454" spans="1:13" x14ac:dyDescent="0.25">
      <c r="A454" s="42" t="s">
        <v>1335</v>
      </c>
      <c r="B454" s="27" t="s">
        <v>916</v>
      </c>
      <c r="C454" s="28" t="s">
        <v>923</v>
      </c>
      <c r="D454" s="28" t="s">
        <v>917</v>
      </c>
      <c r="E454" s="290" t="s">
        <v>464</v>
      </c>
      <c r="F454" s="291"/>
      <c r="G454" s="91">
        <f>+ROUND(Návrh!G451,-3)/$X$2</f>
        <v>-77</v>
      </c>
      <c r="H454" s="91">
        <f>+ROUND(Návrh!H451,-3)/$X$2</f>
        <v>-76</v>
      </c>
      <c r="I454" s="91">
        <f>+ROUND(Návrh!I451,-3)/$X$2</f>
        <v>-80</v>
      </c>
      <c r="J454" s="91" t="e">
        <f>+ROUND(Návrh!#REF!,-3)/$X$2</f>
        <v>#REF!</v>
      </c>
      <c r="K454" s="91">
        <f>+ROUND(Návrh!J451,-3)/$X$2</f>
        <v>0</v>
      </c>
      <c r="L454" s="91">
        <f>+ROUND(Návrh!K451,-3)/$X$2</f>
        <v>-70</v>
      </c>
      <c r="M454" s="70"/>
    </row>
    <row r="455" spans="1:13" x14ac:dyDescent="0.25">
      <c r="A455" s="42" t="s">
        <v>1336</v>
      </c>
      <c r="B455" s="20" t="s">
        <v>1243</v>
      </c>
      <c r="C455" s="20" t="s">
        <v>920</v>
      </c>
      <c r="D455" s="20" t="s">
        <v>1245</v>
      </c>
      <c r="E455" s="290" t="s">
        <v>465</v>
      </c>
      <c r="F455" s="291"/>
      <c r="G455" s="91">
        <f>+ROUND(Návrh!G452,-3)/$X$2</f>
        <v>-812</v>
      </c>
      <c r="H455" s="91">
        <f>+ROUND(Návrh!H452,-3)/$X$2</f>
        <v>-826</v>
      </c>
      <c r="I455" s="91">
        <f>+ROUND(Návrh!I452,-3)/$X$2</f>
        <v>-1500</v>
      </c>
      <c r="J455" s="91" t="e">
        <f>+ROUND(Návrh!#REF!,-3)/$X$2</f>
        <v>#REF!</v>
      </c>
      <c r="K455" s="91">
        <f>+ROUND(Návrh!J452,-3)/$X$2</f>
        <v>0</v>
      </c>
      <c r="L455" s="91">
        <f>+ROUND(Návrh!K452,-3)/$X$2</f>
        <v>-1510</v>
      </c>
      <c r="M455" s="70"/>
    </row>
    <row r="456" spans="1:13" x14ac:dyDescent="0.25">
      <c r="A456" s="42" t="s">
        <v>1337</v>
      </c>
      <c r="B456" s="20" t="s">
        <v>1243</v>
      </c>
      <c r="C456" s="20" t="s">
        <v>920</v>
      </c>
      <c r="D456" s="20" t="s">
        <v>1245</v>
      </c>
      <c r="E456" s="290" t="s">
        <v>466</v>
      </c>
      <c r="F456" s="291"/>
      <c r="G456" s="91">
        <f>+ROUND(Návrh!G453,-3)/$X$2</f>
        <v>-2194</v>
      </c>
      <c r="H456" s="91">
        <f>+ROUND(Návrh!H453,-3)/$X$2</f>
        <v>-1928</v>
      </c>
      <c r="I456" s="91">
        <f>+ROUND(Návrh!I453,-3)/$X$2</f>
        <v>-2100</v>
      </c>
      <c r="J456" s="91" t="e">
        <f>+ROUND(Návrh!#REF!,-3)/$X$2</f>
        <v>#REF!</v>
      </c>
      <c r="K456" s="91">
        <f>+ROUND(Návrh!J453,-3)/$X$2</f>
        <v>0</v>
      </c>
      <c r="L456" s="91">
        <f>+ROUND(Návrh!K453,-3)/$X$2</f>
        <v>-2112</v>
      </c>
      <c r="M456" s="70"/>
    </row>
    <row r="457" spans="1:13" x14ac:dyDescent="0.25">
      <c r="A457" s="42" t="s">
        <v>1338</v>
      </c>
      <c r="B457" s="20" t="s">
        <v>1243</v>
      </c>
      <c r="C457" s="20" t="s">
        <v>920</v>
      </c>
      <c r="D457" s="20" t="s">
        <v>1245</v>
      </c>
      <c r="E457" s="290" t="s">
        <v>467</v>
      </c>
      <c r="F457" s="291"/>
      <c r="G457" s="91">
        <f>+ROUND(Návrh!G454,-3)/$X$2</f>
        <v>-297</v>
      </c>
      <c r="H457" s="91">
        <f>+ROUND(Návrh!H454,-3)/$X$2</f>
        <v>-536</v>
      </c>
      <c r="I457" s="91">
        <f>+ROUND(Návrh!I454,-3)/$X$2</f>
        <v>-700</v>
      </c>
      <c r="J457" s="91" t="e">
        <f>+ROUND(Návrh!#REF!,-3)/$X$2</f>
        <v>#REF!</v>
      </c>
      <c r="K457" s="91">
        <f>+ROUND(Návrh!J454,-3)/$X$2</f>
        <v>0</v>
      </c>
      <c r="L457" s="91">
        <f>+ROUND(Návrh!K454,-3)/$X$2</f>
        <v>-700</v>
      </c>
      <c r="M457" s="70"/>
    </row>
    <row r="458" spans="1:13" x14ac:dyDescent="0.25">
      <c r="A458" s="42" t="s">
        <v>1339</v>
      </c>
      <c r="B458" s="20" t="s">
        <v>1243</v>
      </c>
      <c r="C458" s="20" t="s">
        <v>920</v>
      </c>
      <c r="D458" s="20" t="s">
        <v>1245</v>
      </c>
      <c r="E458" s="290" t="s">
        <v>468</v>
      </c>
      <c r="F458" s="291"/>
      <c r="G458" s="91">
        <f>+ROUND(Návrh!G455,-3)/$X$2</f>
        <v>-302</v>
      </c>
      <c r="H458" s="91">
        <f>+ROUND(Návrh!H455,-3)/$X$2</f>
        <v>-438</v>
      </c>
      <c r="I458" s="91">
        <f>+ROUND(Návrh!I455,-3)/$X$2</f>
        <v>-330</v>
      </c>
      <c r="J458" s="91" t="e">
        <f>+ROUND(Návrh!#REF!,-3)/$X$2</f>
        <v>#REF!</v>
      </c>
      <c r="K458" s="91">
        <f>+ROUND(Návrh!J455,-3)/$X$2</f>
        <v>0</v>
      </c>
      <c r="L458" s="91">
        <f>+ROUND(Návrh!K455,-3)/$X$2</f>
        <v>-330</v>
      </c>
      <c r="M458" s="70"/>
    </row>
    <row r="459" spans="1:13" x14ac:dyDescent="0.25">
      <c r="A459" s="42" t="s">
        <v>1340</v>
      </c>
      <c r="B459" s="14"/>
      <c r="C459" s="13"/>
      <c r="D459" s="13"/>
      <c r="E459" s="290" t="s">
        <v>469</v>
      </c>
      <c r="F459" s="291"/>
      <c r="G459" s="91">
        <f>+ROUND(Návrh!G456,-3)/$X$2</f>
        <v>-60</v>
      </c>
      <c r="H459" s="91">
        <f>+ROUND(Návrh!H456,-3)/$X$2</f>
        <v>-65</v>
      </c>
      <c r="I459" s="91">
        <f>+ROUND(Návrh!I456,-3)/$X$2</f>
        <v>0</v>
      </c>
      <c r="J459" s="91" t="e">
        <f>+ROUND(Návrh!#REF!,-3)/$X$2</f>
        <v>#REF!</v>
      </c>
      <c r="K459" s="91">
        <f>+ROUND(Návrh!J456,-3)/$X$2</f>
        <v>0</v>
      </c>
      <c r="L459" s="91">
        <f>+ROUND(Návrh!K456,-3)/$X$2</f>
        <v>0</v>
      </c>
      <c r="M459" s="70"/>
    </row>
    <row r="460" spans="1:13" x14ac:dyDescent="0.25">
      <c r="A460" s="42" t="s">
        <v>1341</v>
      </c>
      <c r="B460" s="20" t="s">
        <v>916</v>
      </c>
      <c r="C460" s="20" t="s">
        <v>923</v>
      </c>
      <c r="D460" s="20" t="s">
        <v>917</v>
      </c>
      <c r="E460" s="290" t="s">
        <v>470</v>
      </c>
      <c r="F460" s="291"/>
      <c r="G460" s="91">
        <f>+ROUND(Návrh!G457,-3)/$X$2</f>
        <v>-187</v>
      </c>
      <c r="H460" s="91">
        <f>+ROUND(Návrh!H457,-3)/$X$2</f>
        <v>-181</v>
      </c>
      <c r="I460" s="91">
        <f>+ROUND(Návrh!I457,-3)/$X$2</f>
        <v>0</v>
      </c>
      <c r="J460" s="91" t="e">
        <f>+ROUND(Návrh!#REF!,-3)/$X$2</f>
        <v>#REF!</v>
      </c>
      <c r="K460" s="91">
        <f>+ROUND(Návrh!J457,-3)/$X$2</f>
        <v>0</v>
      </c>
      <c r="L460" s="91">
        <f>+ROUND(Návrh!K457,-3)/$X$2</f>
        <v>0</v>
      </c>
      <c r="M460" s="70"/>
    </row>
    <row r="461" spans="1:13" x14ac:dyDescent="0.25">
      <c r="A461" s="42" t="s">
        <v>1342</v>
      </c>
      <c r="B461" s="14"/>
      <c r="C461" s="13"/>
      <c r="D461" s="13"/>
      <c r="E461" s="290" t="s">
        <v>471</v>
      </c>
      <c r="F461" s="291"/>
      <c r="G461" s="91">
        <f>+ROUND(Návrh!G458,-3)/$X$2</f>
        <v>-900</v>
      </c>
      <c r="H461" s="91">
        <f>+ROUND(Návrh!H458,-3)/$X$2</f>
        <v>-1159</v>
      </c>
      <c r="I461" s="91">
        <f>+ROUND(Návrh!I458,-3)/$X$2</f>
        <v>0</v>
      </c>
      <c r="J461" s="91" t="e">
        <f>+ROUND(Návrh!#REF!,-3)/$X$2</f>
        <v>#REF!</v>
      </c>
      <c r="K461" s="91">
        <f>+ROUND(Návrh!J458,-3)/$X$2</f>
        <v>0</v>
      </c>
      <c r="L461" s="91">
        <f>+ROUND(Návrh!K458,-3)/$X$2</f>
        <v>0</v>
      </c>
      <c r="M461" s="70"/>
    </row>
    <row r="462" spans="1:13" x14ac:dyDescent="0.25">
      <c r="A462" s="42" t="s">
        <v>1343</v>
      </c>
      <c r="B462" s="27" t="s">
        <v>922</v>
      </c>
      <c r="C462" s="28" t="s">
        <v>923</v>
      </c>
      <c r="D462" s="28" t="s">
        <v>1249</v>
      </c>
      <c r="E462" s="290" t="s">
        <v>472</v>
      </c>
      <c r="F462" s="291"/>
      <c r="G462" s="91">
        <f>+ROUND(Návrh!G459,-3)/$X$2</f>
        <v>-768</v>
      </c>
      <c r="H462" s="91">
        <f>+ROUND(Návrh!H459,-3)/$X$2</f>
        <v>-664</v>
      </c>
      <c r="I462" s="91">
        <f>+ROUND(Návrh!I459,-3)/$X$2</f>
        <v>-741</v>
      </c>
      <c r="J462" s="91" t="e">
        <f>+ROUND(Návrh!#REF!,-3)/$X$2</f>
        <v>#REF!</v>
      </c>
      <c r="K462" s="91">
        <f>+ROUND(Návrh!J459,-3)/$X$2</f>
        <v>0</v>
      </c>
      <c r="L462" s="91">
        <f>+ROUND(Návrh!K459,-3)/$X$2</f>
        <v>-710</v>
      </c>
      <c r="M462" s="70"/>
    </row>
    <row r="463" spans="1:13" x14ac:dyDescent="0.25">
      <c r="A463" s="42" t="s">
        <v>1344</v>
      </c>
      <c r="B463" s="14"/>
      <c r="C463" s="13"/>
      <c r="D463" s="13"/>
      <c r="E463" s="290" t="s">
        <v>473</v>
      </c>
      <c r="F463" s="291"/>
      <c r="G463" s="91">
        <f>+ROUND(Návrh!G460,-3)/$X$2</f>
        <v>-61</v>
      </c>
      <c r="H463" s="91">
        <f>+ROUND(Návrh!H460,-3)/$X$2</f>
        <v>-113</v>
      </c>
      <c r="I463" s="91">
        <f>+ROUND(Návrh!I460,-3)/$X$2</f>
        <v>0</v>
      </c>
      <c r="J463" s="91" t="e">
        <f>+ROUND(Návrh!#REF!,-3)/$X$2</f>
        <v>#REF!</v>
      </c>
      <c r="K463" s="91">
        <f>+ROUND(Návrh!J460,-3)/$X$2</f>
        <v>0</v>
      </c>
      <c r="L463" s="91">
        <f>+ROUND(Návrh!K460,-3)/$X$2</f>
        <v>0</v>
      </c>
      <c r="M463" s="70"/>
    </row>
    <row r="464" spans="1:13" x14ac:dyDescent="0.25">
      <c r="A464" s="26" t="s">
        <v>1345</v>
      </c>
      <c r="B464" s="26"/>
      <c r="C464" s="23"/>
      <c r="D464" s="23"/>
      <c r="E464" s="300" t="s">
        <v>474</v>
      </c>
      <c r="F464" s="301"/>
      <c r="G464" s="95">
        <f>+ROUND(Návrh!G461,-3)/$X$2</f>
        <v>-6135</v>
      </c>
      <c r="H464" s="95">
        <f>+ROUND(Návrh!H461,-3)/$X$2</f>
        <v>-8995</v>
      </c>
      <c r="I464" s="95">
        <f>+ROUND(Návrh!I461,-3)/$X$2</f>
        <v>-9017</v>
      </c>
      <c r="J464" s="95" t="e">
        <f>+ROUND(Návrh!#REF!,-3)/$X$2</f>
        <v>#REF!</v>
      </c>
      <c r="K464" s="95">
        <f>+ROUND(Návrh!J461,-3)/$X$2</f>
        <v>0</v>
      </c>
      <c r="L464" s="95">
        <f>+ROUND(Návrh!K461,-3)/$X$2</f>
        <v>-11237</v>
      </c>
      <c r="M464" s="70"/>
    </row>
    <row r="465" spans="1:13" x14ac:dyDescent="0.25">
      <c r="A465" s="42" t="s">
        <v>1346</v>
      </c>
      <c r="B465" s="27" t="s">
        <v>916</v>
      </c>
      <c r="C465" s="28" t="s">
        <v>919</v>
      </c>
      <c r="D465" s="28" t="s">
        <v>917</v>
      </c>
      <c r="E465" s="290" t="s">
        <v>475</v>
      </c>
      <c r="F465" s="291"/>
      <c r="G465" s="91">
        <f>+ROUND(Návrh!G462,-3)/$X$2</f>
        <v>-1608</v>
      </c>
      <c r="H465" s="91">
        <f>+ROUND(Návrh!H462,-3)/$X$2</f>
        <v>-2283</v>
      </c>
      <c r="I465" s="91">
        <f>+ROUND(Návrh!I462,-3)/$X$2</f>
        <v>-2283</v>
      </c>
      <c r="J465" s="91" t="e">
        <f>+ROUND(Návrh!#REF!,-3)/$X$2</f>
        <v>#REF!</v>
      </c>
      <c r="K465" s="91">
        <f>+ROUND(Návrh!J462,-3)/$X$2</f>
        <v>0</v>
      </c>
      <c r="L465" s="91">
        <f>+ROUND(Návrh!K462,-3)/$X$2</f>
        <v>-2913</v>
      </c>
      <c r="M465" s="70"/>
    </row>
    <row r="466" spans="1:13" x14ac:dyDescent="0.25">
      <c r="A466" s="42" t="s">
        <v>1347</v>
      </c>
      <c r="B466" s="27" t="s">
        <v>916</v>
      </c>
      <c r="C466" s="28" t="s">
        <v>919</v>
      </c>
      <c r="D466" s="28" t="s">
        <v>917</v>
      </c>
      <c r="E466" s="290" t="s">
        <v>476</v>
      </c>
      <c r="F466" s="291"/>
      <c r="G466" s="91">
        <f>+ROUND(Návrh!G463,-3)/$X$2</f>
        <v>-3750</v>
      </c>
      <c r="H466" s="91">
        <f>+ROUND(Návrh!H463,-3)/$X$2</f>
        <v>-5900</v>
      </c>
      <c r="I466" s="91">
        <f>+ROUND(Návrh!I463,-3)/$X$2</f>
        <v>-5900</v>
      </c>
      <c r="J466" s="91" t="e">
        <f>+ROUND(Návrh!#REF!,-3)/$X$2</f>
        <v>#REF!</v>
      </c>
      <c r="K466" s="91">
        <f>+ROUND(Návrh!J463,-3)/$X$2</f>
        <v>0</v>
      </c>
      <c r="L466" s="91">
        <f>+ROUND(Návrh!K463,-3)/$X$2</f>
        <v>-7400</v>
      </c>
      <c r="M466" s="70"/>
    </row>
    <row r="467" spans="1:13" x14ac:dyDescent="0.25">
      <c r="A467" s="42" t="s">
        <v>1348</v>
      </c>
      <c r="B467" s="20" t="s">
        <v>916</v>
      </c>
      <c r="C467" s="28" t="s">
        <v>919</v>
      </c>
      <c r="D467" s="20" t="s">
        <v>918</v>
      </c>
      <c r="E467" s="290" t="s">
        <v>477</v>
      </c>
      <c r="F467" s="291"/>
      <c r="G467" s="91">
        <f>+ROUND(Návrh!G464,-3)/$X$2</f>
        <v>-709</v>
      </c>
      <c r="H467" s="91">
        <f>+ROUND(Návrh!H464,-3)/$X$2</f>
        <v>-809</v>
      </c>
      <c r="I467" s="91">
        <f>+ROUND(Návrh!I464,-3)/$X$2</f>
        <v>-810</v>
      </c>
      <c r="J467" s="91" t="e">
        <f>+ROUND(Návrh!#REF!,-3)/$X$2</f>
        <v>#REF!</v>
      </c>
      <c r="K467" s="91">
        <f>+ROUND(Návrh!J464,-3)/$X$2</f>
        <v>0</v>
      </c>
      <c r="L467" s="91">
        <f>+ROUND(Návrh!K464,-3)/$X$2</f>
        <v>-900</v>
      </c>
      <c r="M467" s="70"/>
    </row>
    <row r="468" spans="1:13" x14ac:dyDescent="0.25">
      <c r="A468" s="42" t="s">
        <v>1349</v>
      </c>
      <c r="B468" s="20" t="s">
        <v>1432</v>
      </c>
      <c r="C468" s="20" t="s">
        <v>920</v>
      </c>
      <c r="D468" s="20" t="s">
        <v>1245</v>
      </c>
      <c r="E468" s="290" t="s">
        <v>478</v>
      </c>
      <c r="F468" s="291"/>
      <c r="G468" s="91">
        <f>+ROUND(Návrh!G465,-3)/$X$2</f>
        <v>-69</v>
      </c>
      <c r="H468" s="91">
        <f>+ROUND(Návrh!H465,-3)/$X$2</f>
        <v>-4</v>
      </c>
      <c r="I468" s="91">
        <f>+ROUND(Návrh!I465,-3)/$X$2</f>
        <v>-24</v>
      </c>
      <c r="J468" s="91" t="e">
        <f>+ROUND(Návrh!#REF!,-3)/$X$2</f>
        <v>#REF!</v>
      </c>
      <c r="K468" s="91">
        <f>+ROUND(Návrh!J465,-3)/$X$2</f>
        <v>0</v>
      </c>
      <c r="L468" s="91">
        <f>+ROUND(Návrh!K465,-3)/$X$2</f>
        <v>-24</v>
      </c>
      <c r="M468" s="70"/>
    </row>
    <row r="469" spans="1:13" x14ac:dyDescent="0.25">
      <c r="A469" s="26" t="s">
        <v>1350</v>
      </c>
      <c r="B469" s="26"/>
      <c r="C469" s="23"/>
      <c r="D469" s="23"/>
      <c r="E469" s="300" t="s">
        <v>479</v>
      </c>
      <c r="F469" s="301"/>
      <c r="G469" s="95">
        <f>+ROUND(Návrh!G466,-3)/$X$2</f>
        <v>-41</v>
      </c>
      <c r="H469" s="95">
        <f>+ROUND(Návrh!H466,-3)/$X$2</f>
        <v>-86</v>
      </c>
      <c r="I469" s="95">
        <f>+ROUND(Návrh!I466,-3)/$X$2</f>
        <v>-45</v>
      </c>
      <c r="J469" s="95" t="e">
        <f>+ROUND(Návrh!#REF!,-3)/$X$2</f>
        <v>#REF!</v>
      </c>
      <c r="K469" s="95">
        <f>+ROUND(Návrh!J466,-3)/$X$2</f>
        <v>0</v>
      </c>
      <c r="L469" s="95">
        <f>+ROUND(Návrh!K466,-3)/$X$2</f>
        <v>-44</v>
      </c>
      <c r="M469" s="70"/>
    </row>
    <row r="470" spans="1:13" x14ac:dyDescent="0.25">
      <c r="A470" s="42" t="s">
        <v>1351</v>
      </c>
      <c r="B470" s="27" t="s">
        <v>916</v>
      </c>
      <c r="C470" s="28" t="s">
        <v>923</v>
      </c>
      <c r="D470" s="28" t="s">
        <v>917</v>
      </c>
      <c r="E470" s="290" t="s">
        <v>480</v>
      </c>
      <c r="F470" s="291"/>
      <c r="G470" s="91">
        <f>+ROUND(Návrh!G467,-3)/$X$2</f>
        <v>-41</v>
      </c>
      <c r="H470" s="91">
        <f>+ROUND(Návrh!H467,-3)/$X$2</f>
        <v>-86</v>
      </c>
      <c r="I470" s="91">
        <f>+ROUND(Návrh!I467,-3)/$X$2</f>
        <v>-45</v>
      </c>
      <c r="J470" s="91" t="e">
        <f>+ROUND(Návrh!#REF!,-3)/$X$2</f>
        <v>#REF!</v>
      </c>
      <c r="K470" s="91">
        <f>+ROUND(Návrh!J467,-3)/$X$2</f>
        <v>0</v>
      </c>
      <c r="L470" s="91">
        <f>+ROUND(Návrh!K467,-3)/$X$2</f>
        <v>-44</v>
      </c>
      <c r="M470" s="70"/>
    </row>
    <row r="471" spans="1:13" x14ac:dyDescent="0.25">
      <c r="A471" s="26" t="s">
        <v>1352</v>
      </c>
      <c r="B471" s="26"/>
      <c r="C471" s="23"/>
      <c r="D471" s="23"/>
      <c r="E471" s="300" t="s">
        <v>481</v>
      </c>
      <c r="F471" s="301"/>
      <c r="G471" s="95">
        <f>+ROUND(Návrh!G468,-3)/$X$2</f>
        <v>-523</v>
      </c>
      <c r="H471" s="95">
        <f>+ROUND(Návrh!H468,-3)/$X$2</f>
        <v>-398</v>
      </c>
      <c r="I471" s="95">
        <f>+ROUND(Návrh!I468,-3)/$X$2</f>
        <v>-500</v>
      </c>
      <c r="J471" s="95" t="e">
        <f>+ROUND(Návrh!#REF!,-3)/$X$2</f>
        <v>#REF!</v>
      </c>
      <c r="K471" s="95">
        <f>+ROUND(Návrh!J468,-3)/$X$2</f>
        <v>0</v>
      </c>
      <c r="L471" s="95">
        <f>+ROUND(Návrh!K468,-3)/$X$2</f>
        <v>-397</v>
      </c>
      <c r="M471" s="70"/>
    </row>
    <row r="472" spans="1:13" x14ac:dyDescent="0.25">
      <c r="A472" s="42" t="s">
        <v>1353</v>
      </c>
      <c r="B472" s="20" t="s">
        <v>922</v>
      </c>
      <c r="C472" s="20" t="s">
        <v>919</v>
      </c>
      <c r="D472" s="20" t="s">
        <v>924</v>
      </c>
      <c r="E472" s="290" t="s">
        <v>482</v>
      </c>
      <c r="F472" s="291"/>
      <c r="G472" s="91">
        <f>+ROUND(Návrh!G469,-3)/$X$2</f>
        <v>-523</v>
      </c>
      <c r="H472" s="91">
        <f>+ROUND(Návrh!H469,-3)/$X$2</f>
        <v>-398</v>
      </c>
      <c r="I472" s="91">
        <f>+ROUND(Návrh!I469,-3)/$X$2</f>
        <v>-500</v>
      </c>
      <c r="J472" s="91" t="e">
        <f>+ROUND(Návrh!#REF!,-3)/$X$2</f>
        <v>#REF!</v>
      </c>
      <c r="K472" s="91">
        <f>+ROUND(Návrh!J469,-3)/$X$2</f>
        <v>0</v>
      </c>
      <c r="L472" s="91">
        <f>+ROUND(Návrh!K469,-3)/$X$2</f>
        <v>-397</v>
      </c>
      <c r="M472" s="70"/>
    </row>
    <row r="473" spans="1:13" x14ac:dyDescent="0.25">
      <c r="A473" s="26" t="s">
        <v>1354</v>
      </c>
      <c r="B473" s="26"/>
      <c r="C473" s="23"/>
      <c r="D473" s="23"/>
      <c r="E473" s="300" t="s">
        <v>483</v>
      </c>
      <c r="F473" s="301"/>
      <c r="G473" s="95">
        <f>+ROUND(Návrh!G470,-3)/$X$2</f>
        <v>-283</v>
      </c>
      <c r="H473" s="95">
        <f>+ROUND(Návrh!H470,-3)/$X$2</f>
        <v>-293</v>
      </c>
      <c r="I473" s="95">
        <f>+ROUND(Návrh!I470,-3)/$X$2</f>
        <v>-280</v>
      </c>
      <c r="J473" s="95" t="e">
        <f>+ROUND(Návrh!#REF!,-3)/$X$2</f>
        <v>#REF!</v>
      </c>
      <c r="K473" s="95">
        <f>+ROUND(Návrh!J470,-3)/$X$2</f>
        <v>0</v>
      </c>
      <c r="L473" s="95">
        <f>+ROUND(Návrh!K470,-3)/$X$2</f>
        <v>-290</v>
      </c>
      <c r="M473" s="70"/>
    </row>
    <row r="474" spans="1:13" x14ac:dyDescent="0.25">
      <c r="A474" s="42" t="s">
        <v>1355</v>
      </c>
      <c r="B474" s="27" t="s">
        <v>916</v>
      </c>
      <c r="C474" s="28" t="s">
        <v>919</v>
      </c>
      <c r="D474" s="28" t="s">
        <v>917</v>
      </c>
      <c r="E474" s="290" t="s">
        <v>484</v>
      </c>
      <c r="F474" s="291"/>
      <c r="G474" s="91">
        <f>+ROUND(Návrh!G471,-3)/$X$2</f>
        <v>-278</v>
      </c>
      <c r="H474" s="91">
        <f>+ROUND(Návrh!H471,-3)/$X$2</f>
        <v>-293</v>
      </c>
      <c r="I474" s="91">
        <f>+ROUND(Návrh!I471,-3)/$X$2</f>
        <v>-280</v>
      </c>
      <c r="J474" s="91" t="e">
        <f>+ROUND(Návrh!#REF!,-3)/$X$2</f>
        <v>#REF!</v>
      </c>
      <c r="K474" s="91">
        <f>+ROUND(Návrh!J471,-3)/$X$2</f>
        <v>0</v>
      </c>
      <c r="L474" s="91">
        <f>+ROUND(Návrh!K471,-3)/$X$2</f>
        <v>-290</v>
      </c>
      <c r="M474" s="70"/>
    </row>
    <row r="475" spans="1:13" x14ac:dyDescent="0.25">
      <c r="A475" s="42" t="s">
        <v>1356</v>
      </c>
      <c r="B475" s="27" t="s">
        <v>916</v>
      </c>
      <c r="C475" s="28" t="s">
        <v>919</v>
      </c>
      <c r="D475" s="28" t="s">
        <v>917</v>
      </c>
      <c r="E475" s="290" t="s">
        <v>1685</v>
      </c>
      <c r="F475" s="291"/>
      <c r="G475" s="91">
        <f>+ROUND(Návrh!G472,-3)/$X$2</f>
        <v>-5</v>
      </c>
      <c r="H475" s="91">
        <f>+ROUND(Návrh!H472,-3)/$X$2</f>
        <v>0</v>
      </c>
      <c r="I475" s="91">
        <f>+ROUND(Návrh!I472,-3)/$X$2</f>
        <v>0</v>
      </c>
      <c r="J475" s="91" t="e">
        <f>+ROUND(Návrh!#REF!,-3)/$X$2</f>
        <v>#REF!</v>
      </c>
      <c r="K475" s="91">
        <f>+ROUND(Návrh!J472,-3)/$X$2</f>
        <v>0</v>
      </c>
      <c r="L475" s="91">
        <f>+ROUND(Návrh!K472,-3)/$X$2</f>
        <v>0</v>
      </c>
      <c r="M475" s="70"/>
    </row>
    <row r="476" spans="1:13" x14ac:dyDescent="0.25">
      <c r="A476" s="26" t="s">
        <v>1357</v>
      </c>
      <c r="B476" s="26"/>
      <c r="C476" s="23"/>
      <c r="D476" s="23"/>
      <c r="E476" s="300" t="s">
        <v>485</v>
      </c>
      <c r="F476" s="301"/>
      <c r="G476" s="95">
        <f>+ROUND(Návrh!G473,-3)/$X$2</f>
        <v>-1045</v>
      </c>
      <c r="H476" s="95">
        <f>+ROUND(Návrh!H473,-3)/$X$2</f>
        <v>-983</v>
      </c>
      <c r="I476" s="95">
        <f>+ROUND(Návrh!I473,-3)/$X$2</f>
        <v>-1150</v>
      </c>
      <c r="J476" s="95" t="e">
        <f>+ROUND(Návrh!#REF!,-3)/$X$2</f>
        <v>#REF!</v>
      </c>
      <c r="K476" s="95">
        <f>+ROUND(Návrh!J473,-3)/$X$2</f>
        <v>0</v>
      </c>
      <c r="L476" s="95">
        <f>+ROUND(Návrh!K473,-3)/$X$2</f>
        <v>-1290</v>
      </c>
      <c r="M476" s="70"/>
    </row>
    <row r="477" spans="1:13" x14ac:dyDescent="0.25">
      <c r="A477" s="42" t="s">
        <v>1358</v>
      </c>
      <c r="B477" s="27" t="s">
        <v>916</v>
      </c>
      <c r="C477" s="28" t="s">
        <v>919</v>
      </c>
      <c r="D477" s="28" t="s">
        <v>917</v>
      </c>
      <c r="E477" s="290" t="s">
        <v>486</v>
      </c>
      <c r="F477" s="291"/>
      <c r="G477" s="91">
        <f>+ROUND(Návrh!G474,-3)/$X$2</f>
        <v>-1045</v>
      </c>
      <c r="H477" s="91">
        <f>+ROUND(Návrh!H474,-3)/$X$2</f>
        <v>-983</v>
      </c>
      <c r="I477" s="91">
        <f>+ROUND(Návrh!I474,-3)/$X$2</f>
        <v>-1150</v>
      </c>
      <c r="J477" s="91" t="e">
        <f>+ROUND(Návrh!#REF!,-3)/$X$2</f>
        <v>#REF!</v>
      </c>
      <c r="K477" s="91">
        <f>+ROUND(Návrh!J474,-3)/$X$2</f>
        <v>0</v>
      </c>
      <c r="L477" s="91">
        <f>+ROUND(Návrh!K474,-3)/$X$2</f>
        <v>-1290</v>
      </c>
      <c r="M477" s="70"/>
    </row>
    <row r="478" spans="1:13" x14ac:dyDescent="0.25">
      <c r="A478" s="26" t="s">
        <v>1359</v>
      </c>
      <c r="B478" s="26"/>
      <c r="C478" s="23"/>
      <c r="D478" s="23"/>
      <c r="E478" s="300" t="s">
        <v>487</v>
      </c>
      <c r="F478" s="301"/>
      <c r="G478" s="95">
        <f>+ROUND(Návrh!G475,-3)/$X$2</f>
        <v>0</v>
      </c>
      <c r="H478" s="95">
        <f>+ROUND(Návrh!H475,-3)/$X$2</f>
        <v>0</v>
      </c>
      <c r="I478" s="95">
        <f>+ROUND(Návrh!I475,-3)/$X$2</f>
        <v>0</v>
      </c>
      <c r="J478" s="95" t="e">
        <f>+ROUND(Návrh!#REF!,-3)/$X$2</f>
        <v>#REF!</v>
      </c>
      <c r="K478" s="95">
        <f>+ROUND(Návrh!J475,-3)/$X$2</f>
        <v>0</v>
      </c>
      <c r="L478" s="95">
        <f>+ROUND(Návrh!K475,-3)/$X$2</f>
        <v>0</v>
      </c>
      <c r="M478" s="70"/>
    </row>
    <row r="479" spans="1:13" x14ac:dyDescent="0.25">
      <c r="A479" s="42" t="s">
        <v>1360</v>
      </c>
      <c r="B479" s="14"/>
      <c r="C479" s="13"/>
      <c r="D479" s="13"/>
      <c r="E479" s="290" t="s">
        <v>488</v>
      </c>
      <c r="F479" s="291"/>
      <c r="G479" s="91">
        <f>+ROUND(Návrh!G476,-3)/$X$2</f>
        <v>0</v>
      </c>
      <c r="H479" s="91">
        <f>+ROUND(Návrh!H476,-3)/$X$2</f>
        <v>0</v>
      </c>
      <c r="I479" s="91">
        <f>+ROUND(Návrh!I476,-3)/$X$2</f>
        <v>0</v>
      </c>
      <c r="J479" s="91" t="e">
        <f>+ROUND(Návrh!#REF!,-3)/$X$2</f>
        <v>#REF!</v>
      </c>
      <c r="K479" s="91">
        <f>+ROUND(Návrh!J476,-3)/$X$2</f>
        <v>0</v>
      </c>
      <c r="L479" s="91">
        <f>+ROUND(Návrh!K476,-3)/$X$2</f>
        <v>0</v>
      </c>
      <c r="M479" s="70"/>
    </row>
    <row r="480" spans="1:13" x14ac:dyDescent="0.25">
      <c r="A480" s="26" t="s">
        <v>1361</v>
      </c>
      <c r="B480" s="26"/>
      <c r="C480" s="23"/>
      <c r="D480" s="23"/>
      <c r="E480" s="300" t="s">
        <v>489</v>
      </c>
      <c r="F480" s="301"/>
      <c r="G480" s="95">
        <f>+ROUND(Návrh!G477,-3)/$X$2</f>
        <v>-15</v>
      </c>
      <c r="H480" s="95">
        <f>+ROUND(Návrh!H477,-3)/$X$2</f>
        <v>-19</v>
      </c>
      <c r="I480" s="95">
        <f>+ROUND(Návrh!I477,-3)/$X$2</f>
        <v>-50</v>
      </c>
      <c r="J480" s="95" t="e">
        <f>+ROUND(Návrh!#REF!,-3)/$X$2</f>
        <v>#REF!</v>
      </c>
      <c r="K480" s="95">
        <f>+ROUND(Návrh!J477,-3)/$X$2</f>
        <v>0</v>
      </c>
      <c r="L480" s="95">
        <f>+ROUND(Návrh!K477,-3)/$X$2</f>
        <v>-210</v>
      </c>
      <c r="M480" s="70"/>
    </row>
    <row r="481" spans="1:13" x14ac:dyDescent="0.25">
      <c r="A481" s="42" t="s">
        <v>1362</v>
      </c>
      <c r="B481" s="20" t="s">
        <v>1243</v>
      </c>
      <c r="C481" s="20" t="s">
        <v>920</v>
      </c>
      <c r="D481" s="20" t="s">
        <v>1245</v>
      </c>
      <c r="E481" s="290" t="s">
        <v>490</v>
      </c>
      <c r="F481" s="291"/>
      <c r="G481" s="91">
        <f>+ROUND(Návrh!G478,-3)/$X$2</f>
        <v>-15</v>
      </c>
      <c r="H481" s="91">
        <f>+ROUND(Návrh!H478,-3)/$X$2</f>
        <v>-19</v>
      </c>
      <c r="I481" s="91">
        <f>+ROUND(Návrh!I478,-3)/$X$2</f>
        <v>-50</v>
      </c>
      <c r="J481" s="91" t="e">
        <f>+ROUND(Návrh!#REF!,-3)/$X$2</f>
        <v>#REF!</v>
      </c>
      <c r="K481" s="91">
        <f>+ROUND(Návrh!J478,-3)/$X$2</f>
        <v>0</v>
      </c>
      <c r="L481" s="91">
        <f>+ROUND(Návrh!K478,-3)/$X$2</f>
        <v>-210</v>
      </c>
      <c r="M481" s="70"/>
    </row>
    <row r="482" spans="1:13" x14ac:dyDescent="0.25">
      <c r="A482" s="26" t="s">
        <v>1363</v>
      </c>
      <c r="B482" s="26"/>
      <c r="C482" s="23"/>
      <c r="D482" s="23"/>
      <c r="E482" s="300" t="s">
        <v>491</v>
      </c>
      <c r="F482" s="301"/>
      <c r="G482" s="95">
        <f>+ROUND(Návrh!G479,-3)/$X$2</f>
        <v>-816</v>
      </c>
      <c r="H482" s="95">
        <f>+ROUND(Návrh!H479,-3)/$X$2</f>
        <v>-1021</v>
      </c>
      <c r="I482" s="95">
        <f>+ROUND(Návrh!I479,-3)/$X$2</f>
        <v>-700</v>
      </c>
      <c r="J482" s="95" t="e">
        <f>+ROUND(Návrh!#REF!,-3)/$X$2</f>
        <v>#REF!</v>
      </c>
      <c r="K482" s="95">
        <f>+ROUND(Návrh!J479,-3)/$X$2</f>
        <v>0</v>
      </c>
      <c r="L482" s="95">
        <f>+ROUND(Návrh!K479,-3)/$X$2</f>
        <v>-700</v>
      </c>
      <c r="M482" s="70"/>
    </row>
    <row r="483" spans="1:13" x14ac:dyDescent="0.25">
      <c r="A483" s="42" t="s">
        <v>1364</v>
      </c>
      <c r="B483" s="20" t="s">
        <v>1243</v>
      </c>
      <c r="C483" s="20" t="s">
        <v>920</v>
      </c>
      <c r="D483" s="20" t="s">
        <v>1245</v>
      </c>
      <c r="E483" s="290" t="s">
        <v>492</v>
      </c>
      <c r="F483" s="291"/>
      <c r="G483" s="91">
        <f>+ROUND(Návrh!G480,-3)/$X$2</f>
        <v>-816</v>
      </c>
      <c r="H483" s="91">
        <f>+ROUND(Návrh!H480,-3)/$X$2</f>
        <v>-1021</v>
      </c>
      <c r="I483" s="91">
        <f>+ROUND(Návrh!I480,-3)/$X$2</f>
        <v>-700</v>
      </c>
      <c r="J483" s="91" t="e">
        <f>+ROUND(Návrh!#REF!,-3)/$X$2</f>
        <v>#REF!</v>
      </c>
      <c r="K483" s="91">
        <f>+ROUND(Návrh!J480,-3)/$X$2</f>
        <v>0</v>
      </c>
      <c r="L483" s="91">
        <f>+ROUND(Návrh!K480,-3)/$X$2</f>
        <v>-700</v>
      </c>
      <c r="M483" s="70"/>
    </row>
    <row r="484" spans="1:13" x14ac:dyDescent="0.25">
      <c r="A484" s="26" t="s">
        <v>1365</v>
      </c>
      <c r="B484" s="26"/>
      <c r="C484" s="23"/>
      <c r="D484" s="23"/>
      <c r="E484" s="300" t="s">
        <v>493</v>
      </c>
      <c r="F484" s="301"/>
      <c r="G484" s="95">
        <f>+ROUND(Návrh!G481,-3)/$X$2</f>
        <v>-482</v>
      </c>
      <c r="H484" s="95">
        <f>+ROUND(Návrh!H481,-3)/$X$2</f>
        <v>-517</v>
      </c>
      <c r="I484" s="95">
        <f>+ROUND(Návrh!I481,-3)/$X$2</f>
        <v>-200</v>
      </c>
      <c r="J484" s="95" t="e">
        <f>+ROUND(Návrh!#REF!,-3)/$X$2</f>
        <v>#REF!</v>
      </c>
      <c r="K484" s="95">
        <f>+ROUND(Návrh!J481,-3)/$X$2</f>
        <v>0</v>
      </c>
      <c r="L484" s="95">
        <f>+ROUND(Návrh!K481,-3)/$X$2</f>
        <v>-200</v>
      </c>
      <c r="M484" s="70"/>
    </row>
    <row r="485" spans="1:13" x14ac:dyDescent="0.25">
      <c r="A485" s="42" t="s">
        <v>1366</v>
      </c>
      <c r="B485" s="20" t="s">
        <v>1243</v>
      </c>
      <c r="C485" s="20" t="s">
        <v>920</v>
      </c>
      <c r="D485" s="20" t="s">
        <v>1245</v>
      </c>
      <c r="E485" s="290" t="s">
        <v>494</v>
      </c>
      <c r="F485" s="291"/>
      <c r="G485" s="91">
        <f>+ROUND(Návrh!G482,-3)/$X$2</f>
        <v>-482</v>
      </c>
      <c r="H485" s="91">
        <f>+ROUND(Návrh!H482,-3)/$X$2</f>
        <v>-517</v>
      </c>
      <c r="I485" s="91">
        <f>+ROUND(Návrh!I482,-3)/$X$2</f>
        <v>-200</v>
      </c>
      <c r="J485" s="91" t="e">
        <f>+ROUND(Návrh!#REF!,-3)/$X$2</f>
        <v>#REF!</v>
      </c>
      <c r="K485" s="91">
        <f>+ROUND(Návrh!J482,-3)/$X$2</f>
        <v>0</v>
      </c>
      <c r="L485" s="91">
        <f>+ROUND(Návrh!K482,-3)/$X$2</f>
        <v>-200</v>
      </c>
      <c r="M485" s="70"/>
    </row>
    <row r="486" spans="1:13" x14ac:dyDescent="0.25">
      <c r="A486" s="26" t="s">
        <v>1367</v>
      </c>
      <c r="B486" s="26"/>
      <c r="C486" s="23"/>
      <c r="D486" s="23"/>
      <c r="E486" s="300" t="s">
        <v>495</v>
      </c>
      <c r="F486" s="301"/>
      <c r="G486" s="95">
        <f>+ROUND(Návrh!G483,-3)/$X$2</f>
        <v>0</v>
      </c>
      <c r="H486" s="95">
        <f>+ROUND(Návrh!H483,-3)/$X$2</f>
        <v>0</v>
      </c>
      <c r="I486" s="95">
        <f>+ROUND(Návrh!I483,-3)/$X$2</f>
        <v>0</v>
      </c>
      <c r="J486" s="95" t="e">
        <f>+ROUND(Návrh!#REF!,-3)/$X$2</f>
        <v>#REF!</v>
      </c>
      <c r="K486" s="95">
        <f>+ROUND(Návrh!J483,-3)/$X$2</f>
        <v>0</v>
      </c>
      <c r="L486" s="95">
        <f>+ROUND(Návrh!K483,-3)/$X$2</f>
        <v>0</v>
      </c>
      <c r="M486" s="70"/>
    </row>
    <row r="487" spans="1:13" x14ac:dyDescent="0.25">
      <c r="A487" s="42" t="s">
        <v>1368</v>
      </c>
      <c r="B487" s="14"/>
      <c r="C487" s="13"/>
      <c r="D487" s="13"/>
      <c r="E487" s="290" t="s">
        <v>496</v>
      </c>
      <c r="F487" s="291"/>
      <c r="G487" s="91">
        <f>+ROUND(Návrh!G484,-3)/$X$2</f>
        <v>0</v>
      </c>
      <c r="H487" s="91">
        <f>+ROUND(Návrh!H484,-3)/$X$2</f>
        <v>0</v>
      </c>
      <c r="I487" s="91">
        <f>+ROUND(Návrh!I484,-3)/$X$2</f>
        <v>0</v>
      </c>
      <c r="J487" s="91" t="e">
        <f>+ROUND(Návrh!#REF!,-3)/$X$2</f>
        <v>#REF!</v>
      </c>
      <c r="K487" s="91">
        <f>+ROUND(Návrh!J484,-3)/$X$2</f>
        <v>0</v>
      </c>
      <c r="L487" s="91">
        <f>+ROUND(Návrh!K484,-3)/$X$2</f>
        <v>0</v>
      </c>
      <c r="M487" s="70"/>
    </row>
    <row r="488" spans="1:13" x14ac:dyDescent="0.25">
      <c r="A488" s="26" t="s">
        <v>1369</v>
      </c>
      <c r="B488" s="26"/>
      <c r="C488" s="23"/>
      <c r="D488" s="23"/>
      <c r="E488" s="300" t="s">
        <v>497</v>
      </c>
      <c r="F488" s="301"/>
      <c r="G488" s="95">
        <f>+ROUND(Návrh!G485,-3)/$X$2</f>
        <v>-501</v>
      </c>
      <c r="H488" s="95">
        <f>+ROUND(Návrh!H485,-3)/$X$2</f>
        <v>-669</v>
      </c>
      <c r="I488" s="95">
        <f>+ROUND(Návrh!I485,-3)/$X$2</f>
        <v>-500</v>
      </c>
      <c r="J488" s="95" t="e">
        <f>+ROUND(Návrh!#REF!,-3)/$X$2</f>
        <v>#REF!</v>
      </c>
      <c r="K488" s="95">
        <f>+ROUND(Návrh!J485,-3)/$X$2</f>
        <v>0</v>
      </c>
      <c r="L488" s="95">
        <f>+ROUND(Návrh!K485,-3)/$X$2</f>
        <v>-580</v>
      </c>
      <c r="M488" s="70"/>
    </row>
    <row r="489" spans="1:13" x14ac:dyDescent="0.25">
      <c r="A489" s="42" t="s">
        <v>1370</v>
      </c>
      <c r="B489" s="20" t="s">
        <v>1243</v>
      </c>
      <c r="C489" s="20" t="s">
        <v>920</v>
      </c>
      <c r="D489" s="20" t="s">
        <v>1245</v>
      </c>
      <c r="E489" s="290" t="s">
        <v>498</v>
      </c>
      <c r="F489" s="291"/>
      <c r="G489" s="91">
        <f>+ROUND(Návrh!G486,-3)/$X$2</f>
        <v>-501</v>
      </c>
      <c r="H489" s="91">
        <f>+ROUND(Návrh!H486,-3)/$X$2</f>
        <v>-669</v>
      </c>
      <c r="I489" s="91">
        <f>+ROUND(Návrh!I486,-3)/$X$2</f>
        <v>-500</v>
      </c>
      <c r="J489" s="91" t="e">
        <f>+ROUND(Návrh!#REF!,-3)/$X$2</f>
        <v>#REF!</v>
      </c>
      <c r="K489" s="91">
        <f>+ROUND(Návrh!J486,-3)/$X$2</f>
        <v>0</v>
      </c>
      <c r="L489" s="91">
        <f>+ROUND(Návrh!K486,-3)/$X$2</f>
        <v>-580</v>
      </c>
      <c r="M489" s="70"/>
    </row>
    <row r="490" spans="1:13" x14ac:dyDescent="0.25">
      <c r="A490" s="26" t="s">
        <v>1371</v>
      </c>
      <c r="B490" s="26"/>
      <c r="C490" s="23"/>
      <c r="D490" s="23"/>
      <c r="E490" s="300" t="s">
        <v>499</v>
      </c>
      <c r="F490" s="301"/>
      <c r="G490" s="95">
        <f>+ROUND(Návrh!G487,-3)/$X$2</f>
        <v>-405</v>
      </c>
      <c r="H490" s="95">
        <f>+ROUND(Návrh!H487,-3)/$X$2</f>
        <v>-529</v>
      </c>
      <c r="I490" s="95">
        <f>+ROUND(Návrh!I487,-3)/$X$2</f>
        <v>0</v>
      </c>
      <c r="J490" s="95" t="e">
        <f>+ROUND(Návrh!#REF!,-3)/$X$2</f>
        <v>#REF!</v>
      </c>
      <c r="K490" s="95">
        <f>+ROUND(Návrh!J487,-3)/$X$2</f>
        <v>0</v>
      </c>
      <c r="L490" s="95">
        <f>+ROUND(Návrh!K487,-3)/$X$2</f>
        <v>-500</v>
      </c>
      <c r="M490" s="70"/>
    </row>
    <row r="491" spans="1:13" x14ac:dyDescent="0.25">
      <c r="A491" s="42" t="s">
        <v>1372</v>
      </c>
      <c r="B491" s="27" t="s">
        <v>916</v>
      </c>
      <c r="C491" s="16" t="s">
        <v>920</v>
      </c>
      <c r="D491" s="16" t="s">
        <v>917</v>
      </c>
      <c r="E491" s="290" t="s">
        <v>500</v>
      </c>
      <c r="F491" s="291"/>
      <c r="G491" s="91">
        <f>+ROUND(Návrh!G488,-3)/$X$2</f>
        <v>-405</v>
      </c>
      <c r="H491" s="91">
        <f>+ROUND(Návrh!H488,-3)/$X$2</f>
        <v>-529</v>
      </c>
      <c r="I491" s="91">
        <f>+ROUND(Návrh!I488,-3)/$X$2</f>
        <v>0</v>
      </c>
      <c r="J491" s="91" t="e">
        <f>+ROUND(Návrh!#REF!,-3)/$X$2</f>
        <v>#REF!</v>
      </c>
      <c r="K491" s="91">
        <f>+ROUND(Návrh!J488,-3)/$X$2</f>
        <v>0</v>
      </c>
      <c r="L491" s="91">
        <f>+ROUND(Návrh!K488,-3)/$X$2</f>
        <v>-500</v>
      </c>
      <c r="M491" s="70"/>
    </row>
    <row r="492" spans="1:13" x14ac:dyDescent="0.25">
      <c r="A492" s="26" t="s">
        <v>1373</v>
      </c>
      <c r="B492" s="26"/>
      <c r="C492" s="23"/>
      <c r="D492" s="23"/>
      <c r="E492" s="300" t="s">
        <v>501</v>
      </c>
      <c r="F492" s="301"/>
      <c r="G492" s="95">
        <f>+ROUND(Návrh!G489,-3)/$X$2</f>
        <v>-14</v>
      </c>
      <c r="H492" s="95">
        <f>+ROUND(Návrh!H489,-3)/$X$2</f>
        <v>-10</v>
      </c>
      <c r="I492" s="95">
        <f>+ROUND(Návrh!I489,-3)/$X$2</f>
        <v>0</v>
      </c>
      <c r="J492" s="95" t="e">
        <f>+ROUND(Návrh!#REF!,-3)/$X$2</f>
        <v>#REF!</v>
      </c>
      <c r="K492" s="95">
        <f>+ROUND(Návrh!J489,-3)/$X$2</f>
        <v>0</v>
      </c>
      <c r="L492" s="95">
        <f>+ROUND(Návrh!K489,-3)/$X$2</f>
        <v>0</v>
      </c>
      <c r="M492" s="70"/>
    </row>
    <row r="493" spans="1:13" x14ac:dyDescent="0.25">
      <c r="A493" s="42" t="s">
        <v>1374</v>
      </c>
      <c r="B493" s="14"/>
      <c r="C493" s="13"/>
      <c r="D493" s="13"/>
      <c r="E493" s="290" t="s">
        <v>502</v>
      </c>
      <c r="F493" s="291"/>
      <c r="G493" s="91">
        <f>+ROUND(Návrh!G490,-3)/$X$2</f>
        <v>-7</v>
      </c>
      <c r="H493" s="91">
        <f>+ROUND(Návrh!H490,-3)/$X$2</f>
        <v>-10</v>
      </c>
      <c r="I493" s="91">
        <f>+ROUND(Návrh!I490,-3)/$X$2</f>
        <v>0</v>
      </c>
      <c r="J493" s="91" t="e">
        <f>+ROUND(Návrh!#REF!,-3)/$X$2</f>
        <v>#REF!</v>
      </c>
      <c r="K493" s="91">
        <f>+ROUND(Návrh!J490,-3)/$X$2</f>
        <v>0</v>
      </c>
      <c r="L493" s="91">
        <f>+ROUND(Návrh!K490,-3)/$X$2</f>
        <v>0</v>
      </c>
      <c r="M493" s="70"/>
    </row>
    <row r="494" spans="1:13" x14ac:dyDescent="0.25">
      <c r="A494" s="42" t="s">
        <v>1375</v>
      </c>
      <c r="B494" s="14"/>
      <c r="C494" s="13"/>
      <c r="D494" s="13"/>
      <c r="E494" s="290" t="s">
        <v>503</v>
      </c>
      <c r="F494" s="291"/>
      <c r="G494" s="91">
        <f>+ROUND(Návrh!G491,-3)/$X$2</f>
        <v>-2</v>
      </c>
      <c r="H494" s="91">
        <f>+ROUND(Návrh!H491,-3)/$X$2</f>
        <v>0</v>
      </c>
      <c r="I494" s="91">
        <f>+ROUND(Návrh!I491,-3)/$X$2</f>
        <v>0</v>
      </c>
      <c r="J494" s="91" t="e">
        <f>+ROUND(Návrh!#REF!,-3)/$X$2</f>
        <v>#REF!</v>
      </c>
      <c r="K494" s="91">
        <f>+ROUND(Návrh!J491,-3)/$X$2</f>
        <v>0</v>
      </c>
      <c r="L494" s="91">
        <f>+ROUND(Návrh!K491,-3)/$X$2</f>
        <v>0</v>
      </c>
      <c r="M494" s="70"/>
    </row>
    <row r="495" spans="1:13" x14ac:dyDescent="0.25">
      <c r="A495" s="42" t="s">
        <v>1376</v>
      </c>
      <c r="B495" s="14"/>
      <c r="C495" s="13"/>
      <c r="D495" s="13"/>
      <c r="E495" s="290" t="s">
        <v>504</v>
      </c>
      <c r="F495" s="291"/>
      <c r="G495" s="91">
        <f>+ROUND(Návrh!G492,-3)/$X$2</f>
        <v>-5</v>
      </c>
      <c r="H495" s="91">
        <f>+ROUND(Návrh!H492,-3)/$X$2</f>
        <v>0</v>
      </c>
      <c r="I495" s="91">
        <f>+ROUND(Návrh!I492,-3)/$X$2</f>
        <v>0</v>
      </c>
      <c r="J495" s="91" t="e">
        <f>+ROUND(Návrh!#REF!,-3)/$X$2</f>
        <v>#REF!</v>
      </c>
      <c r="K495" s="91">
        <f>+ROUND(Návrh!J492,-3)/$X$2</f>
        <v>0</v>
      </c>
      <c r="L495" s="91">
        <f>+ROUND(Návrh!K492,-3)/$X$2</f>
        <v>0</v>
      </c>
      <c r="M495" s="70"/>
    </row>
    <row r="496" spans="1:13" x14ac:dyDescent="0.25">
      <c r="A496" s="26" t="s">
        <v>1377</v>
      </c>
      <c r="B496" s="26"/>
      <c r="C496" s="23"/>
      <c r="D496" s="23"/>
      <c r="E496" s="300" t="s">
        <v>505</v>
      </c>
      <c r="F496" s="301"/>
      <c r="G496" s="95">
        <f>+ROUND(Návrh!G493,-3)/$X$2</f>
        <v>-183</v>
      </c>
      <c r="H496" s="95">
        <f>+ROUND(Návrh!H493,-3)/$X$2</f>
        <v>-149</v>
      </c>
      <c r="I496" s="95">
        <f>+ROUND(Návrh!I493,-3)/$X$2</f>
        <v>-135</v>
      </c>
      <c r="J496" s="95" t="e">
        <f>+ROUND(Návrh!#REF!,-3)/$X$2</f>
        <v>#REF!</v>
      </c>
      <c r="K496" s="95">
        <f>+ROUND(Návrh!J493,-3)/$X$2</f>
        <v>0</v>
      </c>
      <c r="L496" s="95">
        <f>+ROUND(Návrh!K493,-3)/$X$2</f>
        <v>-142</v>
      </c>
      <c r="M496" s="70"/>
    </row>
    <row r="497" spans="1:13" x14ac:dyDescent="0.25">
      <c r="A497" s="42" t="s">
        <v>1378</v>
      </c>
      <c r="B497" s="27" t="s">
        <v>916</v>
      </c>
      <c r="C497" s="28" t="s">
        <v>923</v>
      </c>
      <c r="D497" s="28" t="s">
        <v>917</v>
      </c>
      <c r="E497" s="290" t="s">
        <v>506</v>
      </c>
      <c r="F497" s="291"/>
      <c r="G497" s="91">
        <f>+ROUND(Návrh!G494,-3)/$X$2</f>
        <v>-131</v>
      </c>
      <c r="H497" s="91">
        <f>+ROUND(Návrh!H494,-3)/$X$2</f>
        <v>-135</v>
      </c>
      <c r="I497" s="91">
        <f>+ROUND(Návrh!I494,-3)/$X$2</f>
        <v>-135</v>
      </c>
      <c r="J497" s="91" t="e">
        <f>+ROUND(Návrh!#REF!,-3)/$X$2</f>
        <v>#REF!</v>
      </c>
      <c r="K497" s="91">
        <f>+ROUND(Návrh!J494,-3)/$X$2</f>
        <v>0</v>
      </c>
      <c r="L497" s="91">
        <f>+ROUND(Návrh!K494,-3)/$X$2</f>
        <v>-142</v>
      </c>
      <c r="M497" s="70"/>
    </row>
    <row r="498" spans="1:13" x14ac:dyDescent="0.25">
      <c r="A498" s="42" t="s">
        <v>1379</v>
      </c>
      <c r="B498" s="14"/>
      <c r="C498" s="13"/>
      <c r="D498" s="13"/>
      <c r="E498" s="290" t="s">
        <v>507</v>
      </c>
      <c r="F498" s="291"/>
      <c r="G498" s="91">
        <f>+ROUND(Návrh!G495,-3)/$X$2</f>
        <v>-10</v>
      </c>
      <c r="H498" s="91">
        <f>+ROUND(Návrh!H495,-3)/$X$2</f>
        <v>-14</v>
      </c>
      <c r="I498" s="91">
        <f>+ROUND(Návrh!I495,-3)/$X$2</f>
        <v>0</v>
      </c>
      <c r="J498" s="91" t="e">
        <f>+ROUND(Návrh!#REF!,-3)/$X$2</f>
        <v>#REF!</v>
      </c>
      <c r="K498" s="91">
        <f>+ROUND(Návrh!J495,-3)/$X$2</f>
        <v>0</v>
      </c>
      <c r="L498" s="91">
        <f>+ROUND(Návrh!K495,-3)/$X$2</f>
        <v>0</v>
      </c>
      <c r="M498" s="70"/>
    </row>
    <row r="499" spans="1:13" x14ac:dyDescent="0.25">
      <c r="A499" s="42" t="s">
        <v>1380</v>
      </c>
      <c r="B499" s="14"/>
      <c r="C499" s="13"/>
      <c r="D499" s="13"/>
      <c r="E499" s="290" t="s">
        <v>93</v>
      </c>
      <c r="F499" s="291"/>
      <c r="G499" s="91">
        <f>+ROUND(Návrh!G496,-3)/$X$2</f>
        <v>-42</v>
      </c>
      <c r="H499" s="91">
        <f>+ROUND(Návrh!H496,-3)/$X$2</f>
        <v>0</v>
      </c>
      <c r="I499" s="91">
        <f>+ROUND(Návrh!I496,-3)/$X$2</f>
        <v>0</v>
      </c>
      <c r="J499" s="91" t="e">
        <f>+ROUND(Návrh!#REF!,-3)/$X$2</f>
        <v>#REF!</v>
      </c>
      <c r="K499" s="91">
        <f>+ROUND(Návrh!J496,-3)/$X$2</f>
        <v>0</v>
      </c>
      <c r="L499" s="91">
        <f>+ROUND(Návrh!K496,-3)/$X$2</f>
        <v>0</v>
      </c>
      <c r="M499" s="70"/>
    </row>
    <row r="500" spans="1:13" x14ac:dyDescent="0.25">
      <c r="A500" s="41" t="s">
        <v>508</v>
      </c>
      <c r="B500" s="41"/>
      <c r="C500" s="40"/>
      <c r="D500" s="40"/>
      <c r="E500" s="298" t="s">
        <v>509</v>
      </c>
      <c r="F500" s="299"/>
      <c r="G500" s="92">
        <f>+ROUND(Návrh!G497,-3)/$X$2</f>
        <v>-303484</v>
      </c>
      <c r="H500" s="92">
        <f>+ROUND(Návrh!H497,-3)/$X$2</f>
        <v>-307830</v>
      </c>
      <c r="I500" s="92">
        <f>+ROUND(Návrh!I497,-3)/$X$2</f>
        <v>-324191</v>
      </c>
      <c r="J500" s="92" t="e">
        <f>+ROUND(Návrh!#REF!,-3)/$X$2</f>
        <v>#REF!</v>
      </c>
      <c r="K500" s="92">
        <f>+ROUND(Návrh!J497,-3)/$X$2</f>
        <v>-307912</v>
      </c>
      <c r="L500" s="92">
        <f>+ROUND(Návrh!K497,-3)/$X$2</f>
        <v>-373729</v>
      </c>
      <c r="M500" s="70"/>
    </row>
    <row r="501" spans="1:13" x14ac:dyDescent="0.25">
      <c r="A501" s="38" t="s">
        <v>510</v>
      </c>
      <c r="B501" s="38"/>
      <c r="C501" s="22"/>
      <c r="D501" s="22"/>
      <c r="E501" s="296" t="s">
        <v>511</v>
      </c>
      <c r="F501" s="297"/>
      <c r="G501" s="94">
        <f>+ROUND(Návrh!G498,-3)/$X$2</f>
        <v>-256194</v>
      </c>
      <c r="H501" s="94">
        <f>+ROUND(Návrh!H498,-3)/$X$2</f>
        <v>-262580</v>
      </c>
      <c r="I501" s="94">
        <f>+ROUND(Návrh!I498,-3)/$X$2</f>
        <v>-274900</v>
      </c>
      <c r="J501" s="94" t="e">
        <f>+ROUND(Návrh!#REF!,-3)/$X$2</f>
        <v>#REF!</v>
      </c>
      <c r="K501" s="94">
        <f>+ROUND(Návrh!J498,-3)/$X$2</f>
        <v>-272560</v>
      </c>
      <c r="L501" s="94">
        <f>+ROUND(Návrh!K498,-3)/$X$2</f>
        <v>-313583</v>
      </c>
      <c r="M501" s="70"/>
    </row>
    <row r="502" spans="1:13" x14ac:dyDescent="0.25">
      <c r="A502" s="26" t="s">
        <v>1381</v>
      </c>
      <c r="B502" s="26"/>
      <c r="C502" s="23"/>
      <c r="D502" s="23"/>
      <c r="E502" s="300" t="s">
        <v>512</v>
      </c>
      <c r="F502" s="301"/>
      <c r="G502" s="95">
        <f>+ROUND(Návrh!G499,-3)/$X$2</f>
        <v>356</v>
      </c>
      <c r="H502" s="95">
        <f>+ROUND(Návrh!H499,-3)/$X$2</f>
        <v>378</v>
      </c>
      <c r="I502" s="95">
        <f>+ROUND(Návrh!I499,-3)/$X$2</f>
        <v>0</v>
      </c>
      <c r="J502" s="95" t="e">
        <f>+ROUND(Návrh!#REF!,-3)/$X$2</f>
        <v>#REF!</v>
      </c>
      <c r="K502" s="95">
        <f>+ROUND(Návrh!J499,-3)/$X$2</f>
        <v>0</v>
      </c>
      <c r="L502" s="95">
        <f>+ROUND(Návrh!K499,-3)/$X$2</f>
        <v>0</v>
      </c>
      <c r="M502" s="70"/>
    </row>
    <row r="503" spans="1:13" x14ac:dyDescent="0.25">
      <c r="A503" s="42" t="s">
        <v>1382</v>
      </c>
      <c r="B503" s="14"/>
      <c r="C503" s="13"/>
      <c r="D503" s="13"/>
      <c r="E503" s="290" t="s">
        <v>513</v>
      </c>
      <c r="F503" s="291"/>
      <c r="G503" s="91">
        <f>+ROUND(Návrh!G500,-3)/$X$2</f>
        <v>356</v>
      </c>
      <c r="H503" s="91">
        <f>+ROUND(Návrh!H500,-3)/$X$2</f>
        <v>378</v>
      </c>
      <c r="I503" s="91">
        <f>+ROUND(Návrh!I500,-3)/$X$2</f>
        <v>0</v>
      </c>
      <c r="J503" s="91" t="e">
        <f>+ROUND(Návrh!#REF!,-3)/$X$2</f>
        <v>#REF!</v>
      </c>
      <c r="K503" s="91">
        <f>+ROUND(Návrh!J500,-3)/$X$2</f>
        <v>0</v>
      </c>
      <c r="L503" s="91">
        <f>+ROUND(Návrh!K500,-3)/$X$2</f>
        <v>0</v>
      </c>
      <c r="M503" s="70"/>
    </row>
    <row r="504" spans="1:13" x14ac:dyDescent="0.25">
      <c r="A504" s="26" t="s">
        <v>1383</v>
      </c>
      <c r="B504" s="26"/>
      <c r="C504" s="23"/>
      <c r="D504" s="23"/>
      <c r="E504" s="300" t="s">
        <v>514</v>
      </c>
      <c r="F504" s="301"/>
      <c r="G504" s="95">
        <f>+ROUND(Návrh!G501,-3)/$X$2</f>
        <v>-254016</v>
      </c>
      <c r="H504" s="95">
        <f>+ROUND(Návrh!H501,-3)/$X$2</f>
        <v>-259697</v>
      </c>
      <c r="I504" s="95">
        <f>+ROUND(Návrh!I501,-3)/$X$2</f>
        <v>-274900</v>
      </c>
      <c r="J504" s="95" t="e">
        <f>+ROUND(Návrh!#REF!,-3)/$X$2</f>
        <v>#REF!</v>
      </c>
      <c r="K504" s="95">
        <f>+ROUND(Návrh!J501,-3)/$X$2</f>
        <v>0</v>
      </c>
      <c r="L504" s="95">
        <f>+ROUND(Návrh!K501,-3)/$X$2</f>
        <v>-273340</v>
      </c>
      <c r="M504" s="70"/>
    </row>
    <row r="505" spans="1:13" x14ac:dyDescent="0.25">
      <c r="A505" s="42" t="s">
        <v>1384</v>
      </c>
      <c r="B505" s="20" t="s">
        <v>916</v>
      </c>
      <c r="C505" s="20" t="s">
        <v>923</v>
      </c>
      <c r="D505" s="20" t="s">
        <v>1246</v>
      </c>
      <c r="E505" s="290" t="s">
        <v>515</v>
      </c>
      <c r="F505" s="291"/>
      <c r="G505" s="91">
        <f>+ROUND(Návrh!G502,-3)/$X$2</f>
        <v>-6746</v>
      </c>
      <c r="H505" s="91">
        <f>+ROUND(Návrh!H502,-3)/$X$2</f>
        <v>-5832</v>
      </c>
      <c r="I505" s="91">
        <f>+ROUND(Návrh!I502,-3)/$X$2</f>
        <v>-9642</v>
      </c>
      <c r="J505" s="91" t="e">
        <f>+ROUND(Návrh!#REF!,-3)/$X$2</f>
        <v>#REF!</v>
      </c>
      <c r="K505" s="91">
        <f>+ROUND(Návrh!J502,-3)/$X$2</f>
        <v>0</v>
      </c>
      <c r="L505" s="91">
        <f>+ROUND(Návrh!K502,-3)/$X$2</f>
        <v>-5932</v>
      </c>
      <c r="M505" s="70"/>
    </row>
    <row r="506" spans="1:13" x14ac:dyDescent="0.25">
      <c r="A506" s="42" t="s">
        <v>1385</v>
      </c>
      <c r="B506" s="20" t="s">
        <v>916</v>
      </c>
      <c r="C506" s="20" t="s">
        <v>923</v>
      </c>
      <c r="D506" s="20" t="s">
        <v>1246</v>
      </c>
      <c r="E506" s="290" t="s">
        <v>516</v>
      </c>
      <c r="F506" s="291"/>
      <c r="G506" s="91">
        <f>+ROUND(Návrh!G503,-3)/$X$2</f>
        <v>-24673</v>
      </c>
      <c r="H506" s="91">
        <f>+ROUND(Návrh!H503,-3)/$X$2</f>
        <v>-40665</v>
      </c>
      <c r="I506" s="91">
        <f>+ROUND(Návrh!I503,-3)/$X$2</f>
        <v>-30060</v>
      </c>
      <c r="J506" s="91" t="e">
        <f>+ROUND(Návrh!#REF!,-3)/$X$2</f>
        <v>#REF!</v>
      </c>
      <c r="K506" s="91">
        <f>+ROUND(Návrh!J503,-3)/$X$2</f>
        <v>0</v>
      </c>
      <c r="L506" s="91">
        <f>+ROUND(Návrh!K503,-3)/$X$2</f>
        <v>-33641</v>
      </c>
      <c r="M506" s="70"/>
    </row>
    <row r="507" spans="1:13" x14ac:dyDescent="0.25">
      <c r="A507" s="42" t="s">
        <v>1386</v>
      </c>
      <c r="B507" s="20" t="s">
        <v>916</v>
      </c>
      <c r="C507" s="20" t="s">
        <v>923</v>
      </c>
      <c r="D507" s="20" t="s">
        <v>1246</v>
      </c>
      <c r="E507" s="290" t="s">
        <v>517</v>
      </c>
      <c r="F507" s="291"/>
      <c r="G507" s="91">
        <f>+ROUND(Návrh!G504,-3)/$X$2</f>
        <v>-74307</v>
      </c>
      <c r="H507" s="91">
        <f>+ROUND(Návrh!H504,-3)/$X$2</f>
        <v>-72659</v>
      </c>
      <c r="I507" s="91">
        <f>+ROUND(Návrh!I504,-3)/$X$2</f>
        <v>-87287</v>
      </c>
      <c r="J507" s="91" t="e">
        <f>+ROUND(Návrh!#REF!,-3)/$X$2</f>
        <v>#REF!</v>
      </c>
      <c r="K507" s="91">
        <f>+ROUND(Návrh!J504,-3)/$X$2</f>
        <v>0</v>
      </c>
      <c r="L507" s="91">
        <f>+ROUND(Návrh!K504,-3)/$X$2</f>
        <v>-100567</v>
      </c>
      <c r="M507" s="70"/>
    </row>
    <row r="508" spans="1:13" x14ac:dyDescent="0.25">
      <c r="A508" s="42" t="s">
        <v>1387</v>
      </c>
      <c r="B508" s="20" t="s">
        <v>916</v>
      </c>
      <c r="C508" s="20" t="s">
        <v>923</v>
      </c>
      <c r="D508" s="20" t="s">
        <v>1246</v>
      </c>
      <c r="E508" s="290" t="s">
        <v>518</v>
      </c>
      <c r="F508" s="291"/>
      <c r="G508" s="91">
        <f>+ROUND(Návrh!G505,-3)/$X$2</f>
        <v>-40374</v>
      </c>
      <c r="H508" s="91">
        <f>+ROUND(Návrh!H505,-3)/$X$2</f>
        <v>-45241</v>
      </c>
      <c r="I508" s="91">
        <f>+ROUND(Návrh!I505,-3)/$X$2</f>
        <v>-44046</v>
      </c>
      <c r="J508" s="91" t="e">
        <f>+ROUND(Návrh!#REF!,-3)/$X$2</f>
        <v>#REF!</v>
      </c>
      <c r="K508" s="91">
        <f>+ROUND(Návrh!J505,-3)/$X$2</f>
        <v>0</v>
      </c>
      <c r="L508" s="91">
        <f>+ROUND(Návrh!K505,-3)/$X$2</f>
        <v>-34277</v>
      </c>
      <c r="M508" s="70"/>
    </row>
    <row r="509" spans="1:13" x14ac:dyDescent="0.25">
      <c r="A509" s="42" t="s">
        <v>1388</v>
      </c>
      <c r="B509" s="20" t="s">
        <v>916</v>
      </c>
      <c r="C509" s="20" t="s">
        <v>923</v>
      </c>
      <c r="D509" s="20" t="s">
        <v>1246</v>
      </c>
      <c r="E509" s="290" t="s">
        <v>519</v>
      </c>
      <c r="F509" s="291"/>
      <c r="G509" s="91">
        <f>+ROUND(Návrh!G506,-3)/$X$2</f>
        <v>-19931</v>
      </c>
      <c r="H509" s="91">
        <f>+ROUND(Návrh!H506,-3)/$X$2</f>
        <v>-20975</v>
      </c>
      <c r="I509" s="91">
        <f>+ROUND(Návrh!I506,-3)/$X$2</f>
        <v>-21884</v>
      </c>
      <c r="J509" s="91" t="e">
        <f>+ROUND(Návrh!#REF!,-3)/$X$2</f>
        <v>#REF!</v>
      </c>
      <c r="K509" s="91">
        <f>+ROUND(Návrh!J506,-3)/$X$2</f>
        <v>0</v>
      </c>
      <c r="L509" s="91">
        <f>+ROUND(Návrh!K506,-3)/$X$2</f>
        <v>-22352</v>
      </c>
      <c r="M509" s="70"/>
    </row>
    <row r="510" spans="1:13" x14ac:dyDescent="0.25">
      <c r="A510" s="42" t="s">
        <v>1389</v>
      </c>
      <c r="B510" s="20" t="s">
        <v>916</v>
      </c>
      <c r="C510" s="20" t="s">
        <v>923</v>
      </c>
      <c r="D510" s="20" t="s">
        <v>1246</v>
      </c>
      <c r="E510" s="290" t="s">
        <v>520</v>
      </c>
      <c r="F510" s="291"/>
      <c r="G510" s="91">
        <f>+ROUND(Návrh!G507,-3)/$X$2</f>
        <v>-76336</v>
      </c>
      <c r="H510" s="91">
        <f>+ROUND(Návrh!H507,-3)/$X$2</f>
        <v>-63568</v>
      </c>
      <c r="I510" s="91">
        <f>+ROUND(Návrh!I507,-3)/$X$2</f>
        <v>-71197</v>
      </c>
      <c r="J510" s="91" t="e">
        <f>+ROUND(Návrh!#REF!,-3)/$X$2</f>
        <v>#REF!</v>
      </c>
      <c r="K510" s="91">
        <f>+ROUND(Návrh!J507,-3)/$X$2</f>
        <v>0</v>
      </c>
      <c r="L510" s="91">
        <f>+ROUND(Návrh!K507,-3)/$X$2</f>
        <v>-67113</v>
      </c>
      <c r="M510" s="70"/>
    </row>
    <row r="511" spans="1:13" x14ac:dyDescent="0.25">
      <c r="A511" s="42" t="s">
        <v>1390</v>
      </c>
      <c r="B511" s="20" t="s">
        <v>916</v>
      </c>
      <c r="C511" s="20" t="s">
        <v>923</v>
      </c>
      <c r="D511" s="20" t="s">
        <v>1246</v>
      </c>
      <c r="E511" s="290" t="s">
        <v>521</v>
      </c>
      <c r="F511" s="291"/>
      <c r="G511" s="91">
        <f>+ROUND(Návrh!G508,-3)/$X$2</f>
        <v>-11649</v>
      </c>
      <c r="H511" s="91">
        <f>+ROUND(Návrh!H508,-3)/$X$2</f>
        <v>-10756</v>
      </c>
      <c r="I511" s="91">
        <f>+ROUND(Návrh!I508,-3)/$X$2</f>
        <v>-10784</v>
      </c>
      <c r="J511" s="91" t="e">
        <f>+ROUND(Návrh!#REF!,-3)/$X$2</f>
        <v>#REF!</v>
      </c>
      <c r="K511" s="91">
        <f>+ROUND(Návrh!J508,-3)/$X$2</f>
        <v>0</v>
      </c>
      <c r="L511" s="91">
        <f>+ROUND(Návrh!K508,-3)/$X$2</f>
        <v>-9457</v>
      </c>
      <c r="M511" s="70"/>
    </row>
    <row r="512" spans="1:13" x14ac:dyDescent="0.25">
      <c r="A512" s="26" t="s">
        <v>1391</v>
      </c>
      <c r="B512" s="26"/>
      <c r="C512" s="23"/>
      <c r="D512" s="23"/>
      <c r="E512" s="300" t="s">
        <v>522</v>
      </c>
      <c r="F512" s="301"/>
      <c r="G512" s="95">
        <f>+ROUND(Návrh!G509,-3)/$X$2</f>
        <v>-2178</v>
      </c>
      <c r="H512" s="95">
        <f>+ROUND(Návrh!H509,-3)/$X$2</f>
        <v>-2884</v>
      </c>
      <c r="I512" s="95">
        <f>+ROUND(Návrh!I509,-3)/$X$2</f>
        <v>0</v>
      </c>
      <c r="J512" s="95" t="e">
        <f>+ROUND(Návrh!#REF!,-3)/$X$2</f>
        <v>#REF!</v>
      </c>
      <c r="K512" s="95">
        <f>+ROUND(Návrh!J509,-3)/$X$2</f>
        <v>0</v>
      </c>
      <c r="L512" s="95">
        <f>+ROUND(Návrh!K509,-3)/$X$2</f>
        <v>-40243</v>
      </c>
      <c r="M512" s="70"/>
    </row>
    <row r="513" spans="1:13" x14ac:dyDescent="0.25">
      <c r="A513" s="42" t="s">
        <v>1392</v>
      </c>
      <c r="B513" s="20" t="s">
        <v>916</v>
      </c>
      <c r="C513" s="20" t="s">
        <v>923</v>
      </c>
      <c r="D513" s="20" t="s">
        <v>1246</v>
      </c>
      <c r="E513" s="290" t="s">
        <v>523</v>
      </c>
      <c r="F513" s="291"/>
      <c r="G513" s="91">
        <f>+ROUND(Návrh!G510,-3)/$X$2</f>
        <v>-1154</v>
      </c>
      <c r="H513" s="91">
        <f>+ROUND(Návrh!H510,-3)/$X$2</f>
        <v>-2142</v>
      </c>
      <c r="I513" s="91">
        <f>+ROUND(Návrh!I510,-3)/$X$2</f>
        <v>0</v>
      </c>
      <c r="J513" s="91" t="e">
        <f>+ROUND(Návrh!#REF!,-3)/$X$2</f>
        <v>#REF!</v>
      </c>
      <c r="K513" s="91">
        <f>+ROUND(Návrh!J510,-3)/$X$2</f>
        <v>0</v>
      </c>
      <c r="L513" s="91">
        <f>+ROUND(Návrh!K510,-3)/$X$2</f>
        <v>-1800</v>
      </c>
      <c r="M513" s="70"/>
    </row>
    <row r="514" spans="1:13" x14ac:dyDescent="0.25">
      <c r="A514" s="42" t="s">
        <v>1393</v>
      </c>
      <c r="B514" s="20" t="s">
        <v>916</v>
      </c>
      <c r="C514" s="20" t="s">
        <v>923</v>
      </c>
      <c r="D514" s="20" t="s">
        <v>1246</v>
      </c>
      <c r="E514" s="290" t="s">
        <v>524</v>
      </c>
      <c r="F514" s="291"/>
      <c r="G514" s="91">
        <f>+ROUND(Návrh!G511,-3)/$X$2</f>
        <v>-97</v>
      </c>
      <c r="H514" s="91">
        <f>+ROUND(Návrh!H511,-3)/$X$2</f>
        <v>-174</v>
      </c>
      <c r="I514" s="91">
        <f>+ROUND(Návrh!I511,-3)/$X$2</f>
        <v>0</v>
      </c>
      <c r="J514" s="91" t="e">
        <f>+ROUND(Návrh!#REF!,-3)/$X$2</f>
        <v>#REF!</v>
      </c>
      <c r="K514" s="91">
        <f>+ROUND(Návrh!J511,-3)/$X$2</f>
        <v>0</v>
      </c>
      <c r="L514" s="91">
        <f>+ROUND(Návrh!K511,-3)/$X$2</f>
        <v>0</v>
      </c>
      <c r="M514" s="70"/>
    </row>
    <row r="515" spans="1:13" x14ac:dyDescent="0.25">
      <c r="A515" s="42" t="s">
        <v>1394</v>
      </c>
      <c r="B515" s="20" t="s">
        <v>916</v>
      </c>
      <c r="C515" s="20" t="s">
        <v>923</v>
      </c>
      <c r="D515" s="20" t="s">
        <v>1246</v>
      </c>
      <c r="E515" s="290" t="s">
        <v>525</v>
      </c>
      <c r="F515" s="291"/>
      <c r="G515" s="91">
        <f>+ROUND(Návrh!G512,-3)/$X$2</f>
        <v>-435</v>
      </c>
      <c r="H515" s="91">
        <f>+ROUND(Návrh!H512,-3)/$X$2</f>
        <v>0</v>
      </c>
      <c r="I515" s="91">
        <f>+ROUND(Návrh!I512,-3)/$X$2</f>
        <v>0</v>
      </c>
      <c r="J515" s="91" t="e">
        <f>+ROUND(Návrh!#REF!,-3)/$X$2</f>
        <v>#REF!</v>
      </c>
      <c r="K515" s="91">
        <f>+ROUND(Návrh!J512,-3)/$X$2</f>
        <v>0</v>
      </c>
      <c r="L515" s="91">
        <f>+ROUND(Návrh!K512,-3)/$X$2</f>
        <v>-344</v>
      </c>
      <c r="M515" s="70"/>
    </row>
    <row r="516" spans="1:13" x14ac:dyDescent="0.25">
      <c r="A516" s="86" t="s">
        <v>1641</v>
      </c>
      <c r="B516" s="21" t="s">
        <v>916</v>
      </c>
      <c r="C516" s="21" t="s">
        <v>923</v>
      </c>
      <c r="D516" s="21" t="s">
        <v>1246</v>
      </c>
      <c r="E516" s="292" t="s">
        <v>1642</v>
      </c>
      <c r="F516" s="293"/>
      <c r="G516" s="98">
        <f>+ROUND(Návrh!G513,-3)/$X$2</f>
        <v>0</v>
      </c>
      <c r="H516" s="98">
        <f>+ROUND(Návrh!H513,-3)/$X$2</f>
        <v>0</v>
      </c>
      <c r="I516" s="98">
        <f>+ROUND(Návrh!I513,-3)/$X$2</f>
        <v>0</v>
      </c>
      <c r="J516" s="98" t="e">
        <f>+ROUND(Návrh!#REF!,-3)/$X$2</f>
        <v>#REF!</v>
      </c>
      <c r="K516" s="98">
        <f>+ROUND(Návrh!J513,-3)/$X$2</f>
        <v>0</v>
      </c>
      <c r="L516" s="98">
        <f>+ROUND(Návrh!K513,-3)/$X$2</f>
        <v>0</v>
      </c>
      <c r="M516" s="70"/>
    </row>
    <row r="517" spans="1:13" x14ac:dyDescent="0.25">
      <c r="A517" s="42" t="s">
        <v>1395</v>
      </c>
      <c r="B517" s="14"/>
      <c r="C517" s="13"/>
      <c r="D517" s="13"/>
      <c r="E517" s="290" t="s">
        <v>526</v>
      </c>
      <c r="F517" s="291"/>
      <c r="G517" s="91">
        <f>+ROUND(Návrh!G514,-3)/$X$2</f>
        <v>-174</v>
      </c>
      <c r="H517" s="91">
        <f>+ROUND(Návrh!H514,-3)/$X$2</f>
        <v>-330</v>
      </c>
      <c r="I517" s="91">
        <f>+ROUND(Návrh!I514,-3)/$X$2</f>
        <v>0</v>
      </c>
      <c r="J517" s="91" t="e">
        <f>+ROUND(Návrh!#REF!,-3)/$X$2</f>
        <v>#REF!</v>
      </c>
      <c r="K517" s="91">
        <f>+ROUND(Návrh!J514,-3)/$X$2</f>
        <v>0</v>
      </c>
      <c r="L517" s="91">
        <f>+ROUND(Návrh!K514,-3)/$X$2</f>
        <v>-38099</v>
      </c>
      <c r="M517" s="70"/>
    </row>
    <row r="518" spans="1:13" x14ac:dyDescent="0.25">
      <c r="A518" s="42" t="s">
        <v>1396</v>
      </c>
      <c r="B518" s="14"/>
      <c r="C518" s="13"/>
      <c r="D518" s="13"/>
      <c r="E518" s="290" t="s">
        <v>527</v>
      </c>
      <c r="F518" s="291"/>
      <c r="G518" s="91">
        <f>+ROUND(Návrh!G515,-3)/$X$2</f>
        <v>-318</v>
      </c>
      <c r="H518" s="91">
        <f>+ROUND(Návrh!H515,-3)/$X$2</f>
        <v>-238</v>
      </c>
      <c r="I518" s="91">
        <f>+ROUND(Návrh!I515,-3)/$X$2</f>
        <v>0</v>
      </c>
      <c r="J518" s="91" t="e">
        <f>+ROUND(Návrh!#REF!,-3)/$X$2</f>
        <v>#REF!</v>
      </c>
      <c r="K518" s="91">
        <f>+ROUND(Návrh!J515,-3)/$X$2</f>
        <v>0</v>
      </c>
      <c r="L518" s="91">
        <f>+ROUND(Návrh!K515,-3)/$X$2</f>
        <v>0</v>
      </c>
      <c r="M518" s="70"/>
    </row>
    <row r="519" spans="1:13" x14ac:dyDescent="0.25">
      <c r="A519" s="26" t="s">
        <v>1397</v>
      </c>
      <c r="B519" s="26"/>
      <c r="C519" s="23"/>
      <c r="D519" s="23"/>
      <c r="E519" s="300" t="s">
        <v>528</v>
      </c>
      <c r="F519" s="301"/>
      <c r="G519" s="95">
        <f>+ROUND(Návrh!G516,-3)/$X$2</f>
        <v>-356</v>
      </c>
      <c r="H519" s="95">
        <f>+ROUND(Návrh!H516,-3)/$X$2</f>
        <v>-378</v>
      </c>
      <c r="I519" s="95">
        <f>+ROUND(Návrh!I516,-3)/$X$2</f>
        <v>0</v>
      </c>
      <c r="J519" s="95" t="e">
        <f>+ROUND(Návrh!#REF!,-3)/$X$2</f>
        <v>#REF!</v>
      </c>
      <c r="K519" s="95">
        <f>+ROUND(Návrh!J516,-3)/$X$2</f>
        <v>0</v>
      </c>
      <c r="L519" s="95">
        <f>+ROUND(Návrh!K516,-3)/$X$2</f>
        <v>0</v>
      </c>
      <c r="M519" s="70"/>
    </row>
    <row r="520" spans="1:13" x14ac:dyDescent="0.25">
      <c r="A520" s="42" t="s">
        <v>1398</v>
      </c>
      <c r="B520" s="14"/>
      <c r="C520" s="13"/>
      <c r="D520" s="13"/>
      <c r="E520" s="290" t="s">
        <v>529</v>
      </c>
      <c r="F520" s="291"/>
      <c r="G520" s="91">
        <f>+ROUND(Návrh!G517,-3)/$X$2</f>
        <v>-356</v>
      </c>
      <c r="H520" s="91">
        <f>+ROUND(Návrh!H517,-3)/$X$2</f>
        <v>-378</v>
      </c>
      <c r="I520" s="91">
        <f>+ROUND(Návrh!I517,-3)/$X$2</f>
        <v>0</v>
      </c>
      <c r="J520" s="91" t="e">
        <f>+ROUND(Návrh!#REF!,-3)/$X$2</f>
        <v>#REF!</v>
      </c>
      <c r="K520" s="91">
        <f>+ROUND(Návrh!J517,-3)/$X$2</f>
        <v>0</v>
      </c>
      <c r="L520" s="91">
        <f>+ROUND(Návrh!K517,-3)/$X$2</f>
        <v>0</v>
      </c>
      <c r="M520" s="70"/>
    </row>
    <row r="521" spans="1:13" x14ac:dyDescent="0.25">
      <c r="A521" s="42" t="s">
        <v>1399</v>
      </c>
      <c r="B521" s="14"/>
      <c r="C521" s="13"/>
      <c r="D521" s="13"/>
      <c r="E521" s="290" t="s">
        <v>530</v>
      </c>
      <c r="F521" s="291"/>
      <c r="G521" s="91">
        <f>+ROUND(Návrh!G518,-3)/$X$2</f>
        <v>0</v>
      </c>
      <c r="H521" s="91">
        <f>+ROUND(Návrh!H518,-3)/$X$2</f>
        <v>0</v>
      </c>
      <c r="I521" s="91">
        <f>+ROUND(Návrh!I518,-3)/$X$2</f>
        <v>0</v>
      </c>
      <c r="J521" s="91" t="e">
        <f>+ROUND(Návrh!#REF!,-3)/$X$2</f>
        <v>#REF!</v>
      </c>
      <c r="K521" s="91">
        <f>+ROUND(Návrh!J518,-3)/$X$2</f>
        <v>0</v>
      </c>
      <c r="L521" s="91">
        <f>+ROUND(Návrh!K518,-3)/$X$2</f>
        <v>0</v>
      </c>
      <c r="M521" s="70"/>
    </row>
    <row r="522" spans="1:13" x14ac:dyDescent="0.25">
      <c r="A522" s="38" t="s">
        <v>531</v>
      </c>
      <c r="B522" s="38"/>
      <c r="C522" s="22"/>
      <c r="D522" s="22"/>
      <c r="E522" s="296" t="s">
        <v>532</v>
      </c>
      <c r="F522" s="297"/>
      <c r="G522" s="94">
        <f>+ROUND(Návrh!G519,-3)/$X$2</f>
        <v>0</v>
      </c>
      <c r="H522" s="94">
        <f>+ROUND(Návrh!H519,-3)/$X$2</f>
        <v>0</v>
      </c>
      <c r="I522" s="94">
        <f>+ROUND(Návrh!I519,-3)/$X$2</f>
        <v>0</v>
      </c>
      <c r="J522" s="94" t="e">
        <f>+ROUND(Návrh!#REF!,-3)/$X$2</f>
        <v>#REF!</v>
      </c>
      <c r="K522" s="94">
        <f>+ROUND(Návrh!J519,-3)/$X$2</f>
        <v>0</v>
      </c>
      <c r="L522" s="94">
        <f>+ROUND(Návrh!K519,-3)/$X$2</f>
        <v>0</v>
      </c>
      <c r="M522" s="70"/>
    </row>
    <row r="523" spans="1:13" x14ac:dyDescent="0.25">
      <c r="A523" s="38" t="s">
        <v>533</v>
      </c>
      <c r="B523" s="38"/>
      <c r="C523" s="22"/>
      <c r="D523" s="22"/>
      <c r="E523" s="296" t="s">
        <v>534</v>
      </c>
      <c r="F523" s="297"/>
      <c r="G523" s="94">
        <f>+ROUND(Návrh!G520,-3)/$X$2</f>
        <v>0</v>
      </c>
      <c r="H523" s="94">
        <f>+ROUND(Návrh!H520,-3)/$X$2</f>
        <v>0</v>
      </c>
      <c r="I523" s="94">
        <f>+ROUND(Návrh!I520,-3)/$X$2</f>
        <v>0</v>
      </c>
      <c r="J523" s="94" t="e">
        <f>+ROUND(Návrh!#REF!,-3)/$X$2</f>
        <v>#REF!</v>
      </c>
      <c r="K523" s="94">
        <f>+ROUND(Návrh!J520,-3)/$X$2</f>
        <v>0</v>
      </c>
      <c r="L523" s="94">
        <f>+ROUND(Návrh!K520,-3)/$X$2</f>
        <v>0</v>
      </c>
      <c r="M523" s="70"/>
    </row>
    <row r="524" spans="1:13" x14ac:dyDescent="0.25">
      <c r="A524" s="38" t="s">
        <v>535</v>
      </c>
      <c r="B524" s="38"/>
      <c r="C524" s="22"/>
      <c r="D524" s="22"/>
      <c r="E524" s="296" t="s">
        <v>536</v>
      </c>
      <c r="F524" s="297"/>
      <c r="G524" s="94">
        <f>+ROUND(Návrh!G521,-3)/$X$2</f>
        <v>0</v>
      </c>
      <c r="H524" s="94">
        <f>+ROUND(Návrh!H521,-3)/$X$2</f>
        <v>0</v>
      </c>
      <c r="I524" s="94">
        <f>+ROUND(Návrh!I521,-3)/$X$2</f>
        <v>0</v>
      </c>
      <c r="J524" s="94" t="e">
        <f>+ROUND(Návrh!#REF!,-3)/$X$2</f>
        <v>#REF!</v>
      </c>
      <c r="K524" s="94">
        <f>+ROUND(Návrh!J521,-3)/$X$2</f>
        <v>0</v>
      </c>
      <c r="L524" s="94">
        <f>+ROUND(Návrh!K521,-3)/$X$2</f>
        <v>0</v>
      </c>
      <c r="M524" s="70"/>
    </row>
    <row r="525" spans="1:13" x14ac:dyDescent="0.25">
      <c r="A525" s="38" t="s">
        <v>537</v>
      </c>
      <c r="B525" s="38"/>
      <c r="C525" s="22"/>
      <c r="D525" s="22"/>
      <c r="E525" s="296" t="s">
        <v>538</v>
      </c>
      <c r="F525" s="297"/>
      <c r="G525" s="94">
        <f>+ROUND(Návrh!G522,-3)/$X$2</f>
        <v>-958</v>
      </c>
      <c r="H525" s="94">
        <f>+ROUND(Návrh!H522,-3)/$X$2</f>
        <v>-548</v>
      </c>
      <c r="I525" s="94">
        <f>+ROUND(Návrh!I522,-3)/$X$2</f>
        <v>0</v>
      </c>
      <c r="J525" s="94" t="e">
        <f>+ROUND(Návrh!#REF!,-3)/$X$2</f>
        <v>#REF!</v>
      </c>
      <c r="K525" s="94">
        <f>+ROUND(Návrh!J522,-3)/$X$2</f>
        <v>-286</v>
      </c>
      <c r="L525" s="94">
        <f>+ROUND(Návrh!K522,-3)/$X$2</f>
        <v>0</v>
      </c>
      <c r="M525" s="70"/>
    </row>
    <row r="526" spans="1:13" x14ac:dyDescent="0.25">
      <c r="A526" s="26" t="s">
        <v>1400</v>
      </c>
      <c r="B526" s="26"/>
      <c r="C526" s="23"/>
      <c r="D526" s="23"/>
      <c r="E526" s="300" t="s">
        <v>539</v>
      </c>
      <c r="F526" s="301"/>
      <c r="G526" s="95">
        <f>+ROUND(Návrh!G523,-3)/$X$2</f>
        <v>-23</v>
      </c>
      <c r="H526" s="95">
        <f>+ROUND(Návrh!H523,-3)/$X$2</f>
        <v>-4</v>
      </c>
      <c r="I526" s="95">
        <f>+ROUND(Návrh!I523,-3)/$X$2</f>
        <v>0</v>
      </c>
      <c r="J526" s="95" t="e">
        <f>+ROUND(Návrh!#REF!,-3)/$X$2</f>
        <v>#REF!</v>
      </c>
      <c r="K526" s="95">
        <f>+ROUND(Návrh!J523,-3)/$X$2</f>
        <v>0</v>
      </c>
      <c r="L526" s="95">
        <f>+ROUND(Návrh!K523,-3)/$X$2</f>
        <v>0</v>
      </c>
      <c r="M526" s="70"/>
    </row>
    <row r="527" spans="1:13" x14ac:dyDescent="0.25">
      <c r="A527" s="42" t="s">
        <v>1401</v>
      </c>
      <c r="B527" s="14"/>
      <c r="C527" s="13"/>
      <c r="D527" s="13"/>
      <c r="E527" s="290" t="s">
        <v>540</v>
      </c>
      <c r="F527" s="291"/>
      <c r="G527" s="91">
        <f>+ROUND(Návrh!G524,-3)/$X$2</f>
        <v>-23</v>
      </c>
      <c r="H527" s="91">
        <f>+ROUND(Návrh!H524,-3)/$X$2</f>
        <v>-4</v>
      </c>
      <c r="I527" s="91">
        <f>+ROUND(Návrh!I524,-3)/$X$2</f>
        <v>0</v>
      </c>
      <c r="J527" s="91" t="e">
        <f>+ROUND(Návrh!#REF!,-3)/$X$2</f>
        <v>#REF!</v>
      </c>
      <c r="K527" s="91">
        <f>+ROUND(Návrh!J524,-3)/$X$2</f>
        <v>0</v>
      </c>
      <c r="L527" s="91">
        <f>+ROUND(Návrh!K524,-3)/$X$2</f>
        <v>0</v>
      </c>
      <c r="M527" s="70"/>
    </row>
    <row r="528" spans="1:13" x14ac:dyDescent="0.25">
      <c r="A528" s="26" t="s">
        <v>1402</v>
      </c>
      <c r="B528" s="26"/>
      <c r="C528" s="23"/>
      <c r="D528" s="23"/>
      <c r="E528" s="300" t="s">
        <v>541</v>
      </c>
      <c r="F528" s="301"/>
      <c r="G528" s="95">
        <f>+ROUND(Návrh!G525,-3)/$X$2</f>
        <v>-934</v>
      </c>
      <c r="H528" s="95">
        <f>+ROUND(Návrh!H525,-3)/$X$2</f>
        <v>-543</v>
      </c>
      <c r="I528" s="95">
        <f>+ROUND(Návrh!I525,-3)/$X$2</f>
        <v>0</v>
      </c>
      <c r="J528" s="95" t="e">
        <f>+ROUND(Návrh!#REF!,-3)/$X$2</f>
        <v>#REF!</v>
      </c>
      <c r="K528" s="95">
        <f>+ROUND(Návrh!J525,-3)/$X$2</f>
        <v>0</v>
      </c>
      <c r="L528" s="95">
        <f>+ROUND(Návrh!K525,-3)/$X$2</f>
        <v>0</v>
      </c>
      <c r="M528" s="70"/>
    </row>
    <row r="529" spans="1:13" x14ac:dyDescent="0.25">
      <c r="A529" s="42" t="s">
        <v>1403</v>
      </c>
      <c r="B529" s="14"/>
      <c r="C529" s="13"/>
      <c r="D529" s="13"/>
      <c r="E529" s="290" t="s">
        <v>542</v>
      </c>
      <c r="F529" s="291"/>
      <c r="G529" s="91">
        <f>+ROUND(Návrh!G526,-3)/$X$2</f>
        <v>-934</v>
      </c>
      <c r="H529" s="91">
        <f>+ROUND(Návrh!H526,-3)/$X$2</f>
        <v>-543</v>
      </c>
      <c r="I529" s="91">
        <f>+ROUND(Návrh!I526,-3)/$X$2</f>
        <v>0</v>
      </c>
      <c r="J529" s="91" t="e">
        <f>+ROUND(Návrh!#REF!,-3)/$X$2</f>
        <v>#REF!</v>
      </c>
      <c r="K529" s="91">
        <f>+ROUND(Návrh!J526,-3)/$X$2</f>
        <v>0</v>
      </c>
      <c r="L529" s="91">
        <f>+ROUND(Návrh!K526,-3)/$X$2</f>
        <v>0</v>
      </c>
      <c r="M529" s="70"/>
    </row>
    <row r="530" spans="1:13" x14ac:dyDescent="0.25">
      <c r="A530" s="38" t="s">
        <v>543</v>
      </c>
      <c r="B530" s="38"/>
      <c r="C530" s="22"/>
      <c r="D530" s="22"/>
      <c r="E530" s="296" t="s">
        <v>544</v>
      </c>
      <c r="F530" s="297"/>
      <c r="G530" s="94">
        <f>+ROUND(Návrh!G527,-3)/$X$2</f>
        <v>-46717</v>
      </c>
      <c r="H530" s="94">
        <f>+ROUND(Návrh!H527,-3)/$X$2</f>
        <v>-44728</v>
      </c>
      <c r="I530" s="94">
        <f>+ROUND(Návrh!I527,-3)/$X$2</f>
        <v>-49291</v>
      </c>
      <c r="J530" s="94" t="e">
        <f>+ROUND(Návrh!#REF!,-3)/$X$2</f>
        <v>#REF!</v>
      </c>
      <c r="K530" s="94">
        <f>+ROUND(Návrh!J527,-3)/$X$2</f>
        <v>-35102</v>
      </c>
      <c r="L530" s="94">
        <f>+ROUND(Návrh!K527,-3)/$X$2</f>
        <v>-60146</v>
      </c>
      <c r="M530" s="70"/>
    </row>
    <row r="531" spans="1:13" x14ac:dyDescent="0.25">
      <c r="A531" s="26" t="s">
        <v>1404</v>
      </c>
      <c r="B531" s="26"/>
      <c r="C531" s="23"/>
      <c r="D531" s="23"/>
      <c r="E531" s="300" t="s">
        <v>545</v>
      </c>
      <c r="F531" s="301"/>
      <c r="G531" s="95">
        <f>+ROUND(Návrh!G528,-3)/$X$2</f>
        <v>38</v>
      </c>
      <c r="H531" s="95">
        <f>+ROUND(Návrh!H528,-3)/$X$2</f>
        <v>8</v>
      </c>
      <c r="I531" s="95">
        <f>+ROUND(Návrh!I528,-3)/$X$2</f>
        <v>0</v>
      </c>
      <c r="J531" s="95" t="e">
        <f>+ROUND(Návrh!#REF!,-3)/$X$2</f>
        <v>#REF!</v>
      </c>
      <c r="K531" s="95">
        <f>+ROUND(Návrh!J528,-3)/$X$2</f>
        <v>0</v>
      </c>
      <c r="L531" s="95">
        <f>+ROUND(Návrh!K528,-3)/$X$2</f>
        <v>0</v>
      </c>
      <c r="M531" s="70"/>
    </row>
    <row r="532" spans="1:13" x14ac:dyDescent="0.25">
      <c r="A532" s="42" t="s">
        <v>1405</v>
      </c>
      <c r="B532" s="14"/>
      <c r="C532" s="13"/>
      <c r="D532" s="13"/>
      <c r="E532" s="290" t="s">
        <v>546</v>
      </c>
      <c r="F532" s="291"/>
      <c r="G532" s="91">
        <f>+ROUND(Návrh!G529,-3)/$X$2</f>
        <v>38</v>
      </c>
      <c r="H532" s="91">
        <f>+ROUND(Návrh!H529,-3)/$X$2</f>
        <v>8</v>
      </c>
      <c r="I532" s="91">
        <f>+ROUND(Návrh!I529,-3)/$X$2</f>
        <v>0</v>
      </c>
      <c r="J532" s="91" t="e">
        <f>+ROUND(Návrh!#REF!,-3)/$X$2</f>
        <v>#REF!</v>
      </c>
      <c r="K532" s="91">
        <f>+ROUND(Návrh!J529,-3)/$X$2</f>
        <v>0</v>
      </c>
      <c r="L532" s="91">
        <f>+ROUND(Návrh!K529,-3)/$X$2</f>
        <v>0</v>
      </c>
      <c r="M532" s="70"/>
    </row>
    <row r="533" spans="1:13" x14ac:dyDescent="0.25">
      <c r="A533" s="26" t="s">
        <v>1406</v>
      </c>
      <c r="B533" s="26"/>
      <c r="C533" s="23"/>
      <c r="D533" s="23"/>
      <c r="E533" s="300" t="s">
        <v>547</v>
      </c>
      <c r="F533" s="301"/>
      <c r="G533" s="95">
        <f>+ROUND(Návrh!G530,-3)/$X$2</f>
        <v>-27148</v>
      </c>
      <c r="H533" s="95">
        <f>+ROUND(Návrh!H530,-3)/$X$2</f>
        <v>-21872</v>
      </c>
      <c r="I533" s="95">
        <f>+ROUND(Návrh!I530,-3)/$X$2</f>
        <v>-20954</v>
      </c>
      <c r="J533" s="95" t="e">
        <f>+ROUND(Návrh!#REF!,-3)/$X$2</f>
        <v>#REF!</v>
      </c>
      <c r="K533" s="95">
        <f>+ROUND(Návrh!J530,-3)/$X$2</f>
        <v>0</v>
      </c>
      <c r="L533" s="95">
        <f>+ROUND(Návrh!K530,-3)/$X$2</f>
        <v>-30000</v>
      </c>
      <c r="M533" s="70"/>
    </row>
    <row r="534" spans="1:13" x14ac:dyDescent="0.25">
      <c r="A534" s="42" t="s">
        <v>1407</v>
      </c>
      <c r="B534" s="20" t="s">
        <v>922</v>
      </c>
      <c r="C534" s="20" t="s">
        <v>920</v>
      </c>
      <c r="D534" s="20" t="s">
        <v>1433</v>
      </c>
      <c r="E534" s="290" t="s">
        <v>548</v>
      </c>
      <c r="F534" s="291"/>
      <c r="G534" s="91">
        <f>+ROUND(Návrh!G531,-3)/$X$2</f>
        <v>-25228</v>
      </c>
      <c r="H534" s="91">
        <f>+ROUND(Návrh!H531,-3)/$X$2</f>
        <v>-20058</v>
      </c>
      <c r="I534" s="91">
        <f>+ROUND(Návrh!I531,-3)/$X$2</f>
        <v>-20954</v>
      </c>
      <c r="J534" s="91" t="e">
        <f>+ROUND(Návrh!#REF!,-3)/$X$2</f>
        <v>#REF!</v>
      </c>
      <c r="K534" s="91">
        <f>+ROUND(Návrh!J531,-3)/$X$2</f>
        <v>0</v>
      </c>
      <c r="L534" s="91">
        <f>+ROUND(Návrh!K531,-3)/$X$2</f>
        <v>-30000</v>
      </c>
      <c r="M534" s="70"/>
    </row>
    <row r="535" spans="1:13" x14ac:dyDescent="0.25">
      <c r="A535" s="42" t="s">
        <v>1408</v>
      </c>
      <c r="B535" s="28" t="s">
        <v>922</v>
      </c>
      <c r="C535" s="20" t="s">
        <v>920</v>
      </c>
      <c r="D535" s="20" t="s">
        <v>1433</v>
      </c>
      <c r="E535" s="290" t="s">
        <v>549</v>
      </c>
      <c r="F535" s="291"/>
      <c r="G535" s="91">
        <f>+ROUND(Návrh!G532,-3)/$X$2</f>
        <v>-1576</v>
      </c>
      <c r="H535" s="91">
        <f>+ROUND(Návrh!H532,-3)/$X$2</f>
        <v>-1580</v>
      </c>
      <c r="I535" s="91">
        <f>+ROUND(Návrh!I532,-3)/$X$2</f>
        <v>0</v>
      </c>
      <c r="J535" s="91" t="e">
        <f>+ROUND(Návrh!#REF!,-3)/$X$2</f>
        <v>#REF!</v>
      </c>
      <c r="K535" s="91">
        <f>+ROUND(Návrh!J532,-3)/$X$2</f>
        <v>0</v>
      </c>
      <c r="L535" s="91">
        <f>+ROUND(Návrh!K532,-3)/$X$2</f>
        <v>0</v>
      </c>
      <c r="M535" s="70"/>
    </row>
    <row r="536" spans="1:13" x14ac:dyDescent="0.25">
      <c r="A536" s="42" t="s">
        <v>1409</v>
      </c>
      <c r="B536" s="14"/>
      <c r="C536" s="13"/>
      <c r="D536" s="13"/>
      <c r="E536" s="290" t="s">
        <v>550</v>
      </c>
      <c r="F536" s="291"/>
      <c r="G536" s="91">
        <f>+ROUND(Návrh!G533,-3)/$X$2</f>
        <v>-242</v>
      </c>
      <c r="H536" s="91">
        <f>+ROUND(Návrh!H533,-3)/$X$2</f>
        <v>-150</v>
      </c>
      <c r="I536" s="91">
        <f>+ROUND(Návrh!I533,-3)/$X$2</f>
        <v>0</v>
      </c>
      <c r="J536" s="91" t="e">
        <f>+ROUND(Návrh!#REF!,-3)/$X$2</f>
        <v>#REF!</v>
      </c>
      <c r="K536" s="91">
        <f>+ROUND(Návrh!J533,-3)/$X$2</f>
        <v>0</v>
      </c>
      <c r="L536" s="91">
        <f>+ROUND(Návrh!K533,-3)/$X$2</f>
        <v>0</v>
      </c>
      <c r="M536" s="70"/>
    </row>
    <row r="537" spans="1:13" x14ac:dyDescent="0.25">
      <c r="A537" s="42" t="s">
        <v>1410</v>
      </c>
      <c r="B537" s="14"/>
      <c r="C537" s="13"/>
      <c r="D537" s="13"/>
      <c r="E537" s="290" t="s">
        <v>551</v>
      </c>
      <c r="F537" s="291"/>
      <c r="G537" s="91">
        <f>+ROUND(Návrh!G534,-3)/$X$2</f>
        <v>-103</v>
      </c>
      <c r="H537" s="91">
        <f>+ROUND(Návrh!H534,-3)/$X$2</f>
        <v>-84</v>
      </c>
      <c r="I537" s="91">
        <f>+ROUND(Návrh!I534,-3)/$X$2</f>
        <v>0</v>
      </c>
      <c r="J537" s="91" t="e">
        <f>+ROUND(Návrh!#REF!,-3)/$X$2</f>
        <v>#REF!</v>
      </c>
      <c r="K537" s="91">
        <f>+ROUND(Návrh!J534,-3)/$X$2</f>
        <v>0</v>
      </c>
      <c r="L537" s="91">
        <f>+ROUND(Návrh!K534,-3)/$X$2</f>
        <v>0</v>
      </c>
      <c r="M537" s="70"/>
    </row>
    <row r="538" spans="1:13" x14ac:dyDescent="0.25">
      <c r="A538" s="26" t="s">
        <v>1411</v>
      </c>
      <c r="B538" s="26"/>
      <c r="C538" s="23"/>
      <c r="D538" s="23"/>
      <c r="E538" s="300" t="s">
        <v>552</v>
      </c>
      <c r="F538" s="301"/>
      <c r="G538" s="95">
        <f>+ROUND(Návrh!G535,-3)/$X$2</f>
        <v>-3623</v>
      </c>
      <c r="H538" s="95">
        <f>+ROUND(Návrh!H535,-3)/$X$2</f>
        <v>-1720</v>
      </c>
      <c r="I538" s="95">
        <f>+ROUND(Návrh!I535,-3)/$X$2</f>
        <v>-1580</v>
      </c>
      <c r="J538" s="95" t="e">
        <f>+ROUND(Návrh!#REF!,-3)/$X$2</f>
        <v>#REF!</v>
      </c>
      <c r="K538" s="95">
        <f>+ROUND(Návrh!J535,-3)/$X$2</f>
        <v>0</v>
      </c>
      <c r="L538" s="95">
        <f>+ROUND(Návrh!K535,-3)/$X$2</f>
        <v>-1605</v>
      </c>
      <c r="M538" s="70"/>
    </row>
    <row r="539" spans="1:13" x14ac:dyDescent="0.25">
      <c r="A539" s="42" t="s">
        <v>1412</v>
      </c>
      <c r="B539" s="28" t="s">
        <v>916</v>
      </c>
      <c r="C539" s="28" t="s">
        <v>923</v>
      </c>
      <c r="D539" s="28" t="s">
        <v>1037</v>
      </c>
      <c r="E539" s="290" t="s">
        <v>553</v>
      </c>
      <c r="F539" s="291"/>
      <c r="G539" s="91">
        <f>+ROUND(Návrh!G536,-3)/$X$2</f>
        <v>-655</v>
      </c>
      <c r="H539" s="91">
        <f>+ROUND(Návrh!H536,-3)/$X$2</f>
        <v>-783</v>
      </c>
      <c r="I539" s="91">
        <f>+ROUND(Návrh!I536,-3)/$X$2</f>
        <v>-860</v>
      </c>
      <c r="J539" s="91" t="e">
        <f>+ROUND(Návrh!#REF!,-3)/$X$2</f>
        <v>#REF!</v>
      </c>
      <c r="K539" s="91">
        <f>+ROUND(Návrh!J536,-3)/$X$2</f>
        <v>0</v>
      </c>
      <c r="L539" s="91">
        <f>+ROUND(Návrh!K536,-3)/$X$2</f>
        <v>-860</v>
      </c>
      <c r="M539" s="70"/>
    </row>
    <row r="540" spans="1:13" x14ac:dyDescent="0.25">
      <c r="A540" s="42" t="s">
        <v>1413</v>
      </c>
      <c r="B540" s="28" t="s">
        <v>916</v>
      </c>
      <c r="C540" s="28" t="s">
        <v>923</v>
      </c>
      <c r="D540" s="28" t="s">
        <v>1037</v>
      </c>
      <c r="E540" s="290" t="s">
        <v>554</v>
      </c>
      <c r="F540" s="291"/>
      <c r="G540" s="91">
        <f>+ROUND(Návrh!G537,-3)/$X$2</f>
        <v>-491</v>
      </c>
      <c r="H540" s="91">
        <f>+ROUND(Návrh!H537,-3)/$X$2</f>
        <v>-333</v>
      </c>
      <c r="I540" s="91">
        <f>+ROUND(Návrh!I537,-3)/$X$2</f>
        <v>-480</v>
      </c>
      <c r="J540" s="91" t="e">
        <f>+ROUND(Návrh!#REF!,-3)/$X$2</f>
        <v>#REF!</v>
      </c>
      <c r="K540" s="91">
        <f>+ROUND(Návrh!J537,-3)/$X$2</f>
        <v>0</v>
      </c>
      <c r="L540" s="91">
        <f>+ROUND(Návrh!K537,-3)/$X$2</f>
        <v>-510</v>
      </c>
      <c r="M540" s="70"/>
    </row>
    <row r="541" spans="1:13" x14ac:dyDescent="0.25">
      <c r="A541" s="42" t="s">
        <v>1414</v>
      </c>
      <c r="B541" s="28" t="s">
        <v>916</v>
      </c>
      <c r="C541" s="28" t="s">
        <v>923</v>
      </c>
      <c r="D541" s="28" t="s">
        <v>1037</v>
      </c>
      <c r="E541" s="290" t="s">
        <v>555</v>
      </c>
      <c r="F541" s="291"/>
      <c r="G541" s="91">
        <f>+ROUND(Návrh!G538,-3)/$X$2</f>
        <v>-100</v>
      </c>
      <c r="H541" s="91">
        <f>+ROUND(Návrh!H538,-3)/$X$2</f>
        <v>-214</v>
      </c>
      <c r="I541" s="91">
        <f>+ROUND(Návrh!I538,-3)/$X$2</f>
        <v>-205</v>
      </c>
      <c r="J541" s="91" t="e">
        <f>+ROUND(Návrh!#REF!,-3)/$X$2</f>
        <v>#REF!</v>
      </c>
      <c r="K541" s="91">
        <f>+ROUND(Návrh!J538,-3)/$X$2</f>
        <v>0</v>
      </c>
      <c r="L541" s="91">
        <f>+ROUND(Návrh!K538,-3)/$X$2</f>
        <v>-200</v>
      </c>
      <c r="M541" s="70"/>
    </row>
    <row r="542" spans="1:13" x14ac:dyDescent="0.25">
      <c r="A542" s="42" t="s">
        <v>1415</v>
      </c>
      <c r="B542" s="28" t="s">
        <v>916</v>
      </c>
      <c r="C542" s="28" t="s">
        <v>923</v>
      </c>
      <c r="D542" s="28" t="s">
        <v>1037</v>
      </c>
      <c r="E542" s="290" t="s">
        <v>556</v>
      </c>
      <c r="F542" s="291"/>
      <c r="G542" s="91">
        <f>+ROUND(Návrh!G539,-3)/$X$2</f>
        <v>-2275</v>
      </c>
      <c r="H542" s="91">
        <f>+ROUND(Návrh!H539,-3)/$X$2</f>
        <v>-197</v>
      </c>
      <c r="I542" s="91">
        <f>+ROUND(Návrh!I539,-3)/$X$2</f>
        <v>0</v>
      </c>
      <c r="J542" s="91" t="e">
        <f>+ROUND(Návrh!#REF!,-3)/$X$2</f>
        <v>#REF!</v>
      </c>
      <c r="K542" s="91">
        <f>+ROUND(Návrh!J539,-3)/$X$2</f>
        <v>0</v>
      </c>
      <c r="L542" s="91">
        <f>+ROUND(Návrh!K539,-3)/$X$2</f>
        <v>0</v>
      </c>
      <c r="M542" s="70"/>
    </row>
    <row r="543" spans="1:13" x14ac:dyDescent="0.25">
      <c r="A543" s="42" t="s">
        <v>1416</v>
      </c>
      <c r="B543" s="28" t="s">
        <v>916</v>
      </c>
      <c r="C543" s="28" t="s">
        <v>923</v>
      </c>
      <c r="D543" s="28" t="s">
        <v>1037</v>
      </c>
      <c r="E543" s="290" t="s">
        <v>557</v>
      </c>
      <c r="F543" s="291"/>
      <c r="G543" s="91">
        <f>+ROUND(Návrh!G540,-3)/$X$2</f>
        <v>-58</v>
      </c>
      <c r="H543" s="91">
        <f>+ROUND(Návrh!H540,-3)/$X$2</f>
        <v>-145</v>
      </c>
      <c r="I543" s="91">
        <f>+ROUND(Návrh!I540,-3)/$X$2</f>
        <v>-35</v>
      </c>
      <c r="J543" s="91" t="e">
        <f>+ROUND(Návrh!#REF!,-3)/$X$2</f>
        <v>#REF!</v>
      </c>
      <c r="K543" s="91">
        <f>+ROUND(Návrh!J540,-3)/$X$2</f>
        <v>0</v>
      </c>
      <c r="L543" s="91">
        <f>+ROUND(Návrh!K540,-3)/$X$2</f>
        <v>-35</v>
      </c>
      <c r="M543" s="70"/>
    </row>
    <row r="544" spans="1:13" x14ac:dyDescent="0.25">
      <c r="A544" s="42" t="s">
        <v>1417</v>
      </c>
      <c r="B544" s="14"/>
      <c r="C544" s="13"/>
      <c r="D544" s="13"/>
      <c r="E544" s="290" t="s">
        <v>558</v>
      </c>
      <c r="F544" s="291"/>
      <c r="G544" s="91">
        <f>+ROUND(Návrh!G541,-3)/$X$2</f>
        <v>-23</v>
      </c>
      <c r="H544" s="91">
        <f>+ROUND(Návrh!H541,-3)/$X$2</f>
        <v>-22</v>
      </c>
      <c r="I544" s="91">
        <f>+ROUND(Návrh!I541,-3)/$X$2</f>
        <v>0</v>
      </c>
      <c r="J544" s="91" t="e">
        <f>+ROUND(Návrh!#REF!,-3)/$X$2</f>
        <v>#REF!</v>
      </c>
      <c r="K544" s="91">
        <f>+ROUND(Návrh!J541,-3)/$X$2</f>
        <v>0</v>
      </c>
      <c r="L544" s="91">
        <f>+ROUND(Návrh!K541,-3)/$X$2</f>
        <v>0</v>
      </c>
      <c r="M544" s="70"/>
    </row>
    <row r="545" spans="1:13" x14ac:dyDescent="0.25">
      <c r="A545" s="42" t="s">
        <v>1418</v>
      </c>
      <c r="B545" s="14"/>
      <c r="C545" s="13"/>
      <c r="D545" s="13"/>
      <c r="E545" s="290" t="s">
        <v>559</v>
      </c>
      <c r="F545" s="291"/>
      <c r="G545" s="91">
        <f>+ROUND(Návrh!G542,-3)/$X$2</f>
        <v>-20</v>
      </c>
      <c r="H545" s="91">
        <f>+ROUND(Návrh!H542,-3)/$X$2</f>
        <v>-25</v>
      </c>
      <c r="I545" s="91">
        <f>+ROUND(Návrh!I542,-3)/$X$2</f>
        <v>0</v>
      </c>
      <c r="J545" s="91" t="e">
        <f>+ROUND(Návrh!#REF!,-3)/$X$2</f>
        <v>#REF!</v>
      </c>
      <c r="K545" s="91">
        <f>+ROUND(Návrh!J542,-3)/$X$2</f>
        <v>0</v>
      </c>
      <c r="L545" s="91">
        <f>+ROUND(Návrh!K542,-3)/$X$2</f>
        <v>0</v>
      </c>
      <c r="M545" s="70"/>
    </row>
    <row r="546" spans="1:13" x14ac:dyDescent="0.25">
      <c r="A546" s="26" t="s">
        <v>1419</v>
      </c>
      <c r="B546" s="26"/>
      <c r="C546" s="23"/>
      <c r="D546" s="23"/>
      <c r="E546" s="300" t="s">
        <v>560</v>
      </c>
      <c r="F546" s="301"/>
      <c r="G546" s="95">
        <f>+ROUND(Návrh!G543,-3)/$X$2</f>
        <v>-7019</v>
      </c>
      <c r="H546" s="95">
        <f>+ROUND(Návrh!H543,-3)/$X$2</f>
        <v>-6623</v>
      </c>
      <c r="I546" s="95">
        <f>+ROUND(Návrh!I543,-3)/$X$2</f>
        <v>-14897</v>
      </c>
      <c r="J546" s="95" t="e">
        <f>+ROUND(Návrh!#REF!,-3)/$X$2</f>
        <v>#REF!</v>
      </c>
      <c r="K546" s="95">
        <f>+ROUND(Návrh!J543,-3)/$X$2</f>
        <v>0</v>
      </c>
      <c r="L546" s="95">
        <f>+ROUND(Návrh!K543,-3)/$X$2</f>
        <v>-10043</v>
      </c>
      <c r="M546" s="70"/>
    </row>
    <row r="547" spans="1:13" x14ac:dyDescent="0.25">
      <c r="A547" s="42" t="s">
        <v>1420</v>
      </c>
      <c r="B547" s="20" t="s">
        <v>1654</v>
      </c>
      <c r="C547" s="28" t="s">
        <v>919</v>
      </c>
      <c r="D547" s="20" t="s">
        <v>1655</v>
      </c>
      <c r="E547" s="290" t="s">
        <v>561</v>
      </c>
      <c r="F547" s="291"/>
      <c r="G547" s="91">
        <f>+ROUND(Návrh!G544,-3)/$X$2</f>
        <v>-6416</v>
      </c>
      <c r="H547" s="91">
        <f>+ROUND(Návrh!H544,-3)/$X$2</f>
        <v>-5917</v>
      </c>
      <c r="I547" s="91">
        <f>+ROUND(Návrh!I544,-3)/$X$2</f>
        <v>-14027</v>
      </c>
      <c r="J547" s="91" t="e">
        <f>+ROUND(Návrh!#REF!,-3)/$X$2</f>
        <v>#REF!</v>
      </c>
      <c r="K547" s="91">
        <f>+ROUND(Návrh!J544,-3)/$X$2</f>
        <v>0</v>
      </c>
      <c r="L547" s="91">
        <f>+ROUND(Návrh!K544,-3)/$X$2</f>
        <v>-8931</v>
      </c>
      <c r="M547" s="70"/>
    </row>
    <row r="548" spans="1:13" x14ac:dyDescent="0.25">
      <c r="A548" s="42" t="s">
        <v>1421</v>
      </c>
      <c r="B548" s="20" t="s">
        <v>1654</v>
      </c>
      <c r="C548" s="28" t="s">
        <v>919</v>
      </c>
      <c r="D548" s="20" t="s">
        <v>1655</v>
      </c>
      <c r="E548" s="290" t="s">
        <v>562</v>
      </c>
      <c r="F548" s="291"/>
      <c r="G548" s="91">
        <f>+ROUND(Návrh!G545,-3)/$X$2</f>
        <v>-539</v>
      </c>
      <c r="H548" s="91">
        <f>+ROUND(Návrh!H545,-3)/$X$2</f>
        <v>-542</v>
      </c>
      <c r="I548" s="91">
        <f>+ROUND(Návrh!I545,-3)/$X$2</f>
        <v>-870</v>
      </c>
      <c r="J548" s="91" t="e">
        <f>+ROUND(Návrh!#REF!,-3)/$X$2</f>
        <v>#REF!</v>
      </c>
      <c r="K548" s="91">
        <f>+ROUND(Návrh!J545,-3)/$X$2</f>
        <v>0</v>
      </c>
      <c r="L548" s="91">
        <f>+ROUND(Návrh!K545,-3)/$X$2</f>
        <v>-1112</v>
      </c>
      <c r="M548" s="70"/>
    </row>
    <row r="549" spans="1:13" x14ac:dyDescent="0.25">
      <c r="A549" s="42" t="s">
        <v>1422</v>
      </c>
      <c r="B549" s="14"/>
      <c r="C549" s="13"/>
      <c r="D549" s="13"/>
      <c r="E549" s="290" t="s">
        <v>563</v>
      </c>
      <c r="F549" s="291"/>
      <c r="G549" s="91">
        <f>+ROUND(Návrh!G546,-3)/$X$2</f>
        <v>-64</v>
      </c>
      <c r="H549" s="91">
        <f>+ROUND(Návrh!H546,-3)/$X$2</f>
        <v>-33</v>
      </c>
      <c r="I549" s="91">
        <f>+ROUND(Návrh!I546,-3)/$X$2</f>
        <v>0</v>
      </c>
      <c r="J549" s="91" t="e">
        <f>+ROUND(Návrh!#REF!,-3)/$X$2</f>
        <v>#REF!</v>
      </c>
      <c r="K549" s="91">
        <f>+ROUND(Návrh!J546,-3)/$X$2</f>
        <v>0</v>
      </c>
      <c r="L549" s="91">
        <f>+ROUND(Návrh!K546,-3)/$X$2</f>
        <v>0</v>
      </c>
      <c r="M549" s="70"/>
    </row>
    <row r="550" spans="1:13" x14ac:dyDescent="0.25">
      <c r="A550" s="42" t="s">
        <v>1423</v>
      </c>
      <c r="B550" s="14"/>
      <c r="C550" s="13"/>
      <c r="D550" s="13"/>
      <c r="E550" s="290" t="s">
        <v>564</v>
      </c>
      <c r="F550" s="291"/>
      <c r="G550" s="91">
        <f>+ROUND(Návrh!G547,-3)/$X$2</f>
        <v>0</v>
      </c>
      <c r="H550" s="91">
        <f>+ROUND(Návrh!H547,-3)/$X$2</f>
        <v>-132</v>
      </c>
      <c r="I550" s="91">
        <f>+ROUND(Návrh!I547,-3)/$X$2</f>
        <v>0</v>
      </c>
      <c r="J550" s="91" t="e">
        <f>+ROUND(Návrh!#REF!,-3)/$X$2</f>
        <v>#REF!</v>
      </c>
      <c r="K550" s="91">
        <f>+ROUND(Návrh!J547,-3)/$X$2</f>
        <v>0</v>
      </c>
      <c r="L550" s="91">
        <f>+ROUND(Návrh!K547,-3)/$X$2</f>
        <v>0</v>
      </c>
      <c r="M550" s="70"/>
    </row>
    <row r="551" spans="1:13" x14ac:dyDescent="0.25">
      <c r="A551" s="26" t="s">
        <v>1424</v>
      </c>
      <c r="B551" s="26"/>
      <c r="C551" s="23"/>
      <c r="D551" s="23"/>
      <c r="E551" s="300" t="s">
        <v>565</v>
      </c>
      <c r="F551" s="301"/>
      <c r="G551" s="95">
        <f>+ROUND(Návrh!G548,-3)/$X$2</f>
        <v>-7133</v>
      </c>
      <c r="H551" s="95">
        <f>+ROUND(Návrh!H548,-3)/$X$2</f>
        <v>-12386</v>
      </c>
      <c r="I551" s="95">
        <f>+ROUND(Návrh!I548,-3)/$X$2</f>
        <v>-9150</v>
      </c>
      <c r="J551" s="95" t="e">
        <f>+ROUND(Návrh!#REF!,-3)/$X$2</f>
        <v>#REF!</v>
      </c>
      <c r="K551" s="95">
        <f>+ROUND(Návrh!J548,-3)/$X$2</f>
        <v>0</v>
      </c>
      <c r="L551" s="95">
        <f>+ROUND(Návrh!K548,-3)/$X$2</f>
        <v>-13850</v>
      </c>
      <c r="M551" s="70"/>
    </row>
    <row r="552" spans="1:13" x14ac:dyDescent="0.25">
      <c r="A552" s="42" t="s">
        <v>1425</v>
      </c>
      <c r="B552" s="28" t="s">
        <v>916</v>
      </c>
      <c r="C552" s="28" t="s">
        <v>923</v>
      </c>
      <c r="D552" s="28" t="s">
        <v>1037</v>
      </c>
      <c r="E552" s="290" t="s">
        <v>566</v>
      </c>
      <c r="F552" s="291"/>
      <c r="G552" s="91">
        <f>+ROUND(Návrh!G549,-3)/$X$2</f>
        <v>-7</v>
      </c>
      <c r="H552" s="91">
        <f>+ROUND(Návrh!H549,-3)/$X$2</f>
        <v>-909</v>
      </c>
      <c r="I552" s="91">
        <f>+ROUND(Návrh!I549,-3)/$X$2</f>
        <v>-150</v>
      </c>
      <c r="J552" s="91" t="e">
        <f>+ROUND(Návrh!#REF!,-3)/$X$2</f>
        <v>#REF!</v>
      </c>
      <c r="K552" s="91">
        <f>+ROUND(Návrh!J549,-3)/$X$2</f>
        <v>0</v>
      </c>
      <c r="L552" s="91">
        <f>+ROUND(Návrh!K549,-3)/$X$2</f>
        <v>-350</v>
      </c>
      <c r="M552" s="70"/>
    </row>
    <row r="553" spans="1:13" x14ac:dyDescent="0.25">
      <c r="A553" s="42" t="s">
        <v>1426</v>
      </c>
      <c r="B553" s="28" t="s">
        <v>916</v>
      </c>
      <c r="C553" s="28" t="s">
        <v>923</v>
      </c>
      <c r="D553" s="28" t="s">
        <v>1037</v>
      </c>
      <c r="E553" s="290" t="s">
        <v>567</v>
      </c>
      <c r="F553" s="291"/>
      <c r="G553" s="91">
        <f>+ROUND(Návrh!G550,-3)/$X$2</f>
        <v>-7109</v>
      </c>
      <c r="H553" s="91">
        <f>+ROUND(Návrh!H550,-3)/$X$2</f>
        <v>-11407</v>
      </c>
      <c r="I553" s="91">
        <f>+ROUND(Návrh!I550,-3)/$X$2</f>
        <v>-9000</v>
      </c>
      <c r="J553" s="91" t="e">
        <f>+ROUND(Návrh!#REF!,-3)/$X$2</f>
        <v>#REF!</v>
      </c>
      <c r="K553" s="91">
        <f>+ROUND(Návrh!J550,-3)/$X$2</f>
        <v>0</v>
      </c>
      <c r="L553" s="91">
        <f>+ROUND(Návrh!K550,-3)/$X$2</f>
        <v>-13500</v>
      </c>
      <c r="M553" s="70"/>
    </row>
    <row r="554" spans="1:13" x14ac:dyDescent="0.25">
      <c r="A554" s="42" t="s">
        <v>1427</v>
      </c>
      <c r="B554" s="14"/>
      <c r="C554" s="13"/>
      <c r="D554" s="13"/>
      <c r="E554" s="290" t="s">
        <v>568</v>
      </c>
      <c r="F554" s="291"/>
      <c r="G554" s="91">
        <f>+ROUND(Návrh!G551,-3)/$X$2</f>
        <v>-4</v>
      </c>
      <c r="H554" s="91">
        <f>+ROUND(Návrh!H551,-3)/$X$2</f>
        <v>-70</v>
      </c>
      <c r="I554" s="91">
        <f>+ROUND(Návrh!I551,-3)/$X$2</f>
        <v>0</v>
      </c>
      <c r="J554" s="91" t="e">
        <f>+ROUND(Návrh!#REF!,-3)/$X$2</f>
        <v>#REF!</v>
      </c>
      <c r="K554" s="91">
        <f>+ROUND(Návrh!J551,-3)/$X$2</f>
        <v>0</v>
      </c>
      <c r="L554" s="91">
        <f>+ROUND(Návrh!K551,-3)/$X$2</f>
        <v>0</v>
      </c>
      <c r="M554" s="70"/>
    </row>
    <row r="555" spans="1:13" x14ac:dyDescent="0.25">
      <c r="A555" s="42" t="s">
        <v>1428</v>
      </c>
      <c r="B555" s="14"/>
      <c r="C555" s="13"/>
      <c r="D555" s="13"/>
      <c r="E555" s="290" t="s">
        <v>569</v>
      </c>
      <c r="F555" s="291"/>
      <c r="G555" s="91">
        <f>+ROUND(Návrh!G552,-3)/$X$2</f>
        <v>-13</v>
      </c>
      <c r="H555" s="91">
        <f>+ROUND(Návrh!H552,-3)/$X$2</f>
        <v>0</v>
      </c>
      <c r="I555" s="91">
        <f>+ROUND(Návrh!I552,-3)/$X$2</f>
        <v>0</v>
      </c>
      <c r="J555" s="91" t="e">
        <f>+ROUND(Návrh!#REF!,-3)/$X$2</f>
        <v>#REF!</v>
      </c>
      <c r="K555" s="91">
        <f>+ROUND(Návrh!J552,-3)/$X$2</f>
        <v>0</v>
      </c>
      <c r="L555" s="91">
        <f>+ROUND(Návrh!K552,-3)/$X$2</f>
        <v>0</v>
      </c>
      <c r="M555" s="70"/>
    </row>
    <row r="556" spans="1:13" x14ac:dyDescent="0.25">
      <c r="A556" s="26" t="s">
        <v>1434</v>
      </c>
      <c r="B556" s="26"/>
      <c r="C556" s="23"/>
      <c r="D556" s="23"/>
      <c r="E556" s="300" t="s">
        <v>570</v>
      </c>
      <c r="F556" s="301"/>
      <c r="G556" s="95">
        <f>+ROUND(Návrh!G553,-3)/$X$2</f>
        <v>-1573</v>
      </c>
      <c r="H556" s="95">
        <f>+ROUND(Návrh!H553,-3)/$X$2</f>
        <v>-1861</v>
      </c>
      <c r="I556" s="95">
        <f>+ROUND(Návrh!I553,-3)/$X$2</f>
        <v>-1500</v>
      </c>
      <c r="J556" s="95" t="e">
        <f>+ROUND(Návrh!#REF!,-3)/$X$2</f>
        <v>#REF!</v>
      </c>
      <c r="K556" s="95">
        <f>+ROUND(Návrh!J553,-3)/$X$2</f>
        <v>0</v>
      </c>
      <c r="L556" s="95">
        <f>+ROUND(Návrh!K553,-3)/$X$2</f>
        <v>-1000</v>
      </c>
      <c r="M556" s="70"/>
    </row>
    <row r="557" spans="1:13" x14ac:dyDescent="0.25">
      <c r="A557" s="42" t="s">
        <v>1429</v>
      </c>
      <c r="B557" s="28" t="s">
        <v>916</v>
      </c>
      <c r="C557" s="28" t="s">
        <v>923</v>
      </c>
      <c r="D557" s="28" t="s">
        <v>1037</v>
      </c>
      <c r="E557" s="290" t="s">
        <v>571</v>
      </c>
      <c r="F557" s="291"/>
      <c r="G557" s="91">
        <f>+ROUND(Návrh!G554,-3)/$X$2</f>
        <v>-1222</v>
      </c>
      <c r="H557" s="91">
        <f>+ROUND(Návrh!H554,-3)/$X$2</f>
        <v>-1811</v>
      </c>
      <c r="I557" s="91">
        <f>+ROUND(Návrh!I554,-3)/$X$2</f>
        <v>-1500</v>
      </c>
      <c r="J557" s="91" t="e">
        <f>+ROUND(Návrh!#REF!,-3)/$X$2</f>
        <v>#REF!</v>
      </c>
      <c r="K557" s="91">
        <f>+ROUND(Návrh!J554,-3)/$X$2</f>
        <v>0</v>
      </c>
      <c r="L557" s="91">
        <f>+ROUND(Návrh!K554,-3)/$X$2</f>
        <v>-1000</v>
      </c>
      <c r="M557" s="70"/>
    </row>
    <row r="558" spans="1:13" x14ac:dyDescent="0.25">
      <c r="A558" s="42" t="s">
        <v>1430</v>
      </c>
      <c r="B558" s="14"/>
      <c r="C558" s="13"/>
      <c r="D558" s="13"/>
      <c r="E558" s="290" t="s">
        <v>572</v>
      </c>
      <c r="F558" s="291"/>
      <c r="G558" s="91">
        <f>+ROUND(Návrh!G555,-3)/$X$2</f>
        <v>-321</v>
      </c>
      <c r="H558" s="91">
        <f>+ROUND(Návrh!H555,-3)/$X$2</f>
        <v>-14</v>
      </c>
      <c r="I558" s="91">
        <f>+ROUND(Návrh!I555,-3)/$X$2</f>
        <v>0</v>
      </c>
      <c r="J558" s="91" t="e">
        <f>+ROUND(Návrh!#REF!,-3)/$X$2</f>
        <v>#REF!</v>
      </c>
      <c r="K558" s="91">
        <f>+ROUND(Návrh!J555,-3)/$X$2</f>
        <v>0</v>
      </c>
      <c r="L558" s="91">
        <f>+ROUND(Návrh!K555,-3)/$X$2</f>
        <v>0</v>
      </c>
      <c r="M558" s="70"/>
    </row>
    <row r="559" spans="1:13" x14ac:dyDescent="0.25">
      <c r="A559" s="42" t="s">
        <v>1431</v>
      </c>
      <c r="B559" s="14"/>
      <c r="C559" s="13"/>
      <c r="D559" s="13"/>
      <c r="E559" s="290" t="s">
        <v>573</v>
      </c>
      <c r="F559" s="291"/>
      <c r="G559" s="91">
        <f>+ROUND(Návrh!G556,-3)/$X$2</f>
        <v>-30</v>
      </c>
      <c r="H559" s="91">
        <f>+ROUND(Návrh!H556,-3)/$X$2</f>
        <v>-35</v>
      </c>
      <c r="I559" s="91">
        <f>+ROUND(Návrh!I556,-3)/$X$2</f>
        <v>0</v>
      </c>
      <c r="J559" s="91" t="e">
        <f>+ROUND(Návrh!#REF!,-3)/$X$2</f>
        <v>#REF!</v>
      </c>
      <c r="K559" s="91">
        <f>+ROUND(Návrh!J556,-3)/$X$2</f>
        <v>0</v>
      </c>
      <c r="L559" s="91">
        <f>+ROUND(Návrh!K556,-3)/$X$2</f>
        <v>0</v>
      </c>
      <c r="M559" s="70"/>
    </row>
    <row r="560" spans="1:13" x14ac:dyDescent="0.25">
      <c r="A560" s="26" t="s">
        <v>1435</v>
      </c>
      <c r="B560" s="26"/>
      <c r="C560" s="23"/>
      <c r="D560" s="23"/>
      <c r="E560" s="300" t="s">
        <v>574</v>
      </c>
      <c r="F560" s="301"/>
      <c r="G560" s="95">
        <f>+ROUND(Návrh!G557,-3)/$X$2</f>
        <v>-221</v>
      </c>
      <c r="H560" s="95">
        <f>+ROUND(Návrh!H557,-3)/$X$2</f>
        <v>-265</v>
      </c>
      <c r="I560" s="95">
        <f>+ROUND(Návrh!I557,-3)/$X$2</f>
        <v>-1211</v>
      </c>
      <c r="J560" s="95" t="e">
        <f>+ROUND(Návrh!#REF!,-3)/$X$2</f>
        <v>#REF!</v>
      </c>
      <c r="K560" s="95">
        <f>+ROUND(Návrh!J557,-3)/$X$2</f>
        <v>0</v>
      </c>
      <c r="L560" s="95">
        <f>+ROUND(Návrh!K557,-3)/$X$2</f>
        <v>-3648</v>
      </c>
      <c r="M560" s="70"/>
    </row>
    <row r="561" spans="1:13" x14ac:dyDescent="0.25">
      <c r="A561" s="42" t="s">
        <v>1436</v>
      </c>
      <c r="B561" s="20" t="s">
        <v>1654</v>
      </c>
      <c r="C561" s="28" t="s">
        <v>919</v>
      </c>
      <c r="D561" s="20" t="s">
        <v>1656</v>
      </c>
      <c r="E561" s="290" t="s">
        <v>575</v>
      </c>
      <c r="F561" s="291"/>
      <c r="G561" s="91">
        <f>+ROUND(Návrh!G558,-3)/$X$2</f>
        <v>-215</v>
      </c>
      <c r="H561" s="91">
        <f>+ROUND(Návrh!H558,-3)/$X$2</f>
        <v>-248</v>
      </c>
      <c r="I561" s="91">
        <f>+ROUND(Návrh!I558,-3)/$X$2</f>
        <v>-1211</v>
      </c>
      <c r="J561" s="91" t="e">
        <f>+ROUND(Návrh!#REF!,-3)/$X$2</f>
        <v>#REF!</v>
      </c>
      <c r="K561" s="91">
        <f>+ROUND(Návrh!J558,-3)/$X$2</f>
        <v>0</v>
      </c>
      <c r="L561" s="91">
        <f>+ROUND(Návrh!K558,-3)/$X$2</f>
        <v>-3648</v>
      </c>
      <c r="M561" s="70"/>
    </row>
    <row r="562" spans="1:13" x14ac:dyDescent="0.25">
      <c r="A562" s="42" t="s">
        <v>1437</v>
      </c>
      <c r="B562" s="14"/>
      <c r="C562" s="13"/>
      <c r="D562" s="13"/>
      <c r="E562" s="290" t="s">
        <v>576</v>
      </c>
      <c r="F562" s="291"/>
      <c r="G562" s="91">
        <f>+ROUND(Návrh!G559,-3)/$X$2</f>
        <v>-6</v>
      </c>
      <c r="H562" s="91">
        <f>+ROUND(Návrh!H559,-3)/$X$2</f>
        <v>-6</v>
      </c>
      <c r="I562" s="91">
        <f>+ROUND(Návrh!I559,-3)/$X$2</f>
        <v>0</v>
      </c>
      <c r="J562" s="91" t="e">
        <f>+ROUND(Návrh!#REF!,-3)/$X$2</f>
        <v>#REF!</v>
      </c>
      <c r="K562" s="91">
        <f>+ROUND(Návrh!J559,-3)/$X$2</f>
        <v>0</v>
      </c>
      <c r="L562" s="91">
        <f>+ROUND(Návrh!K559,-3)/$X$2</f>
        <v>0</v>
      </c>
      <c r="M562" s="70"/>
    </row>
    <row r="563" spans="1:13" x14ac:dyDescent="0.25">
      <c r="A563" s="42" t="s">
        <v>1438</v>
      </c>
      <c r="B563" s="14"/>
      <c r="C563" s="13"/>
      <c r="D563" s="13"/>
      <c r="E563" s="290" t="s">
        <v>577</v>
      </c>
      <c r="F563" s="291"/>
      <c r="G563" s="91">
        <f>+ROUND(Návrh!G560,-3)/$X$2</f>
        <v>0</v>
      </c>
      <c r="H563" s="91">
        <f>+ROUND(Návrh!H560,-3)/$X$2</f>
        <v>-11</v>
      </c>
      <c r="I563" s="91">
        <f>+ROUND(Návrh!I560,-3)/$X$2</f>
        <v>0</v>
      </c>
      <c r="J563" s="91" t="e">
        <f>+ROUND(Návrh!#REF!,-3)/$X$2</f>
        <v>#REF!</v>
      </c>
      <c r="K563" s="91">
        <f>+ROUND(Návrh!J560,-3)/$X$2</f>
        <v>0</v>
      </c>
      <c r="L563" s="91">
        <f>+ROUND(Návrh!K560,-3)/$X$2</f>
        <v>0</v>
      </c>
      <c r="M563" s="70"/>
    </row>
    <row r="564" spans="1:13" x14ac:dyDescent="0.25">
      <c r="A564" s="26" t="s">
        <v>1439</v>
      </c>
      <c r="B564" s="26"/>
      <c r="C564" s="23"/>
      <c r="D564" s="23"/>
      <c r="E564" s="300" t="s">
        <v>578</v>
      </c>
      <c r="F564" s="301"/>
      <c r="G564" s="95">
        <f>+ROUND(Návrh!G561,-3)/$X$2</f>
        <v>-38</v>
      </c>
      <c r="H564" s="95">
        <f>+ROUND(Návrh!H561,-3)/$X$2</f>
        <v>-8</v>
      </c>
      <c r="I564" s="95">
        <f>+ROUND(Návrh!I561,-3)/$X$2</f>
        <v>0</v>
      </c>
      <c r="J564" s="95" t="e">
        <f>+ROUND(Návrh!#REF!,-3)/$X$2</f>
        <v>#REF!</v>
      </c>
      <c r="K564" s="95">
        <f>+ROUND(Návrh!J561,-3)/$X$2</f>
        <v>0</v>
      </c>
      <c r="L564" s="95">
        <f>+ROUND(Návrh!K561,-3)/$X$2</f>
        <v>0</v>
      </c>
      <c r="M564" s="70"/>
    </row>
    <row r="565" spans="1:13" x14ac:dyDescent="0.25">
      <c r="A565" s="42" t="s">
        <v>1440</v>
      </c>
      <c r="B565" s="14"/>
      <c r="C565" s="13"/>
      <c r="D565" s="13"/>
      <c r="E565" s="290" t="s">
        <v>163</v>
      </c>
      <c r="F565" s="291"/>
      <c r="G565" s="91">
        <f>+ROUND(Návrh!G562,-3)/$X$2</f>
        <v>-38</v>
      </c>
      <c r="H565" s="91">
        <f>+ROUND(Návrh!H562,-3)/$X$2</f>
        <v>-8</v>
      </c>
      <c r="I565" s="91">
        <f>+ROUND(Návrh!I562,-3)/$X$2</f>
        <v>0</v>
      </c>
      <c r="J565" s="91" t="e">
        <f>+ROUND(Návrh!#REF!,-3)/$X$2</f>
        <v>#REF!</v>
      </c>
      <c r="K565" s="91">
        <f>+ROUND(Návrh!J562,-3)/$X$2</f>
        <v>0</v>
      </c>
      <c r="L565" s="91">
        <f>+ROUND(Návrh!K562,-3)/$X$2</f>
        <v>0</v>
      </c>
      <c r="M565" s="70"/>
    </row>
    <row r="566" spans="1:13" x14ac:dyDescent="0.25">
      <c r="A566" s="38" t="s">
        <v>579</v>
      </c>
      <c r="B566" s="38"/>
      <c r="C566" s="22"/>
      <c r="D566" s="22"/>
      <c r="E566" s="296" t="s">
        <v>580</v>
      </c>
      <c r="F566" s="297"/>
      <c r="G566" s="94">
        <f>+ROUND(Návrh!G563,-3)/$X$2</f>
        <v>0</v>
      </c>
      <c r="H566" s="94">
        <f>+ROUND(Návrh!H563,-3)/$X$2</f>
        <v>0</v>
      </c>
      <c r="I566" s="94">
        <f>+ROUND(Návrh!I563,-3)/$X$2</f>
        <v>0</v>
      </c>
      <c r="J566" s="94" t="e">
        <f>+ROUND(Návrh!#REF!,-3)/$X$2</f>
        <v>#REF!</v>
      </c>
      <c r="K566" s="94">
        <f>+ROUND(Návrh!J563,-3)/$X$2</f>
        <v>0</v>
      </c>
      <c r="L566" s="94">
        <f>+ROUND(Návrh!K563,-3)/$X$2</f>
        <v>0</v>
      </c>
      <c r="M566" s="70"/>
    </row>
    <row r="567" spans="1:13" x14ac:dyDescent="0.25">
      <c r="A567" s="38" t="s">
        <v>581</v>
      </c>
      <c r="B567" s="38"/>
      <c r="C567" s="22"/>
      <c r="D567" s="22"/>
      <c r="E567" s="296" t="s">
        <v>582</v>
      </c>
      <c r="F567" s="297"/>
      <c r="G567" s="94">
        <f>+ROUND(Návrh!G564,-3)/$X$2</f>
        <v>-27</v>
      </c>
      <c r="H567" s="94">
        <f>+ROUND(Návrh!H564,-3)/$X$2</f>
        <v>-65</v>
      </c>
      <c r="I567" s="94">
        <f>+ROUND(Návrh!I564,-3)/$X$2</f>
        <v>0</v>
      </c>
      <c r="J567" s="94" t="e">
        <f>+ROUND(Návrh!#REF!,-3)/$X$2</f>
        <v>#REF!</v>
      </c>
      <c r="K567" s="94">
        <f>+ROUND(Návrh!J564,-3)/$X$2</f>
        <v>0</v>
      </c>
      <c r="L567" s="94">
        <f>+ROUND(Návrh!K564,-3)/$X$2</f>
        <v>0</v>
      </c>
      <c r="M567" s="70"/>
    </row>
    <row r="568" spans="1:13" x14ac:dyDescent="0.25">
      <c r="A568" s="26" t="s">
        <v>1441</v>
      </c>
      <c r="B568" s="26"/>
      <c r="C568" s="23"/>
      <c r="D568" s="23"/>
      <c r="E568" s="300" t="s">
        <v>583</v>
      </c>
      <c r="F568" s="301"/>
      <c r="G568" s="95">
        <f>+ROUND(Návrh!G565,-3)/$X$2</f>
        <v>-27</v>
      </c>
      <c r="H568" s="95">
        <f>+ROUND(Návrh!H565,-3)/$X$2</f>
        <v>-65</v>
      </c>
      <c r="I568" s="95">
        <f>+ROUND(Návrh!I565,-3)/$X$2</f>
        <v>0</v>
      </c>
      <c r="J568" s="95" t="e">
        <f>+ROUND(Návrh!#REF!,-3)/$X$2</f>
        <v>#REF!</v>
      </c>
      <c r="K568" s="95">
        <f>+ROUND(Návrh!J565,-3)/$X$2</f>
        <v>0</v>
      </c>
      <c r="L568" s="95">
        <f>+ROUND(Návrh!K565,-3)/$X$2</f>
        <v>0</v>
      </c>
      <c r="M568" s="70"/>
    </row>
    <row r="569" spans="1:13" x14ac:dyDescent="0.25">
      <c r="A569" s="42" t="s">
        <v>1442</v>
      </c>
      <c r="B569" s="14"/>
      <c r="C569" s="13"/>
      <c r="D569" s="13"/>
      <c r="E569" s="290" t="s">
        <v>584</v>
      </c>
      <c r="F569" s="291"/>
      <c r="G569" s="91">
        <f>+ROUND(Návrh!G566,-3)/$X$2</f>
        <v>-27</v>
      </c>
      <c r="H569" s="91">
        <f>+ROUND(Návrh!H566,-3)/$X$2</f>
        <v>-65</v>
      </c>
      <c r="I569" s="91">
        <f>+ROUND(Návrh!I566,-3)/$X$2</f>
        <v>0</v>
      </c>
      <c r="J569" s="91" t="e">
        <f>+ROUND(Návrh!#REF!,-3)/$X$2</f>
        <v>#REF!</v>
      </c>
      <c r="K569" s="91">
        <f>+ROUND(Návrh!J566,-3)/$X$2</f>
        <v>0</v>
      </c>
      <c r="L569" s="91">
        <f>+ROUND(Návrh!K566,-3)/$X$2</f>
        <v>0</v>
      </c>
      <c r="M569" s="70"/>
    </row>
    <row r="570" spans="1:13" x14ac:dyDescent="0.25">
      <c r="A570" s="38" t="s">
        <v>585</v>
      </c>
      <c r="B570" s="38"/>
      <c r="C570" s="22"/>
      <c r="D570" s="22"/>
      <c r="E570" s="296" t="s">
        <v>582</v>
      </c>
      <c r="F570" s="297"/>
      <c r="G570" s="94">
        <f>+ROUND(Návrh!G567,-3)/$X$2</f>
        <v>411</v>
      </c>
      <c r="H570" s="94">
        <f>+ROUND(Návrh!H567,-3)/$X$2</f>
        <v>91</v>
      </c>
      <c r="I570" s="94">
        <f>+ROUND(Návrh!I567,-3)/$X$2</f>
        <v>0</v>
      </c>
      <c r="J570" s="94" t="e">
        <f>+ROUND(Návrh!#REF!,-3)/$X$2</f>
        <v>#REF!</v>
      </c>
      <c r="K570" s="94">
        <f>+ROUND(Návrh!J567,-3)/$X$2</f>
        <v>36</v>
      </c>
      <c r="L570" s="94">
        <f>+ROUND(Návrh!K567,-3)/$X$2</f>
        <v>0</v>
      </c>
      <c r="M570" s="70"/>
    </row>
    <row r="571" spans="1:13" x14ac:dyDescent="0.25">
      <c r="A571" s="26" t="s">
        <v>1443</v>
      </c>
      <c r="B571" s="26"/>
      <c r="C571" s="23"/>
      <c r="D571" s="23"/>
      <c r="E571" s="300" t="s">
        <v>586</v>
      </c>
      <c r="F571" s="301"/>
      <c r="G571" s="95">
        <f>+ROUND(Návrh!G568,-3)/$X$2</f>
        <v>83</v>
      </c>
      <c r="H571" s="95">
        <f>+ROUND(Návrh!H568,-3)/$X$2</f>
        <v>-181</v>
      </c>
      <c r="I571" s="95">
        <f>+ROUND(Návrh!I568,-3)/$X$2</f>
        <v>0</v>
      </c>
      <c r="J571" s="95" t="e">
        <f>+ROUND(Návrh!#REF!,-3)/$X$2</f>
        <v>#REF!</v>
      </c>
      <c r="K571" s="95">
        <f>+ROUND(Návrh!J568,-3)/$X$2</f>
        <v>0</v>
      </c>
      <c r="L571" s="95">
        <f>+ROUND(Návrh!K568,-3)/$X$2</f>
        <v>0</v>
      </c>
      <c r="M571" s="70"/>
    </row>
    <row r="572" spans="1:13" x14ac:dyDescent="0.25">
      <c r="A572" s="42" t="s">
        <v>1444</v>
      </c>
      <c r="B572" s="14"/>
      <c r="C572" s="13"/>
      <c r="D572" s="13"/>
      <c r="E572" s="290" t="s">
        <v>587</v>
      </c>
      <c r="F572" s="291"/>
      <c r="G572" s="91">
        <f>+ROUND(Návrh!G569,-3)/$X$2</f>
        <v>83</v>
      </c>
      <c r="H572" s="91">
        <f>+ROUND(Návrh!H569,-3)/$X$2</f>
        <v>-181</v>
      </c>
      <c r="I572" s="91">
        <f>+ROUND(Návrh!I569,-3)/$X$2</f>
        <v>0</v>
      </c>
      <c r="J572" s="91" t="e">
        <f>+ROUND(Návrh!#REF!,-3)/$X$2</f>
        <v>#REF!</v>
      </c>
      <c r="K572" s="91">
        <f>+ROUND(Návrh!J569,-3)/$X$2</f>
        <v>0</v>
      </c>
      <c r="L572" s="91">
        <f>+ROUND(Návrh!K569,-3)/$X$2</f>
        <v>0</v>
      </c>
      <c r="M572" s="70"/>
    </row>
    <row r="573" spans="1:13" x14ac:dyDescent="0.25">
      <c r="A573" s="26" t="s">
        <v>1445</v>
      </c>
      <c r="B573" s="26"/>
      <c r="C573" s="23"/>
      <c r="D573" s="23"/>
      <c r="E573" s="300" t="s">
        <v>588</v>
      </c>
      <c r="F573" s="301"/>
      <c r="G573" s="95">
        <f>+ROUND(Návrh!G570,-3)/$X$2</f>
        <v>328</v>
      </c>
      <c r="H573" s="95">
        <f>+ROUND(Návrh!H570,-3)/$X$2</f>
        <v>271</v>
      </c>
      <c r="I573" s="95">
        <f>+ROUND(Návrh!I570,-3)/$X$2</f>
        <v>0</v>
      </c>
      <c r="J573" s="95" t="e">
        <f>+ROUND(Návrh!#REF!,-3)/$X$2</f>
        <v>#REF!</v>
      </c>
      <c r="K573" s="95">
        <f>+ROUND(Návrh!J570,-3)/$X$2</f>
        <v>0</v>
      </c>
      <c r="L573" s="95">
        <f>+ROUND(Návrh!K570,-3)/$X$2</f>
        <v>0</v>
      </c>
      <c r="M573" s="70"/>
    </row>
    <row r="574" spans="1:13" x14ac:dyDescent="0.25">
      <c r="A574" s="42" t="s">
        <v>1446</v>
      </c>
      <c r="B574" s="14"/>
      <c r="C574" s="13"/>
      <c r="D574" s="13"/>
      <c r="E574" s="290" t="s">
        <v>589</v>
      </c>
      <c r="F574" s="291"/>
      <c r="G574" s="91">
        <f>+ROUND(Návrh!G571,-3)/$X$2</f>
        <v>328</v>
      </c>
      <c r="H574" s="91">
        <f>+ROUND(Návrh!H571,-3)/$X$2</f>
        <v>271</v>
      </c>
      <c r="I574" s="91">
        <f>+ROUND(Návrh!I571,-3)/$X$2</f>
        <v>0</v>
      </c>
      <c r="J574" s="91" t="e">
        <f>+ROUND(Návrh!#REF!,-3)/$X$2</f>
        <v>#REF!</v>
      </c>
      <c r="K574" s="91">
        <f>+ROUND(Návrh!J571,-3)/$X$2</f>
        <v>0</v>
      </c>
      <c r="L574" s="91">
        <f>+ROUND(Návrh!K571,-3)/$X$2</f>
        <v>0</v>
      </c>
      <c r="M574" s="70"/>
    </row>
    <row r="575" spans="1:13" x14ac:dyDescent="0.25">
      <c r="A575" s="41" t="s">
        <v>590</v>
      </c>
      <c r="B575" s="41"/>
      <c r="C575" s="40"/>
      <c r="D575" s="40"/>
      <c r="E575" s="298" t="s">
        <v>591</v>
      </c>
      <c r="F575" s="299"/>
      <c r="G575" s="92">
        <f>+ROUND(Návrh!G572,-3)/$X$2</f>
        <v>-197</v>
      </c>
      <c r="H575" s="92">
        <f>+ROUND(Návrh!H572,-3)/$X$2</f>
        <v>-334</v>
      </c>
      <c r="I575" s="92">
        <f>+ROUND(Návrh!I572,-3)/$X$2</f>
        <v>-200</v>
      </c>
      <c r="J575" s="92" t="e">
        <f>+ROUND(Návrh!#REF!,-3)/$X$2</f>
        <v>#REF!</v>
      </c>
      <c r="K575" s="92">
        <f>+ROUND(Návrh!J572,-3)/$X$2</f>
        <v>-240</v>
      </c>
      <c r="L575" s="92">
        <f>+ROUND(Návrh!K572,-3)/$X$2</f>
        <v>-280</v>
      </c>
      <c r="M575" s="70"/>
    </row>
    <row r="576" spans="1:13" x14ac:dyDescent="0.25">
      <c r="A576" s="38" t="s">
        <v>592</v>
      </c>
      <c r="B576" s="38"/>
      <c r="C576" s="22"/>
      <c r="D576" s="22"/>
      <c r="E576" s="296" t="s">
        <v>593</v>
      </c>
      <c r="F576" s="297"/>
      <c r="G576" s="94">
        <f>+ROUND(Návrh!G573,-3)/$X$2</f>
        <v>0</v>
      </c>
      <c r="H576" s="94">
        <f>+ROUND(Návrh!H573,-3)/$X$2</f>
        <v>0</v>
      </c>
      <c r="I576" s="94">
        <f>+ROUND(Návrh!I573,-3)/$X$2</f>
        <v>0</v>
      </c>
      <c r="J576" s="94" t="e">
        <f>+ROUND(Návrh!#REF!,-3)/$X$2</f>
        <v>#REF!</v>
      </c>
      <c r="K576" s="94">
        <f>+ROUND(Návrh!J573,-3)/$X$2</f>
        <v>0</v>
      </c>
      <c r="L576" s="94">
        <f>+ROUND(Návrh!K573,-3)/$X$2</f>
        <v>0</v>
      </c>
      <c r="M576" s="70"/>
    </row>
    <row r="577" spans="1:13" x14ac:dyDescent="0.25">
      <c r="A577" s="38" t="s">
        <v>594</v>
      </c>
      <c r="B577" s="38"/>
      <c r="C577" s="22"/>
      <c r="D577" s="22"/>
      <c r="E577" s="296" t="s">
        <v>595</v>
      </c>
      <c r="F577" s="297"/>
      <c r="G577" s="94">
        <f>+ROUND(Návrh!G574,-3)/$X$2</f>
        <v>0</v>
      </c>
      <c r="H577" s="94">
        <f>+ROUND(Návrh!H574,-3)/$X$2</f>
        <v>0</v>
      </c>
      <c r="I577" s="94">
        <f>+ROUND(Návrh!I574,-3)/$X$2</f>
        <v>0</v>
      </c>
      <c r="J577" s="94" t="e">
        <f>+ROUND(Návrh!#REF!,-3)/$X$2</f>
        <v>#REF!</v>
      </c>
      <c r="K577" s="94">
        <f>+ROUND(Návrh!J574,-3)/$X$2</f>
        <v>0</v>
      </c>
      <c r="L577" s="94">
        <f>+ROUND(Návrh!K574,-3)/$X$2</f>
        <v>0</v>
      </c>
      <c r="M577" s="70"/>
    </row>
    <row r="578" spans="1:13" x14ac:dyDescent="0.25">
      <c r="A578" s="26" t="s">
        <v>1447</v>
      </c>
      <c r="B578" s="26"/>
      <c r="C578" s="23"/>
      <c r="D578" s="23"/>
      <c r="E578" s="300" t="s">
        <v>596</v>
      </c>
      <c r="F578" s="301"/>
      <c r="G578" s="95">
        <f>+ROUND(Návrh!G575,-3)/$X$2</f>
        <v>0</v>
      </c>
      <c r="H578" s="95">
        <f>+ROUND(Návrh!H575,-3)/$X$2</f>
        <v>0</v>
      </c>
      <c r="I578" s="95">
        <f>+ROUND(Návrh!I575,-3)/$X$2</f>
        <v>0</v>
      </c>
      <c r="J578" s="95" t="e">
        <f>+ROUND(Návrh!#REF!,-3)/$X$2</f>
        <v>#REF!</v>
      </c>
      <c r="K578" s="95">
        <f>+ROUND(Návrh!J575,-3)/$X$2</f>
        <v>0</v>
      </c>
      <c r="L578" s="95">
        <f>+ROUND(Návrh!K575,-3)/$X$2</f>
        <v>0</v>
      </c>
      <c r="M578" s="70"/>
    </row>
    <row r="579" spans="1:13" x14ac:dyDescent="0.25">
      <c r="A579" s="42" t="s">
        <v>1449</v>
      </c>
      <c r="B579" s="14"/>
      <c r="C579" s="13"/>
      <c r="D579" s="13"/>
      <c r="E579" s="290" t="s">
        <v>597</v>
      </c>
      <c r="F579" s="291"/>
      <c r="G579" s="91">
        <f>+ROUND(Návrh!G576,-3)/$X$2</f>
        <v>0</v>
      </c>
      <c r="H579" s="91">
        <f>+ROUND(Návrh!H576,-3)/$X$2</f>
        <v>0</v>
      </c>
      <c r="I579" s="91">
        <f>+ROUND(Návrh!I576,-3)/$X$2</f>
        <v>0</v>
      </c>
      <c r="J579" s="91" t="e">
        <f>+ROUND(Návrh!#REF!,-3)/$X$2</f>
        <v>#REF!</v>
      </c>
      <c r="K579" s="91">
        <f>+ROUND(Návrh!J576,-3)/$X$2</f>
        <v>0</v>
      </c>
      <c r="L579" s="91">
        <f>+ROUND(Návrh!K576,-3)/$X$2</f>
        <v>0</v>
      </c>
      <c r="M579" s="70"/>
    </row>
    <row r="580" spans="1:13" x14ac:dyDescent="0.25">
      <c r="A580" s="38" t="s">
        <v>598</v>
      </c>
      <c r="B580" s="38"/>
      <c r="C580" s="22"/>
      <c r="D580" s="22"/>
      <c r="E580" s="296" t="s">
        <v>599</v>
      </c>
      <c r="F580" s="297"/>
      <c r="G580" s="94">
        <f>+ROUND(Návrh!G577,-3)/$X$2</f>
        <v>-197</v>
      </c>
      <c r="H580" s="94">
        <f>+ROUND(Návrh!H577,-3)/$X$2</f>
        <v>-277</v>
      </c>
      <c r="I580" s="94">
        <f>+ROUND(Návrh!I577,-3)/$X$2</f>
        <v>-200</v>
      </c>
      <c r="J580" s="94" t="e">
        <f>+ROUND(Návrh!#REF!,-3)/$X$2</f>
        <v>#REF!</v>
      </c>
      <c r="K580" s="94">
        <f>+ROUND(Návrh!J577,-3)/$X$2</f>
        <v>-240</v>
      </c>
      <c r="L580" s="94">
        <f>+ROUND(Návrh!K577,-3)/$X$2</f>
        <v>-280</v>
      </c>
      <c r="M580" s="70"/>
    </row>
    <row r="581" spans="1:13" x14ac:dyDescent="0.25">
      <c r="A581" s="26" t="s">
        <v>1450</v>
      </c>
      <c r="B581" s="26"/>
      <c r="C581" s="23"/>
      <c r="D581" s="23"/>
      <c r="E581" s="300" t="s">
        <v>600</v>
      </c>
      <c r="F581" s="301"/>
      <c r="G581" s="95">
        <f>+ROUND(Návrh!G578,-3)/$X$2</f>
        <v>0</v>
      </c>
      <c r="H581" s="95">
        <f>+ROUND(Návrh!H578,-3)/$X$2</f>
        <v>0</v>
      </c>
      <c r="I581" s="95">
        <f>+ROUND(Návrh!I578,-3)/$X$2</f>
        <v>0</v>
      </c>
      <c r="J581" s="95" t="e">
        <f>+ROUND(Návrh!#REF!,-3)/$X$2</f>
        <v>#REF!</v>
      </c>
      <c r="K581" s="95">
        <f>+ROUND(Návrh!J578,-3)/$X$2</f>
        <v>0</v>
      </c>
      <c r="L581" s="95">
        <f>+ROUND(Návrh!K578,-3)/$X$2</f>
        <v>0</v>
      </c>
      <c r="M581" s="70"/>
    </row>
    <row r="582" spans="1:13" x14ac:dyDescent="0.25">
      <c r="A582" s="42" t="s">
        <v>1451</v>
      </c>
      <c r="B582" s="14"/>
      <c r="C582" s="13"/>
      <c r="D582" s="13"/>
      <c r="E582" s="290" t="s">
        <v>601</v>
      </c>
      <c r="F582" s="291"/>
      <c r="G582" s="91">
        <f>+ROUND(Návrh!G579,-3)/$X$2</f>
        <v>0</v>
      </c>
      <c r="H582" s="91">
        <f>+ROUND(Návrh!H579,-3)/$X$2</f>
        <v>0</v>
      </c>
      <c r="I582" s="91">
        <f>+ROUND(Návrh!I579,-3)/$X$2</f>
        <v>0</v>
      </c>
      <c r="J582" s="91" t="e">
        <f>+ROUND(Návrh!#REF!,-3)/$X$2</f>
        <v>#REF!</v>
      </c>
      <c r="K582" s="91">
        <f>+ROUND(Návrh!J579,-3)/$X$2</f>
        <v>0</v>
      </c>
      <c r="L582" s="91">
        <f>+ROUND(Návrh!K579,-3)/$X$2</f>
        <v>0</v>
      </c>
      <c r="M582" s="70"/>
    </row>
    <row r="583" spans="1:13" x14ac:dyDescent="0.25">
      <c r="A583" s="26" t="s">
        <v>1452</v>
      </c>
      <c r="B583" s="26"/>
      <c r="C583" s="23"/>
      <c r="D583" s="23"/>
      <c r="E583" s="300" t="s">
        <v>602</v>
      </c>
      <c r="F583" s="301"/>
      <c r="G583" s="95">
        <f>+ROUND(Návrh!G580,-3)/$X$2</f>
        <v>-197</v>
      </c>
      <c r="H583" s="95">
        <f>+ROUND(Návrh!H580,-3)/$X$2</f>
        <v>-277</v>
      </c>
      <c r="I583" s="95">
        <f>+ROUND(Návrh!I580,-3)/$X$2</f>
        <v>-200</v>
      </c>
      <c r="J583" s="95" t="e">
        <f>+ROUND(Návrh!#REF!,-3)/$X$2</f>
        <v>#REF!</v>
      </c>
      <c r="K583" s="95">
        <f>+ROUND(Návrh!J580,-3)/$X$2</f>
        <v>0</v>
      </c>
      <c r="L583" s="95">
        <f>+ROUND(Návrh!K580,-3)/$X$2</f>
        <v>-280</v>
      </c>
      <c r="M583" s="70"/>
    </row>
    <row r="584" spans="1:13" x14ac:dyDescent="0.25">
      <c r="A584" s="42" t="s">
        <v>1448</v>
      </c>
      <c r="B584" s="27" t="s">
        <v>916</v>
      </c>
      <c r="C584" s="28" t="s">
        <v>923</v>
      </c>
      <c r="D584" s="28" t="s">
        <v>1643</v>
      </c>
      <c r="E584" s="290" t="s">
        <v>603</v>
      </c>
      <c r="F584" s="291"/>
      <c r="G584" s="91">
        <f>+ROUND(Návrh!G581,-3)/$X$2</f>
        <v>-197</v>
      </c>
      <c r="H584" s="91">
        <f>+ROUND(Návrh!H581,-3)/$X$2</f>
        <v>-277</v>
      </c>
      <c r="I584" s="91">
        <f>+ROUND(Návrh!I581,-3)/$X$2</f>
        <v>-200</v>
      </c>
      <c r="J584" s="91" t="e">
        <f>+ROUND(Návrh!#REF!,-3)/$X$2</f>
        <v>#REF!</v>
      </c>
      <c r="K584" s="91">
        <f>+ROUND(Návrh!J581,-3)/$X$2</f>
        <v>0</v>
      </c>
      <c r="L584" s="91">
        <f>+ROUND(Návrh!K581,-3)/$X$2</f>
        <v>-280</v>
      </c>
      <c r="M584" s="70"/>
    </row>
    <row r="585" spans="1:13" x14ac:dyDescent="0.25">
      <c r="A585" s="26" t="s">
        <v>1453</v>
      </c>
      <c r="B585" s="26"/>
      <c r="C585" s="23"/>
      <c r="D585" s="23"/>
      <c r="E585" s="300" t="s">
        <v>604</v>
      </c>
      <c r="F585" s="301"/>
      <c r="G585" s="95">
        <f>+ROUND(Návrh!G582,-3)/$X$2</f>
        <v>0</v>
      </c>
      <c r="H585" s="95">
        <f>+ROUND(Návrh!H582,-3)/$X$2</f>
        <v>0</v>
      </c>
      <c r="I585" s="95">
        <f>+ROUND(Návrh!I582,-3)/$X$2</f>
        <v>0</v>
      </c>
      <c r="J585" s="95" t="e">
        <f>+ROUND(Návrh!#REF!,-3)/$X$2</f>
        <v>#REF!</v>
      </c>
      <c r="K585" s="95">
        <f>+ROUND(Návrh!J582,-3)/$X$2</f>
        <v>0</v>
      </c>
      <c r="L585" s="95">
        <f>+ROUND(Návrh!K582,-3)/$X$2</f>
        <v>0</v>
      </c>
      <c r="M585" s="70"/>
    </row>
    <row r="586" spans="1:13" x14ac:dyDescent="0.25">
      <c r="A586" s="42" t="s">
        <v>1454</v>
      </c>
      <c r="B586" s="14"/>
      <c r="C586" s="13"/>
      <c r="D586" s="13"/>
      <c r="E586" s="290" t="s">
        <v>605</v>
      </c>
      <c r="F586" s="291"/>
      <c r="G586" s="91">
        <f>+ROUND(Návrh!G583,-3)/$X$2</f>
        <v>0</v>
      </c>
      <c r="H586" s="91">
        <f>+ROUND(Návrh!H583,-3)/$X$2</f>
        <v>0</v>
      </c>
      <c r="I586" s="91">
        <f>+ROUND(Návrh!I583,-3)/$X$2</f>
        <v>0</v>
      </c>
      <c r="J586" s="91" t="e">
        <f>+ROUND(Návrh!#REF!,-3)/$X$2</f>
        <v>#REF!</v>
      </c>
      <c r="K586" s="91">
        <f>+ROUND(Návrh!J583,-3)/$X$2</f>
        <v>0</v>
      </c>
      <c r="L586" s="91">
        <f>+ROUND(Návrh!K583,-3)/$X$2</f>
        <v>0</v>
      </c>
      <c r="M586" s="70"/>
    </row>
    <row r="587" spans="1:13" x14ac:dyDescent="0.25">
      <c r="A587" s="38" t="s">
        <v>606</v>
      </c>
      <c r="B587" s="38"/>
      <c r="C587" s="22"/>
      <c r="D587" s="22"/>
      <c r="E587" s="296" t="s">
        <v>607</v>
      </c>
      <c r="F587" s="297"/>
      <c r="G587" s="94">
        <f>+ROUND(Návrh!G584,-3)/$X$2</f>
        <v>0</v>
      </c>
      <c r="H587" s="94">
        <f>+ROUND(Návrh!H584,-3)/$X$2</f>
        <v>-58</v>
      </c>
      <c r="I587" s="94">
        <f>+ROUND(Návrh!I584,-3)/$X$2</f>
        <v>0</v>
      </c>
      <c r="J587" s="94" t="e">
        <f>+ROUND(Návrh!#REF!,-3)/$X$2</f>
        <v>#REF!</v>
      </c>
      <c r="K587" s="94">
        <f>+ROUND(Návrh!J584,-3)/$X$2</f>
        <v>0</v>
      </c>
      <c r="L587" s="94">
        <f>+ROUND(Návrh!K584,-3)/$X$2</f>
        <v>0</v>
      </c>
      <c r="M587" s="70"/>
    </row>
    <row r="588" spans="1:13" x14ac:dyDescent="0.25">
      <c r="A588" s="26" t="s">
        <v>1455</v>
      </c>
      <c r="B588" s="26"/>
      <c r="C588" s="23"/>
      <c r="D588" s="23"/>
      <c r="E588" s="300" t="s">
        <v>608</v>
      </c>
      <c r="F588" s="301"/>
      <c r="G588" s="95">
        <f>+ROUND(Návrh!G585,-3)/$X$2</f>
        <v>0</v>
      </c>
      <c r="H588" s="95">
        <f>+ROUND(Návrh!H585,-3)/$X$2</f>
        <v>-58</v>
      </c>
      <c r="I588" s="95">
        <f>+ROUND(Návrh!I585,-3)/$X$2</f>
        <v>0</v>
      </c>
      <c r="J588" s="95" t="e">
        <f>+ROUND(Návrh!#REF!,-3)/$X$2</f>
        <v>#REF!</v>
      </c>
      <c r="K588" s="95">
        <f>+ROUND(Návrh!J585,-3)/$X$2</f>
        <v>0</v>
      </c>
      <c r="L588" s="95">
        <f>+ROUND(Návrh!K585,-3)/$X$2</f>
        <v>0</v>
      </c>
      <c r="M588" s="70"/>
    </row>
    <row r="589" spans="1:13" x14ac:dyDescent="0.25">
      <c r="A589" s="42" t="s">
        <v>1456</v>
      </c>
      <c r="B589" s="14"/>
      <c r="C589" s="13"/>
      <c r="D589" s="13"/>
      <c r="E589" s="290" t="s">
        <v>609</v>
      </c>
      <c r="F589" s="291"/>
      <c r="G589" s="91">
        <f>+ROUND(Návrh!G586,-3)/$X$2</f>
        <v>0</v>
      </c>
      <c r="H589" s="91">
        <f>+ROUND(Návrh!H586,-3)/$X$2</f>
        <v>-58</v>
      </c>
      <c r="I589" s="91">
        <f>+ROUND(Návrh!I586,-3)/$X$2</f>
        <v>0</v>
      </c>
      <c r="J589" s="91" t="e">
        <f>+ROUND(Návrh!#REF!,-3)/$X$2</f>
        <v>#REF!</v>
      </c>
      <c r="K589" s="91">
        <f>+ROUND(Návrh!J586,-3)/$X$2</f>
        <v>0</v>
      </c>
      <c r="L589" s="91">
        <f>+ROUND(Návrh!K586,-3)/$X$2</f>
        <v>0</v>
      </c>
      <c r="M589" s="70"/>
    </row>
    <row r="590" spans="1:13" x14ac:dyDescent="0.25">
      <c r="A590" s="38" t="s">
        <v>610</v>
      </c>
      <c r="B590" s="38"/>
      <c r="C590" s="22"/>
      <c r="D590" s="22"/>
      <c r="E590" s="296" t="s">
        <v>611</v>
      </c>
      <c r="F590" s="297"/>
      <c r="G590" s="94">
        <f>+ROUND(Návrh!G587,-3)/$X$2</f>
        <v>0</v>
      </c>
      <c r="H590" s="94">
        <f>+ROUND(Návrh!H587,-3)/$X$2</f>
        <v>0</v>
      </c>
      <c r="I590" s="94">
        <f>+ROUND(Návrh!I587,-3)/$X$2</f>
        <v>0</v>
      </c>
      <c r="J590" s="94" t="e">
        <f>+ROUND(Návrh!#REF!,-3)/$X$2</f>
        <v>#REF!</v>
      </c>
      <c r="K590" s="94">
        <f>+ROUND(Návrh!J587,-3)/$X$2</f>
        <v>0</v>
      </c>
      <c r="L590" s="94">
        <f>+ROUND(Návrh!K587,-3)/$X$2</f>
        <v>0</v>
      </c>
      <c r="M590" s="70"/>
    </row>
    <row r="591" spans="1:13" x14ac:dyDescent="0.25">
      <c r="A591" s="38" t="s">
        <v>612</v>
      </c>
      <c r="B591" s="38"/>
      <c r="C591" s="22"/>
      <c r="D591" s="22"/>
      <c r="E591" s="296" t="s">
        <v>613</v>
      </c>
      <c r="F591" s="297"/>
      <c r="G591" s="94">
        <f>+ROUND(Návrh!G588,-3)/$X$2</f>
        <v>0</v>
      </c>
      <c r="H591" s="94">
        <f>+ROUND(Návrh!H588,-3)/$X$2</f>
        <v>0</v>
      </c>
      <c r="I591" s="94">
        <f>+ROUND(Návrh!I588,-3)/$X$2</f>
        <v>0</v>
      </c>
      <c r="J591" s="94" t="e">
        <f>+ROUND(Návrh!#REF!,-3)/$X$2</f>
        <v>#REF!</v>
      </c>
      <c r="K591" s="94">
        <f>+ROUND(Návrh!J588,-3)/$X$2</f>
        <v>0</v>
      </c>
      <c r="L591" s="94">
        <f>+ROUND(Návrh!K588,-3)/$X$2</f>
        <v>0</v>
      </c>
      <c r="M591" s="70"/>
    </row>
    <row r="592" spans="1:13" x14ac:dyDescent="0.25">
      <c r="A592" s="38" t="s">
        <v>614</v>
      </c>
      <c r="B592" s="38"/>
      <c r="C592" s="22"/>
      <c r="D592" s="22"/>
      <c r="E592" s="296" t="s">
        <v>615</v>
      </c>
      <c r="F592" s="297"/>
      <c r="G592" s="94">
        <f>+ROUND(Návrh!G589,-3)/$X$2</f>
        <v>0</v>
      </c>
      <c r="H592" s="94">
        <f>+ROUND(Návrh!H589,-3)/$X$2</f>
        <v>0</v>
      </c>
      <c r="I592" s="94">
        <f>+ROUND(Návrh!I589,-3)/$X$2</f>
        <v>0</v>
      </c>
      <c r="J592" s="94" t="e">
        <f>+ROUND(Návrh!#REF!,-3)/$X$2</f>
        <v>#REF!</v>
      </c>
      <c r="K592" s="94">
        <f>+ROUND(Návrh!J589,-3)/$X$2</f>
        <v>0</v>
      </c>
      <c r="L592" s="94">
        <f>+ROUND(Návrh!K589,-3)/$X$2</f>
        <v>0</v>
      </c>
      <c r="M592" s="70"/>
    </row>
    <row r="593" spans="1:13" x14ac:dyDescent="0.25">
      <c r="A593" s="38" t="s">
        <v>616</v>
      </c>
      <c r="B593" s="38"/>
      <c r="C593" s="22"/>
      <c r="D593" s="22"/>
      <c r="E593" s="296" t="s">
        <v>617</v>
      </c>
      <c r="F593" s="297"/>
      <c r="G593" s="94">
        <f>+ROUND(Návrh!G590,-3)/$X$2</f>
        <v>0</v>
      </c>
      <c r="H593" s="94">
        <f>+ROUND(Návrh!H590,-3)/$X$2</f>
        <v>0</v>
      </c>
      <c r="I593" s="94">
        <f>+ROUND(Návrh!I590,-3)/$X$2</f>
        <v>0</v>
      </c>
      <c r="J593" s="94" t="e">
        <f>+ROUND(Návrh!#REF!,-3)/$X$2</f>
        <v>#REF!</v>
      </c>
      <c r="K593" s="94">
        <f>+ROUND(Návrh!J590,-3)/$X$2</f>
        <v>0</v>
      </c>
      <c r="L593" s="94">
        <f>+ROUND(Návrh!K590,-3)/$X$2</f>
        <v>0</v>
      </c>
      <c r="M593" s="70"/>
    </row>
    <row r="594" spans="1:13" x14ac:dyDescent="0.25">
      <c r="A594" s="41" t="s">
        <v>618</v>
      </c>
      <c r="B594" s="41"/>
      <c r="C594" s="40"/>
      <c r="D594" s="40"/>
      <c r="E594" s="298" t="s">
        <v>619</v>
      </c>
      <c r="F594" s="299"/>
      <c r="G594" s="92">
        <f>+ROUND(Návrh!G591,-3)/$X$2</f>
        <v>0</v>
      </c>
      <c r="H594" s="92">
        <f>+ROUND(Návrh!H591,-3)/$X$2</f>
        <v>0</v>
      </c>
      <c r="I594" s="92">
        <f>+ROUND(Návrh!I591,-3)/$X$2</f>
        <v>0</v>
      </c>
      <c r="J594" s="92" t="e">
        <f>+ROUND(Návrh!#REF!,-3)/$X$2</f>
        <v>#REF!</v>
      </c>
      <c r="K594" s="92">
        <f>+ROUND(Návrh!J591,-3)/$X$2</f>
        <v>0</v>
      </c>
      <c r="L594" s="92">
        <f>+ROUND(Návrh!K591,-3)/$X$2</f>
        <v>0</v>
      </c>
      <c r="M594" s="70"/>
    </row>
    <row r="595" spans="1:13" x14ac:dyDescent="0.25">
      <c r="A595" s="38" t="s">
        <v>620</v>
      </c>
      <c r="B595" s="38"/>
      <c r="C595" s="22"/>
      <c r="D595" s="22"/>
      <c r="E595" s="296" t="s">
        <v>621</v>
      </c>
      <c r="F595" s="297"/>
      <c r="G595" s="94">
        <f>+ROUND(Návrh!G592,-3)/$X$2</f>
        <v>0</v>
      </c>
      <c r="H595" s="94">
        <f>+ROUND(Návrh!H592,-3)/$X$2</f>
        <v>0</v>
      </c>
      <c r="I595" s="94">
        <f>+ROUND(Návrh!I592,-3)/$X$2</f>
        <v>0</v>
      </c>
      <c r="J595" s="94" t="e">
        <f>+ROUND(Návrh!#REF!,-3)/$X$2</f>
        <v>#REF!</v>
      </c>
      <c r="K595" s="94">
        <f>+ROUND(Návrh!J592,-3)/$X$2</f>
        <v>0</v>
      </c>
      <c r="L595" s="94">
        <f>+ROUND(Návrh!K592,-3)/$X$2</f>
        <v>0</v>
      </c>
      <c r="M595" s="70"/>
    </row>
    <row r="596" spans="1:13" x14ac:dyDescent="0.25">
      <c r="A596" s="38" t="s">
        <v>622</v>
      </c>
      <c r="B596" s="38"/>
      <c r="C596" s="22"/>
      <c r="D596" s="22"/>
      <c r="E596" s="296" t="s">
        <v>623</v>
      </c>
      <c r="F596" s="297"/>
      <c r="G596" s="94">
        <f>+ROUND(Návrh!G593,-3)/$X$2</f>
        <v>0</v>
      </c>
      <c r="H596" s="94">
        <f>+ROUND(Návrh!H593,-3)/$X$2</f>
        <v>0</v>
      </c>
      <c r="I596" s="94">
        <f>+ROUND(Návrh!I593,-3)/$X$2</f>
        <v>0</v>
      </c>
      <c r="J596" s="94" t="e">
        <f>+ROUND(Návrh!#REF!,-3)/$X$2</f>
        <v>#REF!</v>
      </c>
      <c r="K596" s="94">
        <f>+ROUND(Návrh!J593,-3)/$X$2</f>
        <v>0</v>
      </c>
      <c r="L596" s="94">
        <f>+ROUND(Návrh!K593,-3)/$X$2</f>
        <v>0</v>
      </c>
      <c r="M596" s="70"/>
    </row>
    <row r="597" spans="1:13" x14ac:dyDescent="0.25">
      <c r="A597" s="41" t="s">
        <v>624</v>
      </c>
      <c r="B597" s="41"/>
      <c r="C597" s="40"/>
      <c r="D597" s="40"/>
      <c r="E597" s="298" t="s">
        <v>625</v>
      </c>
      <c r="F597" s="299"/>
      <c r="G597" s="97">
        <f>+ROUND(Návrh!G594,-3)/$X$2</f>
        <v>0</v>
      </c>
      <c r="H597" s="97">
        <f>+ROUND(Návrh!H594,-3)/$X$2</f>
        <v>0</v>
      </c>
      <c r="I597" s="97">
        <f>+ROUND(Návrh!I594,-3)/$X$2</f>
        <v>0</v>
      </c>
      <c r="J597" s="97" t="e">
        <f>+ROUND(Návrh!#REF!,-3)/$X$2</f>
        <v>#REF!</v>
      </c>
      <c r="K597" s="97">
        <f>+ROUND(Návrh!J594,-3)/$X$2</f>
        <v>0</v>
      </c>
      <c r="L597" s="97">
        <f>+ROUND(Návrh!K594,-3)/$X$2</f>
        <v>0</v>
      </c>
      <c r="M597" s="70"/>
    </row>
    <row r="598" spans="1:13" x14ac:dyDescent="0.25">
      <c r="A598" s="38" t="s">
        <v>626</v>
      </c>
      <c r="B598" s="38"/>
      <c r="C598" s="22"/>
      <c r="D598" s="22"/>
      <c r="E598" s="296" t="s">
        <v>627</v>
      </c>
      <c r="F598" s="297"/>
      <c r="G598" s="94">
        <f>+ROUND(Návrh!G595,-3)/$X$2</f>
        <v>0</v>
      </c>
      <c r="H598" s="94">
        <f>+ROUND(Návrh!H595,-3)/$X$2</f>
        <v>0</v>
      </c>
      <c r="I598" s="94">
        <f>+ROUND(Návrh!I595,-3)/$X$2</f>
        <v>0</v>
      </c>
      <c r="J598" s="94" t="e">
        <f>+ROUND(Návrh!#REF!,-3)/$X$2</f>
        <v>#REF!</v>
      </c>
      <c r="K598" s="94">
        <f>+ROUND(Návrh!J595,-3)/$X$2</f>
        <v>0</v>
      </c>
      <c r="L598" s="94">
        <f>+ROUND(Návrh!K595,-3)/$X$2</f>
        <v>0</v>
      </c>
      <c r="M598" s="70"/>
    </row>
    <row r="599" spans="1:13" x14ac:dyDescent="0.25">
      <c r="A599" s="38" t="s">
        <v>628</v>
      </c>
      <c r="B599" s="38"/>
      <c r="C599" s="22"/>
      <c r="D599" s="22"/>
      <c r="E599" s="296" t="s">
        <v>629</v>
      </c>
      <c r="F599" s="297"/>
      <c r="G599" s="94">
        <f>+ROUND(Návrh!G596,-3)/$X$2</f>
        <v>0</v>
      </c>
      <c r="H599" s="94">
        <f>+ROUND(Návrh!H596,-3)/$X$2</f>
        <v>0</v>
      </c>
      <c r="I599" s="94">
        <f>+ROUND(Návrh!I596,-3)/$X$2</f>
        <v>0</v>
      </c>
      <c r="J599" s="94" t="e">
        <f>+ROUND(Návrh!#REF!,-3)/$X$2</f>
        <v>#REF!</v>
      </c>
      <c r="K599" s="94">
        <f>+ROUND(Návrh!J596,-3)/$X$2</f>
        <v>0</v>
      </c>
      <c r="L599" s="94">
        <f>+ROUND(Návrh!K596,-3)/$X$2</f>
        <v>0</v>
      </c>
      <c r="M599" s="70"/>
    </row>
    <row r="600" spans="1:13" x14ac:dyDescent="0.25">
      <c r="A600" s="38" t="s">
        <v>630</v>
      </c>
      <c r="B600" s="38"/>
      <c r="C600" s="22"/>
      <c r="D600" s="22"/>
      <c r="E600" s="296" t="s">
        <v>631</v>
      </c>
      <c r="F600" s="297"/>
      <c r="G600" s="94">
        <f>+ROUND(Návrh!G597,-3)/$X$2</f>
        <v>0</v>
      </c>
      <c r="H600" s="94">
        <f>+ROUND(Návrh!H597,-3)/$X$2</f>
        <v>0</v>
      </c>
      <c r="I600" s="94">
        <f>+ROUND(Návrh!I597,-3)/$X$2</f>
        <v>0</v>
      </c>
      <c r="J600" s="94" t="e">
        <f>+ROUND(Návrh!#REF!,-3)/$X$2</f>
        <v>#REF!</v>
      </c>
      <c r="K600" s="94">
        <f>+ROUND(Návrh!J597,-3)/$X$2</f>
        <v>0</v>
      </c>
      <c r="L600" s="94">
        <f>+ROUND(Návrh!K597,-3)/$X$2</f>
        <v>0</v>
      </c>
      <c r="M600" s="70"/>
    </row>
    <row r="601" spans="1:13" x14ac:dyDescent="0.25">
      <c r="A601" s="38" t="s">
        <v>632</v>
      </c>
      <c r="B601" s="38"/>
      <c r="C601" s="22"/>
      <c r="D601" s="22"/>
      <c r="E601" s="296" t="s">
        <v>633</v>
      </c>
      <c r="F601" s="297"/>
      <c r="G601" s="94">
        <f>+ROUND(Návrh!G598,-3)/$X$2</f>
        <v>0</v>
      </c>
      <c r="H601" s="94">
        <f>+ROUND(Návrh!H598,-3)/$X$2</f>
        <v>0</v>
      </c>
      <c r="I601" s="94">
        <f>+ROUND(Návrh!I598,-3)/$X$2</f>
        <v>0</v>
      </c>
      <c r="J601" s="94" t="e">
        <f>+ROUND(Návrh!#REF!,-3)/$X$2</f>
        <v>#REF!</v>
      </c>
      <c r="K601" s="94">
        <f>+ROUND(Návrh!J598,-3)/$X$2</f>
        <v>0</v>
      </c>
      <c r="L601" s="94">
        <f>+ROUND(Návrh!K598,-3)/$X$2</f>
        <v>0</v>
      </c>
      <c r="M601" s="70"/>
    </row>
    <row r="602" spans="1:13" x14ac:dyDescent="0.25">
      <c r="A602" s="38" t="s">
        <v>634</v>
      </c>
      <c r="B602" s="38"/>
      <c r="C602" s="22"/>
      <c r="D602" s="22"/>
      <c r="E602" s="296" t="s">
        <v>635</v>
      </c>
      <c r="F602" s="297"/>
      <c r="G602" s="94">
        <f>+ROUND(Návrh!G599,-3)/$X$2</f>
        <v>0</v>
      </c>
      <c r="H602" s="94">
        <f>+ROUND(Návrh!H599,-3)/$X$2</f>
        <v>0</v>
      </c>
      <c r="I602" s="94">
        <f>+ROUND(Návrh!I599,-3)/$X$2</f>
        <v>0</v>
      </c>
      <c r="J602" s="94" t="e">
        <f>+ROUND(Návrh!#REF!,-3)/$X$2</f>
        <v>#REF!</v>
      </c>
      <c r="K602" s="94">
        <f>+ROUND(Návrh!J599,-3)/$X$2</f>
        <v>0</v>
      </c>
      <c r="L602" s="94">
        <f>+ROUND(Návrh!K599,-3)/$X$2</f>
        <v>0</v>
      </c>
      <c r="M602" s="70"/>
    </row>
    <row r="603" spans="1:13" x14ac:dyDescent="0.25">
      <c r="A603" s="38" t="s">
        <v>636</v>
      </c>
      <c r="B603" s="38"/>
      <c r="C603" s="22"/>
      <c r="D603" s="22"/>
      <c r="E603" s="296" t="s">
        <v>637</v>
      </c>
      <c r="F603" s="297"/>
      <c r="G603" s="94">
        <f>+ROUND(Návrh!G600,-3)/$X$2</f>
        <v>0</v>
      </c>
      <c r="H603" s="94">
        <f>+ROUND(Návrh!H600,-3)/$X$2</f>
        <v>0</v>
      </c>
      <c r="I603" s="94">
        <f>+ROUND(Návrh!I600,-3)/$X$2</f>
        <v>0</v>
      </c>
      <c r="J603" s="94" t="e">
        <f>+ROUND(Návrh!#REF!,-3)/$X$2</f>
        <v>#REF!</v>
      </c>
      <c r="K603" s="94">
        <f>+ROUND(Návrh!J600,-3)/$X$2</f>
        <v>0</v>
      </c>
      <c r="L603" s="94">
        <f>+ROUND(Návrh!K600,-3)/$X$2</f>
        <v>0</v>
      </c>
      <c r="M603" s="70"/>
    </row>
    <row r="604" spans="1:13" x14ac:dyDescent="0.25">
      <c r="A604" s="38" t="s">
        <v>638</v>
      </c>
      <c r="B604" s="38"/>
      <c r="C604" s="22"/>
      <c r="D604" s="22"/>
      <c r="E604" s="296" t="s">
        <v>639</v>
      </c>
      <c r="F604" s="297"/>
      <c r="G604" s="94">
        <f>+ROUND(Návrh!G601,-3)/$X$2</f>
        <v>0</v>
      </c>
      <c r="H604" s="94">
        <f>+ROUND(Návrh!H601,-3)/$X$2</f>
        <v>0</v>
      </c>
      <c r="I604" s="94">
        <f>+ROUND(Návrh!I601,-3)/$X$2</f>
        <v>0</v>
      </c>
      <c r="J604" s="94" t="e">
        <f>+ROUND(Návrh!#REF!,-3)/$X$2</f>
        <v>#REF!</v>
      </c>
      <c r="K604" s="94">
        <f>+ROUND(Návrh!J601,-3)/$X$2</f>
        <v>0</v>
      </c>
      <c r="L604" s="94">
        <f>+ROUND(Návrh!K601,-3)/$X$2</f>
        <v>0</v>
      </c>
      <c r="M604" s="70"/>
    </row>
    <row r="605" spans="1:13" x14ac:dyDescent="0.25">
      <c r="A605" s="38" t="s">
        <v>640</v>
      </c>
      <c r="B605" s="38"/>
      <c r="C605" s="22"/>
      <c r="D605" s="22"/>
      <c r="E605" s="296" t="s">
        <v>641</v>
      </c>
      <c r="F605" s="297"/>
      <c r="G605" s="94">
        <f>+ROUND(Návrh!G602,-3)/$X$2</f>
        <v>0</v>
      </c>
      <c r="H605" s="94">
        <f>+ROUND(Návrh!H602,-3)/$X$2</f>
        <v>0</v>
      </c>
      <c r="I605" s="94">
        <f>+ROUND(Návrh!I602,-3)/$X$2</f>
        <v>0</v>
      </c>
      <c r="J605" s="94" t="e">
        <f>+ROUND(Návrh!#REF!,-3)/$X$2</f>
        <v>#REF!</v>
      </c>
      <c r="K605" s="94">
        <f>+ROUND(Návrh!J602,-3)/$X$2</f>
        <v>0</v>
      </c>
      <c r="L605" s="94">
        <f>+ROUND(Návrh!K602,-3)/$X$2</f>
        <v>0</v>
      </c>
      <c r="M605" s="70"/>
    </row>
    <row r="606" spans="1:13" x14ac:dyDescent="0.25">
      <c r="A606" s="38" t="s">
        <v>642</v>
      </c>
      <c r="B606" s="38"/>
      <c r="C606" s="22"/>
      <c r="D606" s="22"/>
      <c r="E606" s="296" t="s">
        <v>643</v>
      </c>
      <c r="F606" s="297"/>
      <c r="G606" s="94">
        <f>+ROUND(Návrh!G603,-3)/$X$2</f>
        <v>0</v>
      </c>
      <c r="H606" s="94">
        <f>+ROUND(Návrh!H603,-3)/$X$2</f>
        <v>0</v>
      </c>
      <c r="I606" s="94">
        <f>+ROUND(Návrh!I603,-3)/$X$2</f>
        <v>0</v>
      </c>
      <c r="J606" s="94" t="e">
        <f>+ROUND(Návrh!#REF!,-3)/$X$2</f>
        <v>#REF!</v>
      </c>
      <c r="K606" s="94">
        <f>+ROUND(Návrh!J603,-3)/$X$2</f>
        <v>0</v>
      </c>
      <c r="L606" s="94">
        <f>+ROUND(Návrh!K603,-3)/$X$2</f>
        <v>0</v>
      </c>
      <c r="M606" s="70"/>
    </row>
    <row r="607" spans="1:13" x14ac:dyDescent="0.25">
      <c r="A607" s="41" t="s">
        <v>644</v>
      </c>
      <c r="B607" s="41"/>
      <c r="C607" s="40"/>
      <c r="D607" s="40"/>
      <c r="E607" s="298" t="s">
        <v>645</v>
      </c>
      <c r="F607" s="299"/>
      <c r="G607" s="92">
        <f>+ROUND(Návrh!G604,-3)/$X$2</f>
        <v>-48844</v>
      </c>
      <c r="H607" s="92">
        <f>+ROUND(Návrh!H604,-3)/$X$2</f>
        <v>-41891</v>
      </c>
      <c r="I607" s="92">
        <f>+ROUND(Návrh!I604,-3)/$X$2</f>
        <v>-20000</v>
      </c>
      <c r="J607" s="92" t="e">
        <f>+ROUND(Návrh!#REF!,-3)/$X$2</f>
        <v>#REF!</v>
      </c>
      <c r="K607" s="92">
        <f>+ROUND(Návrh!J604,-3)/$X$2</f>
        <v>-39348</v>
      </c>
      <c r="L607" s="92">
        <f>+ROUND(Návrh!K604,-3)/$X$2</f>
        <v>0</v>
      </c>
      <c r="M607" s="70"/>
    </row>
    <row r="608" spans="1:13" x14ac:dyDescent="0.25">
      <c r="A608" s="38" t="s">
        <v>646</v>
      </c>
      <c r="B608" s="38"/>
      <c r="C608" s="22"/>
      <c r="D608" s="22"/>
      <c r="E608" s="296" t="s">
        <v>647</v>
      </c>
      <c r="F608" s="297"/>
      <c r="G608" s="94">
        <f>+ROUND(Návrh!G605,-3)/$X$2</f>
        <v>-48844</v>
      </c>
      <c r="H608" s="94">
        <f>+ROUND(Návrh!H605,-3)/$X$2</f>
        <v>-41891</v>
      </c>
      <c r="I608" s="94">
        <f>+ROUND(Návrh!I605,-3)/$X$2</f>
        <v>-20000</v>
      </c>
      <c r="J608" s="94" t="e">
        <f>+ROUND(Návrh!#REF!,-3)/$X$2</f>
        <v>#REF!</v>
      </c>
      <c r="K608" s="94">
        <f>+ROUND(Návrh!J605,-3)/$X$2</f>
        <v>-39348</v>
      </c>
      <c r="L608" s="94">
        <f>+ROUND(Návrh!K605,-3)/$X$2</f>
        <v>0</v>
      </c>
      <c r="M608" s="70"/>
    </row>
    <row r="609" spans="1:13" x14ac:dyDescent="0.25">
      <c r="A609" s="26" t="s">
        <v>1457</v>
      </c>
      <c r="B609" s="26"/>
      <c r="C609" s="23"/>
      <c r="D609" s="23"/>
      <c r="E609" s="300" t="s">
        <v>648</v>
      </c>
      <c r="F609" s="301"/>
      <c r="G609" s="95">
        <f>+ROUND(Návrh!G606,-3)/$X$2</f>
        <v>-48844</v>
      </c>
      <c r="H609" s="95">
        <f>+ROUND(Návrh!H606,-3)/$X$2</f>
        <v>-41891</v>
      </c>
      <c r="I609" s="95">
        <f>+ROUND(Návrh!I606,-3)/$X$2</f>
        <v>-20000</v>
      </c>
      <c r="J609" s="95" t="e">
        <f>+ROUND(Návrh!#REF!,-3)/$X$2</f>
        <v>#REF!</v>
      </c>
      <c r="K609" s="95">
        <f>+ROUND(Návrh!J606,-3)/$X$2</f>
        <v>0</v>
      </c>
      <c r="L609" s="95">
        <f>+ROUND(Návrh!K606,-3)/$X$2</f>
        <v>0</v>
      </c>
      <c r="M609" s="70"/>
    </row>
    <row r="610" spans="1:13" x14ac:dyDescent="0.25">
      <c r="A610" s="42" t="s">
        <v>1458</v>
      </c>
      <c r="B610" s="14"/>
      <c r="C610" s="13"/>
      <c r="D610" s="13"/>
      <c r="E610" s="290" t="s">
        <v>649</v>
      </c>
      <c r="F610" s="291"/>
      <c r="G610" s="91">
        <f>+ROUND(Návrh!G607,-3)/$X$2</f>
        <v>-46429</v>
      </c>
      <c r="H610" s="91">
        <f>+ROUND(Návrh!H607,-3)/$X$2</f>
        <v>-52125</v>
      </c>
      <c r="I610" s="91">
        <f>+ROUND(Návrh!I607,-3)/$X$2</f>
        <v>0</v>
      </c>
      <c r="J610" s="91" t="e">
        <f>+ROUND(Návrh!#REF!,-3)/$X$2</f>
        <v>#REF!</v>
      </c>
      <c r="K610" s="91">
        <f>+ROUND(Návrh!J607,-3)/$X$2</f>
        <v>0</v>
      </c>
      <c r="L610" s="91">
        <f>+ROUND(Návrh!K607,-3)/$X$2</f>
        <v>0</v>
      </c>
      <c r="M610" s="70"/>
    </row>
    <row r="611" spans="1:13" x14ac:dyDescent="0.25">
      <c r="A611" s="42" t="s">
        <v>1459</v>
      </c>
      <c r="B611" s="14"/>
      <c r="C611" s="13"/>
      <c r="D611" s="13"/>
      <c r="E611" s="290" t="s">
        <v>650</v>
      </c>
      <c r="F611" s="291"/>
      <c r="G611" s="91">
        <f>+ROUND(Návrh!G608,-3)/$X$2</f>
        <v>50710</v>
      </c>
      <c r="H611" s="91">
        <f>+ROUND(Návrh!H608,-3)/$X$2</f>
        <v>53125</v>
      </c>
      <c r="I611" s="91">
        <f>+ROUND(Návrh!I608,-3)/$X$2</f>
        <v>0</v>
      </c>
      <c r="J611" s="91" t="e">
        <f>+ROUND(Návrh!#REF!,-3)/$X$2</f>
        <v>#REF!</v>
      </c>
      <c r="K611" s="91">
        <f>+ROUND(Návrh!J608,-3)/$X$2</f>
        <v>0</v>
      </c>
      <c r="L611" s="91">
        <f>+ROUND(Návrh!K608,-3)/$X$2</f>
        <v>0</v>
      </c>
      <c r="M611" s="70"/>
    </row>
    <row r="612" spans="1:13" x14ac:dyDescent="0.25">
      <c r="A612" s="42" t="s">
        <v>1460</v>
      </c>
      <c r="B612" s="27" t="s">
        <v>916</v>
      </c>
      <c r="C612" s="28" t="s">
        <v>923</v>
      </c>
      <c r="D612" s="28" t="s">
        <v>917</v>
      </c>
      <c r="E612" s="290" t="s">
        <v>1684</v>
      </c>
      <c r="F612" s="291"/>
      <c r="G612" s="91">
        <f>+ROUND(Návrh!G609,-3)/$X$2</f>
        <v>-53125</v>
      </c>
      <c r="H612" s="91">
        <f>+ROUND(Návrh!H609,-3)/$X$2</f>
        <v>-42892</v>
      </c>
      <c r="I612" s="91">
        <f>+ROUND(Návrh!I609,-3)/$X$2</f>
        <v>-20000</v>
      </c>
      <c r="J612" s="91" t="e">
        <f>+ROUND(Návrh!#REF!,-3)/$X$2</f>
        <v>#REF!</v>
      </c>
      <c r="K612" s="91">
        <f>+ROUND(Návrh!J609,-3)/$X$2</f>
        <v>0</v>
      </c>
      <c r="L612" s="91">
        <f>+ROUND(Návrh!K609,-3)/$X$2</f>
        <v>0</v>
      </c>
      <c r="M612" s="70"/>
    </row>
    <row r="613" spans="1:13" x14ac:dyDescent="0.25">
      <c r="A613" s="38" t="s">
        <v>651</v>
      </c>
      <c r="B613" s="38"/>
      <c r="C613" s="22"/>
      <c r="D613" s="22"/>
      <c r="E613" s="296" t="s">
        <v>652</v>
      </c>
      <c r="F613" s="297"/>
      <c r="G613" s="94">
        <f>+ROUND(Návrh!G610,-3)/$X$2</f>
        <v>0</v>
      </c>
      <c r="H613" s="94">
        <f>+ROUND(Návrh!H610,-3)/$X$2</f>
        <v>0</v>
      </c>
      <c r="I613" s="94">
        <f>+ROUND(Návrh!I610,-3)/$X$2</f>
        <v>0</v>
      </c>
      <c r="J613" s="94" t="e">
        <f>+ROUND(Návrh!#REF!,-3)/$X$2</f>
        <v>#REF!</v>
      </c>
      <c r="K613" s="94">
        <f>+ROUND(Návrh!J610,-3)/$X$2</f>
        <v>0</v>
      </c>
      <c r="L613" s="94">
        <f>+ROUND(Návrh!K610,-3)/$X$2</f>
        <v>0</v>
      </c>
      <c r="M613" s="70"/>
    </row>
    <row r="614" spans="1:13" x14ac:dyDescent="0.25">
      <c r="A614" s="38" t="s">
        <v>653</v>
      </c>
      <c r="B614" s="38"/>
      <c r="C614" s="22"/>
      <c r="D614" s="22"/>
      <c r="E614" s="296" t="s">
        <v>654</v>
      </c>
      <c r="F614" s="297"/>
      <c r="G614" s="94">
        <f>+ROUND(Návrh!G611,-3)/$X$2</f>
        <v>0</v>
      </c>
      <c r="H614" s="94">
        <f>+ROUND(Návrh!H611,-3)/$X$2</f>
        <v>0</v>
      </c>
      <c r="I614" s="94">
        <f>+ROUND(Návrh!I611,-3)/$X$2</f>
        <v>0</v>
      </c>
      <c r="J614" s="94" t="e">
        <f>+ROUND(Návrh!#REF!,-3)/$X$2</f>
        <v>#REF!</v>
      </c>
      <c r="K614" s="94">
        <f>+ROUND(Návrh!J611,-3)/$X$2</f>
        <v>0</v>
      </c>
      <c r="L614" s="94">
        <f>+ROUND(Návrh!K611,-3)/$X$2</f>
        <v>0</v>
      </c>
      <c r="M614" s="70"/>
    </row>
    <row r="615" spans="1:13" x14ac:dyDescent="0.25">
      <c r="A615" s="38" t="s">
        <v>655</v>
      </c>
      <c r="B615" s="38"/>
      <c r="C615" s="22"/>
      <c r="D615" s="22"/>
      <c r="E615" s="296" t="s">
        <v>656</v>
      </c>
      <c r="F615" s="297"/>
      <c r="G615" s="94">
        <f>+ROUND(Návrh!G612,-3)/$X$2</f>
        <v>0</v>
      </c>
      <c r="H615" s="94">
        <f>+ROUND(Návrh!H612,-3)/$X$2</f>
        <v>0</v>
      </c>
      <c r="I615" s="94">
        <f>+ROUND(Návrh!I612,-3)/$X$2</f>
        <v>0</v>
      </c>
      <c r="J615" s="94" t="e">
        <f>+ROUND(Návrh!#REF!,-3)/$X$2</f>
        <v>#REF!</v>
      </c>
      <c r="K615" s="94">
        <f>+ROUND(Návrh!J612,-3)/$X$2</f>
        <v>0</v>
      </c>
      <c r="L615" s="94">
        <f>+ROUND(Návrh!K612,-3)/$X$2</f>
        <v>0</v>
      </c>
      <c r="M615" s="70"/>
    </row>
    <row r="616" spans="1:13" x14ac:dyDescent="0.25">
      <c r="A616" s="38" t="s">
        <v>657</v>
      </c>
      <c r="B616" s="38"/>
      <c r="C616" s="22"/>
      <c r="D616" s="22"/>
      <c r="E616" s="296" t="s">
        <v>658</v>
      </c>
      <c r="F616" s="297"/>
      <c r="G616" s="94">
        <f>+ROUND(Návrh!G613,-3)/$X$2</f>
        <v>0</v>
      </c>
      <c r="H616" s="94">
        <f>+ROUND(Návrh!H613,-3)/$X$2</f>
        <v>0</v>
      </c>
      <c r="I616" s="94">
        <f>+ROUND(Návrh!I613,-3)/$X$2</f>
        <v>0</v>
      </c>
      <c r="J616" s="94" t="e">
        <f>+ROUND(Návrh!#REF!,-3)/$X$2</f>
        <v>#REF!</v>
      </c>
      <c r="K616" s="94">
        <f>+ROUND(Návrh!J613,-3)/$X$2</f>
        <v>0</v>
      </c>
      <c r="L616" s="94">
        <f>+ROUND(Návrh!K613,-3)/$X$2</f>
        <v>0</v>
      </c>
      <c r="M616" s="70"/>
    </row>
    <row r="617" spans="1:13" x14ac:dyDescent="0.25">
      <c r="A617" s="38" t="s">
        <v>659</v>
      </c>
      <c r="B617" s="38"/>
      <c r="C617" s="22"/>
      <c r="D617" s="22"/>
      <c r="E617" s="296" t="s">
        <v>660</v>
      </c>
      <c r="F617" s="297"/>
      <c r="G617" s="94">
        <f>+ROUND(Návrh!G614,-3)/$X$2</f>
        <v>0</v>
      </c>
      <c r="H617" s="94">
        <f>+ROUND(Návrh!H614,-3)/$X$2</f>
        <v>0</v>
      </c>
      <c r="I617" s="94">
        <f>+ROUND(Návrh!I614,-3)/$X$2</f>
        <v>0</v>
      </c>
      <c r="J617" s="94" t="e">
        <f>+ROUND(Návrh!#REF!,-3)/$X$2</f>
        <v>#REF!</v>
      </c>
      <c r="K617" s="94">
        <f>+ROUND(Návrh!J614,-3)/$X$2</f>
        <v>0</v>
      </c>
      <c r="L617" s="94">
        <f>+ROUND(Návrh!K614,-3)/$X$2</f>
        <v>0</v>
      </c>
      <c r="M617" s="70"/>
    </row>
    <row r="618" spans="1:13" x14ac:dyDescent="0.25">
      <c r="A618" s="38" t="s">
        <v>661</v>
      </c>
      <c r="B618" s="38"/>
      <c r="C618" s="22"/>
      <c r="D618" s="22"/>
      <c r="E618" s="296" t="s">
        <v>662</v>
      </c>
      <c r="F618" s="297"/>
      <c r="G618" s="94">
        <f>+ROUND(Návrh!G615,-3)/$X$2</f>
        <v>0</v>
      </c>
      <c r="H618" s="94">
        <f>+ROUND(Návrh!H615,-3)/$X$2</f>
        <v>0</v>
      </c>
      <c r="I618" s="94">
        <f>+ROUND(Návrh!I615,-3)/$X$2</f>
        <v>0</v>
      </c>
      <c r="J618" s="94" t="e">
        <f>+ROUND(Návrh!#REF!,-3)/$X$2</f>
        <v>#REF!</v>
      </c>
      <c r="K618" s="94">
        <f>+ROUND(Návrh!J615,-3)/$X$2</f>
        <v>0</v>
      </c>
      <c r="L618" s="94">
        <f>+ROUND(Návrh!K615,-3)/$X$2</f>
        <v>0</v>
      </c>
      <c r="M618" s="70"/>
    </row>
    <row r="619" spans="1:13" x14ac:dyDescent="0.25">
      <c r="A619" s="38" t="s">
        <v>663</v>
      </c>
      <c r="B619" s="38"/>
      <c r="C619" s="22"/>
      <c r="D619" s="22"/>
      <c r="E619" s="296" t="s">
        <v>664</v>
      </c>
      <c r="F619" s="297"/>
      <c r="G619" s="94">
        <f>+ROUND(Návrh!G616,-3)/$X$2</f>
        <v>0</v>
      </c>
      <c r="H619" s="94">
        <f>+ROUND(Návrh!H616,-3)/$X$2</f>
        <v>0</v>
      </c>
      <c r="I619" s="94">
        <f>+ROUND(Návrh!I616,-3)/$X$2</f>
        <v>0</v>
      </c>
      <c r="J619" s="94" t="e">
        <f>+ROUND(Návrh!#REF!,-3)/$X$2</f>
        <v>#REF!</v>
      </c>
      <c r="K619" s="94">
        <f>+ROUND(Návrh!J616,-3)/$X$2</f>
        <v>0</v>
      </c>
      <c r="L619" s="94">
        <f>+ROUND(Návrh!K616,-3)/$X$2</f>
        <v>0</v>
      </c>
      <c r="M619" s="70"/>
    </row>
    <row r="620" spans="1:13" x14ac:dyDescent="0.25">
      <c r="A620" s="38" t="s">
        <v>665</v>
      </c>
      <c r="B620" s="38"/>
      <c r="C620" s="22"/>
      <c r="D620" s="22"/>
      <c r="E620" s="296" t="s">
        <v>666</v>
      </c>
      <c r="F620" s="297"/>
      <c r="G620" s="94">
        <f>+ROUND(Návrh!G617,-3)/$X$2</f>
        <v>0</v>
      </c>
      <c r="H620" s="94">
        <f>+ROUND(Návrh!H617,-3)/$X$2</f>
        <v>0</v>
      </c>
      <c r="I620" s="94">
        <f>+ROUND(Návrh!I617,-3)/$X$2</f>
        <v>0</v>
      </c>
      <c r="J620" s="94" t="e">
        <f>+ROUND(Návrh!#REF!,-3)/$X$2</f>
        <v>#REF!</v>
      </c>
      <c r="K620" s="94">
        <f>+ROUND(Návrh!J617,-3)/$X$2</f>
        <v>0</v>
      </c>
      <c r="L620" s="94">
        <f>+ROUND(Návrh!K617,-3)/$X$2</f>
        <v>0</v>
      </c>
      <c r="M620" s="70"/>
    </row>
    <row r="621" spans="1:13" x14ac:dyDescent="0.25">
      <c r="A621" s="64" t="s">
        <v>667</v>
      </c>
      <c r="B621" s="64"/>
      <c r="C621" s="65"/>
      <c r="D621" s="65"/>
      <c r="E621" s="294" t="s">
        <v>668</v>
      </c>
      <c r="F621" s="295"/>
      <c r="G621" s="99">
        <f>+ROUND(Návrh!G618,-3)/$X$2</f>
        <v>5951586</v>
      </c>
      <c r="H621" s="99">
        <f>+ROUND(Návrh!H618,-3)/$X$2</f>
        <v>6702755</v>
      </c>
      <c r="I621" s="99">
        <f>+ROUND(Návrh!I618,-3)/$X$2</f>
        <v>7003666</v>
      </c>
      <c r="J621" s="99" t="e">
        <f>+ROUND(Návrh!#REF!,-3)/$X$2</f>
        <v>#REF!</v>
      </c>
      <c r="K621" s="99">
        <f>+ROUND(Návrh!J618,-3)/$X$2</f>
        <v>7302784</v>
      </c>
      <c r="L621" s="99">
        <f>+ROUND(Návrh!K618,-3)/$X$2</f>
        <v>7742284</v>
      </c>
      <c r="M621" s="103"/>
    </row>
    <row r="622" spans="1:13" x14ac:dyDescent="0.25">
      <c r="A622" s="60" t="s">
        <v>669</v>
      </c>
      <c r="B622" s="62"/>
      <c r="C622" s="61"/>
      <c r="D622" s="61"/>
      <c r="E622" s="284" t="s">
        <v>670</v>
      </c>
      <c r="F622" s="285"/>
      <c r="G622" s="100">
        <f>+ROUND(Návrh!G619,-3)/$X$2</f>
        <v>5712013</v>
      </c>
      <c r="H622" s="100">
        <f>+ROUND(Návrh!H619,-3)/$X$2</f>
        <v>6273087</v>
      </c>
      <c r="I622" s="100">
        <f>+ROUND(Návrh!I619,-3)/$X$2</f>
        <v>6603247</v>
      </c>
      <c r="J622" s="100" t="e">
        <f>+ROUND(Návrh!#REF!,-3)/$X$2</f>
        <v>#REF!</v>
      </c>
      <c r="K622" s="100">
        <f>+ROUND(Návrh!J619,-3)/$X$2</f>
        <v>6880463</v>
      </c>
      <c r="L622" s="100">
        <f>+ROUND(Návrh!K619,-3)/$X$2</f>
        <v>7340358</v>
      </c>
      <c r="M622" s="103"/>
    </row>
    <row r="623" spans="1:13" x14ac:dyDescent="0.25">
      <c r="A623" s="53" t="s">
        <v>671</v>
      </c>
      <c r="B623" s="53"/>
      <c r="C623" s="51"/>
      <c r="D623" s="51"/>
      <c r="E623" s="282" t="s">
        <v>672</v>
      </c>
      <c r="F623" s="283"/>
      <c r="G623" s="101">
        <f>+ROUND(Návrh!G620,-3)/$X$2</f>
        <v>0</v>
      </c>
      <c r="H623" s="101">
        <f>+ROUND(Návrh!H620,-3)/$X$2</f>
        <v>0</v>
      </c>
      <c r="I623" s="101">
        <f>+ROUND(Návrh!I620,-3)/$X$2</f>
        <v>0</v>
      </c>
      <c r="J623" s="101" t="e">
        <f>+ROUND(Návrh!#REF!,-3)/$X$2</f>
        <v>#REF!</v>
      </c>
      <c r="K623" s="101">
        <f>+ROUND(Návrh!J620,-3)/$X$2</f>
        <v>0</v>
      </c>
      <c r="L623" s="101">
        <f>+ROUND(Návrh!K620,-3)/$X$2</f>
        <v>0</v>
      </c>
      <c r="M623" s="103"/>
    </row>
    <row r="624" spans="1:13" x14ac:dyDescent="0.25">
      <c r="A624" s="53" t="s">
        <v>673</v>
      </c>
      <c r="B624" s="53"/>
      <c r="C624" s="51"/>
      <c r="D624" s="51"/>
      <c r="E624" s="282" t="s">
        <v>674</v>
      </c>
      <c r="F624" s="283"/>
      <c r="G624" s="101">
        <f>+ROUND(Návrh!G621,-3)/$X$2</f>
        <v>5307938</v>
      </c>
      <c r="H624" s="101">
        <f>+ROUND(Návrh!H621,-3)/$X$2</f>
        <v>5833749</v>
      </c>
      <c r="I624" s="101">
        <f>+ROUND(Návrh!I621,-3)/$X$2</f>
        <v>6146618</v>
      </c>
      <c r="J624" s="101" t="e">
        <f>+ROUND(Návrh!#REF!,-3)/$X$2</f>
        <v>#REF!</v>
      </c>
      <c r="K624" s="101">
        <f>+ROUND(Návrh!J621,-3)/$X$2</f>
        <v>6417686</v>
      </c>
      <c r="L624" s="101">
        <f>+ROUND(Návrh!K621,-3)/$X$2</f>
        <v>6857550</v>
      </c>
      <c r="M624" s="103"/>
    </row>
    <row r="625" spans="1:13" x14ac:dyDescent="0.25">
      <c r="A625" s="57" t="s">
        <v>1461</v>
      </c>
      <c r="B625" s="57"/>
      <c r="C625" s="55"/>
      <c r="D625" s="55"/>
      <c r="E625" s="288" t="s">
        <v>675</v>
      </c>
      <c r="F625" s="289"/>
      <c r="G625" s="102">
        <f>+ROUND(Návrh!G622,-3)/$X$2</f>
        <v>40780</v>
      </c>
      <c r="H625" s="102">
        <f>+ROUND(Návrh!H622,-3)/$X$2</f>
        <v>47495</v>
      </c>
      <c r="I625" s="102">
        <f>+ROUND(Návrh!I622,-3)/$X$2</f>
        <v>46618</v>
      </c>
      <c r="J625" s="102" t="e">
        <f>+ROUND(Návrh!#REF!,-3)/$X$2</f>
        <v>#REF!</v>
      </c>
      <c r="K625" s="102">
        <f>+ROUND(Návrh!J622,-3)/$X$2</f>
        <v>0</v>
      </c>
      <c r="L625" s="102">
        <f>+ROUND(Návrh!K622,-3)/$X$2</f>
        <v>51600</v>
      </c>
      <c r="M625" s="103"/>
    </row>
    <row r="626" spans="1:13" x14ac:dyDescent="0.25">
      <c r="A626" s="42" t="s">
        <v>1462</v>
      </c>
      <c r="B626" s="27" t="s">
        <v>916</v>
      </c>
      <c r="C626" s="28" t="s">
        <v>923</v>
      </c>
      <c r="D626" s="28" t="s">
        <v>917</v>
      </c>
      <c r="E626" s="290" t="s">
        <v>676</v>
      </c>
      <c r="F626" s="291"/>
      <c r="G626" s="91">
        <f>+ROUND(Návrh!G623,-3)/$X$2</f>
        <v>4854</v>
      </c>
      <c r="H626" s="91">
        <f>+ROUND(Návrh!H623,-3)/$X$2</f>
        <v>4814</v>
      </c>
      <c r="I626" s="91">
        <f>+ROUND(Návrh!I623,-3)/$X$2</f>
        <v>4900</v>
      </c>
      <c r="J626" s="91" t="e">
        <f>+ROUND(Návrh!#REF!,-3)/$X$2</f>
        <v>#REF!</v>
      </c>
      <c r="K626" s="91">
        <f>+ROUND(Návrh!J623,-3)/$X$2</f>
        <v>0</v>
      </c>
      <c r="L626" s="91">
        <f>+ROUND(Návrh!K623,-3)/$X$2</f>
        <v>4200</v>
      </c>
      <c r="M626" s="103"/>
    </row>
    <row r="627" spans="1:13" x14ac:dyDescent="0.25">
      <c r="A627" s="42" t="s">
        <v>1463</v>
      </c>
      <c r="B627" s="27" t="s">
        <v>916</v>
      </c>
      <c r="C627" s="28" t="s">
        <v>923</v>
      </c>
      <c r="D627" s="28" t="s">
        <v>917</v>
      </c>
      <c r="E627" s="290" t="s">
        <v>677</v>
      </c>
      <c r="F627" s="291"/>
      <c r="G627" s="91">
        <f>+ROUND(Návrh!G624,-3)/$X$2</f>
        <v>968</v>
      </c>
      <c r="H627" s="91">
        <f>+ROUND(Návrh!H624,-3)/$X$2</f>
        <v>1068</v>
      </c>
      <c r="I627" s="91">
        <f>+ROUND(Návrh!I624,-3)/$X$2</f>
        <v>1150</v>
      </c>
      <c r="J627" s="91" t="e">
        <f>+ROUND(Návrh!#REF!,-3)/$X$2</f>
        <v>#REF!</v>
      </c>
      <c r="K627" s="91">
        <f>+ROUND(Návrh!J624,-3)/$X$2</f>
        <v>0</v>
      </c>
      <c r="L627" s="91">
        <f>+ROUND(Návrh!K624,-3)/$X$2</f>
        <v>1150</v>
      </c>
      <c r="M627" s="103"/>
    </row>
    <row r="628" spans="1:13" x14ac:dyDescent="0.25">
      <c r="A628" s="42" t="s">
        <v>1464</v>
      </c>
      <c r="B628" s="27" t="s">
        <v>916</v>
      </c>
      <c r="C628" s="28" t="s">
        <v>923</v>
      </c>
      <c r="D628" s="28" t="s">
        <v>917</v>
      </c>
      <c r="E628" s="290" t="s">
        <v>678</v>
      </c>
      <c r="F628" s="291"/>
      <c r="G628" s="91">
        <f>+ROUND(Návrh!G625,-3)/$X$2</f>
        <v>1628</v>
      </c>
      <c r="H628" s="91">
        <f>+ROUND(Návrh!H625,-3)/$X$2</f>
        <v>1779</v>
      </c>
      <c r="I628" s="91">
        <f>+ROUND(Návrh!I625,-3)/$X$2</f>
        <v>1730</v>
      </c>
      <c r="J628" s="91" t="e">
        <f>+ROUND(Návrh!#REF!,-3)/$X$2</f>
        <v>#REF!</v>
      </c>
      <c r="K628" s="91">
        <f>+ROUND(Návrh!J625,-3)/$X$2</f>
        <v>0</v>
      </c>
      <c r="L628" s="91">
        <f>+ROUND(Návrh!K625,-3)/$X$2</f>
        <v>1900</v>
      </c>
      <c r="M628" s="103"/>
    </row>
    <row r="629" spans="1:13" x14ac:dyDescent="0.25">
      <c r="A629" s="42" t="s">
        <v>1465</v>
      </c>
      <c r="B629" s="27" t="s">
        <v>916</v>
      </c>
      <c r="C629" s="28" t="s">
        <v>923</v>
      </c>
      <c r="D629" s="28" t="s">
        <v>917</v>
      </c>
      <c r="E629" s="290" t="s">
        <v>679</v>
      </c>
      <c r="F629" s="291"/>
      <c r="G629" s="91">
        <f>+ROUND(Návrh!G626,-3)/$X$2</f>
        <v>509</v>
      </c>
      <c r="H629" s="91">
        <f>+ROUND(Návrh!H626,-3)/$X$2</f>
        <v>728</v>
      </c>
      <c r="I629" s="91">
        <f>+ROUND(Návrh!I626,-3)/$X$2</f>
        <v>690</v>
      </c>
      <c r="J629" s="91" t="e">
        <f>+ROUND(Návrh!#REF!,-3)/$X$2</f>
        <v>#REF!</v>
      </c>
      <c r="K629" s="91">
        <f>+ROUND(Návrh!J626,-3)/$X$2</f>
        <v>0</v>
      </c>
      <c r="L629" s="91">
        <f>+ROUND(Návrh!K626,-3)/$X$2</f>
        <v>750</v>
      </c>
      <c r="M629" s="103"/>
    </row>
    <row r="630" spans="1:13" x14ac:dyDescent="0.25">
      <c r="A630" s="42" t="s">
        <v>1466</v>
      </c>
      <c r="B630" s="27" t="s">
        <v>916</v>
      </c>
      <c r="C630" s="28" t="s">
        <v>923</v>
      </c>
      <c r="D630" s="28" t="s">
        <v>917</v>
      </c>
      <c r="E630" s="290" t="s">
        <v>680</v>
      </c>
      <c r="F630" s="291"/>
      <c r="G630" s="91">
        <f>+ROUND(Návrh!G627,-3)/$X$2</f>
        <v>4374</v>
      </c>
      <c r="H630" s="91">
        <f>+ROUND(Návrh!H627,-3)/$X$2</f>
        <v>7170</v>
      </c>
      <c r="I630" s="91">
        <f>+ROUND(Návrh!I627,-3)/$X$2</f>
        <v>7148</v>
      </c>
      <c r="J630" s="91" t="e">
        <f>+ROUND(Návrh!#REF!,-3)/$X$2</f>
        <v>#REF!</v>
      </c>
      <c r="K630" s="91">
        <f>+ROUND(Návrh!J627,-3)/$X$2</f>
        <v>18468</v>
      </c>
      <c r="L630" s="91">
        <f>+ROUND(Návrh!K627,-3)/$X$2</f>
        <v>8600</v>
      </c>
      <c r="M630" s="103"/>
    </row>
    <row r="631" spans="1:13" x14ac:dyDescent="0.25">
      <c r="A631" s="42" t="s">
        <v>1467</v>
      </c>
      <c r="B631" s="27" t="s">
        <v>916</v>
      </c>
      <c r="C631" s="28" t="s">
        <v>923</v>
      </c>
      <c r="D631" s="28" t="s">
        <v>917</v>
      </c>
      <c r="E631" s="290" t="s">
        <v>681</v>
      </c>
      <c r="F631" s="291"/>
      <c r="G631" s="91">
        <f>+ROUND(Návrh!G628,-3)/$X$2</f>
        <v>28448</v>
      </c>
      <c r="H631" s="91">
        <f>+ROUND(Návrh!H628,-3)/$X$2</f>
        <v>31936</v>
      </c>
      <c r="I631" s="91">
        <f>+ROUND(Návrh!I628,-3)/$X$2</f>
        <v>31000</v>
      </c>
      <c r="J631" s="91" t="e">
        <f>+ROUND(Návrh!#REF!,-3)/$X$2</f>
        <v>#REF!</v>
      </c>
      <c r="K631" s="91">
        <f>+ROUND(Návrh!J628,-3)/$X$2</f>
        <v>0</v>
      </c>
      <c r="L631" s="91">
        <f>+ROUND(Návrh!K628,-3)/$X$2</f>
        <v>35000</v>
      </c>
      <c r="M631" s="103"/>
    </row>
    <row r="632" spans="1:13" x14ac:dyDescent="0.25">
      <c r="A632" s="57" t="s">
        <v>1468</v>
      </c>
      <c r="B632" s="57"/>
      <c r="C632" s="55"/>
      <c r="D632" s="55"/>
      <c r="E632" s="288" t="s">
        <v>682</v>
      </c>
      <c r="F632" s="289"/>
      <c r="G632" s="102">
        <f>+ROUND(Návrh!G629,-3)/$X$2</f>
        <v>12448</v>
      </c>
      <c r="H632" s="102">
        <f>+ROUND(Návrh!H629,-3)/$X$2</f>
        <v>13963</v>
      </c>
      <c r="I632" s="102">
        <f>+ROUND(Návrh!I629,-3)/$X$2</f>
        <v>13000</v>
      </c>
      <c r="J632" s="102" t="e">
        <f>+ROUND(Návrh!#REF!,-3)/$X$2</f>
        <v>#REF!</v>
      </c>
      <c r="K632" s="102">
        <f>+ROUND(Návrh!J629,-3)/$X$2</f>
        <v>0</v>
      </c>
      <c r="L632" s="102">
        <f>+ROUND(Návrh!K629,-3)/$X$2</f>
        <v>15050</v>
      </c>
      <c r="M632" s="103"/>
    </row>
    <row r="633" spans="1:13" x14ac:dyDescent="0.25">
      <c r="A633" s="42" t="s">
        <v>1469</v>
      </c>
      <c r="B633" s="20" t="s">
        <v>922</v>
      </c>
      <c r="C633" s="20" t="s">
        <v>923</v>
      </c>
      <c r="D633" s="20" t="s">
        <v>1114</v>
      </c>
      <c r="E633" s="290" t="s">
        <v>683</v>
      </c>
      <c r="F633" s="291"/>
      <c r="G633" s="91">
        <f>+ROUND(Návrh!G630,-3)/$X$2</f>
        <v>5420</v>
      </c>
      <c r="H633" s="91">
        <f>+ROUND(Návrh!H630,-3)/$X$2</f>
        <v>6567</v>
      </c>
      <c r="I633" s="91">
        <f>+ROUND(Návrh!I630,-3)/$X$2</f>
        <v>10500</v>
      </c>
      <c r="J633" s="91" t="e">
        <f>+ROUND(Návrh!#REF!,-3)/$X$2</f>
        <v>#REF!</v>
      </c>
      <c r="K633" s="91">
        <f>+ROUND(Návrh!J630,-3)/$X$2</f>
        <v>0</v>
      </c>
      <c r="L633" s="91">
        <f>+ROUND(Návrh!K630,-3)/$X$2</f>
        <v>10250</v>
      </c>
      <c r="M633" s="103"/>
    </row>
    <row r="634" spans="1:13" x14ac:dyDescent="0.25">
      <c r="A634" s="42" t="s">
        <v>1470</v>
      </c>
      <c r="B634" s="20" t="s">
        <v>922</v>
      </c>
      <c r="C634" s="20" t="s">
        <v>923</v>
      </c>
      <c r="D634" s="20" t="s">
        <v>1114</v>
      </c>
      <c r="E634" s="290" t="s">
        <v>684</v>
      </c>
      <c r="F634" s="291"/>
      <c r="G634" s="91">
        <f>+ROUND(Návrh!G631,-3)/$X$2</f>
        <v>2287</v>
      </c>
      <c r="H634" s="91">
        <f>+ROUND(Návrh!H631,-3)/$X$2</f>
        <v>2379</v>
      </c>
      <c r="I634" s="91">
        <f>+ROUND(Návrh!I631,-3)/$X$2</f>
        <v>2500</v>
      </c>
      <c r="J634" s="91" t="e">
        <f>+ROUND(Návrh!#REF!,-3)/$X$2</f>
        <v>#REF!</v>
      </c>
      <c r="K634" s="91">
        <f>+ROUND(Návrh!J631,-3)/$X$2</f>
        <v>0</v>
      </c>
      <c r="L634" s="91">
        <f>+ROUND(Návrh!K631,-3)/$X$2</f>
        <v>4800</v>
      </c>
      <c r="M634" s="103"/>
    </row>
    <row r="635" spans="1:13" x14ac:dyDescent="0.25">
      <c r="A635" s="42" t="s">
        <v>1471</v>
      </c>
      <c r="B635" s="14"/>
      <c r="C635" s="13"/>
      <c r="D635" s="13"/>
      <c r="E635" s="290" t="s">
        <v>685</v>
      </c>
      <c r="F635" s="291"/>
      <c r="G635" s="91">
        <f>+ROUND(Návrh!G632,-3)/$X$2</f>
        <v>4741</v>
      </c>
      <c r="H635" s="91">
        <f>+ROUND(Návrh!H632,-3)/$X$2</f>
        <v>5017</v>
      </c>
      <c r="I635" s="91">
        <f>+ROUND(Návrh!I632,-3)/$X$2</f>
        <v>0</v>
      </c>
      <c r="J635" s="91" t="e">
        <f>+ROUND(Návrh!#REF!,-3)/$X$2</f>
        <v>#REF!</v>
      </c>
      <c r="K635" s="91">
        <f>+ROUND(Návrh!J632,-3)/$X$2</f>
        <v>0</v>
      </c>
      <c r="L635" s="91">
        <f>+ROUND(Návrh!K632,-3)/$X$2</f>
        <v>0</v>
      </c>
      <c r="M635" s="103"/>
    </row>
    <row r="636" spans="1:13" x14ac:dyDescent="0.25">
      <c r="A636" s="57" t="s">
        <v>1472</v>
      </c>
      <c r="B636" s="57"/>
      <c r="C636" s="55"/>
      <c r="D636" s="55"/>
      <c r="E636" s="288" t="s">
        <v>686</v>
      </c>
      <c r="F636" s="289"/>
      <c r="G636" s="102">
        <f>+ROUND(Návrh!G633,-3)/$X$2</f>
        <v>36308</v>
      </c>
      <c r="H636" s="102">
        <f>+ROUND(Návrh!H633,-3)/$X$2</f>
        <v>34913</v>
      </c>
      <c r="I636" s="102">
        <f>+ROUND(Návrh!I633,-3)/$X$2</f>
        <v>0</v>
      </c>
      <c r="J636" s="102" t="e">
        <f>+ROUND(Návrh!#REF!,-3)/$X$2</f>
        <v>#REF!</v>
      </c>
      <c r="K636" s="102">
        <f>+ROUND(Návrh!J633,-3)/$X$2</f>
        <v>0</v>
      </c>
      <c r="L636" s="102">
        <f>+ROUND(Návrh!K633,-3)/$X$2</f>
        <v>0</v>
      </c>
      <c r="M636" s="103"/>
    </row>
    <row r="637" spans="1:13" x14ac:dyDescent="0.25">
      <c r="A637" s="42" t="s">
        <v>1473</v>
      </c>
      <c r="B637" s="20"/>
      <c r="C637" s="20"/>
      <c r="D637" s="20"/>
      <c r="E637" s="290" t="s">
        <v>687</v>
      </c>
      <c r="F637" s="291"/>
      <c r="G637" s="91">
        <f>+ROUND(Návrh!G634,-3)/$X$2</f>
        <v>3718</v>
      </c>
      <c r="H637" s="91">
        <f>+ROUND(Návrh!H634,-3)/$X$2</f>
        <v>5920</v>
      </c>
      <c r="I637" s="91">
        <f>+ROUND(Návrh!I634,-3)/$X$2</f>
        <v>0</v>
      </c>
      <c r="J637" s="91" t="e">
        <f>+ROUND(Návrh!#REF!,-3)/$X$2</f>
        <v>#REF!</v>
      </c>
      <c r="K637" s="91">
        <f>+ROUND(Návrh!J634,-3)/$X$2</f>
        <v>0</v>
      </c>
      <c r="L637" s="91">
        <f>+ROUND(Návrh!K634,-3)/$X$2</f>
        <v>0</v>
      </c>
      <c r="M637" s="103"/>
    </row>
    <row r="638" spans="1:13" x14ac:dyDescent="0.25">
      <c r="A638" s="42" t="s">
        <v>1474</v>
      </c>
      <c r="B638" s="20"/>
      <c r="C638" s="20"/>
      <c r="D638" s="20"/>
      <c r="E638" s="290" t="s">
        <v>688</v>
      </c>
      <c r="F638" s="291"/>
      <c r="G638" s="91">
        <f>+ROUND(Návrh!G635,-3)/$X$2</f>
        <v>12395</v>
      </c>
      <c r="H638" s="91">
        <f>+ROUND(Návrh!H635,-3)/$X$2</f>
        <v>12180</v>
      </c>
      <c r="I638" s="91">
        <f>+ROUND(Návrh!I635,-3)/$X$2</f>
        <v>0</v>
      </c>
      <c r="J638" s="91" t="e">
        <f>+ROUND(Návrh!#REF!,-3)/$X$2</f>
        <v>#REF!</v>
      </c>
      <c r="K638" s="91">
        <f>+ROUND(Návrh!J635,-3)/$X$2</f>
        <v>0</v>
      </c>
      <c r="L638" s="91">
        <f>+ROUND(Návrh!K635,-3)/$X$2</f>
        <v>0</v>
      </c>
      <c r="M638" s="103"/>
    </row>
    <row r="639" spans="1:13" x14ac:dyDescent="0.25">
      <c r="A639" s="42" t="s">
        <v>1475</v>
      </c>
      <c r="B639" s="20"/>
      <c r="C639" s="20"/>
      <c r="D639" s="20"/>
      <c r="E639" s="290" t="s">
        <v>689</v>
      </c>
      <c r="F639" s="291"/>
      <c r="G639" s="91">
        <f>+ROUND(Návrh!G636,-3)/$X$2</f>
        <v>3553</v>
      </c>
      <c r="H639" s="91">
        <f>+ROUND(Návrh!H636,-3)/$X$2</f>
        <v>2021</v>
      </c>
      <c r="I639" s="91">
        <f>+ROUND(Návrh!I636,-3)/$X$2</f>
        <v>0</v>
      </c>
      <c r="J639" s="91" t="e">
        <f>+ROUND(Návrh!#REF!,-3)/$X$2</f>
        <v>#REF!</v>
      </c>
      <c r="K639" s="91">
        <f>+ROUND(Návrh!J636,-3)/$X$2</f>
        <v>0</v>
      </c>
      <c r="L639" s="91">
        <f>+ROUND(Návrh!K636,-3)/$X$2</f>
        <v>0</v>
      </c>
      <c r="M639" s="103"/>
    </row>
    <row r="640" spans="1:13" x14ac:dyDescent="0.25">
      <c r="A640" s="42" t="s">
        <v>1476</v>
      </c>
      <c r="B640" s="20"/>
      <c r="C640" s="20"/>
      <c r="D640" s="20"/>
      <c r="E640" s="290" t="s">
        <v>690</v>
      </c>
      <c r="F640" s="291"/>
      <c r="G640" s="91">
        <f>+ROUND(Návrh!G637,-3)/$X$2</f>
        <v>17</v>
      </c>
      <c r="H640" s="91">
        <f>+ROUND(Návrh!H637,-3)/$X$2</f>
        <v>0</v>
      </c>
      <c r="I640" s="91">
        <f>+ROUND(Návrh!I637,-3)/$X$2</f>
        <v>0</v>
      </c>
      <c r="J640" s="91" t="e">
        <f>+ROUND(Návrh!#REF!,-3)/$X$2</f>
        <v>#REF!</v>
      </c>
      <c r="K640" s="91">
        <f>+ROUND(Návrh!J637,-3)/$X$2</f>
        <v>0</v>
      </c>
      <c r="L640" s="91">
        <f>+ROUND(Návrh!K637,-3)/$X$2</f>
        <v>0</v>
      </c>
      <c r="M640" s="103"/>
    </row>
    <row r="641" spans="1:13" x14ac:dyDescent="0.25">
      <c r="A641" s="42" t="s">
        <v>1477</v>
      </c>
      <c r="B641" s="20"/>
      <c r="C641" s="20"/>
      <c r="D641" s="20"/>
      <c r="E641" s="290" t="s">
        <v>691</v>
      </c>
      <c r="F641" s="291"/>
      <c r="G641" s="91">
        <f>+ROUND(Návrh!G638,-3)/$X$2</f>
        <v>16461</v>
      </c>
      <c r="H641" s="91">
        <f>+ROUND(Návrh!H638,-3)/$X$2</f>
        <v>14538</v>
      </c>
      <c r="I641" s="91">
        <f>+ROUND(Návrh!I638,-3)/$X$2</f>
        <v>0</v>
      </c>
      <c r="J641" s="91" t="e">
        <f>+ROUND(Návrh!#REF!,-3)/$X$2</f>
        <v>#REF!</v>
      </c>
      <c r="K641" s="91">
        <f>+ROUND(Návrh!J638,-3)/$X$2</f>
        <v>0</v>
      </c>
      <c r="L641" s="91">
        <f>+ROUND(Návrh!K638,-3)/$X$2</f>
        <v>0</v>
      </c>
      <c r="M641" s="103"/>
    </row>
    <row r="642" spans="1:13" x14ac:dyDescent="0.25">
      <c r="A642" s="42" t="s">
        <v>1478</v>
      </c>
      <c r="B642" s="20"/>
      <c r="C642" s="20"/>
      <c r="D642" s="20"/>
      <c r="E642" s="290" t="s">
        <v>692</v>
      </c>
      <c r="F642" s="291"/>
      <c r="G642" s="91">
        <f>+ROUND(Návrh!G639,-3)/$X$2</f>
        <v>163</v>
      </c>
      <c r="H642" s="91">
        <f>+ROUND(Návrh!H639,-3)/$X$2</f>
        <v>254</v>
      </c>
      <c r="I642" s="91">
        <f>+ROUND(Návrh!I639,-3)/$X$2</f>
        <v>0</v>
      </c>
      <c r="J642" s="91" t="e">
        <f>+ROUND(Návrh!#REF!,-3)/$X$2</f>
        <v>#REF!</v>
      </c>
      <c r="K642" s="91">
        <f>+ROUND(Návrh!J639,-3)/$X$2</f>
        <v>0</v>
      </c>
      <c r="L642" s="91">
        <f>+ROUND(Návrh!K639,-3)/$X$2</f>
        <v>0</v>
      </c>
      <c r="M642" s="103"/>
    </row>
    <row r="643" spans="1:13" x14ac:dyDescent="0.25">
      <c r="A643" s="57" t="s">
        <v>1479</v>
      </c>
      <c r="B643" s="57"/>
      <c r="C643" s="55"/>
      <c r="D643" s="55"/>
      <c r="E643" s="288" t="s">
        <v>693</v>
      </c>
      <c r="F643" s="289"/>
      <c r="G643" s="102">
        <f>+ROUND(Návrh!G640,-3)/$X$2</f>
        <v>49999</v>
      </c>
      <c r="H643" s="102">
        <f>+ROUND(Návrh!H640,-3)/$X$2</f>
        <v>61519</v>
      </c>
      <c r="I643" s="102">
        <f>+ROUND(Návrh!I640,-3)/$X$2</f>
        <v>73100</v>
      </c>
      <c r="J643" s="102" t="e">
        <f>+ROUND(Návrh!#REF!,-3)/$X$2</f>
        <v>#REF!</v>
      </c>
      <c r="K643" s="102">
        <f>+ROUND(Návrh!J640,-3)/$X$2</f>
        <v>0</v>
      </c>
      <c r="L643" s="102">
        <f>+ROUND(Návrh!K640,-3)/$X$2</f>
        <v>0</v>
      </c>
      <c r="M643" s="103"/>
    </row>
    <row r="644" spans="1:13" x14ac:dyDescent="0.25">
      <c r="A644" s="42" t="s">
        <v>1480</v>
      </c>
      <c r="B644" s="20" t="s">
        <v>916</v>
      </c>
      <c r="C644" s="20" t="s">
        <v>920</v>
      </c>
      <c r="D644" s="20" t="s">
        <v>1523</v>
      </c>
      <c r="E644" s="290" t="s">
        <v>694</v>
      </c>
      <c r="F644" s="291"/>
      <c r="G644" s="91">
        <f>+ROUND(Návrh!G641,-3)/$X$2</f>
        <v>0</v>
      </c>
      <c r="H644" s="91">
        <f>+ROUND(Návrh!H641,-3)/$X$2</f>
        <v>0</v>
      </c>
      <c r="I644" s="91">
        <f>+ROUND(Návrh!I641,-3)/$X$2</f>
        <v>62927</v>
      </c>
      <c r="J644" s="91" t="e">
        <f>+ROUND(Návrh!#REF!,-3)/$X$2</f>
        <v>#REF!</v>
      </c>
      <c r="K644" s="91">
        <f>+ROUND(Návrh!J641,-3)/$X$2</f>
        <v>0</v>
      </c>
      <c r="L644" s="91">
        <f>+ROUND(Návrh!K641,-3)/$X$2</f>
        <v>0</v>
      </c>
      <c r="M644" s="103"/>
    </row>
    <row r="645" spans="1:13" x14ac:dyDescent="0.25">
      <c r="A645" s="42" t="s">
        <v>1481</v>
      </c>
      <c r="B645" s="20" t="s">
        <v>916</v>
      </c>
      <c r="C645" s="20" t="s">
        <v>920</v>
      </c>
      <c r="D645" s="20" t="s">
        <v>1523</v>
      </c>
      <c r="E645" s="290" t="s">
        <v>695</v>
      </c>
      <c r="F645" s="291"/>
      <c r="G645" s="91">
        <f>+ROUND(Návrh!G642,-3)/$X$2</f>
        <v>0</v>
      </c>
      <c r="H645" s="91">
        <f>+ROUND(Návrh!H642,-3)/$X$2</f>
        <v>0</v>
      </c>
      <c r="I645" s="91">
        <f>+ROUND(Návrh!I642,-3)/$X$2</f>
        <v>10173</v>
      </c>
      <c r="J645" s="91" t="e">
        <f>+ROUND(Návrh!#REF!,-3)/$X$2</f>
        <v>#REF!</v>
      </c>
      <c r="K645" s="91">
        <f>+ROUND(Návrh!J642,-3)/$X$2</f>
        <v>0</v>
      </c>
      <c r="L645" s="91">
        <f>+ROUND(Návrh!K642,-3)/$X$2</f>
        <v>0</v>
      </c>
      <c r="M645" s="103"/>
    </row>
    <row r="646" spans="1:13" x14ac:dyDescent="0.25">
      <c r="A646" s="42" t="s">
        <v>1482</v>
      </c>
      <c r="B646" s="20"/>
      <c r="C646" s="20"/>
      <c r="D646" s="20"/>
      <c r="E646" s="290" t="s">
        <v>696</v>
      </c>
      <c r="F646" s="291"/>
      <c r="G646" s="91">
        <f>+ROUND(Návrh!G643,-3)/$X$2</f>
        <v>10717</v>
      </c>
      <c r="H646" s="91">
        <f>+ROUND(Návrh!H643,-3)/$X$2</f>
        <v>19470</v>
      </c>
      <c r="I646" s="91">
        <f>+ROUND(Návrh!I643,-3)/$X$2</f>
        <v>0</v>
      </c>
      <c r="J646" s="91" t="e">
        <f>+ROUND(Návrh!#REF!,-3)/$X$2</f>
        <v>#REF!</v>
      </c>
      <c r="K646" s="91">
        <f>+ROUND(Návrh!J643,-3)/$X$2</f>
        <v>0</v>
      </c>
      <c r="L646" s="91">
        <f>+ROUND(Návrh!K643,-3)/$X$2</f>
        <v>0</v>
      </c>
      <c r="M646" s="103"/>
    </row>
    <row r="647" spans="1:13" x14ac:dyDescent="0.25">
      <c r="A647" s="42" t="s">
        <v>1483</v>
      </c>
      <c r="B647" s="20"/>
      <c r="C647" s="20"/>
      <c r="D647" s="20"/>
      <c r="E647" s="290" t="s">
        <v>688</v>
      </c>
      <c r="F647" s="291"/>
      <c r="G647" s="91">
        <f>+ROUND(Návrh!G644,-3)/$X$2</f>
        <v>23607</v>
      </c>
      <c r="H647" s="91">
        <f>+ROUND(Návrh!H644,-3)/$X$2</f>
        <v>23652</v>
      </c>
      <c r="I647" s="91">
        <f>+ROUND(Návrh!I644,-3)/$X$2</f>
        <v>0</v>
      </c>
      <c r="J647" s="91" t="e">
        <f>+ROUND(Návrh!#REF!,-3)/$X$2</f>
        <v>#REF!</v>
      </c>
      <c r="K647" s="91">
        <f>+ROUND(Návrh!J644,-3)/$X$2</f>
        <v>0</v>
      </c>
      <c r="L647" s="91">
        <f>+ROUND(Návrh!K644,-3)/$X$2</f>
        <v>0</v>
      </c>
      <c r="M647" s="103"/>
    </row>
    <row r="648" spans="1:13" x14ac:dyDescent="0.25">
      <c r="A648" s="42" t="s">
        <v>1484</v>
      </c>
      <c r="B648" s="20"/>
      <c r="C648" s="20"/>
      <c r="D648" s="20"/>
      <c r="E648" s="290" t="s">
        <v>697</v>
      </c>
      <c r="F648" s="291"/>
      <c r="G648" s="91">
        <f>+ROUND(Návrh!G645,-3)/$X$2</f>
        <v>961</v>
      </c>
      <c r="H648" s="91">
        <f>+ROUND(Návrh!H645,-3)/$X$2</f>
        <v>1202</v>
      </c>
      <c r="I648" s="91">
        <f>+ROUND(Návrh!I645,-3)/$X$2</f>
        <v>0</v>
      </c>
      <c r="J648" s="91" t="e">
        <f>+ROUND(Návrh!#REF!,-3)/$X$2</f>
        <v>#REF!</v>
      </c>
      <c r="K648" s="91">
        <f>+ROUND(Návrh!J645,-3)/$X$2</f>
        <v>0</v>
      </c>
      <c r="L648" s="91">
        <f>+ROUND(Návrh!K645,-3)/$X$2</f>
        <v>0</v>
      </c>
      <c r="M648" s="103"/>
    </row>
    <row r="649" spans="1:13" x14ac:dyDescent="0.25">
      <c r="A649" s="42" t="s">
        <v>1485</v>
      </c>
      <c r="B649" s="20"/>
      <c r="C649" s="20"/>
      <c r="D649" s="20"/>
      <c r="E649" s="290" t="s">
        <v>689</v>
      </c>
      <c r="F649" s="291"/>
      <c r="G649" s="91">
        <f>+ROUND(Návrh!G646,-3)/$X$2</f>
        <v>5081</v>
      </c>
      <c r="H649" s="91">
        <f>+ROUND(Návrh!H646,-3)/$X$2</f>
        <v>3640</v>
      </c>
      <c r="I649" s="91">
        <f>+ROUND(Návrh!I646,-3)/$X$2</f>
        <v>0</v>
      </c>
      <c r="J649" s="91" t="e">
        <f>+ROUND(Návrh!#REF!,-3)/$X$2</f>
        <v>#REF!</v>
      </c>
      <c r="K649" s="91">
        <f>+ROUND(Návrh!J646,-3)/$X$2</f>
        <v>0</v>
      </c>
      <c r="L649" s="91">
        <f>+ROUND(Návrh!K646,-3)/$X$2</f>
        <v>0</v>
      </c>
      <c r="M649" s="103"/>
    </row>
    <row r="650" spans="1:13" x14ac:dyDescent="0.25">
      <c r="A650" s="42" t="s">
        <v>1486</v>
      </c>
      <c r="B650" s="20"/>
      <c r="C650" s="20"/>
      <c r="D650" s="20"/>
      <c r="E650" s="290" t="s">
        <v>690</v>
      </c>
      <c r="F650" s="291"/>
      <c r="G650" s="91">
        <f>+ROUND(Návrh!G647,-3)/$X$2</f>
        <v>951</v>
      </c>
      <c r="H650" s="91">
        <f>+ROUND(Návrh!H647,-3)/$X$2</f>
        <v>976</v>
      </c>
      <c r="I650" s="91">
        <f>+ROUND(Návrh!I647,-3)/$X$2</f>
        <v>0</v>
      </c>
      <c r="J650" s="91" t="e">
        <f>+ROUND(Návrh!#REF!,-3)/$X$2</f>
        <v>#REF!</v>
      </c>
      <c r="K650" s="91">
        <f>+ROUND(Návrh!J647,-3)/$X$2</f>
        <v>0</v>
      </c>
      <c r="L650" s="91">
        <f>+ROUND(Návrh!K647,-3)/$X$2</f>
        <v>0</v>
      </c>
      <c r="M650" s="103"/>
    </row>
    <row r="651" spans="1:13" x14ac:dyDescent="0.25">
      <c r="A651" s="42" t="s">
        <v>1487</v>
      </c>
      <c r="B651" s="20"/>
      <c r="C651" s="20"/>
      <c r="D651" s="20"/>
      <c r="E651" s="290" t="s">
        <v>698</v>
      </c>
      <c r="F651" s="291"/>
      <c r="G651" s="91">
        <f>+ROUND(Návrh!G648,-3)/$X$2</f>
        <v>968</v>
      </c>
      <c r="H651" s="91">
        <f>+ROUND(Návrh!H648,-3)/$X$2</f>
        <v>1148</v>
      </c>
      <c r="I651" s="91">
        <f>+ROUND(Návrh!I648,-3)/$X$2</f>
        <v>0</v>
      </c>
      <c r="J651" s="91" t="e">
        <f>+ROUND(Návrh!#REF!,-3)/$X$2</f>
        <v>#REF!</v>
      </c>
      <c r="K651" s="91">
        <f>+ROUND(Návrh!J648,-3)/$X$2</f>
        <v>0</v>
      </c>
      <c r="L651" s="91">
        <f>+ROUND(Návrh!K648,-3)/$X$2</f>
        <v>0</v>
      </c>
      <c r="M651" s="103"/>
    </row>
    <row r="652" spans="1:13" x14ac:dyDescent="0.25">
      <c r="A652" s="42" t="s">
        <v>1488</v>
      </c>
      <c r="B652" s="20"/>
      <c r="C652" s="20"/>
      <c r="D652" s="20"/>
      <c r="E652" s="290" t="s">
        <v>699</v>
      </c>
      <c r="F652" s="291"/>
      <c r="G652" s="91">
        <f>+ROUND(Návrh!G649,-3)/$X$2</f>
        <v>3403</v>
      </c>
      <c r="H652" s="91">
        <f>+ROUND(Návrh!H649,-3)/$X$2</f>
        <v>3596</v>
      </c>
      <c r="I652" s="91">
        <f>+ROUND(Návrh!I649,-3)/$X$2</f>
        <v>0</v>
      </c>
      <c r="J652" s="91" t="e">
        <f>+ROUND(Návrh!#REF!,-3)/$X$2</f>
        <v>#REF!</v>
      </c>
      <c r="K652" s="91">
        <f>+ROUND(Návrh!J649,-3)/$X$2</f>
        <v>0</v>
      </c>
      <c r="L652" s="91">
        <f>+ROUND(Návrh!K649,-3)/$X$2</f>
        <v>0</v>
      </c>
      <c r="M652" s="103"/>
    </row>
    <row r="653" spans="1:13" x14ac:dyDescent="0.25">
      <c r="A653" s="42" t="s">
        <v>1489</v>
      </c>
      <c r="B653" s="20"/>
      <c r="C653" s="20"/>
      <c r="D653" s="20"/>
      <c r="E653" s="290" t="s">
        <v>691</v>
      </c>
      <c r="F653" s="291"/>
      <c r="G653" s="91">
        <f>+ROUND(Návrh!G650,-3)/$X$2</f>
        <v>4309</v>
      </c>
      <c r="H653" s="91">
        <f>+ROUND(Návrh!H650,-3)/$X$2</f>
        <v>7835</v>
      </c>
      <c r="I653" s="91">
        <f>+ROUND(Návrh!I650,-3)/$X$2</f>
        <v>0</v>
      </c>
      <c r="J653" s="91" t="e">
        <f>+ROUND(Návrh!#REF!,-3)/$X$2</f>
        <v>#REF!</v>
      </c>
      <c r="K653" s="91">
        <f>+ROUND(Návrh!J650,-3)/$X$2</f>
        <v>0</v>
      </c>
      <c r="L653" s="91">
        <f>+ROUND(Návrh!K650,-3)/$X$2</f>
        <v>0</v>
      </c>
      <c r="M653" s="103"/>
    </row>
    <row r="654" spans="1:13" x14ac:dyDescent="0.25">
      <c r="A654" s="57" t="s">
        <v>1490</v>
      </c>
      <c r="B654" s="57"/>
      <c r="C654" s="55"/>
      <c r="D654" s="55"/>
      <c r="E654" s="288" t="s">
        <v>700</v>
      </c>
      <c r="F654" s="289"/>
      <c r="G654" s="102">
        <f>+ROUND(Návrh!G651,-3)/$X$2</f>
        <v>4280</v>
      </c>
      <c r="H654" s="102">
        <f>+ROUND(Návrh!H651,-3)/$X$2</f>
        <v>4885</v>
      </c>
      <c r="I654" s="102">
        <f>+ROUND(Návrh!I651,-3)/$X$2</f>
        <v>0</v>
      </c>
      <c r="J654" s="102" t="e">
        <f>+ROUND(Návrh!#REF!,-3)/$X$2</f>
        <v>#REF!</v>
      </c>
      <c r="K654" s="102">
        <f>+ROUND(Návrh!J651,-3)/$X$2</f>
        <v>0</v>
      </c>
      <c r="L654" s="102">
        <f>+ROUND(Návrh!K651,-3)/$X$2</f>
        <v>0</v>
      </c>
      <c r="M654" s="103"/>
    </row>
    <row r="655" spans="1:13" x14ac:dyDescent="0.25">
      <c r="A655" s="42" t="s">
        <v>1491</v>
      </c>
      <c r="B655" s="20"/>
      <c r="C655" s="20"/>
      <c r="D655" s="20"/>
      <c r="E655" s="290" t="s">
        <v>701</v>
      </c>
      <c r="F655" s="291"/>
      <c r="G655" s="91">
        <f>+ROUND(Návrh!G652,-3)/$X$2</f>
        <v>11</v>
      </c>
      <c r="H655" s="91">
        <f>+ROUND(Návrh!H652,-3)/$X$2</f>
        <v>5</v>
      </c>
      <c r="I655" s="91">
        <f>+ROUND(Návrh!I652,-3)/$X$2</f>
        <v>0</v>
      </c>
      <c r="J655" s="91" t="e">
        <f>+ROUND(Návrh!#REF!,-3)/$X$2</f>
        <v>#REF!</v>
      </c>
      <c r="K655" s="91">
        <f>+ROUND(Návrh!J652,-3)/$X$2</f>
        <v>0</v>
      </c>
      <c r="L655" s="91">
        <f>+ROUND(Návrh!K652,-3)/$X$2</f>
        <v>0</v>
      </c>
      <c r="M655" s="103"/>
    </row>
    <row r="656" spans="1:13" x14ac:dyDescent="0.25">
      <c r="A656" s="42" t="s">
        <v>1492</v>
      </c>
      <c r="B656" s="20" t="s">
        <v>916</v>
      </c>
      <c r="C656" s="20" t="s">
        <v>920</v>
      </c>
      <c r="D656" s="20" t="s">
        <v>1523</v>
      </c>
      <c r="E656" s="290" t="s">
        <v>702</v>
      </c>
      <c r="F656" s="291"/>
      <c r="G656" s="91">
        <f>+ROUND(Návrh!G653,-3)/$X$2</f>
        <v>4269</v>
      </c>
      <c r="H656" s="91">
        <f>+ROUND(Návrh!H653,-3)/$X$2</f>
        <v>4881</v>
      </c>
      <c r="I656" s="91">
        <f>+ROUND(Návrh!I653,-3)/$X$2</f>
        <v>0</v>
      </c>
      <c r="J656" s="91" t="e">
        <f>+ROUND(Návrh!#REF!,-3)/$X$2</f>
        <v>#REF!</v>
      </c>
      <c r="K656" s="91">
        <f>+ROUND(Návrh!J653,-3)/$X$2</f>
        <v>0</v>
      </c>
      <c r="L656" s="91">
        <f>+ROUND(Návrh!K653,-3)/$X$2</f>
        <v>0</v>
      </c>
      <c r="M656" s="103"/>
    </row>
    <row r="657" spans="1:13" x14ac:dyDescent="0.25">
      <c r="A657" s="57" t="s">
        <v>1493</v>
      </c>
      <c r="B657" s="57"/>
      <c r="C657" s="55"/>
      <c r="D657" s="55"/>
      <c r="E657" s="288" t="s">
        <v>703</v>
      </c>
      <c r="F657" s="289"/>
      <c r="G657" s="102">
        <f>+ROUND(Návrh!G654,-3)/$X$2</f>
        <v>36790</v>
      </c>
      <c r="H657" s="102">
        <f>+ROUND(Návrh!H654,-3)/$X$2</f>
        <v>-104900</v>
      </c>
      <c r="I657" s="102">
        <f>+ROUND(Návrh!I654,-3)/$X$2</f>
        <v>0</v>
      </c>
      <c r="J657" s="102" t="e">
        <f>+ROUND(Návrh!#REF!,-3)/$X$2</f>
        <v>#REF!</v>
      </c>
      <c r="K657" s="102">
        <f>+ROUND(Návrh!J654,-3)/$X$2</f>
        <v>0</v>
      </c>
      <c r="L657" s="102">
        <f>+ROUND(Návrh!K654,-3)/$X$2</f>
        <v>0</v>
      </c>
      <c r="M657" s="103"/>
    </row>
    <row r="658" spans="1:13" x14ac:dyDescent="0.25">
      <c r="A658" s="42" t="s">
        <v>1494</v>
      </c>
      <c r="B658" s="20" t="s">
        <v>916</v>
      </c>
      <c r="C658" s="20" t="s">
        <v>920</v>
      </c>
      <c r="D658" s="20" t="s">
        <v>1523</v>
      </c>
      <c r="E658" s="290" t="s">
        <v>704</v>
      </c>
      <c r="F658" s="291"/>
      <c r="G658" s="91">
        <f>+ROUND(Návrh!G655,-3)/$X$2</f>
        <v>-43210</v>
      </c>
      <c r="H658" s="91">
        <f>+ROUND(Návrh!H655,-3)/$X$2</f>
        <v>-70100</v>
      </c>
      <c r="I658" s="91">
        <f>+ROUND(Návrh!I655,-3)/$X$2</f>
        <v>0</v>
      </c>
      <c r="J658" s="91" t="e">
        <f>+ROUND(Návrh!#REF!,-3)/$X$2</f>
        <v>#REF!</v>
      </c>
      <c r="K658" s="91">
        <f>+ROUND(Návrh!J655,-3)/$X$2</f>
        <v>0</v>
      </c>
      <c r="L658" s="91">
        <f>+ROUND(Návrh!K655,-3)/$X$2</f>
        <v>0</v>
      </c>
      <c r="M658" s="103"/>
    </row>
    <row r="659" spans="1:13" x14ac:dyDescent="0.25">
      <c r="A659" s="86" t="s">
        <v>1644</v>
      </c>
      <c r="B659" s="21" t="s">
        <v>916</v>
      </c>
      <c r="C659" s="21" t="s">
        <v>920</v>
      </c>
      <c r="D659" s="21" t="s">
        <v>1523</v>
      </c>
      <c r="E659" s="292" t="s">
        <v>1647</v>
      </c>
      <c r="F659" s="293"/>
      <c r="G659" s="98">
        <f>+ROUND(Návrh!G656,-3)/$X$2</f>
        <v>0</v>
      </c>
      <c r="H659" s="98">
        <f>+ROUND(Návrh!H656,-3)/$X$2</f>
        <v>0</v>
      </c>
      <c r="I659" s="98">
        <f>+ROUND(Návrh!I656,-3)/$X$2</f>
        <v>0</v>
      </c>
      <c r="J659" s="98" t="e">
        <f>+ROUND(Návrh!#REF!,-3)/$X$2</f>
        <v>#REF!</v>
      </c>
      <c r="K659" s="98">
        <f>+ROUND(Návrh!J656,-3)/$X$2</f>
        <v>0</v>
      </c>
      <c r="L659" s="98">
        <f>+ROUND(Návrh!K656,-3)/$X$2</f>
        <v>0</v>
      </c>
      <c r="M659" s="103"/>
    </row>
    <row r="660" spans="1:13" x14ac:dyDescent="0.25">
      <c r="A660" s="86" t="s">
        <v>1645</v>
      </c>
      <c r="B660" s="21" t="s">
        <v>916</v>
      </c>
      <c r="C660" s="21" t="s">
        <v>920</v>
      </c>
      <c r="D660" s="21" t="s">
        <v>1523</v>
      </c>
      <c r="E660" s="292" t="s">
        <v>1646</v>
      </c>
      <c r="F660" s="293"/>
      <c r="G660" s="98">
        <f>+ROUND(Návrh!G657,-3)/$X$2</f>
        <v>0</v>
      </c>
      <c r="H660" s="98">
        <f>+ROUND(Návrh!H657,-3)/$X$2</f>
        <v>0</v>
      </c>
      <c r="I660" s="98">
        <f>+ROUND(Návrh!I657,-3)/$X$2</f>
        <v>0</v>
      </c>
      <c r="J660" s="98" t="e">
        <f>+ROUND(Návrh!#REF!,-3)/$X$2</f>
        <v>#REF!</v>
      </c>
      <c r="K660" s="98">
        <f>+ROUND(Návrh!J657,-3)/$X$2</f>
        <v>0</v>
      </c>
      <c r="L660" s="98">
        <f>+ROUND(Návrh!K657,-3)/$X$2</f>
        <v>0</v>
      </c>
      <c r="M660" s="103"/>
    </row>
    <row r="661" spans="1:13" x14ac:dyDescent="0.25">
      <c r="A661" s="42" t="s">
        <v>1495</v>
      </c>
      <c r="B661" s="20" t="s">
        <v>916</v>
      </c>
      <c r="C661" s="20" t="s">
        <v>920</v>
      </c>
      <c r="D661" s="20" t="s">
        <v>1523</v>
      </c>
      <c r="E661" s="290" t="s">
        <v>705</v>
      </c>
      <c r="F661" s="291"/>
      <c r="G661" s="91">
        <f>+ROUND(Návrh!G658,-3)/$X$2</f>
        <v>80000</v>
      </c>
      <c r="H661" s="91">
        <f>+ROUND(Návrh!H658,-3)/$X$2</f>
        <v>-34800</v>
      </c>
      <c r="I661" s="91">
        <f>+ROUND(Návrh!I658,-3)/$X$2</f>
        <v>0</v>
      </c>
      <c r="J661" s="91" t="e">
        <f>+ROUND(Návrh!#REF!,-3)/$X$2</f>
        <v>#REF!</v>
      </c>
      <c r="K661" s="91">
        <f>+ROUND(Návrh!J658,-3)/$X$2</f>
        <v>0</v>
      </c>
      <c r="L661" s="91">
        <f>+ROUND(Návrh!K658,-3)/$X$2</f>
        <v>0</v>
      </c>
      <c r="M661" s="103"/>
    </row>
    <row r="662" spans="1:13" x14ac:dyDescent="0.25">
      <c r="A662" s="57" t="s">
        <v>1496</v>
      </c>
      <c r="B662" s="57"/>
      <c r="C662" s="55"/>
      <c r="D662" s="55"/>
      <c r="E662" s="288" t="s">
        <v>706</v>
      </c>
      <c r="F662" s="289"/>
      <c r="G662" s="102">
        <f>+ROUND(Návrh!G659,-3)/$X$2</f>
        <v>-174</v>
      </c>
      <c r="H662" s="102">
        <f>+ROUND(Návrh!H659,-3)/$X$2</f>
        <v>-241</v>
      </c>
      <c r="I662" s="102">
        <f>+ROUND(Návrh!I659,-3)/$X$2</f>
        <v>0</v>
      </c>
      <c r="J662" s="102" t="e">
        <f>+ROUND(Návrh!#REF!,-3)/$X$2</f>
        <v>#REF!</v>
      </c>
      <c r="K662" s="102">
        <f>+ROUND(Návrh!J659,-3)/$X$2</f>
        <v>0</v>
      </c>
      <c r="L662" s="102">
        <f>+ROUND(Návrh!K659,-3)/$X$2</f>
        <v>0</v>
      </c>
      <c r="M662" s="103"/>
    </row>
    <row r="663" spans="1:13" x14ac:dyDescent="0.25">
      <c r="A663" s="42" t="s">
        <v>1497</v>
      </c>
      <c r="B663" s="20" t="s">
        <v>916</v>
      </c>
      <c r="C663" s="20" t="s">
        <v>920</v>
      </c>
      <c r="D663" s="20" t="s">
        <v>1523</v>
      </c>
      <c r="E663" s="290" t="s">
        <v>707</v>
      </c>
      <c r="F663" s="291"/>
      <c r="G663" s="91">
        <f>+ROUND(Návrh!G660,-3)/$X$2</f>
        <v>-6</v>
      </c>
      <c r="H663" s="91">
        <f>+ROUND(Návrh!H660,-3)/$X$2</f>
        <v>-6</v>
      </c>
      <c r="I663" s="91">
        <f>+ROUND(Návrh!I660,-3)/$X$2</f>
        <v>0</v>
      </c>
      <c r="J663" s="91" t="e">
        <f>+ROUND(Návrh!#REF!,-3)/$X$2</f>
        <v>#REF!</v>
      </c>
      <c r="K663" s="91">
        <f>+ROUND(Návrh!J660,-3)/$X$2</f>
        <v>0</v>
      </c>
      <c r="L663" s="91">
        <f>+ROUND(Návrh!K660,-3)/$X$2</f>
        <v>0</v>
      </c>
      <c r="M663" s="103"/>
    </row>
    <row r="664" spans="1:13" x14ac:dyDescent="0.25">
      <c r="A664" s="42" t="s">
        <v>1498</v>
      </c>
      <c r="B664" s="14"/>
      <c r="C664" s="13"/>
      <c r="D664" s="13"/>
      <c r="E664" s="290" t="s">
        <v>708</v>
      </c>
      <c r="F664" s="291"/>
      <c r="G664" s="91">
        <f>+ROUND(Návrh!G661,-3)/$X$2</f>
        <v>-168</v>
      </c>
      <c r="H664" s="91">
        <f>+ROUND(Návrh!H661,-3)/$X$2</f>
        <v>-235</v>
      </c>
      <c r="I664" s="91">
        <f>+ROUND(Návrh!I661,-3)/$X$2</f>
        <v>0</v>
      </c>
      <c r="J664" s="91" t="e">
        <f>+ROUND(Návrh!#REF!,-3)/$X$2</f>
        <v>#REF!</v>
      </c>
      <c r="K664" s="91">
        <f>+ROUND(Návrh!J661,-3)/$X$2</f>
        <v>0</v>
      </c>
      <c r="L664" s="91">
        <f>+ROUND(Návrh!K661,-3)/$X$2</f>
        <v>0</v>
      </c>
      <c r="M664" s="103"/>
    </row>
    <row r="665" spans="1:13" x14ac:dyDescent="0.25">
      <c r="A665" s="57" t="s">
        <v>1499</v>
      </c>
      <c r="B665" s="57"/>
      <c r="C665" s="55"/>
      <c r="D665" s="55"/>
      <c r="E665" s="288" t="s">
        <v>709</v>
      </c>
      <c r="F665" s="289"/>
      <c r="G665" s="102">
        <f>+ROUND(Návrh!G662,-3)/$X$2</f>
        <v>1304</v>
      </c>
      <c r="H665" s="102">
        <f>+ROUND(Návrh!H662,-3)/$X$2</f>
        <v>964</v>
      </c>
      <c r="I665" s="102">
        <f>+ROUND(Návrh!I662,-3)/$X$2</f>
        <v>1000</v>
      </c>
      <c r="J665" s="102" t="e">
        <f>+ROUND(Návrh!#REF!,-3)/$X$2</f>
        <v>#REF!</v>
      </c>
      <c r="K665" s="102">
        <f>+ROUND(Návrh!J662,-3)/$X$2</f>
        <v>0</v>
      </c>
      <c r="L665" s="102">
        <f>+ROUND(Návrh!K662,-3)/$X$2</f>
        <v>0</v>
      </c>
      <c r="M665" s="103"/>
    </row>
    <row r="666" spans="1:13" x14ac:dyDescent="0.25">
      <c r="A666" s="42" t="s">
        <v>1500</v>
      </c>
      <c r="B666" s="20" t="s">
        <v>916</v>
      </c>
      <c r="C666" s="20" t="s">
        <v>920</v>
      </c>
      <c r="D666" s="20" t="s">
        <v>1523</v>
      </c>
      <c r="E666" s="290" t="s">
        <v>710</v>
      </c>
      <c r="F666" s="291"/>
      <c r="G666" s="91">
        <f>+ROUND(Návrh!G663,-3)/$X$2</f>
        <v>1304</v>
      </c>
      <c r="H666" s="91">
        <f>+ROUND(Návrh!H663,-3)/$X$2</f>
        <v>964</v>
      </c>
      <c r="I666" s="91">
        <f>+ROUND(Návrh!I663,-3)/$X$2</f>
        <v>1000</v>
      </c>
      <c r="J666" s="91" t="e">
        <f>+ROUND(Návrh!#REF!,-3)/$X$2</f>
        <v>#REF!</v>
      </c>
      <c r="K666" s="91">
        <f>+ROUND(Návrh!J663,-3)/$X$2</f>
        <v>0</v>
      </c>
      <c r="L666" s="91">
        <f>+ROUND(Návrh!K663,-3)/$X$2</f>
        <v>0</v>
      </c>
      <c r="M666" s="103"/>
    </row>
    <row r="667" spans="1:13" x14ac:dyDescent="0.25">
      <c r="A667" s="57" t="s">
        <v>1501</v>
      </c>
      <c r="B667" s="57"/>
      <c r="C667" s="55"/>
      <c r="D667" s="55"/>
      <c r="E667" s="288" t="s">
        <v>711</v>
      </c>
      <c r="F667" s="289"/>
      <c r="G667" s="102">
        <f>+ROUND(Návrh!G664,-3)/$X$2</f>
        <v>5038053</v>
      </c>
      <c r="H667" s="102">
        <f>+ROUND(Návrh!H664,-3)/$X$2</f>
        <v>5566810</v>
      </c>
      <c r="I667" s="102">
        <f>+ROUND(Návrh!I664,-3)/$X$2</f>
        <v>6012900</v>
      </c>
      <c r="J667" s="102" t="e">
        <f>+ROUND(Návrh!#REF!,-3)/$X$2</f>
        <v>#REF!</v>
      </c>
      <c r="K667" s="102">
        <f>+ROUND(Návrh!J664,-3)/$X$2</f>
        <v>6156065</v>
      </c>
      <c r="L667" s="102">
        <f>+ROUND(Návrh!K664,-3)/$X$2</f>
        <v>6790900</v>
      </c>
      <c r="M667" s="103"/>
    </row>
    <row r="668" spans="1:13" x14ac:dyDescent="0.25">
      <c r="A668" s="42" t="s">
        <v>1502</v>
      </c>
      <c r="B668" s="20" t="s">
        <v>916</v>
      </c>
      <c r="C668" s="20" t="s">
        <v>920</v>
      </c>
      <c r="D668" s="20" t="s">
        <v>1523</v>
      </c>
      <c r="E668" s="290" t="s">
        <v>712</v>
      </c>
      <c r="F668" s="291"/>
      <c r="G668" s="91">
        <f>+ROUND(Návrh!G665,-3)/$X$2</f>
        <v>2254461</v>
      </c>
      <c r="H668" s="91">
        <f>+ROUND(Návrh!H665,-3)/$X$2</f>
        <v>2452611</v>
      </c>
      <c r="I668" s="91">
        <f>+ROUND(Návrh!I665,-3)/$X$2</f>
        <v>4906219</v>
      </c>
      <c r="J668" s="91" t="e">
        <f>+ROUND(Návrh!#REF!,-3)/$X$2</f>
        <v>#REF!</v>
      </c>
      <c r="K668" s="91">
        <f>+ROUND(Návrh!J665,-3)/$X$2</f>
        <v>4940749</v>
      </c>
      <c r="L668" s="91">
        <f>+ROUND(Návrh!K665,-3)/$X$2</f>
        <v>5440900</v>
      </c>
      <c r="M668" s="103"/>
    </row>
    <row r="669" spans="1:13" x14ac:dyDescent="0.25">
      <c r="A669" s="42" t="s">
        <v>1503</v>
      </c>
      <c r="B669" s="20" t="s">
        <v>916</v>
      </c>
      <c r="C669" s="20" t="s">
        <v>920</v>
      </c>
      <c r="D669" s="20" t="s">
        <v>1523</v>
      </c>
      <c r="E669" s="290" t="s">
        <v>713</v>
      </c>
      <c r="F669" s="291"/>
      <c r="G669" s="91">
        <f>+ROUND(Návrh!G666,-3)/$X$2</f>
        <v>488751</v>
      </c>
      <c r="H669" s="91">
        <f>+ROUND(Návrh!H666,-3)/$X$2</f>
        <v>556677</v>
      </c>
      <c r="I669" s="91">
        <f>+ROUND(Návrh!I666,-3)/$X$2</f>
        <v>1106681</v>
      </c>
      <c r="J669" s="91" t="e">
        <f>+ROUND(Návrh!#REF!,-3)/$X$2</f>
        <v>#REF!</v>
      </c>
      <c r="K669" s="91">
        <f>+ROUND(Návrh!J666,-3)/$X$2</f>
        <v>1215316</v>
      </c>
      <c r="L669" s="91">
        <f>+ROUND(Návrh!K666,-3)/$X$2</f>
        <v>1350000</v>
      </c>
      <c r="M669" s="103"/>
    </row>
    <row r="670" spans="1:13" x14ac:dyDescent="0.25">
      <c r="A670" s="42" t="s">
        <v>1504</v>
      </c>
      <c r="B670" s="20"/>
      <c r="C670" s="20"/>
      <c r="D670" s="20"/>
      <c r="E670" s="290" t="s">
        <v>714</v>
      </c>
      <c r="F670" s="291"/>
      <c r="G670" s="91">
        <f>+ROUND(Návrh!G667,-3)/$X$2</f>
        <v>1923309</v>
      </c>
      <c r="H670" s="91">
        <f>+ROUND(Návrh!H667,-3)/$X$2</f>
        <v>2130170</v>
      </c>
      <c r="I670" s="91">
        <f>+ROUND(Návrh!I667,-3)/$X$2</f>
        <v>0</v>
      </c>
      <c r="J670" s="91" t="e">
        <f>+ROUND(Návrh!#REF!,-3)/$X$2</f>
        <v>#REF!</v>
      </c>
      <c r="K670" s="91">
        <f>+ROUND(Návrh!J667,-3)/$X$2</f>
        <v>0</v>
      </c>
      <c r="L670" s="91">
        <f>+ROUND(Návrh!K667,-3)/$X$2</f>
        <v>0</v>
      </c>
      <c r="M670" s="103"/>
    </row>
    <row r="671" spans="1:13" x14ac:dyDescent="0.25">
      <c r="A671" s="42" t="s">
        <v>1505</v>
      </c>
      <c r="B671" s="14"/>
      <c r="C671" s="13"/>
      <c r="D671" s="13"/>
      <c r="E671" s="290" t="s">
        <v>715</v>
      </c>
      <c r="F671" s="291"/>
      <c r="G671" s="91">
        <f>+ROUND(Návrh!G668,-3)/$X$2</f>
        <v>4295</v>
      </c>
      <c r="H671" s="91">
        <f>+ROUND(Návrh!H668,-3)/$X$2</f>
        <v>5017</v>
      </c>
      <c r="I671" s="91">
        <f>+ROUND(Návrh!I668,-3)/$X$2</f>
        <v>0</v>
      </c>
      <c r="J671" s="91" t="e">
        <f>+ROUND(Návrh!#REF!,-3)/$X$2</f>
        <v>#REF!</v>
      </c>
      <c r="K671" s="91">
        <f>+ROUND(Návrh!J668,-3)/$X$2</f>
        <v>0</v>
      </c>
      <c r="L671" s="91">
        <f>+ROUND(Návrh!K668,-3)/$X$2</f>
        <v>0</v>
      </c>
      <c r="M671" s="103"/>
    </row>
    <row r="672" spans="1:13" x14ac:dyDescent="0.25">
      <c r="A672" s="42" t="s">
        <v>1506</v>
      </c>
      <c r="B672" s="20"/>
      <c r="C672" s="20"/>
      <c r="D672" s="20"/>
      <c r="E672" s="290" t="s">
        <v>716</v>
      </c>
      <c r="F672" s="291"/>
      <c r="G672" s="91">
        <f>+ROUND(Návrh!G669,-3)/$X$2</f>
        <v>367236</v>
      </c>
      <c r="H672" s="91">
        <f>+ROUND(Návrh!H669,-3)/$X$2</f>
        <v>422336</v>
      </c>
      <c r="I672" s="91">
        <f>+ROUND(Návrh!I669,-3)/$X$2</f>
        <v>0</v>
      </c>
      <c r="J672" s="91" t="e">
        <f>+ROUND(Návrh!#REF!,-3)/$X$2</f>
        <v>#REF!</v>
      </c>
      <c r="K672" s="91">
        <f>+ROUND(Návrh!J669,-3)/$X$2</f>
        <v>0</v>
      </c>
      <c r="L672" s="91">
        <f>+ROUND(Návrh!K669,-3)/$X$2</f>
        <v>0</v>
      </c>
      <c r="M672" s="103"/>
    </row>
    <row r="673" spans="1:13" x14ac:dyDescent="0.25">
      <c r="A673" s="57" t="s">
        <v>1507</v>
      </c>
      <c r="B673" s="57"/>
      <c r="C673" s="55"/>
      <c r="D673" s="55"/>
      <c r="E673" s="288" t="s">
        <v>717</v>
      </c>
      <c r="F673" s="289"/>
      <c r="G673" s="102">
        <f>+ROUND(Návrh!G670,-3)/$X$2</f>
        <v>88150</v>
      </c>
      <c r="H673" s="102">
        <f>+ROUND(Návrh!H670,-3)/$X$2</f>
        <v>208340</v>
      </c>
      <c r="I673" s="102">
        <f>+ROUND(Návrh!I670,-3)/$X$2</f>
        <v>0</v>
      </c>
      <c r="J673" s="102" t="e">
        <f>+ROUND(Návrh!#REF!,-3)/$X$2</f>
        <v>#REF!</v>
      </c>
      <c r="K673" s="102">
        <f>+ROUND(Návrh!J670,-3)/$X$2</f>
        <v>0</v>
      </c>
      <c r="L673" s="102">
        <f>+ROUND(Návrh!K670,-3)/$X$2</f>
        <v>0</v>
      </c>
      <c r="M673" s="103"/>
    </row>
    <row r="674" spans="1:13" x14ac:dyDescent="0.25">
      <c r="A674" s="42" t="s">
        <v>1508</v>
      </c>
      <c r="B674" s="20" t="s">
        <v>916</v>
      </c>
      <c r="C674" s="20" t="s">
        <v>920</v>
      </c>
      <c r="D674" s="20" t="s">
        <v>1523</v>
      </c>
      <c r="E674" s="290" t="s">
        <v>718</v>
      </c>
      <c r="F674" s="291"/>
      <c r="G674" s="91">
        <f>+ROUND(Návrh!G671,-3)/$X$2</f>
        <v>22472</v>
      </c>
      <c r="H674" s="91">
        <f>+ROUND(Návrh!H671,-3)/$X$2</f>
        <v>136362</v>
      </c>
      <c r="I674" s="91">
        <f>+ROUND(Návrh!I671,-3)/$X$2</f>
        <v>0</v>
      </c>
      <c r="J674" s="91" t="e">
        <f>+ROUND(Návrh!#REF!,-3)/$X$2</f>
        <v>#REF!</v>
      </c>
      <c r="K674" s="91">
        <f>+ROUND(Návrh!J671,-3)/$X$2</f>
        <v>0</v>
      </c>
      <c r="L674" s="91">
        <f>+ROUND(Návrh!K671,-3)/$X$2</f>
        <v>0</v>
      </c>
      <c r="M674" s="103"/>
    </row>
    <row r="675" spans="1:13" x14ac:dyDescent="0.25">
      <c r="A675" s="42" t="s">
        <v>1509</v>
      </c>
      <c r="B675" s="14"/>
      <c r="C675" s="13"/>
      <c r="D675" s="13"/>
      <c r="E675" s="290" t="s">
        <v>719</v>
      </c>
      <c r="F675" s="291"/>
      <c r="G675" s="91">
        <f>+ROUND(Návrh!G672,-3)/$X$2</f>
        <v>65679</v>
      </c>
      <c r="H675" s="91">
        <f>+ROUND(Návrh!H672,-3)/$X$2</f>
        <v>71978</v>
      </c>
      <c r="I675" s="91">
        <f>+ROUND(Návrh!I672,-3)/$X$2</f>
        <v>0</v>
      </c>
      <c r="J675" s="91" t="e">
        <f>+ROUND(Návrh!#REF!,-3)/$X$2</f>
        <v>#REF!</v>
      </c>
      <c r="K675" s="91">
        <f>+ROUND(Návrh!J672,-3)/$X$2</f>
        <v>0</v>
      </c>
      <c r="L675" s="91">
        <f>+ROUND(Návrh!K672,-3)/$X$2</f>
        <v>0</v>
      </c>
      <c r="M675" s="103"/>
    </row>
    <row r="676" spans="1:13" x14ac:dyDescent="0.25">
      <c r="A676" s="53" t="s">
        <v>720</v>
      </c>
      <c r="B676" s="53"/>
      <c r="C676" s="51"/>
      <c r="D676" s="51"/>
      <c r="E676" s="282" t="s">
        <v>721</v>
      </c>
      <c r="F676" s="283"/>
      <c r="G676" s="101">
        <f>+ROUND(Návrh!G673,-3)/$X$2</f>
        <v>377758</v>
      </c>
      <c r="H676" s="101">
        <f>+ROUND(Návrh!H673,-3)/$X$2</f>
        <v>412942</v>
      </c>
      <c r="I676" s="101">
        <f>+ROUND(Návrh!I673,-3)/$X$2</f>
        <v>430369</v>
      </c>
      <c r="J676" s="101" t="e">
        <f>+ROUND(Návrh!#REF!,-3)/$X$2</f>
        <v>#REF!</v>
      </c>
      <c r="K676" s="101">
        <f>+ROUND(Návrh!J673,-3)/$X$2</f>
        <v>434879</v>
      </c>
      <c r="L676" s="101">
        <f>+ROUND(Návrh!K673,-3)/$X$2</f>
        <v>454304</v>
      </c>
      <c r="M676" s="103"/>
    </row>
    <row r="677" spans="1:13" x14ac:dyDescent="0.25">
      <c r="A677" s="57" t="s">
        <v>1510</v>
      </c>
      <c r="B677" s="57"/>
      <c r="C677" s="55"/>
      <c r="D677" s="55"/>
      <c r="E677" s="288" t="s">
        <v>722</v>
      </c>
      <c r="F677" s="289"/>
      <c r="G677" s="102">
        <f>+ROUND(Návrh!G674,-3)/$X$2</f>
        <v>2565</v>
      </c>
      <c r="H677" s="102">
        <f>+ROUND(Návrh!H674,-3)/$X$2</f>
        <v>4228</v>
      </c>
      <c r="I677" s="102">
        <f>+ROUND(Návrh!I674,-3)/$X$2</f>
        <v>4469</v>
      </c>
      <c r="J677" s="102" t="e">
        <f>+ROUND(Návrh!#REF!,-3)/$X$2</f>
        <v>#REF!</v>
      </c>
      <c r="K677" s="102">
        <f>+ROUND(Návrh!J674,-3)/$X$2</f>
        <v>0</v>
      </c>
      <c r="L677" s="102">
        <f>+ROUND(Návrh!K674,-3)/$X$2</f>
        <v>4547</v>
      </c>
      <c r="M677" s="103"/>
    </row>
    <row r="678" spans="1:13" x14ac:dyDescent="0.25">
      <c r="A678" s="42" t="s">
        <v>1511</v>
      </c>
      <c r="B678" s="27" t="s">
        <v>916</v>
      </c>
      <c r="C678" s="28" t="s">
        <v>923</v>
      </c>
      <c r="D678" s="28" t="s">
        <v>917</v>
      </c>
      <c r="E678" s="290" t="s">
        <v>723</v>
      </c>
      <c r="F678" s="291"/>
      <c r="G678" s="91">
        <f>+ROUND(Návrh!G675,-3)/$X$2</f>
        <v>2376</v>
      </c>
      <c r="H678" s="91">
        <f>+ROUND(Návrh!H675,-3)/$X$2</f>
        <v>4000</v>
      </c>
      <c r="I678" s="91">
        <f>+ROUND(Návrh!I675,-3)/$X$2</f>
        <v>4154</v>
      </c>
      <c r="J678" s="91" t="e">
        <f>+ROUND(Návrh!#REF!,-3)/$X$2</f>
        <v>#REF!</v>
      </c>
      <c r="K678" s="91">
        <f>+ROUND(Návrh!J675,-3)/$X$2</f>
        <v>0</v>
      </c>
      <c r="L678" s="91">
        <f>+ROUND(Návrh!K675,-3)/$X$2</f>
        <v>4307</v>
      </c>
      <c r="M678" s="70"/>
    </row>
    <row r="679" spans="1:13" x14ac:dyDescent="0.25">
      <c r="A679" s="42" t="s">
        <v>1512</v>
      </c>
      <c r="B679" s="27" t="s">
        <v>916</v>
      </c>
      <c r="C679" s="28" t="s">
        <v>919</v>
      </c>
      <c r="D679" s="28" t="s">
        <v>917</v>
      </c>
      <c r="E679" s="290" t="s">
        <v>184</v>
      </c>
      <c r="F679" s="291"/>
      <c r="G679" s="91">
        <f>+ROUND(Návrh!G676,-3)/$X$2</f>
        <v>189</v>
      </c>
      <c r="H679" s="91">
        <f>+ROUND(Návrh!H676,-3)/$X$2</f>
        <v>228</v>
      </c>
      <c r="I679" s="91">
        <f>+ROUND(Návrh!I676,-3)/$X$2</f>
        <v>315</v>
      </c>
      <c r="J679" s="91" t="e">
        <f>+ROUND(Návrh!#REF!,-3)/$X$2</f>
        <v>#REF!</v>
      </c>
      <c r="K679" s="91">
        <f>+ROUND(Návrh!J676,-3)/$X$2</f>
        <v>0</v>
      </c>
      <c r="L679" s="91">
        <f>+ROUND(Návrh!K676,-3)/$X$2</f>
        <v>240</v>
      </c>
      <c r="M679" s="70"/>
    </row>
    <row r="680" spans="1:13" x14ac:dyDescent="0.25">
      <c r="A680" s="57" t="s">
        <v>1513</v>
      </c>
      <c r="B680" s="57"/>
      <c r="C680" s="55"/>
      <c r="D680" s="55"/>
      <c r="E680" s="288" t="s">
        <v>724</v>
      </c>
      <c r="F680" s="289"/>
      <c r="G680" s="102">
        <f>+ROUND(Návrh!G677,-3)/$X$2</f>
        <v>375192</v>
      </c>
      <c r="H680" s="102">
        <f>+ROUND(Návrh!H677,-3)/$X$2</f>
        <v>408714</v>
      </c>
      <c r="I680" s="102">
        <f>+ROUND(Návrh!I677,-3)/$X$2</f>
        <v>425900</v>
      </c>
      <c r="J680" s="102" t="e">
        <f>+ROUND(Návrh!#REF!,-3)/$X$2</f>
        <v>#REF!</v>
      </c>
      <c r="K680" s="102">
        <f>+ROUND(Návrh!J677,-3)/$X$2</f>
        <v>0</v>
      </c>
      <c r="L680" s="102">
        <f>+ROUND(Návrh!K677,-3)/$X$2</f>
        <v>449757</v>
      </c>
      <c r="M680" s="70"/>
    </row>
    <row r="681" spans="1:13" x14ac:dyDescent="0.25">
      <c r="A681" s="42" t="s">
        <v>1514</v>
      </c>
      <c r="B681" s="20" t="s">
        <v>922</v>
      </c>
      <c r="C681" s="20" t="s">
        <v>923</v>
      </c>
      <c r="D681" s="20" t="s">
        <v>1114</v>
      </c>
      <c r="E681" s="290" t="s">
        <v>725</v>
      </c>
      <c r="F681" s="291"/>
      <c r="G681" s="91">
        <f>+ROUND(Návrh!G678,-3)/$X$2</f>
        <v>28803</v>
      </c>
      <c r="H681" s="91">
        <f>+ROUND(Návrh!H678,-3)/$X$2</f>
        <v>33321</v>
      </c>
      <c r="I681" s="91">
        <f>+ROUND(Návrh!I678,-3)/$X$2</f>
        <v>34300</v>
      </c>
      <c r="J681" s="91" t="e">
        <f>+ROUND(Návrh!#REF!,-3)/$X$2</f>
        <v>#REF!</v>
      </c>
      <c r="K681" s="91">
        <f>+ROUND(Návrh!J678,-3)/$X$2</f>
        <v>0</v>
      </c>
      <c r="L681" s="91">
        <f>+ROUND(Návrh!K678,-3)/$X$2</f>
        <v>38920</v>
      </c>
      <c r="M681" s="70"/>
    </row>
    <row r="682" spans="1:13" x14ac:dyDescent="0.25">
      <c r="A682" s="42" t="s">
        <v>1515</v>
      </c>
      <c r="B682" s="20" t="s">
        <v>922</v>
      </c>
      <c r="C682" s="20" t="s">
        <v>923</v>
      </c>
      <c r="D682" s="20" t="s">
        <v>1114</v>
      </c>
      <c r="E682" s="290" t="s">
        <v>726</v>
      </c>
      <c r="F682" s="291"/>
      <c r="G682" s="91">
        <f>+ROUND(Návrh!G679,-3)/$X$2</f>
        <v>1079</v>
      </c>
      <c r="H682" s="91">
        <f>+ROUND(Návrh!H679,-3)/$X$2</f>
        <v>1395</v>
      </c>
      <c r="I682" s="91">
        <f>+ROUND(Návrh!I679,-3)/$X$2</f>
        <v>1400</v>
      </c>
      <c r="J682" s="91" t="e">
        <f>+ROUND(Návrh!#REF!,-3)/$X$2</f>
        <v>#REF!</v>
      </c>
      <c r="K682" s="91">
        <f>+ROUND(Návrh!J679,-3)/$X$2</f>
        <v>0</v>
      </c>
      <c r="L682" s="91">
        <f>+ROUND(Návrh!K679,-3)/$X$2</f>
        <v>1953</v>
      </c>
      <c r="M682" s="70"/>
    </row>
    <row r="683" spans="1:13" x14ac:dyDescent="0.25">
      <c r="A683" s="42" t="s">
        <v>1516</v>
      </c>
      <c r="B683" s="20" t="s">
        <v>922</v>
      </c>
      <c r="C683" s="20" t="s">
        <v>923</v>
      </c>
      <c r="D683" s="20" t="s">
        <v>1114</v>
      </c>
      <c r="E683" s="290" t="s">
        <v>727</v>
      </c>
      <c r="F683" s="291"/>
      <c r="G683" s="91">
        <f>+ROUND(Návrh!G680,-3)/$X$2</f>
        <v>6172</v>
      </c>
      <c r="H683" s="91">
        <f>+ROUND(Návrh!H680,-3)/$X$2</f>
        <v>4617</v>
      </c>
      <c r="I683" s="91">
        <f>+ROUND(Návrh!I680,-3)/$X$2</f>
        <v>5300</v>
      </c>
      <c r="J683" s="91" t="e">
        <f>+ROUND(Návrh!#REF!,-3)/$X$2</f>
        <v>#REF!</v>
      </c>
      <c r="K683" s="91">
        <f>+ROUND(Návrh!J680,-3)/$X$2</f>
        <v>0</v>
      </c>
      <c r="L683" s="91">
        <f>+ROUND(Návrh!K680,-3)/$X$2</f>
        <v>1507</v>
      </c>
      <c r="M683" s="70"/>
    </row>
    <row r="684" spans="1:13" x14ac:dyDescent="0.25">
      <c r="A684" s="42" t="s">
        <v>1517</v>
      </c>
      <c r="B684" s="20" t="s">
        <v>922</v>
      </c>
      <c r="C684" s="20" t="s">
        <v>923</v>
      </c>
      <c r="D684" s="20" t="s">
        <v>1114</v>
      </c>
      <c r="E684" s="290" t="s">
        <v>728</v>
      </c>
      <c r="F684" s="291"/>
      <c r="G684" s="91">
        <f>+ROUND(Návrh!G681,-3)/$X$2</f>
        <v>161200</v>
      </c>
      <c r="H684" s="91">
        <f>+ROUND(Návrh!H681,-3)/$X$2</f>
        <v>179799</v>
      </c>
      <c r="I684" s="91">
        <f>+ROUND(Návrh!I681,-3)/$X$2</f>
        <v>315100</v>
      </c>
      <c r="J684" s="91" t="e">
        <f>+ROUND(Návrh!#REF!,-3)/$X$2</f>
        <v>#REF!</v>
      </c>
      <c r="K684" s="91">
        <f>+ROUND(Návrh!J681,-3)/$X$2</f>
        <v>0</v>
      </c>
      <c r="L684" s="91">
        <f>+ROUND(Návrh!K681,-3)/$X$2</f>
        <v>331399</v>
      </c>
      <c r="M684" s="70"/>
    </row>
    <row r="685" spans="1:13" x14ac:dyDescent="0.25">
      <c r="A685" s="42" t="s">
        <v>1518</v>
      </c>
      <c r="B685" s="20" t="s">
        <v>922</v>
      </c>
      <c r="C685" s="20" t="s">
        <v>923</v>
      </c>
      <c r="D685" s="20" t="s">
        <v>1114</v>
      </c>
      <c r="E685" s="290" t="s">
        <v>729</v>
      </c>
      <c r="F685" s="291"/>
      <c r="G685" s="91">
        <f>+ROUND(Návrh!G682,-3)/$X$2</f>
        <v>5646</v>
      </c>
      <c r="H685" s="91">
        <f>+ROUND(Návrh!H682,-3)/$X$2</f>
        <v>6696</v>
      </c>
      <c r="I685" s="91">
        <f>+ROUND(Návrh!I682,-3)/$X$2</f>
        <v>7000</v>
      </c>
      <c r="J685" s="91" t="e">
        <f>+ROUND(Návrh!#REF!,-3)/$X$2</f>
        <v>#REF!</v>
      </c>
      <c r="K685" s="91">
        <f>+ROUND(Návrh!J682,-3)/$X$2</f>
        <v>0</v>
      </c>
      <c r="L685" s="91">
        <f>+ROUND(Návrh!K682,-3)/$X$2</f>
        <v>7710</v>
      </c>
      <c r="M685" s="70"/>
    </row>
    <row r="686" spans="1:13" x14ac:dyDescent="0.25">
      <c r="A686" s="42" t="s">
        <v>1519</v>
      </c>
      <c r="B686" s="20" t="s">
        <v>922</v>
      </c>
      <c r="C686" s="20" t="s">
        <v>923</v>
      </c>
      <c r="D686" s="20" t="s">
        <v>1114</v>
      </c>
      <c r="E686" s="290" t="s">
        <v>730</v>
      </c>
      <c r="F686" s="291"/>
      <c r="G686" s="91">
        <f>+ROUND(Návrh!G683,-3)/$X$2</f>
        <v>22116</v>
      </c>
      <c r="H686" s="91">
        <f>+ROUND(Návrh!H683,-3)/$X$2</f>
        <v>24789</v>
      </c>
      <c r="I686" s="91">
        <f>+ROUND(Návrh!I683,-3)/$X$2</f>
        <v>46800</v>
      </c>
      <c r="J686" s="91" t="e">
        <f>+ROUND(Návrh!#REF!,-3)/$X$2</f>
        <v>#REF!</v>
      </c>
      <c r="K686" s="91">
        <f>+ROUND(Návrh!J683,-3)/$X$2</f>
        <v>0</v>
      </c>
      <c r="L686" s="91">
        <f>+ROUND(Návrh!K683,-3)/$X$2</f>
        <v>50627</v>
      </c>
      <c r="M686" s="70"/>
    </row>
    <row r="687" spans="1:13" x14ac:dyDescent="0.25">
      <c r="A687" s="42" t="s">
        <v>1520</v>
      </c>
      <c r="B687" s="35" t="s">
        <v>922</v>
      </c>
      <c r="C687" s="35" t="s">
        <v>923</v>
      </c>
      <c r="D687" s="35" t="s">
        <v>1114</v>
      </c>
      <c r="E687" s="290" t="s">
        <v>731</v>
      </c>
      <c r="F687" s="291"/>
      <c r="G687" s="91">
        <f>+ROUND(Návrh!G684,-3)/$X$2</f>
        <v>780</v>
      </c>
      <c r="H687" s="91">
        <f>+ROUND(Návrh!H684,-3)/$X$2</f>
        <v>516</v>
      </c>
      <c r="I687" s="91">
        <f>+ROUND(Návrh!I684,-3)/$X$2</f>
        <v>600</v>
      </c>
      <c r="J687" s="91" t="e">
        <f>+ROUND(Návrh!#REF!,-3)/$X$2</f>
        <v>#REF!</v>
      </c>
      <c r="K687" s="91">
        <f>+ROUND(Návrh!J684,-3)/$X$2</f>
        <v>0</v>
      </c>
      <c r="L687" s="91">
        <f>+ROUND(Návrh!K684,-3)/$X$2</f>
        <v>2441</v>
      </c>
      <c r="M687" s="70"/>
    </row>
    <row r="688" spans="1:13" x14ac:dyDescent="0.25">
      <c r="A688" s="42" t="s">
        <v>1521</v>
      </c>
      <c r="B688" s="20" t="s">
        <v>922</v>
      </c>
      <c r="C688" s="20" t="s">
        <v>923</v>
      </c>
      <c r="D688" s="20" t="s">
        <v>1114</v>
      </c>
      <c r="E688" s="290" t="s">
        <v>732</v>
      </c>
      <c r="F688" s="291"/>
      <c r="G688" s="91">
        <f>+ROUND(Návrh!G685,-3)/$X$2</f>
        <v>235</v>
      </c>
      <c r="H688" s="91">
        <f>+ROUND(Návrh!H685,-3)/$X$2</f>
        <v>178</v>
      </c>
      <c r="I688" s="91">
        <f>+ROUND(Návrh!I685,-3)/$X$2</f>
        <v>400</v>
      </c>
      <c r="J688" s="91" t="e">
        <f>+ROUND(Návrh!#REF!,-3)/$X$2</f>
        <v>#REF!</v>
      </c>
      <c r="K688" s="91">
        <f>+ROUND(Návrh!J685,-3)/$X$2</f>
        <v>0</v>
      </c>
      <c r="L688" s="91">
        <f>+ROUND(Návrh!K685,-3)/$X$2</f>
        <v>386</v>
      </c>
      <c r="M688" s="70"/>
    </row>
    <row r="689" spans="1:13" x14ac:dyDescent="0.25">
      <c r="A689" s="42" t="s">
        <v>1522</v>
      </c>
      <c r="B689" s="20" t="s">
        <v>922</v>
      </c>
      <c r="C689" s="20" t="s">
        <v>923</v>
      </c>
      <c r="D689" s="20" t="s">
        <v>1114</v>
      </c>
      <c r="E689" s="290" t="s">
        <v>733</v>
      </c>
      <c r="F689" s="291"/>
      <c r="G689" s="91">
        <f>+ROUND(Návrh!G686,-3)/$X$2</f>
        <v>651</v>
      </c>
      <c r="H689" s="91">
        <f>+ROUND(Návrh!H686,-3)/$X$2</f>
        <v>626</v>
      </c>
      <c r="I689" s="91">
        <f>+ROUND(Návrh!I686,-3)/$X$2</f>
        <v>1350</v>
      </c>
      <c r="J689" s="91" t="e">
        <f>+ROUND(Návrh!#REF!,-3)/$X$2</f>
        <v>#REF!</v>
      </c>
      <c r="K689" s="91">
        <f>+ROUND(Návrh!J686,-3)/$X$2</f>
        <v>0</v>
      </c>
      <c r="L689" s="91">
        <f>+ROUND(Návrh!K686,-3)/$X$2</f>
        <v>914</v>
      </c>
      <c r="M689" s="70"/>
    </row>
    <row r="690" spans="1:13" x14ac:dyDescent="0.25">
      <c r="A690" s="42" t="s">
        <v>1524</v>
      </c>
      <c r="B690" s="20" t="s">
        <v>922</v>
      </c>
      <c r="C690" s="20" t="s">
        <v>923</v>
      </c>
      <c r="D690" s="20" t="s">
        <v>1114</v>
      </c>
      <c r="E690" s="290" t="s">
        <v>734</v>
      </c>
      <c r="F690" s="291"/>
      <c r="G690" s="91">
        <f>+ROUND(Návrh!G687,-3)/$X$2</f>
        <v>1577</v>
      </c>
      <c r="H690" s="91">
        <f>+ROUND(Návrh!H687,-3)/$X$2</f>
        <v>1693</v>
      </c>
      <c r="I690" s="91">
        <f>+ROUND(Návrh!I687,-3)/$X$2</f>
        <v>1700</v>
      </c>
      <c r="J690" s="91" t="e">
        <f>+ROUND(Návrh!#REF!,-3)/$X$2</f>
        <v>#REF!</v>
      </c>
      <c r="K690" s="91">
        <f>+ROUND(Návrh!J687,-3)/$X$2</f>
        <v>0</v>
      </c>
      <c r="L690" s="91">
        <f>+ROUND(Návrh!K687,-3)/$X$2</f>
        <v>165</v>
      </c>
      <c r="M690" s="70"/>
    </row>
    <row r="691" spans="1:13" x14ac:dyDescent="0.25">
      <c r="A691" s="42" t="s">
        <v>1525</v>
      </c>
      <c r="B691" s="20" t="s">
        <v>922</v>
      </c>
      <c r="C691" s="20" t="s">
        <v>923</v>
      </c>
      <c r="D691" s="20" t="s">
        <v>1114</v>
      </c>
      <c r="E691" s="290" t="s">
        <v>735</v>
      </c>
      <c r="F691" s="291"/>
      <c r="G691" s="91">
        <f>+ROUND(Návrh!G688,-3)/$X$2</f>
        <v>9917</v>
      </c>
      <c r="H691" s="91">
        <f>+ROUND(Návrh!H688,-3)/$X$2</f>
        <v>11566</v>
      </c>
      <c r="I691" s="91">
        <f>+ROUND(Návrh!I688,-3)/$X$2</f>
        <v>11700</v>
      </c>
      <c r="J691" s="91" t="e">
        <f>+ROUND(Návrh!#REF!,-3)/$X$2</f>
        <v>#REF!</v>
      </c>
      <c r="K691" s="91">
        <f>+ROUND(Návrh!J688,-3)/$X$2</f>
        <v>0</v>
      </c>
      <c r="L691" s="91">
        <f>+ROUND(Návrh!K688,-3)/$X$2</f>
        <v>13734</v>
      </c>
      <c r="M691" s="70"/>
    </row>
    <row r="692" spans="1:13" x14ac:dyDescent="0.25">
      <c r="A692" s="42" t="s">
        <v>1526</v>
      </c>
      <c r="B692" s="20" t="s">
        <v>922</v>
      </c>
      <c r="C692" s="20" t="s">
        <v>923</v>
      </c>
      <c r="D692" s="20" t="s">
        <v>1114</v>
      </c>
      <c r="E692" s="290" t="s">
        <v>1674</v>
      </c>
      <c r="F692" s="291"/>
      <c r="G692" s="91">
        <f>+ROUND(Návrh!G689,-3)/$X$2</f>
        <v>90</v>
      </c>
      <c r="H692" s="91">
        <f>+ROUND(Návrh!H689,-3)/$X$2</f>
        <v>148</v>
      </c>
      <c r="I692" s="91">
        <f>+ROUND(Návrh!I689,-3)/$X$2</f>
        <v>250</v>
      </c>
      <c r="J692" s="91" t="e">
        <f>+ROUND(Návrh!#REF!,-3)/$X$2</f>
        <v>#REF!</v>
      </c>
      <c r="K692" s="91">
        <f>+ROUND(Návrh!J689,-3)/$X$2</f>
        <v>0</v>
      </c>
      <c r="L692" s="91">
        <f>+ROUND(Návrh!K689,-3)/$X$2</f>
        <v>0</v>
      </c>
      <c r="M692" s="70"/>
    </row>
    <row r="693" spans="1:13" x14ac:dyDescent="0.25">
      <c r="A693" s="42" t="s">
        <v>1527</v>
      </c>
      <c r="B693" s="35"/>
      <c r="C693" s="35"/>
      <c r="D693" s="35"/>
      <c r="E693" s="290" t="s">
        <v>736</v>
      </c>
      <c r="F693" s="291"/>
      <c r="G693" s="91">
        <f>+ROUND(Návrh!G690,-3)/$X$2</f>
        <v>117633</v>
      </c>
      <c r="H693" s="91">
        <f>+ROUND(Návrh!H690,-3)/$X$2</f>
        <v>122455</v>
      </c>
      <c r="I693" s="91">
        <f>+ROUND(Návrh!I690,-3)/$X$2</f>
        <v>0</v>
      </c>
      <c r="J693" s="91" t="e">
        <f>+ROUND(Návrh!#REF!,-3)/$X$2</f>
        <v>#REF!</v>
      </c>
      <c r="K693" s="91">
        <f>+ROUND(Návrh!J690,-3)/$X$2</f>
        <v>0</v>
      </c>
      <c r="L693" s="91">
        <f>+ROUND(Návrh!K690,-3)/$X$2</f>
        <v>0</v>
      </c>
      <c r="M693" s="70"/>
    </row>
    <row r="694" spans="1:13" x14ac:dyDescent="0.25">
      <c r="A694" s="42" t="s">
        <v>1528</v>
      </c>
      <c r="B694" s="20"/>
      <c r="C694" s="20"/>
      <c r="D694" s="20"/>
      <c r="E694" s="290" t="s">
        <v>737</v>
      </c>
      <c r="F694" s="291"/>
      <c r="G694" s="91">
        <f>+ROUND(Návrh!G691,-3)/$X$2</f>
        <v>18057</v>
      </c>
      <c r="H694" s="91">
        <f>+ROUND(Návrh!H691,-3)/$X$2</f>
        <v>20085</v>
      </c>
      <c r="I694" s="91">
        <f>+ROUND(Návrh!I691,-3)/$X$2</f>
        <v>0</v>
      </c>
      <c r="J694" s="91" t="e">
        <f>+ROUND(Návrh!#REF!,-3)/$X$2</f>
        <v>#REF!</v>
      </c>
      <c r="K694" s="91">
        <f>+ROUND(Návrh!J691,-3)/$X$2</f>
        <v>0</v>
      </c>
      <c r="L694" s="91">
        <f>+ROUND(Návrh!K691,-3)/$X$2</f>
        <v>0</v>
      </c>
      <c r="M694" s="70"/>
    </row>
    <row r="695" spans="1:13" x14ac:dyDescent="0.25">
      <c r="A695" s="86" t="s">
        <v>1672</v>
      </c>
      <c r="B695" s="21" t="s">
        <v>922</v>
      </c>
      <c r="C695" s="21" t="s">
        <v>923</v>
      </c>
      <c r="D695" s="21" t="s">
        <v>1114</v>
      </c>
      <c r="E695" s="292" t="s">
        <v>1673</v>
      </c>
      <c r="F695" s="293"/>
      <c r="G695" s="98">
        <f>+ROUND(Návrh!G692,-3)/$X$2</f>
        <v>0</v>
      </c>
      <c r="H695" s="98">
        <f>+ROUND(Návrh!H692,-3)/$X$2</f>
        <v>0</v>
      </c>
      <c r="I695" s="98">
        <f>+ROUND(Návrh!I692,-3)/$X$2</f>
        <v>0</v>
      </c>
      <c r="J695" s="98" t="e">
        <f>+ROUND(Návrh!#REF!,-3)/$X$2</f>
        <v>#REF!</v>
      </c>
      <c r="K695" s="98">
        <f>+ROUND(Návrh!J692,-3)/$X$2</f>
        <v>0</v>
      </c>
      <c r="L695" s="98">
        <f>+ROUND(Návrh!K692,-3)/$X$2</f>
        <v>0</v>
      </c>
      <c r="M695" s="70"/>
    </row>
    <row r="696" spans="1:13" x14ac:dyDescent="0.25">
      <c r="A696" s="42" t="s">
        <v>1529</v>
      </c>
      <c r="B696" s="20" t="s">
        <v>922</v>
      </c>
      <c r="C696" s="20" t="s">
        <v>923</v>
      </c>
      <c r="D696" s="20" t="s">
        <v>1114</v>
      </c>
      <c r="E696" s="290" t="s">
        <v>738</v>
      </c>
      <c r="F696" s="291"/>
      <c r="G696" s="91">
        <f>+ROUND(Návrh!G693,-3)/$X$2</f>
        <v>0</v>
      </c>
      <c r="H696" s="91">
        <f>+ROUND(Návrh!H693,-3)/$X$2</f>
        <v>4</v>
      </c>
      <c r="I696" s="91">
        <f>+ROUND(Návrh!I693,-3)/$X$2</f>
        <v>0</v>
      </c>
      <c r="J696" s="91" t="e">
        <f>+ROUND(Návrh!#REF!,-3)/$X$2</f>
        <v>#REF!</v>
      </c>
      <c r="K696" s="91">
        <f>+ROUND(Návrh!J693,-3)/$X$2</f>
        <v>0</v>
      </c>
      <c r="L696" s="91">
        <f>+ROUND(Návrh!K693,-3)/$X$2</f>
        <v>0</v>
      </c>
      <c r="M696" s="70"/>
    </row>
    <row r="697" spans="1:13" x14ac:dyDescent="0.25">
      <c r="A697" s="42" t="s">
        <v>1530</v>
      </c>
      <c r="B697" s="20"/>
      <c r="C697" s="20"/>
      <c r="D697" s="20"/>
      <c r="E697" s="290" t="s">
        <v>739</v>
      </c>
      <c r="F697" s="291"/>
      <c r="G697" s="91">
        <f>+ROUND(Návrh!G694,-3)/$X$2</f>
        <v>506</v>
      </c>
      <c r="H697" s="91">
        <f>+ROUND(Návrh!H694,-3)/$X$2</f>
        <v>163</v>
      </c>
      <c r="I697" s="91">
        <f>+ROUND(Návrh!I694,-3)/$X$2</f>
        <v>0</v>
      </c>
      <c r="J697" s="91" t="e">
        <f>+ROUND(Návrh!#REF!,-3)/$X$2</f>
        <v>#REF!</v>
      </c>
      <c r="K697" s="91">
        <f>+ROUND(Návrh!J694,-3)/$X$2</f>
        <v>0</v>
      </c>
      <c r="L697" s="91">
        <f>+ROUND(Návrh!K694,-3)/$X$2</f>
        <v>0</v>
      </c>
      <c r="M697" s="70"/>
    </row>
    <row r="698" spans="1:13" x14ac:dyDescent="0.25">
      <c r="A698" s="42" t="s">
        <v>1531</v>
      </c>
      <c r="B698" s="20"/>
      <c r="C698" s="20"/>
      <c r="D698" s="20"/>
      <c r="E698" s="290" t="s">
        <v>740</v>
      </c>
      <c r="F698" s="291"/>
      <c r="G698" s="91">
        <f>+ROUND(Návrh!G695,-3)/$X$2</f>
        <v>732</v>
      </c>
      <c r="H698" s="91">
        <f>+ROUND(Návrh!H695,-3)/$X$2</f>
        <v>663</v>
      </c>
      <c r="I698" s="91">
        <f>+ROUND(Návrh!I695,-3)/$X$2</f>
        <v>0</v>
      </c>
      <c r="J698" s="91" t="e">
        <f>+ROUND(Návrh!#REF!,-3)/$X$2</f>
        <v>#REF!</v>
      </c>
      <c r="K698" s="91">
        <f>+ROUND(Návrh!J695,-3)/$X$2</f>
        <v>0</v>
      </c>
      <c r="L698" s="91">
        <f>+ROUND(Návrh!K695,-3)/$X$2</f>
        <v>0</v>
      </c>
      <c r="M698" s="70"/>
    </row>
    <row r="699" spans="1:13" x14ac:dyDescent="0.25">
      <c r="A699" s="53" t="s">
        <v>741</v>
      </c>
      <c r="B699" s="53"/>
      <c r="C699" s="51"/>
      <c r="D699" s="51"/>
      <c r="E699" s="282" t="s">
        <v>742</v>
      </c>
      <c r="F699" s="283"/>
      <c r="G699" s="101">
        <f>+ROUND(Návrh!G696,-3)/$X$2</f>
        <v>20879</v>
      </c>
      <c r="H699" s="101">
        <f>+ROUND(Návrh!H696,-3)/$X$2</f>
        <v>20548</v>
      </c>
      <c r="I699" s="101">
        <f>+ROUND(Návrh!I696,-3)/$X$2</f>
        <v>20460</v>
      </c>
      <c r="J699" s="101" t="e">
        <f>+ROUND(Návrh!#REF!,-3)/$X$2</f>
        <v>#REF!</v>
      </c>
      <c r="K699" s="101">
        <f>+ROUND(Návrh!J696,-3)/$X$2</f>
        <v>21951</v>
      </c>
      <c r="L699" s="101">
        <f>+ROUND(Návrh!K696,-3)/$X$2</f>
        <v>22604</v>
      </c>
      <c r="M699" s="70"/>
    </row>
    <row r="700" spans="1:13" x14ac:dyDescent="0.25">
      <c r="A700" s="57" t="s">
        <v>1532</v>
      </c>
      <c r="B700" s="57"/>
      <c r="C700" s="55"/>
      <c r="D700" s="55"/>
      <c r="E700" s="288" t="s">
        <v>743</v>
      </c>
      <c r="F700" s="289"/>
      <c r="G700" s="102">
        <f>+ROUND(Návrh!G697,-3)/$X$2</f>
        <v>20879</v>
      </c>
      <c r="H700" s="102">
        <f>+ROUND(Návrh!H697,-3)/$X$2</f>
        <v>20548</v>
      </c>
      <c r="I700" s="102">
        <f>+ROUND(Návrh!I697,-3)/$X$2</f>
        <v>20460</v>
      </c>
      <c r="J700" s="102" t="e">
        <f>+ROUND(Návrh!#REF!,-3)/$X$2</f>
        <v>#REF!</v>
      </c>
      <c r="K700" s="102">
        <f>+ROUND(Návrh!J697,-3)/$X$2</f>
        <v>0</v>
      </c>
      <c r="L700" s="102">
        <f>+ROUND(Návrh!K697,-3)/$X$2</f>
        <v>22604</v>
      </c>
      <c r="M700" s="70"/>
    </row>
    <row r="701" spans="1:13" x14ac:dyDescent="0.25">
      <c r="A701" s="42" t="s">
        <v>1533</v>
      </c>
      <c r="B701" s="27" t="s">
        <v>916</v>
      </c>
      <c r="C701" s="28" t="s">
        <v>919</v>
      </c>
      <c r="D701" s="28" t="s">
        <v>917</v>
      </c>
      <c r="E701" s="290" t="s">
        <v>744</v>
      </c>
      <c r="F701" s="291"/>
      <c r="G701" s="91">
        <f>+ROUND(Návrh!G698,-3)/$X$2</f>
        <v>9352</v>
      </c>
      <c r="H701" s="91">
        <f>+ROUND(Návrh!H698,-3)/$X$2</f>
        <v>9573</v>
      </c>
      <c r="I701" s="91">
        <f>+ROUND(Návrh!I698,-3)/$X$2</f>
        <v>9500</v>
      </c>
      <c r="J701" s="91" t="e">
        <f>+ROUND(Návrh!#REF!,-3)/$X$2</f>
        <v>#REF!</v>
      </c>
      <c r="K701" s="91">
        <f>+ROUND(Návrh!J698,-3)/$X$2</f>
        <v>0</v>
      </c>
      <c r="L701" s="91">
        <f>+ROUND(Návrh!K698,-3)/$X$2</f>
        <v>10296</v>
      </c>
      <c r="M701" s="70"/>
    </row>
    <row r="702" spans="1:13" x14ac:dyDescent="0.25">
      <c r="A702" s="42" t="s">
        <v>1534</v>
      </c>
      <c r="B702" s="27" t="s">
        <v>916</v>
      </c>
      <c r="C702" s="28" t="s">
        <v>919</v>
      </c>
      <c r="D702" s="28" t="s">
        <v>917</v>
      </c>
      <c r="E702" s="290" t="s">
        <v>745</v>
      </c>
      <c r="F702" s="291"/>
      <c r="G702" s="91">
        <f>+ROUND(Návrh!G699,-3)/$X$2</f>
        <v>918</v>
      </c>
      <c r="H702" s="91">
        <f>+ROUND(Návrh!H699,-3)/$X$2</f>
        <v>903</v>
      </c>
      <c r="I702" s="91">
        <f>+ROUND(Návrh!I699,-3)/$X$2</f>
        <v>950</v>
      </c>
      <c r="J702" s="91" t="e">
        <f>+ROUND(Návrh!#REF!,-3)/$X$2</f>
        <v>#REF!</v>
      </c>
      <c r="K702" s="91">
        <f>+ROUND(Návrh!J699,-3)/$X$2</f>
        <v>0</v>
      </c>
      <c r="L702" s="91">
        <f>+ROUND(Návrh!K699,-3)/$X$2</f>
        <v>962</v>
      </c>
      <c r="M702" s="70"/>
    </row>
    <row r="703" spans="1:13" x14ac:dyDescent="0.25">
      <c r="A703" s="42" t="s">
        <v>1535</v>
      </c>
      <c r="B703" s="27" t="s">
        <v>916</v>
      </c>
      <c r="C703" s="28" t="s">
        <v>919</v>
      </c>
      <c r="D703" s="28" t="s">
        <v>917</v>
      </c>
      <c r="E703" s="290" t="s">
        <v>746</v>
      </c>
      <c r="F703" s="291"/>
      <c r="G703" s="91">
        <f>+ROUND(Návrh!G700,-3)/$X$2</f>
        <v>8029</v>
      </c>
      <c r="H703" s="91">
        <f>+ROUND(Návrh!H700,-3)/$X$2</f>
        <v>7719</v>
      </c>
      <c r="I703" s="91">
        <f>+ROUND(Návrh!I700,-3)/$X$2</f>
        <v>7630</v>
      </c>
      <c r="J703" s="91" t="e">
        <f>+ROUND(Návrh!#REF!,-3)/$X$2</f>
        <v>#REF!</v>
      </c>
      <c r="K703" s="91">
        <f>+ROUND(Návrh!J700,-3)/$X$2</f>
        <v>0</v>
      </c>
      <c r="L703" s="91">
        <f>+ROUND(Návrh!K700,-3)/$X$2</f>
        <v>8934</v>
      </c>
      <c r="M703" s="70"/>
    </row>
    <row r="704" spans="1:13" x14ac:dyDescent="0.25">
      <c r="A704" s="42" t="s">
        <v>1536</v>
      </c>
      <c r="B704" s="27" t="s">
        <v>916</v>
      </c>
      <c r="C704" s="28" t="s">
        <v>919</v>
      </c>
      <c r="D704" s="28" t="s">
        <v>917</v>
      </c>
      <c r="E704" s="290" t="s">
        <v>747</v>
      </c>
      <c r="F704" s="291"/>
      <c r="G704" s="91">
        <f>+ROUND(Návrh!G701,-3)/$X$2</f>
        <v>1805</v>
      </c>
      <c r="H704" s="91">
        <f>+ROUND(Návrh!H701,-3)/$X$2</f>
        <v>1526</v>
      </c>
      <c r="I704" s="91">
        <f>+ROUND(Návrh!I701,-3)/$X$2</f>
        <v>1590</v>
      </c>
      <c r="J704" s="91" t="e">
        <f>+ROUND(Návrh!#REF!,-3)/$X$2</f>
        <v>#REF!</v>
      </c>
      <c r="K704" s="91">
        <f>+ROUND(Návrh!J701,-3)/$X$2</f>
        <v>0</v>
      </c>
      <c r="L704" s="91">
        <f>+ROUND(Návrh!K701,-3)/$X$2</f>
        <v>1590</v>
      </c>
      <c r="M704" s="70"/>
    </row>
    <row r="705" spans="1:13" x14ac:dyDescent="0.25">
      <c r="A705" s="42" t="s">
        <v>1537</v>
      </c>
      <c r="B705" s="27" t="s">
        <v>916</v>
      </c>
      <c r="C705" s="28" t="s">
        <v>919</v>
      </c>
      <c r="D705" s="28" t="s">
        <v>917</v>
      </c>
      <c r="E705" s="290" t="s">
        <v>748</v>
      </c>
      <c r="F705" s="291"/>
      <c r="G705" s="91">
        <f>+ROUND(Návrh!G702,-3)/$X$2</f>
        <v>365</v>
      </c>
      <c r="H705" s="91">
        <f>+ROUND(Návrh!H702,-3)/$X$2</f>
        <v>325</v>
      </c>
      <c r="I705" s="91">
        <f>+ROUND(Návrh!I702,-3)/$X$2</f>
        <v>320</v>
      </c>
      <c r="J705" s="91" t="e">
        <f>+ROUND(Návrh!#REF!,-3)/$X$2</f>
        <v>#REF!</v>
      </c>
      <c r="K705" s="91">
        <f>+ROUND(Návrh!J702,-3)/$X$2</f>
        <v>0</v>
      </c>
      <c r="L705" s="91">
        <f>+ROUND(Návrh!K702,-3)/$X$2</f>
        <v>320</v>
      </c>
      <c r="M705" s="70"/>
    </row>
    <row r="706" spans="1:13" x14ac:dyDescent="0.25">
      <c r="A706" s="42" t="s">
        <v>1538</v>
      </c>
      <c r="B706" s="27" t="s">
        <v>916</v>
      </c>
      <c r="C706" s="28" t="s">
        <v>919</v>
      </c>
      <c r="D706" s="28" t="s">
        <v>917</v>
      </c>
      <c r="E706" s="290" t="s">
        <v>749</v>
      </c>
      <c r="F706" s="291"/>
      <c r="G706" s="91">
        <f>+ROUND(Návrh!G703,-3)/$X$2</f>
        <v>410</v>
      </c>
      <c r="H706" s="91">
        <f>+ROUND(Návrh!H703,-3)/$X$2</f>
        <v>502</v>
      </c>
      <c r="I706" s="91">
        <f>+ROUND(Návrh!I703,-3)/$X$2</f>
        <v>470</v>
      </c>
      <c r="J706" s="91" t="e">
        <f>+ROUND(Návrh!#REF!,-3)/$X$2</f>
        <v>#REF!</v>
      </c>
      <c r="K706" s="91">
        <f>+ROUND(Návrh!J703,-3)/$X$2</f>
        <v>0</v>
      </c>
      <c r="L706" s="91">
        <f>+ROUND(Návrh!K703,-3)/$X$2</f>
        <v>502</v>
      </c>
      <c r="M706" s="70"/>
    </row>
    <row r="707" spans="1:13" x14ac:dyDescent="0.25">
      <c r="A707" s="53" t="s">
        <v>750</v>
      </c>
      <c r="B707" s="53"/>
      <c r="C707" s="51"/>
      <c r="D707" s="51"/>
      <c r="E707" s="282" t="s">
        <v>751</v>
      </c>
      <c r="F707" s="283"/>
      <c r="G707" s="101">
        <f>+ROUND(Návrh!G704,-3)/$X$2</f>
        <v>5438</v>
      </c>
      <c r="H707" s="101">
        <f>+ROUND(Návrh!H704,-3)/$X$2</f>
        <v>5848</v>
      </c>
      <c r="I707" s="101">
        <f>+ROUND(Návrh!I704,-3)/$X$2</f>
        <v>5800</v>
      </c>
      <c r="J707" s="101" t="e">
        <f>+ROUND(Návrh!#REF!,-3)/$X$2</f>
        <v>#REF!</v>
      </c>
      <c r="K707" s="101">
        <f>+ROUND(Návrh!J704,-3)/$X$2</f>
        <v>5947</v>
      </c>
      <c r="L707" s="101">
        <f>+ROUND(Návrh!K704,-3)/$X$2</f>
        <v>5900</v>
      </c>
      <c r="M707" s="70"/>
    </row>
    <row r="708" spans="1:13" x14ac:dyDescent="0.25">
      <c r="A708" s="57" t="s">
        <v>1539</v>
      </c>
      <c r="B708" s="57"/>
      <c r="C708" s="55"/>
      <c r="D708" s="55"/>
      <c r="E708" s="288" t="s">
        <v>752</v>
      </c>
      <c r="F708" s="289"/>
      <c r="G708" s="102">
        <f>+ROUND(Návrh!G705,-3)/$X$2</f>
        <v>5438</v>
      </c>
      <c r="H708" s="102">
        <f>+ROUND(Návrh!H705,-3)/$X$2</f>
        <v>5848</v>
      </c>
      <c r="I708" s="102">
        <f>+ROUND(Návrh!I705,-3)/$X$2</f>
        <v>5800</v>
      </c>
      <c r="J708" s="102" t="e">
        <f>+ROUND(Návrh!#REF!,-3)/$X$2</f>
        <v>#REF!</v>
      </c>
      <c r="K708" s="102">
        <f>+ROUND(Návrh!J705,-3)/$X$2</f>
        <v>5900</v>
      </c>
      <c r="L708" s="102">
        <f>+ROUND(Návrh!K705,-3)/$X$2</f>
        <v>5900</v>
      </c>
      <c r="M708" s="70"/>
    </row>
    <row r="709" spans="1:13" x14ac:dyDescent="0.25">
      <c r="A709" s="42" t="s">
        <v>1540</v>
      </c>
      <c r="B709" s="20" t="s">
        <v>916</v>
      </c>
      <c r="C709" s="20" t="s">
        <v>920</v>
      </c>
      <c r="D709" s="20" t="s">
        <v>1523</v>
      </c>
      <c r="E709" s="290" t="s">
        <v>753</v>
      </c>
      <c r="F709" s="291"/>
      <c r="G709" s="91">
        <f>+ROUND(Návrh!G706,-3)/$X$2</f>
        <v>5438</v>
      </c>
      <c r="H709" s="91">
        <f>+ROUND(Návrh!H706,-3)/$X$2</f>
        <v>5848</v>
      </c>
      <c r="I709" s="91">
        <f>+ROUND(Návrh!I706,-3)/$X$2</f>
        <v>5800</v>
      </c>
      <c r="J709" s="91" t="e">
        <f>+ROUND(Návrh!#REF!,-3)/$X$2</f>
        <v>#REF!</v>
      </c>
      <c r="K709" s="91">
        <f>+ROUND(Návrh!J706,-3)/$X$2</f>
        <v>5900</v>
      </c>
      <c r="L709" s="91">
        <f>+ROUND(Návrh!K706,-3)/$X$2</f>
        <v>5900</v>
      </c>
      <c r="M709" s="70"/>
    </row>
    <row r="710" spans="1:13" x14ac:dyDescent="0.25">
      <c r="A710" s="60" t="s">
        <v>754</v>
      </c>
      <c r="B710" s="60"/>
      <c r="C710" s="61"/>
      <c r="D710" s="61"/>
      <c r="E710" s="284" t="s">
        <v>755</v>
      </c>
      <c r="F710" s="285"/>
      <c r="G710" s="100">
        <f>+ROUND(Návrh!G707,-3)/$X$2</f>
        <v>0</v>
      </c>
      <c r="H710" s="100">
        <f>+ROUND(Návrh!H707,-3)/$X$2</f>
        <v>0</v>
      </c>
      <c r="I710" s="100">
        <f>+ROUND(Návrh!I707,-3)/$X$2</f>
        <v>0</v>
      </c>
      <c r="J710" s="100" t="e">
        <f>+ROUND(Návrh!#REF!,-3)/$X$2</f>
        <v>#REF!</v>
      </c>
      <c r="K710" s="100">
        <f>+ROUND(Návrh!J707,-3)/$X$2</f>
        <v>0</v>
      </c>
      <c r="L710" s="100">
        <f>+ROUND(Návrh!K707,-3)/$X$2</f>
        <v>0</v>
      </c>
      <c r="M710" s="70"/>
    </row>
    <row r="711" spans="1:13" x14ac:dyDescent="0.25">
      <c r="A711" s="53" t="s">
        <v>756</v>
      </c>
      <c r="B711" s="53"/>
      <c r="C711" s="51"/>
      <c r="D711" s="51"/>
      <c r="E711" s="282" t="s">
        <v>757</v>
      </c>
      <c r="F711" s="283"/>
      <c r="G711" s="101">
        <f>+ROUND(Návrh!G708,-3)/$X$2</f>
        <v>0</v>
      </c>
      <c r="H711" s="101">
        <f>+ROUND(Návrh!H708,-3)/$X$2</f>
        <v>0</v>
      </c>
      <c r="I711" s="101">
        <f>+ROUND(Návrh!I708,-3)/$X$2</f>
        <v>0</v>
      </c>
      <c r="J711" s="101" t="e">
        <f>+ROUND(Návrh!#REF!,-3)/$X$2</f>
        <v>#REF!</v>
      </c>
      <c r="K711" s="101">
        <f>+ROUND(Návrh!J708,-3)/$X$2</f>
        <v>0</v>
      </c>
      <c r="L711" s="101">
        <f>+ROUND(Návrh!K708,-3)/$X$2</f>
        <v>0</v>
      </c>
      <c r="M711" s="70"/>
    </row>
    <row r="712" spans="1:13" x14ac:dyDescent="0.25">
      <c r="A712" s="60" t="s">
        <v>758</v>
      </c>
      <c r="B712" s="60"/>
      <c r="C712" s="61"/>
      <c r="D712" s="61"/>
      <c r="E712" s="284" t="s">
        <v>759</v>
      </c>
      <c r="F712" s="285"/>
      <c r="G712" s="100">
        <f>+ROUND(Návrh!G709,-3)/$X$2</f>
        <v>0</v>
      </c>
      <c r="H712" s="100">
        <f>+ROUND(Návrh!H709,-3)/$X$2</f>
        <v>0</v>
      </c>
      <c r="I712" s="100">
        <f>+ROUND(Návrh!I709,-3)/$X$2</f>
        <v>0</v>
      </c>
      <c r="J712" s="100" t="e">
        <f>+ROUND(Návrh!#REF!,-3)/$X$2</f>
        <v>#REF!</v>
      </c>
      <c r="K712" s="100">
        <f>+ROUND(Návrh!J709,-3)/$X$2</f>
        <v>0</v>
      </c>
      <c r="L712" s="100">
        <f>+ROUND(Návrh!K709,-3)/$X$2</f>
        <v>0</v>
      </c>
      <c r="M712" s="70"/>
    </row>
    <row r="713" spans="1:13" x14ac:dyDescent="0.25">
      <c r="A713" s="53" t="s">
        <v>760</v>
      </c>
      <c r="B713" s="53"/>
      <c r="C713" s="51"/>
      <c r="D713" s="51"/>
      <c r="E713" s="282" t="s">
        <v>635</v>
      </c>
      <c r="F713" s="283"/>
      <c r="G713" s="101">
        <f>+ROUND(Návrh!G710,-3)/$X$2</f>
        <v>0</v>
      </c>
      <c r="H713" s="101">
        <f>+ROUND(Návrh!H710,-3)/$X$2</f>
        <v>0</v>
      </c>
      <c r="I713" s="101">
        <f>+ROUND(Návrh!I710,-3)/$X$2</f>
        <v>0</v>
      </c>
      <c r="J713" s="101" t="e">
        <f>+ROUND(Návrh!#REF!,-3)/$X$2</f>
        <v>#REF!</v>
      </c>
      <c r="K713" s="101">
        <f>+ROUND(Návrh!J710,-3)/$X$2</f>
        <v>0</v>
      </c>
      <c r="L713" s="101">
        <f>+ROUND(Návrh!K710,-3)/$X$2</f>
        <v>0</v>
      </c>
      <c r="M713" s="70"/>
    </row>
    <row r="714" spans="1:13" x14ac:dyDescent="0.25">
      <c r="A714" s="53" t="s">
        <v>761</v>
      </c>
      <c r="B714" s="53"/>
      <c r="C714" s="51"/>
      <c r="D714" s="51"/>
      <c r="E714" s="282" t="s">
        <v>637</v>
      </c>
      <c r="F714" s="283"/>
      <c r="G714" s="101">
        <f>+ROUND(Návrh!G711,-3)/$X$2</f>
        <v>0</v>
      </c>
      <c r="H714" s="101">
        <f>+ROUND(Návrh!H711,-3)/$X$2</f>
        <v>0</v>
      </c>
      <c r="I714" s="101">
        <f>+ROUND(Návrh!I711,-3)/$X$2</f>
        <v>0</v>
      </c>
      <c r="J714" s="101" t="e">
        <f>+ROUND(Návrh!#REF!,-3)/$X$2</f>
        <v>#REF!</v>
      </c>
      <c r="K714" s="101">
        <f>+ROUND(Návrh!J711,-3)/$X$2</f>
        <v>0</v>
      </c>
      <c r="L714" s="101">
        <f>+ROUND(Návrh!K711,-3)/$X$2</f>
        <v>0</v>
      </c>
      <c r="M714" s="70"/>
    </row>
    <row r="715" spans="1:13" x14ac:dyDescent="0.25">
      <c r="A715" s="53" t="s">
        <v>762</v>
      </c>
      <c r="B715" s="53"/>
      <c r="C715" s="51"/>
      <c r="D715" s="51"/>
      <c r="E715" s="282" t="s">
        <v>639</v>
      </c>
      <c r="F715" s="283"/>
      <c r="G715" s="101">
        <f>+ROUND(Návrh!G712,-3)/$X$2</f>
        <v>0</v>
      </c>
      <c r="H715" s="101">
        <f>+ROUND(Návrh!H712,-3)/$X$2</f>
        <v>0</v>
      </c>
      <c r="I715" s="101">
        <f>+ROUND(Návrh!I712,-3)/$X$2</f>
        <v>0</v>
      </c>
      <c r="J715" s="101" t="e">
        <f>+ROUND(Návrh!#REF!,-3)/$X$2</f>
        <v>#REF!</v>
      </c>
      <c r="K715" s="101">
        <f>+ROUND(Návrh!J712,-3)/$X$2</f>
        <v>0</v>
      </c>
      <c r="L715" s="101">
        <f>+ROUND(Návrh!K712,-3)/$X$2</f>
        <v>0</v>
      </c>
      <c r="M715" s="70"/>
    </row>
    <row r="716" spans="1:13" x14ac:dyDescent="0.25">
      <c r="A716" s="53" t="s">
        <v>763</v>
      </c>
      <c r="B716" s="53"/>
      <c r="C716" s="51"/>
      <c r="D716" s="51"/>
      <c r="E716" s="282" t="s">
        <v>764</v>
      </c>
      <c r="F716" s="283"/>
      <c r="G716" s="101">
        <f>+ROUND(Návrh!G713,-3)/$X$2</f>
        <v>0</v>
      </c>
      <c r="H716" s="101">
        <f>+ROUND(Návrh!H713,-3)/$X$2</f>
        <v>0</v>
      </c>
      <c r="I716" s="101">
        <f>+ROUND(Návrh!I713,-3)/$X$2</f>
        <v>0</v>
      </c>
      <c r="J716" s="101" t="e">
        <f>+ROUND(Návrh!#REF!,-3)/$X$2</f>
        <v>#REF!</v>
      </c>
      <c r="K716" s="101">
        <f>+ROUND(Návrh!J713,-3)/$X$2</f>
        <v>0</v>
      </c>
      <c r="L716" s="101">
        <f>+ROUND(Návrh!K713,-3)/$X$2</f>
        <v>0</v>
      </c>
      <c r="M716" s="70"/>
    </row>
    <row r="717" spans="1:13" x14ac:dyDescent="0.25">
      <c r="A717" s="60" t="s">
        <v>765</v>
      </c>
      <c r="B717" s="60"/>
      <c r="C717" s="61"/>
      <c r="D717" s="61"/>
      <c r="E717" s="284" t="s">
        <v>766</v>
      </c>
      <c r="F717" s="285"/>
      <c r="G717" s="100">
        <f>+ROUND(Návrh!G714,-3)/$X$2</f>
        <v>182493</v>
      </c>
      <c r="H717" s="100">
        <f>+ROUND(Návrh!H714,-3)/$X$2</f>
        <v>382643</v>
      </c>
      <c r="I717" s="100">
        <f>+ROUND(Návrh!I714,-3)/$X$2</f>
        <v>357626</v>
      </c>
      <c r="J717" s="100" t="e">
        <f>+ROUND(Návrh!#REF!,-3)/$X$2</f>
        <v>#REF!</v>
      </c>
      <c r="K717" s="100">
        <f>+ROUND(Návrh!J714,-3)/$X$2</f>
        <v>362073</v>
      </c>
      <c r="L717" s="100">
        <f>+ROUND(Návrh!K714,-3)/$X$2</f>
        <v>348408</v>
      </c>
      <c r="M717" s="70"/>
    </row>
    <row r="718" spans="1:13" x14ac:dyDescent="0.25">
      <c r="A718" s="53" t="s">
        <v>767</v>
      </c>
      <c r="B718" s="53"/>
      <c r="C718" s="51"/>
      <c r="D718" s="51"/>
      <c r="E718" s="282" t="s">
        <v>768</v>
      </c>
      <c r="F718" s="283"/>
      <c r="G718" s="101">
        <f>+ROUND(Návrh!G715,-3)/$X$2</f>
        <v>1378</v>
      </c>
      <c r="H718" s="101">
        <f>+ROUND(Návrh!H715,-3)/$X$2</f>
        <v>2047</v>
      </c>
      <c r="I718" s="101">
        <f>+ROUND(Návrh!I715,-3)/$X$2</f>
        <v>0</v>
      </c>
      <c r="J718" s="101" t="e">
        <f>+ROUND(Návrh!#REF!,-3)/$X$2</f>
        <v>#REF!</v>
      </c>
      <c r="K718" s="101">
        <f>+ROUND(Návrh!J715,-3)/$X$2</f>
        <v>9604</v>
      </c>
      <c r="L718" s="101">
        <f>+ROUND(Návrh!K715,-3)/$X$2</f>
        <v>0</v>
      </c>
      <c r="M718" s="70"/>
    </row>
    <row r="719" spans="1:13" x14ac:dyDescent="0.25">
      <c r="A719" s="57" t="s">
        <v>1541</v>
      </c>
      <c r="B719" s="57"/>
      <c r="C719" s="55"/>
      <c r="D719" s="55"/>
      <c r="E719" s="288" t="s">
        <v>769</v>
      </c>
      <c r="F719" s="289"/>
      <c r="G719" s="102">
        <f>+ROUND(Návrh!G716,-3)/$X$2</f>
        <v>1378</v>
      </c>
      <c r="H719" s="102">
        <f>+ROUND(Návrh!H716,-3)/$X$2</f>
        <v>2047</v>
      </c>
      <c r="I719" s="102">
        <f>+ROUND(Návrh!I716,-3)/$X$2</f>
        <v>0</v>
      </c>
      <c r="J719" s="102" t="e">
        <f>+ROUND(Návrh!#REF!,-3)/$X$2</f>
        <v>#REF!</v>
      </c>
      <c r="K719" s="102">
        <f>+ROUND(Návrh!J716,-3)/$X$2</f>
        <v>0</v>
      </c>
      <c r="L719" s="102">
        <f>+ROUND(Návrh!K716,-3)/$X$2</f>
        <v>0</v>
      </c>
      <c r="M719" s="70"/>
    </row>
    <row r="720" spans="1:13" x14ac:dyDescent="0.25">
      <c r="A720" s="42" t="s">
        <v>1542</v>
      </c>
      <c r="B720" s="14"/>
      <c r="C720" s="13"/>
      <c r="D720" s="13"/>
      <c r="E720" s="290" t="s">
        <v>770</v>
      </c>
      <c r="F720" s="291"/>
      <c r="G720" s="91">
        <f>+ROUND(Návrh!G717,-3)/$X$2</f>
        <v>1352</v>
      </c>
      <c r="H720" s="91">
        <f>+ROUND(Návrh!H717,-3)/$X$2</f>
        <v>1130</v>
      </c>
      <c r="I720" s="91">
        <f>+ROUND(Návrh!I717,-3)/$X$2</f>
        <v>0</v>
      </c>
      <c r="J720" s="91" t="e">
        <f>+ROUND(Návrh!#REF!,-3)/$X$2</f>
        <v>#REF!</v>
      </c>
      <c r="K720" s="91">
        <f>+ROUND(Návrh!J717,-3)/$X$2</f>
        <v>0</v>
      </c>
      <c r="L720" s="91">
        <f>+ROUND(Návrh!K717,-3)/$X$2</f>
        <v>0</v>
      </c>
      <c r="M720" s="70"/>
    </row>
    <row r="721" spans="1:13" x14ac:dyDescent="0.25">
      <c r="A721" s="42" t="s">
        <v>1543</v>
      </c>
      <c r="B721" s="14"/>
      <c r="C721" s="13"/>
      <c r="D721" s="13"/>
      <c r="E721" s="290" t="s">
        <v>771</v>
      </c>
      <c r="F721" s="291"/>
      <c r="G721" s="91">
        <f>+ROUND(Návrh!G718,-3)/$X$2</f>
        <v>0</v>
      </c>
      <c r="H721" s="91">
        <f>+ROUND(Návrh!H718,-3)/$X$2</f>
        <v>898</v>
      </c>
      <c r="I721" s="91">
        <f>+ROUND(Návrh!I718,-3)/$X$2</f>
        <v>0</v>
      </c>
      <c r="J721" s="91" t="e">
        <f>+ROUND(Návrh!#REF!,-3)/$X$2</f>
        <v>#REF!</v>
      </c>
      <c r="K721" s="91">
        <f>+ROUND(Návrh!J718,-3)/$X$2</f>
        <v>0</v>
      </c>
      <c r="L721" s="91">
        <f>+ROUND(Návrh!K718,-3)/$X$2</f>
        <v>0</v>
      </c>
      <c r="M721" s="70"/>
    </row>
    <row r="722" spans="1:13" x14ac:dyDescent="0.25">
      <c r="A722" s="42" t="s">
        <v>1544</v>
      </c>
      <c r="B722" s="14"/>
      <c r="C722" s="13"/>
      <c r="D722" s="13"/>
      <c r="E722" s="290" t="s">
        <v>772</v>
      </c>
      <c r="F722" s="291"/>
      <c r="G722" s="91">
        <f>+ROUND(Návrh!G719,-3)/$X$2</f>
        <v>25</v>
      </c>
      <c r="H722" s="91">
        <f>+ROUND(Návrh!H719,-3)/$X$2</f>
        <v>18</v>
      </c>
      <c r="I722" s="91">
        <f>+ROUND(Návrh!I719,-3)/$X$2</f>
        <v>0</v>
      </c>
      <c r="J722" s="91" t="e">
        <f>+ROUND(Návrh!#REF!,-3)/$X$2</f>
        <v>#REF!</v>
      </c>
      <c r="K722" s="91">
        <f>+ROUND(Návrh!J719,-3)/$X$2</f>
        <v>0</v>
      </c>
      <c r="L722" s="91">
        <f>+ROUND(Návrh!K719,-3)/$X$2</f>
        <v>0</v>
      </c>
      <c r="M722" s="70"/>
    </row>
    <row r="723" spans="1:13" x14ac:dyDescent="0.25">
      <c r="A723" s="53" t="s">
        <v>773</v>
      </c>
      <c r="B723" s="53"/>
      <c r="C723" s="51"/>
      <c r="D723" s="51"/>
      <c r="E723" s="282" t="s">
        <v>774</v>
      </c>
      <c r="F723" s="283"/>
      <c r="G723" s="101">
        <f>+ROUND(Návrh!G720,-3)/$X$2</f>
        <v>0</v>
      </c>
      <c r="H723" s="101">
        <f>+ROUND(Návrh!H720,-3)/$X$2</f>
        <v>0</v>
      </c>
      <c r="I723" s="101">
        <f>+ROUND(Návrh!I720,-3)/$X$2</f>
        <v>0</v>
      </c>
      <c r="J723" s="101" t="e">
        <f>+ROUND(Návrh!#REF!,-3)/$X$2</f>
        <v>#REF!</v>
      </c>
      <c r="K723" s="101">
        <f>+ROUND(Návrh!J720,-3)/$X$2</f>
        <v>0</v>
      </c>
      <c r="L723" s="101">
        <f>+ROUND(Návrh!K720,-3)/$X$2</f>
        <v>0</v>
      </c>
      <c r="M723" s="70"/>
    </row>
    <row r="724" spans="1:13" x14ac:dyDescent="0.25">
      <c r="A724" s="53" t="s">
        <v>775</v>
      </c>
      <c r="B724" s="53"/>
      <c r="C724" s="51"/>
      <c r="D724" s="51"/>
      <c r="E724" s="282" t="s">
        <v>425</v>
      </c>
      <c r="F724" s="283"/>
      <c r="G724" s="101">
        <f>+ROUND(Návrh!G721,-3)/$X$2</f>
        <v>0</v>
      </c>
      <c r="H724" s="101">
        <f>+ROUND(Návrh!H721,-3)/$X$2</f>
        <v>0</v>
      </c>
      <c r="I724" s="101">
        <f>+ROUND(Návrh!I721,-3)/$X$2</f>
        <v>0</v>
      </c>
      <c r="J724" s="101" t="e">
        <f>+ROUND(Návrh!#REF!,-3)/$X$2</f>
        <v>#REF!</v>
      </c>
      <c r="K724" s="101">
        <f>+ROUND(Návrh!J721,-3)/$X$2</f>
        <v>0</v>
      </c>
      <c r="L724" s="101">
        <f>+ROUND(Návrh!K721,-3)/$X$2</f>
        <v>0</v>
      </c>
      <c r="M724" s="70"/>
    </row>
    <row r="725" spans="1:13" x14ac:dyDescent="0.25">
      <c r="A725" s="57" t="s">
        <v>1545</v>
      </c>
      <c r="B725" s="57"/>
      <c r="C725" s="55"/>
      <c r="D725" s="55"/>
      <c r="E725" s="288" t="s">
        <v>776</v>
      </c>
      <c r="F725" s="289"/>
      <c r="G725" s="102">
        <f>+ROUND(Návrh!G722,-3)/$X$2</f>
        <v>0</v>
      </c>
      <c r="H725" s="102">
        <f>+ROUND(Návrh!H722,-3)/$X$2</f>
        <v>0</v>
      </c>
      <c r="I725" s="102">
        <f>+ROUND(Návrh!I722,-3)/$X$2</f>
        <v>0</v>
      </c>
      <c r="J725" s="102" t="e">
        <f>+ROUND(Návrh!#REF!,-3)/$X$2</f>
        <v>#REF!</v>
      </c>
      <c r="K725" s="102">
        <f>+ROUND(Návrh!J722,-3)/$X$2</f>
        <v>0</v>
      </c>
      <c r="L725" s="102">
        <f>+ROUND(Návrh!K722,-3)/$X$2</f>
        <v>0</v>
      </c>
      <c r="M725" s="70"/>
    </row>
    <row r="726" spans="1:13" x14ac:dyDescent="0.25">
      <c r="A726" s="42" t="s">
        <v>1546</v>
      </c>
      <c r="B726" s="14"/>
      <c r="C726" s="13"/>
      <c r="D726" s="13"/>
      <c r="E726" s="290" t="s">
        <v>777</v>
      </c>
      <c r="F726" s="291"/>
      <c r="G726" s="91">
        <f>+ROUND(Návrh!G723,-3)/$X$2</f>
        <v>0</v>
      </c>
      <c r="H726" s="91">
        <f>+ROUND(Návrh!H723,-3)/$X$2</f>
        <v>0</v>
      </c>
      <c r="I726" s="91">
        <f>+ROUND(Návrh!I723,-3)/$X$2</f>
        <v>0</v>
      </c>
      <c r="J726" s="91" t="e">
        <f>+ROUND(Návrh!#REF!,-3)/$X$2</f>
        <v>#REF!</v>
      </c>
      <c r="K726" s="91">
        <f>+ROUND(Návrh!J723,-3)/$X$2</f>
        <v>0</v>
      </c>
      <c r="L726" s="91">
        <f>+ROUND(Návrh!K723,-3)/$X$2</f>
        <v>0</v>
      </c>
      <c r="M726" s="70"/>
    </row>
    <row r="727" spans="1:13" x14ac:dyDescent="0.25">
      <c r="A727" s="53" t="s">
        <v>778</v>
      </c>
      <c r="B727" s="53"/>
      <c r="C727" s="51"/>
      <c r="D727" s="51"/>
      <c r="E727" s="282" t="s">
        <v>427</v>
      </c>
      <c r="F727" s="283"/>
      <c r="G727" s="101">
        <f>+ROUND(Návrh!G724,-3)/$X$2</f>
        <v>55015</v>
      </c>
      <c r="H727" s="101">
        <f>+ROUND(Návrh!H724,-3)/$X$2</f>
        <v>57819</v>
      </c>
      <c r="I727" s="101">
        <f>+ROUND(Návrh!I724,-3)/$X$2</f>
        <v>58920</v>
      </c>
      <c r="J727" s="101" t="e">
        <f>+ROUND(Návrh!#REF!,-3)/$X$2</f>
        <v>#REF!</v>
      </c>
      <c r="K727" s="101">
        <f>+ROUND(Návrh!J724,-3)/$X$2</f>
        <v>53900</v>
      </c>
      <c r="L727" s="101">
        <f>+ROUND(Návrh!K724,-3)/$X$2</f>
        <v>59269</v>
      </c>
      <c r="M727" s="70"/>
    </row>
    <row r="728" spans="1:13" x14ac:dyDescent="0.25">
      <c r="A728" s="57" t="s">
        <v>1547</v>
      </c>
      <c r="B728" s="57"/>
      <c r="C728" s="55"/>
      <c r="D728" s="55"/>
      <c r="E728" s="288" t="s">
        <v>779</v>
      </c>
      <c r="F728" s="289"/>
      <c r="G728" s="102">
        <f>+ROUND(Návrh!G725,-3)/$X$2</f>
        <v>55015</v>
      </c>
      <c r="H728" s="102">
        <f>+ROUND(Návrh!H725,-3)/$X$2</f>
        <v>57819</v>
      </c>
      <c r="I728" s="102">
        <f>+ROUND(Návrh!I725,-3)/$X$2</f>
        <v>58920</v>
      </c>
      <c r="J728" s="102" t="e">
        <f>+ROUND(Návrh!#REF!,-3)/$X$2</f>
        <v>#REF!</v>
      </c>
      <c r="K728" s="102">
        <f>+ROUND(Návrh!J725,-3)/$X$2</f>
        <v>0</v>
      </c>
      <c r="L728" s="102">
        <f>+ROUND(Návrh!K725,-3)/$X$2</f>
        <v>59269</v>
      </c>
      <c r="M728" s="70"/>
    </row>
    <row r="729" spans="1:13" x14ac:dyDescent="0.25">
      <c r="A729" s="42" t="s">
        <v>1548</v>
      </c>
      <c r="B729" s="20" t="s">
        <v>922</v>
      </c>
      <c r="C729" s="20" t="s">
        <v>919</v>
      </c>
      <c r="D729" s="20" t="s">
        <v>924</v>
      </c>
      <c r="E729" s="290" t="s">
        <v>780</v>
      </c>
      <c r="F729" s="291"/>
      <c r="G729" s="91">
        <f>+ROUND(Návrh!G726,-3)/$X$2</f>
        <v>12350</v>
      </c>
      <c r="H729" s="91">
        <f>+ROUND(Návrh!H726,-3)/$X$2</f>
        <v>12770</v>
      </c>
      <c r="I729" s="91">
        <f>+ROUND(Návrh!I726,-3)/$X$2</f>
        <v>14800</v>
      </c>
      <c r="J729" s="91" t="e">
        <f>+ROUND(Návrh!#REF!,-3)/$X$2</f>
        <v>#REF!</v>
      </c>
      <c r="K729" s="91">
        <f>+ROUND(Návrh!J726,-3)/$X$2</f>
        <v>0</v>
      </c>
      <c r="L729" s="91">
        <f>+ROUND(Návrh!K726,-3)/$X$2</f>
        <v>14997</v>
      </c>
      <c r="M729" s="70"/>
    </row>
    <row r="730" spans="1:13" x14ac:dyDescent="0.25">
      <c r="A730" s="42" t="s">
        <v>1549</v>
      </c>
      <c r="B730" s="20" t="s">
        <v>922</v>
      </c>
      <c r="C730" s="20" t="s">
        <v>919</v>
      </c>
      <c r="D730" s="20" t="s">
        <v>924</v>
      </c>
      <c r="E730" s="290" t="s">
        <v>781</v>
      </c>
      <c r="F730" s="291"/>
      <c r="G730" s="91">
        <f>+ROUND(Návrh!G727,-3)/$X$2</f>
        <v>42448</v>
      </c>
      <c r="H730" s="91">
        <f>+ROUND(Návrh!H727,-3)/$X$2</f>
        <v>44884</v>
      </c>
      <c r="I730" s="91">
        <f>+ROUND(Návrh!I727,-3)/$X$2</f>
        <v>44000</v>
      </c>
      <c r="J730" s="91" t="e">
        <f>+ROUND(Návrh!#REF!,-3)/$X$2</f>
        <v>#REF!</v>
      </c>
      <c r="K730" s="91">
        <f>+ROUND(Návrh!J727,-3)/$X$2</f>
        <v>0</v>
      </c>
      <c r="L730" s="91">
        <f>+ROUND(Návrh!K727,-3)/$X$2</f>
        <v>43878</v>
      </c>
      <c r="M730" s="70"/>
    </row>
    <row r="731" spans="1:13" x14ac:dyDescent="0.25">
      <c r="A731" s="42" t="s">
        <v>1550</v>
      </c>
      <c r="B731" s="20" t="s">
        <v>922</v>
      </c>
      <c r="C731" s="20" t="s">
        <v>919</v>
      </c>
      <c r="D731" s="20" t="s">
        <v>924</v>
      </c>
      <c r="E731" s="290" t="s">
        <v>782</v>
      </c>
      <c r="F731" s="291"/>
      <c r="G731" s="91">
        <f>+ROUND(Návrh!G728,-3)/$X$2</f>
        <v>173</v>
      </c>
      <c r="H731" s="91">
        <f>+ROUND(Návrh!H728,-3)/$X$2</f>
        <v>77</v>
      </c>
      <c r="I731" s="91">
        <f>+ROUND(Návrh!I728,-3)/$X$2</f>
        <v>100</v>
      </c>
      <c r="J731" s="91" t="e">
        <f>+ROUND(Návrh!#REF!,-3)/$X$2</f>
        <v>#REF!</v>
      </c>
      <c r="K731" s="91">
        <f>+ROUND(Návrh!J728,-3)/$X$2</f>
        <v>0</v>
      </c>
      <c r="L731" s="91">
        <f>+ROUND(Návrh!K728,-3)/$X$2</f>
        <v>374</v>
      </c>
      <c r="M731" s="70"/>
    </row>
    <row r="732" spans="1:13" x14ac:dyDescent="0.25">
      <c r="A732" s="42" t="s">
        <v>1551</v>
      </c>
      <c r="B732" s="20" t="s">
        <v>916</v>
      </c>
      <c r="C732" s="20" t="s">
        <v>919</v>
      </c>
      <c r="D732" s="20" t="s">
        <v>1649</v>
      </c>
      <c r="E732" s="290" t="s">
        <v>783</v>
      </c>
      <c r="F732" s="291"/>
      <c r="G732" s="91">
        <f>+ROUND(Návrh!G729,-3)/$X$2</f>
        <v>39</v>
      </c>
      <c r="H732" s="91">
        <f>+ROUND(Návrh!H729,-3)/$X$2</f>
        <v>82</v>
      </c>
      <c r="I732" s="91">
        <f>+ROUND(Návrh!I729,-3)/$X$2</f>
        <v>20</v>
      </c>
      <c r="J732" s="91" t="e">
        <f>+ROUND(Návrh!#REF!,-3)/$X$2</f>
        <v>#REF!</v>
      </c>
      <c r="K732" s="91">
        <f>+ROUND(Návrh!J729,-3)/$X$2</f>
        <v>0</v>
      </c>
      <c r="L732" s="91">
        <f>+ROUND(Návrh!K729,-3)/$X$2</f>
        <v>20</v>
      </c>
      <c r="M732" s="70"/>
    </row>
    <row r="733" spans="1:13" x14ac:dyDescent="0.25">
      <c r="A733" s="42" t="s">
        <v>1552</v>
      </c>
      <c r="B733" s="14"/>
      <c r="C733" s="13"/>
      <c r="D733" s="13"/>
      <c r="E733" s="290" t="s">
        <v>784</v>
      </c>
      <c r="F733" s="291"/>
      <c r="G733" s="91">
        <f>+ROUND(Návrh!G730,-3)/$X$2</f>
        <v>5</v>
      </c>
      <c r="H733" s="91">
        <f>+ROUND(Návrh!H730,-3)/$X$2</f>
        <v>5</v>
      </c>
      <c r="I733" s="91">
        <f>+ROUND(Návrh!I730,-3)/$X$2</f>
        <v>0</v>
      </c>
      <c r="J733" s="91" t="e">
        <f>+ROUND(Návrh!#REF!,-3)/$X$2</f>
        <v>#REF!</v>
      </c>
      <c r="K733" s="91">
        <f>+ROUND(Návrh!J730,-3)/$X$2</f>
        <v>0</v>
      </c>
      <c r="L733" s="91">
        <f>+ROUND(Návrh!K730,-3)/$X$2</f>
        <v>0</v>
      </c>
      <c r="M733" s="70"/>
    </row>
    <row r="734" spans="1:13" x14ac:dyDescent="0.25">
      <c r="A734" s="53" t="s">
        <v>785</v>
      </c>
      <c r="B734" s="53"/>
      <c r="C734" s="51"/>
      <c r="D734" s="51"/>
      <c r="E734" s="282" t="s">
        <v>786</v>
      </c>
      <c r="F734" s="283"/>
      <c r="G734" s="101">
        <f>+ROUND(Návrh!G731,-3)/$X$2</f>
        <v>25</v>
      </c>
      <c r="H734" s="101">
        <f>+ROUND(Návrh!H731,-3)/$X$2</f>
        <v>37</v>
      </c>
      <c r="I734" s="101">
        <f>+ROUND(Návrh!I731,-3)/$X$2</f>
        <v>0</v>
      </c>
      <c r="J734" s="101" t="e">
        <f>+ROUND(Návrh!#REF!,-3)/$X$2</f>
        <v>#REF!</v>
      </c>
      <c r="K734" s="101">
        <f>+ROUND(Návrh!J731,-3)/$X$2</f>
        <v>0</v>
      </c>
      <c r="L734" s="101">
        <f>+ROUND(Návrh!K731,-3)/$X$2</f>
        <v>0</v>
      </c>
      <c r="M734" s="70"/>
    </row>
    <row r="735" spans="1:13" x14ac:dyDescent="0.25">
      <c r="A735" s="57" t="s">
        <v>1553</v>
      </c>
      <c r="B735" s="57"/>
      <c r="C735" s="55"/>
      <c r="D735" s="55"/>
      <c r="E735" s="288" t="s">
        <v>787</v>
      </c>
      <c r="F735" s="289"/>
      <c r="G735" s="102">
        <f>+ROUND(Návrh!G732,-3)/$X$2</f>
        <v>25</v>
      </c>
      <c r="H735" s="102">
        <f>+ROUND(Návrh!H732,-3)/$X$2</f>
        <v>37</v>
      </c>
      <c r="I735" s="102">
        <f>+ROUND(Návrh!I732,-3)/$X$2</f>
        <v>0</v>
      </c>
      <c r="J735" s="102" t="e">
        <f>+ROUND(Návrh!#REF!,-3)/$X$2</f>
        <v>#REF!</v>
      </c>
      <c r="K735" s="102">
        <f>+ROUND(Návrh!J732,-3)/$X$2</f>
        <v>0</v>
      </c>
      <c r="L735" s="102">
        <f>+ROUND(Návrh!K732,-3)/$X$2</f>
        <v>0</v>
      </c>
      <c r="M735" s="70"/>
    </row>
    <row r="736" spans="1:13" x14ac:dyDescent="0.25">
      <c r="A736" s="42" t="s">
        <v>1554</v>
      </c>
      <c r="B736" s="14"/>
      <c r="C736" s="13"/>
      <c r="D736" s="13"/>
      <c r="E736" s="290" t="s">
        <v>788</v>
      </c>
      <c r="F736" s="291"/>
      <c r="G736" s="91">
        <f>+ROUND(Návrh!G733,-3)/$X$2</f>
        <v>25</v>
      </c>
      <c r="H736" s="91">
        <f>+ROUND(Návrh!H733,-3)/$X$2</f>
        <v>37</v>
      </c>
      <c r="I736" s="91">
        <f>+ROUND(Návrh!I733,-3)/$X$2</f>
        <v>0</v>
      </c>
      <c r="J736" s="91" t="e">
        <f>+ROUND(Návrh!#REF!,-3)/$X$2</f>
        <v>#REF!</v>
      </c>
      <c r="K736" s="91">
        <f>+ROUND(Návrh!J733,-3)/$X$2</f>
        <v>0</v>
      </c>
      <c r="L736" s="91">
        <f>+ROUND(Návrh!K733,-3)/$X$2</f>
        <v>0</v>
      </c>
      <c r="M736" s="70"/>
    </row>
    <row r="737" spans="1:13" x14ac:dyDescent="0.25">
      <c r="A737" s="53" t="s">
        <v>789</v>
      </c>
      <c r="B737" s="53"/>
      <c r="C737" s="51"/>
      <c r="D737" s="51"/>
      <c r="E737" s="282" t="s">
        <v>790</v>
      </c>
      <c r="F737" s="283"/>
      <c r="G737" s="101">
        <f>+ROUND(Návrh!G734,-3)/$X$2</f>
        <v>12610</v>
      </c>
      <c r="H737" s="101">
        <f>+ROUND(Návrh!H734,-3)/$X$2</f>
        <v>11192</v>
      </c>
      <c r="I737" s="101">
        <f>+ROUND(Návrh!I734,-3)/$X$2</f>
        <v>11064</v>
      </c>
      <c r="J737" s="101" t="e">
        <f>+ROUND(Návrh!#REF!,-3)/$X$2</f>
        <v>#REF!</v>
      </c>
      <c r="K737" s="101">
        <f>+ROUND(Návrh!J734,-3)/$X$2</f>
        <v>4530</v>
      </c>
      <c r="L737" s="101">
        <f>+ROUND(Návrh!K734,-3)/$X$2</f>
        <v>13281</v>
      </c>
      <c r="M737" s="70"/>
    </row>
    <row r="738" spans="1:13" x14ac:dyDescent="0.25">
      <c r="A738" s="57" t="s">
        <v>1555</v>
      </c>
      <c r="B738" s="57"/>
      <c r="C738" s="55"/>
      <c r="D738" s="55"/>
      <c r="E738" s="288" t="s">
        <v>791</v>
      </c>
      <c r="F738" s="289"/>
      <c r="G738" s="102">
        <f>+ROUND(Návrh!G735,-3)/$X$2</f>
        <v>3698</v>
      </c>
      <c r="H738" s="102">
        <f>+ROUND(Návrh!H735,-3)/$X$2</f>
        <v>0</v>
      </c>
      <c r="I738" s="102">
        <f>+ROUND(Návrh!I735,-3)/$X$2</f>
        <v>0</v>
      </c>
      <c r="J738" s="102" t="e">
        <f>+ROUND(Návrh!#REF!,-3)/$X$2</f>
        <v>#REF!</v>
      </c>
      <c r="K738" s="102">
        <f>+ROUND(Návrh!J735,-3)/$X$2</f>
        <v>0</v>
      </c>
      <c r="L738" s="102">
        <f>+ROUND(Návrh!K735,-3)/$X$2</f>
        <v>0</v>
      </c>
      <c r="M738" s="70"/>
    </row>
    <row r="739" spans="1:13" x14ac:dyDescent="0.25">
      <c r="A739" s="42" t="s">
        <v>1556</v>
      </c>
      <c r="B739" s="27"/>
      <c r="C739" s="28"/>
      <c r="D739" s="28"/>
      <c r="E739" s="290" t="s">
        <v>792</v>
      </c>
      <c r="F739" s="291"/>
      <c r="G739" s="91">
        <f>+ROUND(Návrh!G736,-3)/$X$2</f>
        <v>3698</v>
      </c>
      <c r="H739" s="91">
        <f>+ROUND(Návrh!H736,-3)/$X$2</f>
        <v>0</v>
      </c>
      <c r="I739" s="91">
        <f>+ROUND(Návrh!I736,-3)/$X$2</f>
        <v>0</v>
      </c>
      <c r="J739" s="91" t="e">
        <f>+ROUND(Návrh!#REF!,-3)/$X$2</f>
        <v>#REF!</v>
      </c>
      <c r="K739" s="91">
        <f>+ROUND(Návrh!J736,-3)/$X$2</f>
        <v>0</v>
      </c>
      <c r="L739" s="91">
        <f>+ROUND(Návrh!K736,-3)/$X$2</f>
        <v>0</v>
      </c>
      <c r="M739" s="70"/>
    </row>
    <row r="740" spans="1:13" x14ac:dyDescent="0.25">
      <c r="A740" s="57" t="s">
        <v>1557</v>
      </c>
      <c r="B740" s="57"/>
      <c r="C740" s="55"/>
      <c r="D740" s="55"/>
      <c r="E740" s="288" t="s">
        <v>793</v>
      </c>
      <c r="F740" s="289"/>
      <c r="G740" s="102">
        <f>+ROUND(Návrh!G737,-3)/$X$2</f>
        <v>3337</v>
      </c>
      <c r="H740" s="102">
        <f>+ROUND(Návrh!H737,-3)/$X$2</f>
        <v>2281</v>
      </c>
      <c r="I740" s="102">
        <f>+ROUND(Návrh!I737,-3)/$X$2</f>
        <v>2000</v>
      </c>
      <c r="J740" s="102" t="e">
        <f>+ROUND(Návrh!#REF!,-3)/$X$2</f>
        <v>#REF!</v>
      </c>
      <c r="K740" s="102">
        <f>+ROUND(Návrh!J737,-3)/$X$2</f>
        <v>0</v>
      </c>
      <c r="L740" s="102">
        <f>+ROUND(Návrh!K737,-3)/$X$2</f>
        <v>2500</v>
      </c>
      <c r="M740" s="70"/>
    </row>
    <row r="741" spans="1:13" x14ac:dyDescent="0.25">
      <c r="A741" s="42" t="s">
        <v>1558</v>
      </c>
      <c r="B741" s="27" t="s">
        <v>916</v>
      </c>
      <c r="C741" s="28" t="s">
        <v>920</v>
      </c>
      <c r="D741" s="28" t="s">
        <v>917</v>
      </c>
      <c r="E741" s="290" t="s">
        <v>794</v>
      </c>
      <c r="F741" s="291"/>
      <c r="G741" s="91">
        <f>+ROUND(Návrh!G738,-3)/$X$2</f>
        <v>3337</v>
      </c>
      <c r="H741" s="91">
        <f>+ROUND(Návrh!H738,-3)/$X$2</f>
        <v>2281</v>
      </c>
      <c r="I741" s="91">
        <f>+ROUND(Návrh!I738,-3)/$X$2</f>
        <v>2000</v>
      </c>
      <c r="J741" s="91" t="e">
        <f>+ROUND(Návrh!#REF!,-3)/$X$2</f>
        <v>#REF!</v>
      </c>
      <c r="K741" s="91">
        <f>+ROUND(Návrh!J738,-3)/$X$2</f>
        <v>0</v>
      </c>
      <c r="L741" s="91">
        <f>+ROUND(Návrh!K738,-3)/$X$2</f>
        <v>2500</v>
      </c>
      <c r="M741" s="70"/>
    </row>
    <row r="742" spans="1:13" x14ac:dyDescent="0.25">
      <c r="A742" s="57" t="s">
        <v>1559</v>
      </c>
      <c r="B742" s="57"/>
      <c r="C742" s="55"/>
      <c r="D742" s="55"/>
      <c r="E742" s="288" t="s">
        <v>795</v>
      </c>
      <c r="F742" s="289"/>
      <c r="G742" s="102">
        <f>+ROUND(Návrh!G739,-3)/$X$2</f>
        <v>5576</v>
      </c>
      <c r="H742" s="102">
        <f>+ROUND(Návrh!H739,-3)/$X$2</f>
        <v>8911</v>
      </c>
      <c r="I742" s="102">
        <f>+ROUND(Návrh!I739,-3)/$X$2</f>
        <v>9064</v>
      </c>
      <c r="J742" s="102" t="e">
        <f>+ROUND(Návrh!#REF!,-3)/$X$2</f>
        <v>#REF!</v>
      </c>
      <c r="K742" s="102">
        <f>+ROUND(Návrh!J739,-3)/$X$2</f>
        <v>4530</v>
      </c>
      <c r="L742" s="102">
        <f>+ROUND(Návrh!K739,-3)/$X$2</f>
        <v>10781</v>
      </c>
      <c r="M742" s="70"/>
    </row>
    <row r="743" spans="1:13" x14ac:dyDescent="0.25">
      <c r="A743" s="42" t="s">
        <v>1560</v>
      </c>
      <c r="B743" s="27" t="s">
        <v>916</v>
      </c>
      <c r="C743" s="28" t="s">
        <v>919</v>
      </c>
      <c r="D743" s="28" t="s">
        <v>917</v>
      </c>
      <c r="E743" s="290" t="s">
        <v>796</v>
      </c>
      <c r="F743" s="291"/>
      <c r="G743" s="91">
        <f>+ROUND(Návrh!G740,-3)/$X$2</f>
        <v>2425</v>
      </c>
      <c r="H743" s="91">
        <f>+ROUND(Návrh!H740,-3)/$X$2</f>
        <v>3814</v>
      </c>
      <c r="I743" s="91">
        <f>+ROUND(Návrh!I740,-3)/$X$2</f>
        <v>4064</v>
      </c>
      <c r="J743" s="91" t="e">
        <f>+ROUND(Návrh!#REF!,-3)/$X$2</f>
        <v>#REF!</v>
      </c>
      <c r="K743" s="91">
        <f>+ROUND(Návrh!J740,-3)/$X$2</f>
        <v>4530</v>
      </c>
      <c r="L743" s="91">
        <f>+ROUND(Návrh!K740,-3)/$X$2</f>
        <v>4505</v>
      </c>
      <c r="M743" s="70"/>
    </row>
    <row r="744" spans="1:13" x14ac:dyDescent="0.25">
      <c r="A744" s="42" t="s">
        <v>1561</v>
      </c>
      <c r="B744" s="27" t="s">
        <v>916</v>
      </c>
      <c r="C744" s="28" t="s">
        <v>919</v>
      </c>
      <c r="D744" s="28" t="s">
        <v>917</v>
      </c>
      <c r="E744" s="290" t="s">
        <v>797</v>
      </c>
      <c r="F744" s="291"/>
      <c r="G744" s="91">
        <f>+ROUND(Návrh!G741,-3)/$X$2</f>
        <v>3151</v>
      </c>
      <c r="H744" s="91">
        <f>+ROUND(Návrh!H741,-3)/$X$2</f>
        <v>5038</v>
      </c>
      <c r="I744" s="91">
        <f>+ROUND(Návrh!I741,-3)/$X$2</f>
        <v>5000</v>
      </c>
      <c r="J744" s="91" t="e">
        <f>+ROUND(Návrh!#REF!,-3)/$X$2</f>
        <v>#REF!</v>
      </c>
      <c r="K744" s="91">
        <f>+ROUND(Návrh!J741,-3)/$X$2</f>
        <v>0</v>
      </c>
      <c r="L744" s="91">
        <f>+ROUND(Návrh!K741,-3)/$X$2</f>
        <v>6276</v>
      </c>
      <c r="M744" s="70"/>
    </row>
    <row r="745" spans="1:13" x14ac:dyDescent="0.25">
      <c r="A745" s="42" t="s">
        <v>1562</v>
      </c>
      <c r="B745" s="27" t="s">
        <v>916</v>
      </c>
      <c r="C745" s="28" t="s">
        <v>919</v>
      </c>
      <c r="D745" s="96" t="s">
        <v>917</v>
      </c>
      <c r="E745" s="290" t="s">
        <v>798</v>
      </c>
      <c r="F745" s="291"/>
      <c r="G745" s="91">
        <f>+ROUND(Návrh!G742,-3)/$X$2</f>
        <v>0</v>
      </c>
      <c r="H745" s="91">
        <f>+ROUND(Návrh!H742,-3)/$X$2</f>
        <v>60</v>
      </c>
      <c r="I745" s="91">
        <f>+ROUND(Návrh!I742,-3)/$X$2</f>
        <v>0</v>
      </c>
      <c r="J745" s="91" t="e">
        <f>+ROUND(Návrh!#REF!,-3)/$X$2</f>
        <v>#REF!</v>
      </c>
      <c r="K745" s="91">
        <f>+ROUND(Návrh!J742,-3)/$X$2</f>
        <v>0</v>
      </c>
      <c r="L745" s="91">
        <f>+ROUND(Návrh!K742,-3)/$X$2</f>
        <v>0</v>
      </c>
      <c r="M745" s="70"/>
    </row>
    <row r="746" spans="1:13" x14ac:dyDescent="0.25">
      <c r="A746" s="53" t="s">
        <v>799</v>
      </c>
      <c r="B746" s="53"/>
      <c r="C746" s="51"/>
      <c r="D746" s="51"/>
      <c r="E746" s="282" t="s">
        <v>800</v>
      </c>
      <c r="F746" s="283"/>
      <c r="G746" s="101">
        <f>+ROUND(Návrh!G743,-3)/$X$2</f>
        <v>113466</v>
      </c>
      <c r="H746" s="101">
        <f>+ROUND(Návrh!H743,-3)/$X$2</f>
        <v>311547</v>
      </c>
      <c r="I746" s="101">
        <f>+ROUND(Návrh!I743,-3)/$X$2</f>
        <v>287642</v>
      </c>
      <c r="J746" s="101" t="e">
        <f>+ROUND(Návrh!#REF!,-3)/$X$2</f>
        <v>#REF!</v>
      </c>
      <c r="K746" s="101">
        <f>+ROUND(Návrh!J743,-3)/$X$2</f>
        <v>294039</v>
      </c>
      <c r="L746" s="101">
        <f>+ROUND(Návrh!K743,-3)/$X$2</f>
        <v>275857</v>
      </c>
      <c r="M746" s="70"/>
    </row>
    <row r="747" spans="1:13" x14ac:dyDescent="0.25">
      <c r="A747" s="57" t="s">
        <v>1563</v>
      </c>
      <c r="B747" s="57"/>
      <c r="C747" s="55"/>
      <c r="D747" s="55"/>
      <c r="E747" s="288" t="s">
        <v>801</v>
      </c>
      <c r="F747" s="289"/>
      <c r="G747" s="102">
        <f>+ROUND(Návrh!G744,-3)/$X$2</f>
        <v>62</v>
      </c>
      <c r="H747" s="102">
        <f>+ROUND(Návrh!H744,-3)/$X$2</f>
        <v>78</v>
      </c>
      <c r="I747" s="102">
        <f>+ROUND(Návrh!I744,-3)/$X$2</f>
        <v>0</v>
      </c>
      <c r="J747" s="102" t="e">
        <f>+ROUND(Návrh!#REF!,-3)/$X$2</f>
        <v>#REF!</v>
      </c>
      <c r="K747" s="102">
        <f>+ROUND(Návrh!J744,-3)/$X$2</f>
        <v>0</v>
      </c>
      <c r="L747" s="102">
        <f>+ROUND(Návrh!K744,-3)/$X$2</f>
        <v>0</v>
      </c>
      <c r="M747" s="70"/>
    </row>
    <row r="748" spans="1:13" x14ac:dyDescent="0.25">
      <c r="A748" s="42" t="s">
        <v>1564</v>
      </c>
      <c r="B748" s="14"/>
      <c r="C748" s="13"/>
      <c r="D748" s="13"/>
      <c r="E748" s="290" t="s">
        <v>802</v>
      </c>
      <c r="F748" s="291"/>
      <c r="G748" s="91">
        <f>+ROUND(Návrh!G745,-3)/$X$2</f>
        <v>62</v>
      </c>
      <c r="H748" s="91">
        <f>+ROUND(Návrh!H745,-3)/$X$2</f>
        <v>78</v>
      </c>
      <c r="I748" s="91">
        <f>+ROUND(Návrh!I745,-3)/$X$2</f>
        <v>0</v>
      </c>
      <c r="J748" s="91" t="e">
        <f>+ROUND(Návrh!#REF!,-3)/$X$2</f>
        <v>#REF!</v>
      </c>
      <c r="K748" s="91">
        <f>+ROUND(Návrh!J745,-3)/$X$2</f>
        <v>0</v>
      </c>
      <c r="L748" s="91">
        <f>+ROUND(Návrh!K745,-3)/$X$2</f>
        <v>0</v>
      </c>
      <c r="M748" s="70"/>
    </row>
    <row r="749" spans="1:13" x14ac:dyDescent="0.25">
      <c r="A749" s="57" t="s">
        <v>1565</v>
      </c>
      <c r="B749" s="57"/>
      <c r="C749" s="55"/>
      <c r="D749" s="55"/>
      <c r="E749" s="288" t="s">
        <v>803</v>
      </c>
      <c r="F749" s="289"/>
      <c r="G749" s="102">
        <f>+ROUND(Návrh!G746,-3)/$X$2</f>
        <v>10666</v>
      </c>
      <c r="H749" s="102">
        <f>+ROUND(Návrh!H746,-3)/$X$2</f>
        <v>6957</v>
      </c>
      <c r="I749" s="102">
        <f>+ROUND(Návrh!I746,-3)/$X$2</f>
        <v>1000</v>
      </c>
      <c r="J749" s="102" t="e">
        <f>+ROUND(Návrh!#REF!,-3)/$X$2</f>
        <v>#REF!</v>
      </c>
      <c r="K749" s="102">
        <f>+ROUND(Návrh!J746,-3)/$X$2</f>
        <v>0</v>
      </c>
      <c r="L749" s="102">
        <f>+ROUND(Návrh!K746,-3)/$X$2</f>
        <v>17109</v>
      </c>
      <c r="M749" s="70"/>
    </row>
    <row r="750" spans="1:13" x14ac:dyDescent="0.25">
      <c r="A750" s="42" t="s">
        <v>1566</v>
      </c>
      <c r="B750" s="14"/>
      <c r="C750" s="13"/>
      <c r="D750" s="13"/>
      <c r="E750" s="290" t="s">
        <v>804</v>
      </c>
      <c r="F750" s="291"/>
      <c r="G750" s="91">
        <f>+ROUND(Návrh!G747,-3)/$X$2</f>
        <v>1</v>
      </c>
      <c r="H750" s="91">
        <f>+ROUND(Návrh!H747,-3)/$X$2</f>
        <v>0</v>
      </c>
      <c r="I750" s="91">
        <f>+ROUND(Návrh!I747,-3)/$X$2</f>
        <v>0</v>
      </c>
      <c r="J750" s="91" t="e">
        <f>+ROUND(Návrh!#REF!,-3)/$X$2</f>
        <v>#REF!</v>
      </c>
      <c r="K750" s="91">
        <f>+ROUND(Návrh!J747,-3)/$X$2</f>
        <v>0</v>
      </c>
      <c r="L750" s="91">
        <f>+ROUND(Návrh!K747,-3)/$X$2</f>
        <v>0</v>
      </c>
      <c r="M750" s="70"/>
    </row>
    <row r="751" spans="1:13" x14ac:dyDescent="0.25">
      <c r="A751" s="42" t="s">
        <v>1567</v>
      </c>
      <c r="B751" s="27" t="s">
        <v>916</v>
      </c>
      <c r="C751" s="28" t="s">
        <v>920</v>
      </c>
      <c r="D751" s="28" t="s">
        <v>917</v>
      </c>
      <c r="E751" s="290" t="s">
        <v>805</v>
      </c>
      <c r="F751" s="291"/>
      <c r="G751" s="91">
        <f>+ROUND(Návrh!G748,-3)/$X$2</f>
        <v>672</v>
      </c>
      <c r="H751" s="91">
        <f>+ROUND(Návrh!H748,-3)/$X$2</f>
        <v>1616</v>
      </c>
      <c r="I751" s="91">
        <f>+ROUND(Návrh!I748,-3)/$X$2</f>
        <v>0</v>
      </c>
      <c r="J751" s="91" t="e">
        <f>+ROUND(Návrh!#REF!,-3)/$X$2</f>
        <v>#REF!</v>
      </c>
      <c r="K751" s="91">
        <f>+ROUND(Návrh!J748,-3)/$X$2</f>
        <v>0</v>
      </c>
      <c r="L751" s="91">
        <f>+ROUND(Návrh!K748,-3)/$X$2</f>
        <v>5000</v>
      </c>
      <c r="M751" s="70"/>
    </row>
    <row r="752" spans="1:13" x14ac:dyDescent="0.25">
      <c r="A752" s="42" t="s">
        <v>1568</v>
      </c>
      <c r="B752" s="27" t="s">
        <v>916</v>
      </c>
      <c r="C752" s="28" t="s">
        <v>923</v>
      </c>
      <c r="D752" s="28" t="s">
        <v>1633</v>
      </c>
      <c r="E752" s="290" t="s">
        <v>806</v>
      </c>
      <c r="F752" s="291"/>
      <c r="G752" s="91">
        <f>+ROUND(Návrh!G749,-3)/$X$2</f>
        <v>0</v>
      </c>
      <c r="H752" s="91">
        <f>+ROUND(Návrh!H749,-3)/$X$2</f>
        <v>85</v>
      </c>
      <c r="I752" s="91">
        <f>+ROUND(Návrh!I749,-3)/$X$2</f>
        <v>0</v>
      </c>
      <c r="J752" s="91" t="e">
        <f>+ROUND(Návrh!#REF!,-3)/$X$2</f>
        <v>#REF!</v>
      </c>
      <c r="K752" s="91">
        <f>+ROUND(Návrh!J749,-3)/$X$2</f>
        <v>0</v>
      </c>
      <c r="L752" s="91">
        <f>+ROUND(Návrh!K749,-3)/$X$2</f>
        <v>11192</v>
      </c>
      <c r="M752" s="70"/>
    </row>
    <row r="753" spans="1:13" x14ac:dyDescent="0.25">
      <c r="A753" s="42" t="s">
        <v>1569</v>
      </c>
      <c r="B753" s="14"/>
      <c r="C753" s="13"/>
      <c r="D753" s="13"/>
      <c r="E753" s="290" t="s">
        <v>807</v>
      </c>
      <c r="F753" s="291"/>
      <c r="G753" s="91">
        <f>+ROUND(Návrh!G750,-3)/$X$2</f>
        <v>807</v>
      </c>
      <c r="H753" s="91">
        <f>+ROUND(Návrh!H750,-3)/$X$2</f>
        <v>3110</v>
      </c>
      <c r="I753" s="91">
        <f>+ROUND(Návrh!I750,-3)/$X$2</f>
        <v>0</v>
      </c>
      <c r="J753" s="91" t="e">
        <f>+ROUND(Návrh!#REF!,-3)/$X$2</f>
        <v>#REF!</v>
      </c>
      <c r="K753" s="91">
        <f>+ROUND(Návrh!J750,-3)/$X$2</f>
        <v>0</v>
      </c>
      <c r="L753" s="91">
        <f>+ROUND(Návrh!K750,-3)/$X$2</f>
        <v>0</v>
      </c>
      <c r="M753" s="70"/>
    </row>
    <row r="754" spans="1:13" x14ac:dyDescent="0.25">
      <c r="A754" s="42" t="s">
        <v>1570</v>
      </c>
      <c r="B754" s="14"/>
      <c r="C754" s="13"/>
      <c r="D754" s="13"/>
      <c r="E754" s="290" t="s">
        <v>808</v>
      </c>
      <c r="F754" s="291"/>
      <c r="G754" s="91">
        <f>+ROUND(Návrh!G751,-3)/$X$2</f>
        <v>915</v>
      </c>
      <c r="H754" s="91">
        <f>+ROUND(Návrh!H751,-3)/$X$2</f>
        <v>956</v>
      </c>
      <c r="I754" s="91">
        <f>+ROUND(Návrh!I751,-3)/$X$2</f>
        <v>0</v>
      </c>
      <c r="J754" s="91" t="e">
        <f>+ROUND(Návrh!#REF!,-3)/$X$2</f>
        <v>#REF!</v>
      </c>
      <c r="K754" s="91">
        <f>+ROUND(Návrh!J751,-3)/$X$2</f>
        <v>0</v>
      </c>
      <c r="L754" s="91">
        <f>+ROUND(Návrh!K751,-3)/$X$2</f>
        <v>0</v>
      </c>
      <c r="M754" s="70"/>
    </row>
    <row r="755" spans="1:13" x14ac:dyDescent="0.25">
      <c r="A755" s="42" t="s">
        <v>1571</v>
      </c>
      <c r="B755" s="27" t="s">
        <v>916</v>
      </c>
      <c r="C755" s="28" t="s">
        <v>919</v>
      </c>
      <c r="D755" s="28" t="s">
        <v>917</v>
      </c>
      <c r="E755" s="290" t="s">
        <v>809</v>
      </c>
      <c r="F755" s="291"/>
      <c r="G755" s="91">
        <f>+ROUND(Návrh!G752,-3)/$X$2</f>
        <v>993</v>
      </c>
      <c r="H755" s="91">
        <f>+ROUND(Návrh!H752,-3)/$X$2</f>
        <v>1095</v>
      </c>
      <c r="I755" s="91">
        <f>+ROUND(Návrh!I752,-3)/$X$2</f>
        <v>1000</v>
      </c>
      <c r="J755" s="91" t="e">
        <f>+ROUND(Návrh!#REF!,-3)/$X$2</f>
        <v>#REF!</v>
      </c>
      <c r="K755" s="91">
        <f>+ROUND(Návrh!J752,-3)/$X$2</f>
        <v>0</v>
      </c>
      <c r="L755" s="91">
        <f>+ROUND(Návrh!K752,-3)/$X$2</f>
        <v>917</v>
      </c>
      <c r="M755" s="70"/>
    </row>
    <row r="756" spans="1:13" x14ac:dyDescent="0.25">
      <c r="A756" s="42" t="s">
        <v>1572</v>
      </c>
      <c r="B756" s="14"/>
      <c r="C756" s="13"/>
      <c r="D756" s="13"/>
      <c r="E756" s="290" t="s">
        <v>810</v>
      </c>
      <c r="F756" s="291"/>
      <c r="G756" s="91">
        <f>+ROUND(Návrh!G753,-3)/$X$2</f>
        <v>5804</v>
      </c>
      <c r="H756" s="91">
        <f>+ROUND(Návrh!H753,-3)/$X$2</f>
        <v>0</v>
      </c>
      <c r="I756" s="91">
        <f>+ROUND(Návrh!I753,-3)/$X$2</f>
        <v>0</v>
      </c>
      <c r="J756" s="91" t="e">
        <f>+ROUND(Návrh!#REF!,-3)/$X$2</f>
        <v>#REF!</v>
      </c>
      <c r="K756" s="91">
        <f>+ROUND(Návrh!J753,-3)/$X$2</f>
        <v>0</v>
      </c>
      <c r="L756" s="91">
        <f>+ROUND(Návrh!K753,-3)/$X$2</f>
        <v>0</v>
      </c>
      <c r="M756" s="70"/>
    </row>
    <row r="757" spans="1:13" x14ac:dyDescent="0.25">
      <c r="A757" s="42" t="s">
        <v>1573</v>
      </c>
      <c r="B757" s="14"/>
      <c r="C757" s="13"/>
      <c r="D757" s="13"/>
      <c r="E757" s="290" t="s">
        <v>811</v>
      </c>
      <c r="F757" s="291"/>
      <c r="G757" s="91">
        <f>+ROUND(Návrh!G754,-3)/$X$2</f>
        <v>1474</v>
      </c>
      <c r="H757" s="91">
        <f>+ROUND(Návrh!H754,-3)/$X$2</f>
        <v>94</v>
      </c>
      <c r="I757" s="91">
        <f>+ROUND(Návrh!I754,-3)/$X$2</f>
        <v>0</v>
      </c>
      <c r="J757" s="91" t="e">
        <f>+ROUND(Návrh!#REF!,-3)/$X$2</f>
        <v>#REF!</v>
      </c>
      <c r="K757" s="91">
        <f>+ROUND(Návrh!J754,-3)/$X$2</f>
        <v>0</v>
      </c>
      <c r="L757" s="91">
        <f>+ROUND(Návrh!K754,-3)/$X$2</f>
        <v>0</v>
      </c>
      <c r="M757" s="70"/>
    </row>
    <row r="758" spans="1:13" x14ac:dyDescent="0.25">
      <c r="A758" s="57" t="s">
        <v>1574</v>
      </c>
      <c r="B758" s="57"/>
      <c r="C758" s="55"/>
      <c r="D758" s="55"/>
      <c r="E758" s="288" t="s">
        <v>812</v>
      </c>
      <c r="F758" s="289"/>
      <c r="G758" s="102">
        <f>+ROUND(Návrh!G755,-3)/$X$2</f>
        <v>0</v>
      </c>
      <c r="H758" s="102">
        <f>+ROUND(Návrh!H755,-3)/$X$2</f>
        <v>191106</v>
      </c>
      <c r="I758" s="102">
        <f>+ROUND(Návrh!I755,-3)/$X$2</f>
        <v>170500</v>
      </c>
      <c r="J758" s="102" t="e">
        <f>+ROUND(Návrh!#REF!,-3)/$X$2</f>
        <v>#REF!</v>
      </c>
      <c r="K758" s="102">
        <f>+ROUND(Návrh!J755,-3)/$X$2</f>
        <v>0</v>
      </c>
      <c r="L758" s="102">
        <f>+ROUND(Návrh!K755,-3)/$X$2</f>
        <v>130500</v>
      </c>
      <c r="M758" s="70"/>
    </row>
    <row r="759" spans="1:13" x14ac:dyDescent="0.25">
      <c r="A759" s="42" t="s">
        <v>1575</v>
      </c>
      <c r="B759" s="28" t="s">
        <v>922</v>
      </c>
      <c r="C759" s="28" t="s">
        <v>923</v>
      </c>
      <c r="D759" s="28" t="s">
        <v>1631</v>
      </c>
      <c r="E759" s="290" t="s">
        <v>813</v>
      </c>
      <c r="F759" s="291"/>
      <c r="G759" s="91">
        <f>+ROUND(Návrh!G756,-3)/$X$2</f>
        <v>0</v>
      </c>
      <c r="H759" s="91">
        <f>+ROUND(Návrh!H756,-3)/$X$2</f>
        <v>72262</v>
      </c>
      <c r="I759" s="91">
        <f>+ROUND(Návrh!I756,-3)/$X$2</f>
        <v>75000</v>
      </c>
      <c r="J759" s="91" t="e">
        <f>+ROUND(Návrh!#REF!,-3)/$X$2</f>
        <v>#REF!</v>
      </c>
      <c r="K759" s="91">
        <f>+ROUND(Návrh!J756,-3)/$X$2</f>
        <v>0</v>
      </c>
      <c r="L759" s="91">
        <f>+ROUND(Návrh!K756,-3)/$X$2</f>
        <v>50000</v>
      </c>
      <c r="M759" s="70"/>
    </row>
    <row r="760" spans="1:13" x14ac:dyDescent="0.25">
      <c r="A760" s="42" t="s">
        <v>1576</v>
      </c>
      <c r="B760" s="28" t="s">
        <v>922</v>
      </c>
      <c r="C760" s="28" t="s">
        <v>920</v>
      </c>
      <c r="D760" s="28" t="s">
        <v>1433</v>
      </c>
      <c r="E760" s="290" t="s">
        <v>814</v>
      </c>
      <c r="F760" s="291"/>
      <c r="G760" s="91">
        <f>+ROUND(Návrh!G757,-3)/$X$2</f>
        <v>0</v>
      </c>
      <c r="H760" s="91">
        <f>+ROUND(Návrh!H757,-3)/$X$2</f>
        <v>85054</v>
      </c>
      <c r="I760" s="91">
        <f>+ROUND(Návrh!I757,-3)/$X$2</f>
        <v>70000</v>
      </c>
      <c r="J760" s="91" t="e">
        <f>+ROUND(Návrh!#REF!,-3)/$X$2</f>
        <v>#REF!</v>
      </c>
      <c r="K760" s="91">
        <f>+ROUND(Návrh!J757,-3)/$X$2</f>
        <v>0</v>
      </c>
      <c r="L760" s="91">
        <f>+ROUND(Návrh!K757,-3)/$X$2</f>
        <v>60000</v>
      </c>
      <c r="M760" s="70"/>
    </row>
    <row r="761" spans="1:13" x14ac:dyDescent="0.25">
      <c r="A761" s="42" t="s">
        <v>1577</v>
      </c>
      <c r="B761" s="20" t="s">
        <v>922</v>
      </c>
      <c r="C761" s="20" t="s">
        <v>923</v>
      </c>
      <c r="D761" s="20" t="s">
        <v>1631</v>
      </c>
      <c r="E761" s="290" t="s">
        <v>815</v>
      </c>
      <c r="F761" s="291"/>
      <c r="G761" s="91" t="e">
        <f>+ROUND(Návrh!#REF!,-3)/$X$2</f>
        <v>#REF!</v>
      </c>
      <c r="H761" s="91" t="e">
        <f>+ROUND(Návrh!#REF!,-3)/$X$2</f>
        <v>#REF!</v>
      </c>
      <c r="I761" s="91" t="e">
        <f>+ROUND(Návrh!#REF!,-3)/$X$2</f>
        <v>#REF!</v>
      </c>
      <c r="J761" s="91" t="e">
        <f>+ROUND(Návrh!#REF!,-3)/$X$2</f>
        <v>#REF!</v>
      </c>
      <c r="K761" s="91" t="e">
        <f>+ROUND(Návrh!#REF!,-3)/$X$2</f>
        <v>#REF!</v>
      </c>
      <c r="L761" s="91" t="e">
        <f>+ROUND(Návrh!#REF!,-3)/$X$2</f>
        <v>#REF!</v>
      </c>
      <c r="M761" s="70"/>
    </row>
    <row r="762" spans="1:13" x14ac:dyDescent="0.25">
      <c r="A762" s="42" t="s">
        <v>1578</v>
      </c>
      <c r="B762" s="20" t="s">
        <v>922</v>
      </c>
      <c r="C762" s="20" t="s">
        <v>923</v>
      </c>
      <c r="D762" s="20" t="s">
        <v>917</v>
      </c>
      <c r="E762" s="290" t="s">
        <v>816</v>
      </c>
      <c r="F762" s="291"/>
      <c r="G762" s="91">
        <f>+ROUND(Návrh!G759,-3)/$X$2</f>
        <v>0</v>
      </c>
      <c r="H762" s="91">
        <f>+ROUND(Návrh!H759,-3)/$X$2</f>
        <v>955</v>
      </c>
      <c r="I762" s="91">
        <f>+ROUND(Návrh!I759,-3)/$X$2</f>
        <v>500</v>
      </c>
      <c r="J762" s="91" t="e">
        <f>+ROUND(Návrh!#REF!,-3)/$X$2</f>
        <v>#REF!</v>
      </c>
      <c r="K762" s="91">
        <f>+ROUND(Návrh!J759,-3)/$X$2</f>
        <v>0</v>
      </c>
      <c r="L762" s="91">
        <f>+ROUND(Návrh!K759,-3)/$X$2</f>
        <v>500</v>
      </c>
      <c r="M762" s="70"/>
    </row>
    <row r="763" spans="1:13" x14ac:dyDescent="0.25">
      <c r="A763" s="57" t="s">
        <v>1579</v>
      </c>
      <c r="B763" s="57"/>
      <c r="C763" s="55"/>
      <c r="D763" s="55"/>
      <c r="E763" s="288" t="s">
        <v>817</v>
      </c>
      <c r="F763" s="289"/>
      <c r="G763" s="102">
        <f>+ROUND(Návrh!G760,-3)/$X$2</f>
        <v>97851</v>
      </c>
      <c r="H763" s="102">
        <f>+ROUND(Návrh!H760,-3)/$X$2</f>
        <v>106530</v>
      </c>
      <c r="I763" s="102">
        <f>+ROUND(Návrh!I760,-3)/$X$2</f>
        <v>109277</v>
      </c>
      <c r="J763" s="102" t="e">
        <f>+ROUND(Návrh!#REF!,-3)/$X$2</f>
        <v>#REF!</v>
      </c>
      <c r="K763" s="102">
        <f>+ROUND(Návrh!J760,-3)/$X$2</f>
        <v>0</v>
      </c>
      <c r="L763" s="102">
        <f>+ROUND(Návrh!K760,-3)/$X$2</f>
        <v>120893</v>
      </c>
      <c r="M763" s="70"/>
    </row>
    <row r="764" spans="1:13" x14ac:dyDescent="0.25">
      <c r="A764" s="42" t="s">
        <v>1580</v>
      </c>
      <c r="B764" s="27" t="s">
        <v>922</v>
      </c>
      <c r="C764" s="28" t="s">
        <v>923</v>
      </c>
      <c r="D764" s="28" t="s">
        <v>1249</v>
      </c>
      <c r="E764" s="290" t="s">
        <v>818</v>
      </c>
      <c r="F764" s="291"/>
      <c r="G764" s="91">
        <f>+ROUND(Návrh!G761,-3)/$X$2</f>
        <v>293</v>
      </c>
      <c r="H764" s="91">
        <f>+ROUND(Návrh!H761,-3)/$X$2</f>
        <v>277</v>
      </c>
      <c r="I764" s="91">
        <f>+ROUND(Návrh!I761,-3)/$X$2</f>
        <v>207</v>
      </c>
      <c r="J764" s="91" t="e">
        <f>+ROUND(Návrh!#REF!,-3)/$X$2</f>
        <v>#REF!</v>
      </c>
      <c r="K764" s="91">
        <f>+ROUND(Návrh!J761,-3)/$X$2</f>
        <v>0</v>
      </c>
      <c r="L764" s="91">
        <f>+ROUND(Návrh!K761,-3)/$X$2</f>
        <v>230</v>
      </c>
      <c r="M764" s="70"/>
    </row>
    <row r="765" spans="1:13" x14ac:dyDescent="0.25">
      <c r="A765" s="42" t="s">
        <v>1581</v>
      </c>
      <c r="B765" s="27" t="s">
        <v>916</v>
      </c>
      <c r="C765" s="28" t="s">
        <v>920</v>
      </c>
      <c r="D765" s="28" t="s">
        <v>917</v>
      </c>
      <c r="E765" s="290" t="s">
        <v>819</v>
      </c>
      <c r="F765" s="291"/>
      <c r="G765" s="91">
        <f>+ROUND(Návrh!G762,-3)/$X$2</f>
        <v>19</v>
      </c>
      <c r="H765" s="91">
        <f>+ROUND(Návrh!H762,-3)/$X$2</f>
        <v>3</v>
      </c>
      <c r="I765" s="91">
        <f>+ROUND(Návrh!I762,-3)/$X$2</f>
        <v>0</v>
      </c>
      <c r="J765" s="91" t="e">
        <f>+ROUND(Návrh!#REF!,-3)/$X$2</f>
        <v>#REF!</v>
      </c>
      <c r="K765" s="91">
        <f>+ROUND(Návrh!J762,-3)/$X$2</f>
        <v>0</v>
      </c>
      <c r="L765" s="91">
        <f>+ROUND(Návrh!K762,-3)/$X$2</f>
        <v>0</v>
      </c>
      <c r="M765" s="70"/>
    </row>
    <row r="766" spans="1:13" x14ac:dyDescent="0.25">
      <c r="A766" s="42" t="s">
        <v>1582</v>
      </c>
      <c r="B766" s="27" t="s">
        <v>922</v>
      </c>
      <c r="C766" s="28" t="s">
        <v>923</v>
      </c>
      <c r="D766" s="28" t="s">
        <v>1249</v>
      </c>
      <c r="E766" s="290" t="s">
        <v>820</v>
      </c>
      <c r="F766" s="291"/>
      <c r="G766" s="91">
        <f>+ROUND(Návrh!G763,-3)/$X$2</f>
        <v>6507</v>
      </c>
      <c r="H766" s="91">
        <f>+ROUND(Návrh!H763,-3)/$X$2</f>
        <v>5990</v>
      </c>
      <c r="I766" s="91">
        <f>+ROUND(Návrh!I763,-3)/$X$2</f>
        <v>6300</v>
      </c>
      <c r="J766" s="91" t="e">
        <f>+ROUND(Návrh!#REF!,-3)/$X$2</f>
        <v>#REF!</v>
      </c>
      <c r="K766" s="91">
        <f>+ROUND(Návrh!J763,-3)/$X$2</f>
        <v>0</v>
      </c>
      <c r="L766" s="91">
        <f>+ROUND(Návrh!K763,-3)/$X$2</f>
        <v>6300</v>
      </c>
      <c r="M766" s="70"/>
    </row>
    <row r="767" spans="1:13" x14ac:dyDescent="0.25">
      <c r="A767" s="42" t="s">
        <v>1583</v>
      </c>
      <c r="B767" s="27" t="s">
        <v>916</v>
      </c>
      <c r="C767" s="20" t="s">
        <v>919</v>
      </c>
      <c r="D767" s="28" t="s">
        <v>917</v>
      </c>
      <c r="E767" s="290" t="s">
        <v>821</v>
      </c>
      <c r="F767" s="291"/>
      <c r="G767" s="91">
        <f>+ROUND(Návrh!G764,-3)/$X$2</f>
        <v>11982</v>
      </c>
      <c r="H767" s="91">
        <f>+ROUND(Návrh!H764,-3)/$X$2</f>
        <v>11263</v>
      </c>
      <c r="I767" s="91">
        <f>+ROUND(Návrh!I764,-3)/$X$2</f>
        <v>11500</v>
      </c>
      <c r="J767" s="91" t="e">
        <f>+ROUND(Návrh!#REF!,-3)/$X$2</f>
        <v>#REF!</v>
      </c>
      <c r="K767" s="91">
        <f>+ROUND(Návrh!J764,-3)/$X$2</f>
        <v>0</v>
      </c>
      <c r="L767" s="91">
        <f>+ROUND(Návrh!K764,-3)/$X$2</f>
        <v>11850</v>
      </c>
      <c r="M767" s="70"/>
    </row>
    <row r="768" spans="1:13" x14ac:dyDescent="0.25">
      <c r="A768" s="42" t="s">
        <v>1584</v>
      </c>
      <c r="B768" s="27" t="s">
        <v>916</v>
      </c>
      <c r="C768" s="20" t="s">
        <v>919</v>
      </c>
      <c r="D768" s="28" t="s">
        <v>917</v>
      </c>
      <c r="E768" s="290" t="s">
        <v>822</v>
      </c>
      <c r="F768" s="291"/>
      <c r="G768" s="91">
        <f>+ROUND(Návrh!G765,-3)/$X$2</f>
        <v>1894</v>
      </c>
      <c r="H768" s="91">
        <f>+ROUND(Návrh!H765,-3)/$X$2</f>
        <v>2121</v>
      </c>
      <c r="I768" s="91">
        <f>+ROUND(Návrh!I765,-3)/$X$2</f>
        <v>1800</v>
      </c>
      <c r="J768" s="91" t="e">
        <f>+ROUND(Návrh!#REF!,-3)/$X$2</f>
        <v>#REF!</v>
      </c>
      <c r="K768" s="91">
        <f>+ROUND(Návrh!J765,-3)/$X$2</f>
        <v>0</v>
      </c>
      <c r="L768" s="91">
        <f>+ROUND(Návrh!K765,-3)/$X$2</f>
        <v>1760</v>
      </c>
      <c r="M768" s="70"/>
    </row>
    <row r="769" spans="1:13" x14ac:dyDescent="0.25">
      <c r="A769" s="42" t="s">
        <v>1585</v>
      </c>
      <c r="B769" s="27" t="s">
        <v>916</v>
      </c>
      <c r="C769" s="28" t="s">
        <v>923</v>
      </c>
      <c r="D769" s="28" t="s">
        <v>917</v>
      </c>
      <c r="E769" s="290" t="s">
        <v>823</v>
      </c>
      <c r="F769" s="291"/>
      <c r="G769" s="91">
        <f>+ROUND(Návrh!G766,-3)/$X$2</f>
        <v>271</v>
      </c>
      <c r="H769" s="91">
        <f>+ROUND(Návrh!H766,-3)/$X$2</f>
        <v>202</v>
      </c>
      <c r="I769" s="91">
        <f>+ROUND(Návrh!I766,-3)/$X$2</f>
        <v>300</v>
      </c>
      <c r="J769" s="91" t="e">
        <f>+ROUND(Návrh!#REF!,-3)/$X$2</f>
        <v>#REF!</v>
      </c>
      <c r="K769" s="91">
        <f>+ROUND(Návrh!J766,-3)/$X$2</f>
        <v>0</v>
      </c>
      <c r="L769" s="91">
        <f>+ROUND(Návrh!K766,-3)/$X$2</f>
        <v>170</v>
      </c>
      <c r="M769" s="70"/>
    </row>
    <row r="770" spans="1:13" x14ac:dyDescent="0.25">
      <c r="A770" s="42" t="s">
        <v>1586</v>
      </c>
      <c r="B770" s="27" t="s">
        <v>916</v>
      </c>
      <c r="C770" s="28" t="s">
        <v>923</v>
      </c>
      <c r="D770" s="28" t="s">
        <v>1633</v>
      </c>
      <c r="E770" s="290" t="s">
        <v>824</v>
      </c>
      <c r="F770" s="291"/>
      <c r="G770" s="91">
        <f>+ROUND(Návrh!G767,-3)/$X$2</f>
        <v>2580</v>
      </c>
      <c r="H770" s="91">
        <f>+ROUND(Návrh!H767,-3)/$X$2</f>
        <v>2860</v>
      </c>
      <c r="I770" s="91">
        <f>+ROUND(Návrh!I767,-3)/$X$2</f>
        <v>2700</v>
      </c>
      <c r="J770" s="91" t="e">
        <f>+ROUND(Návrh!#REF!,-3)/$X$2</f>
        <v>#REF!</v>
      </c>
      <c r="K770" s="91">
        <f>+ROUND(Návrh!J767,-3)/$X$2</f>
        <v>0</v>
      </c>
      <c r="L770" s="91">
        <f>+ROUND(Návrh!K767,-3)/$X$2</f>
        <v>2300</v>
      </c>
      <c r="M770" s="70"/>
    </row>
    <row r="771" spans="1:13" x14ac:dyDescent="0.25">
      <c r="A771" s="42" t="s">
        <v>1587</v>
      </c>
      <c r="B771" s="27" t="s">
        <v>916</v>
      </c>
      <c r="C771" s="28" t="s">
        <v>923</v>
      </c>
      <c r="D771" s="28" t="s">
        <v>1633</v>
      </c>
      <c r="E771" s="290" t="s">
        <v>825</v>
      </c>
      <c r="F771" s="291"/>
      <c r="G771" s="91">
        <f>+ROUND(Návrh!G768,-3)/$X$2</f>
        <v>33352</v>
      </c>
      <c r="H771" s="91">
        <f>+ROUND(Návrh!H768,-3)/$X$2</f>
        <v>39182</v>
      </c>
      <c r="I771" s="91">
        <f>+ROUND(Návrh!I768,-3)/$X$2</f>
        <v>35000</v>
      </c>
      <c r="J771" s="91" t="e">
        <f>+ROUND(Návrh!#REF!,-3)/$X$2</f>
        <v>#REF!</v>
      </c>
      <c r="K771" s="91">
        <f>+ROUND(Návrh!J768,-3)/$X$2</f>
        <v>0</v>
      </c>
      <c r="L771" s="91">
        <f>+ROUND(Návrh!K768,-3)/$X$2</f>
        <v>44960</v>
      </c>
      <c r="M771" s="70"/>
    </row>
    <row r="772" spans="1:13" x14ac:dyDescent="0.25">
      <c r="A772" s="42" t="s">
        <v>1588</v>
      </c>
      <c r="B772" s="27" t="s">
        <v>916</v>
      </c>
      <c r="C772" s="28" t="s">
        <v>923</v>
      </c>
      <c r="D772" s="28" t="s">
        <v>1633</v>
      </c>
      <c r="E772" s="290" t="s">
        <v>826</v>
      </c>
      <c r="F772" s="291"/>
      <c r="G772" s="91">
        <f>+ROUND(Návrh!G769,-3)/$X$2</f>
        <v>11404</v>
      </c>
      <c r="H772" s="91">
        <f>+ROUND(Návrh!H769,-3)/$X$2</f>
        <v>10310</v>
      </c>
      <c r="I772" s="91">
        <f>+ROUND(Návrh!I769,-3)/$X$2</f>
        <v>10500</v>
      </c>
      <c r="J772" s="91" t="e">
        <f>+ROUND(Návrh!#REF!,-3)/$X$2</f>
        <v>#REF!</v>
      </c>
      <c r="K772" s="91">
        <f>+ROUND(Návrh!J769,-3)/$X$2</f>
        <v>0</v>
      </c>
      <c r="L772" s="91">
        <f>+ROUND(Návrh!K769,-3)/$X$2</f>
        <v>10900</v>
      </c>
      <c r="M772" s="70"/>
    </row>
    <row r="773" spans="1:13" x14ac:dyDescent="0.25">
      <c r="A773" s="42" t="s">
        <v>1589</v>
      </c>
      <c r="B773" s="27" t="s">
        <v>916</v>
      </c>
      <c r="C773" s="28" t="s">
        <v>923</v>
      </c>
      <c r="D773" s="28" t="s">
        <v>1633</v>
      </c>
      <c r="E773" s="290" t="s">
        <v>827</v>
      </c>
      <c r="F773" s="291"/>
      <c r="G773" s="91">
        <f>+ROUND(Návrh!G770,-3)/$X$2</f>
        <v>4580</v>
      </c>
      <c r="H773" s="91">
        <f>+ROUND(Návrh!H770,-3)/$X$2</f>
        <v>5647</v>
      </c>
      <c r="I773" s="91">
        <f>+ROUND(Návrh!I770,-3)/$X$2</f>
        <v>6300</v>
      </c>
      <c r="J773" s="91" t="e">
        <f>+ROUND(Návrh!#REF!,-3)/$X$2</f>
        <v>#REF!</v>
      </c>
      <c r="K773" s="91">
        <f>+ROUND(Návrh!J770,-3)/$X$2</f>
        <v>0</v>
      </c>
      <c r="L773" s="91">
        <f>+ROUND(Návrh!K770,-3)/$X$2</f>
        <v>8000</v>
      </c>
      <c r="M773" s="70"/>
    </row>
    <row r="774" spans="1:13" x14ac:dyDescent="0.25">
      <c r="A774" s="42" t="s">
        <v>1590</v>
      </c>
      <c r="B774" s="20" t="s">
        <v>1654</v>
      </c>
      <c r="C774" s="20" t="s">
        <v>919</v>
      </c>
      <c r="D774" s="20" t="s">
        <v>1655</v>
      </c>
      <c r="E774" s="290" t="s">
        <v>828</v>
      </c>
      <c r="F774" s="291"/>
      <c r="G774" s="91">
        <f>+ROUND(Návrh!G771,-3)/$X$2</f>
        <v>24</v>
      </c>
      <c r="H774" s="91">
        <f>+ROUND(Návrh!H771,-3)/$X$2</f>
        <v>29</v>
      </c>
      <c r="I774" s="91">
        <f>+ROUND(Návrh!I771,-3)/$X$2</f>
        <v>40</v>
      </c>
      <c r="J774" s="91" t="e">
        <f>+ROUND(Návrh!#REF!,-3)/$X$2</f>
        <v>#REF!</v>
      </c>
      <c r="K774" s="91">
        <f>+ROUND(Návrh!J771,-3)/$X$2</f>
        <v>0</v>
      </c>
      <c r="L774" s="91">
        <f>+ROUND(Návrh!K771,-3)/$X$2</f>
        <v>20</v>
      </c>
      <c r="M774" s="70"/>
    </row>
    <row r="775" spans="1:13" x14ac:dyDescent="0.25">
      <c r="A775" s="42" t="s">
        <v>1591</v>
      </c>
      <c r="B775" s="27" t="s">
        <v>916</v>
      </c>
      <c r="C775" s="28" t="s">
        <v>923</v>
      </c>
      <c r="D775" s="28" t="s">
        <v>917</v>
      </c>
      <c r="E775" s="290" t="s">
        <v>829</v>
      </c>
      <c r="F775" s="291"/>
      <c r="G775" s="91">
        <f>+ROUND(Návrh!G772,-3)/$X$2</f>
        <v>1214</v>
      </c>
      <c r="H775" s="91">
        <f>+ROUND(Návrh!H772,-3)/$X$2</f>
        <v>1434</v>
      </c>
      <c r="I775" s="91">
        <f>+ROUND(Návrh!I772,-3)/$X$2</f>
        <v>1200</v>
      </c>
      <c r="J775" s="91" t="e">
        <f>+ROUND(Návrh!#REF!,-3)/$X$2</f>
        <v>#REF!</v>
      </c>
      <c r="K775" s="91">
        <f>+ROUND(Návrh!J772,-3)/$X$2</f>
        <v>0</v>
      </c>
      <c r="L775" s="91">
        <f>+ROUND(Návrh!K772,-3)/$X$2</f>
        <v>1400</v>
      </c>
      <c r="M775" s="70"/>
    </row>
    <row r="776" spans="1:13" x14ac:dyDescent="0.25">
      <c r="A776" s="42" t="s">
        <v>1592</v>
      </c>
      <c r="B776" s="27" t="s">
        <v>916</v>
      </c>
      <c r="C776" s="20" t="s">
        <v>919</v>
      </c>
      <c r="D776" s="28" t="s">
        <v>917</v>
      </c>
      <c r="E776" s="290" t="s">
        <v>830</v>
      </c>
      <c r="F776" s="291"/>
      <c r="G776" s="91">
        <f>+ROUND(Návrh!G773,-3)/$X$2</f>
        <v>6014</v>
      </c>
      <c r="H776" s="91">
        <f>+ROUND(Návrh!H773,-3)/$X$2</f>
        <v>6808</v>
      </c>
      <c r="I776" s="91">
        <f>+ROUND(Návrh!I773,-3)/$X$2</f>
        <v>7000</v>
      </c>
      <c r="J776" s="91" t="e">
        <f>+ROUND(Návrh!#REF!,-3)/$X$2</f>
        <v>#REF!</v>
      </c>
      <c r="K776" s="91">
        <f>+ROUND(Návrh!J773,-3)/$X$2</f>
        <v>0</v>
      </c>
      <c r="L776" s="91">
        <f>+ROUND(Návrh!K773,-3)/$X$2</f>
        <v>8020</v>
      </c>
      <c r="M776" s="70"/>
    </row>
    <row r="777" spans="1:13" x14ac:dyDescent="0.25">
      <c r="A777" s="42" t="s">
        <v>1593</v>
      </c>
      <c r="B777" s="27" t="s">
        <v>916</v>
      </c>
      <c r="C777" s="20" t="s">
        <v>919</v>
      </c>
      <c r="D777" s="28" t="s">
        <v>917</v>
      </c>
      <c r="E777" s="290" t="s">
        <v>831</v>
      </c>
      <c r="F777" s="291"/>
      <c r="G777" s="91">
        <f>+ROUND(Návrh!G774,-3)/$X$2</f>
        <v>454</v>
      </c>
      <c r="H777" s="91">
        <f>+ROUND(Návrh!H774,-3)/$X$2</f>
        <v>1141</v>
      </c>
      <c r="I777" s="91">
        <f>+ROUND(Návrh!I774,-3)/$X$2</f>
        <v>1800</v>
      </c>
      <c r="J777" s="91" t="e">
        <f>+ROUND(Návrh!#REF!,-3)/$X$2</f>
        <v>#REF!</v>
      </c>
      <c r="K777" s="91">
        <f>+ROUND(Návrh!J774,-3)/$X$2</f>
        <v>0</v>
      </c>
      <c r="L777" s="91">
        <f>+ROUND(Návrh!K774,-3)/$X$2</f>
        <v>1100</v>
      </c>
      <c r="M777" s="70"/>
    </row>
    <row r="778" spans="1:13" x14ac:dyDescent="0.25">
      <c r="A778" s="42" t="s">
        <v>1594</v>
      </c>
      <c r="B778" s="27" t="s">
        <v>916</v>
      </c>
      <c r="C778" s="28" t="s">
        <v>923</v>
      </c>
      <c r="D778" s="28" t="s">
        <v>917</v>
      </c>
      <c r="E778" s="290" t="s">
        <v>832</v>
      </c>
      <c r="F778" s="291"/>
      <c r="G778" s="91">
        <f>+ROUND(Návrh!G775,-3)/$X$2</f>
        <v>66</v>
      </c>
      <c r="H778" s="91">
        <f>+ROUND(Návrh!H775,-3)/$X$2</f>
        <v>441</v>
      </c>
      <c r="I778" s="91">
        <f>+ROUND(Návrh!I775,-3)/$X$2</f>
        <v>570</v>
      </c>
      <c r="J778" s="91" t="e">
        <f>+ROUND(Návrh!#REF!,-3)/$X$2</f>
        <v>#REF!</v>
      </c>
      <c r="K778" s="91">
        <f>+ROUND(Návrh!J775,-3)/$X$2</f>
        <v>0</v>
      </c>
      <c r="L778" s="91">
        <f>+ROUND(Návrh!K775,-3)/$X$2</f>
        <v>550</v>
      </c>
      <c r="M778" s="70"/>
    </row>
    <row r="779" spans="1:13" x14ac:dyDescent="0.25">
      <c r="A779" s="42" t="s">
        <v>1595</v>
      </c>
      <c r="B779" s="27" t="s">
        <v>916</v>
      </c>
      <c r="C779" s="20" t="s">
        <v>919</v>
      </c>
      <c r="D779" s="28" t="s">
        <v>917</v>
      </c>
      <c r="E779" s="290" t="s">
        <v>833</v>
      </c>
      <c r="F779" s="291"/>
      <c r="G779" s="91">
        <f>+ROUND(Návrh!G776,-3)/$X$2</f>
        <v>8742</v>
      </c>
      <c r="H779" s="91">
        <f>+ROUND(Návrh!H776,-3)/$X$2</f>
        <v>3159</v>
      </c>
      <c r="I779" s="91">
        <f>+ROUND(Návrh!I776,-3)/$X$2</f>
        <v>2500</v>
      </c>
      <c r="J779" s="91" t="e">
        <f>+ROUND(Návrh!#REF!,-3)/$X$2</f>
        <v>#REF!</v>
      </c>
      <c r="K779" s="91">
        <f>+ROUND(Návrh!J776,-3)/$X$2</f>
        <v>0</v>
      </c>
      <c r="L779" s="91">
        <f>+ROUND(Návrh!K776,-3)/$X$2</f>
        <v>3000</v>
      </c>
      <c r="M779" s="70"/>
    </row>
    <row r="780" spans="1:13" x14ac:dyDescent="0.25">
      <c r="A780" s="42" t="s">
        <v>1596</v>
      </c>
      <c r="B780" s="27" t="s">
        <v>916</v>
      </c>
      <c r="C780" s="28" t="s">
        <v>920</v>
      </c>
      <c r="D780" s="28" t="s">
        <v>917</v>
      </c>
      <c r="E780" s="290" t="s">
        <v>834</v>
      </c>
      <c r="F780" s="291"/>
      <c r="G780" s="91">
        <f>+ROUND(Návrh!G777,-3)/$X$2</f>
        <v>11</v>
      </c>
      <c r="H780" s="91">
        <f>+ROUND(Návrh!H777,-3)/$X$2</f>
        <v>5</v>
      </c>
      <c r="I780" s="91">
        <f>+ROUND(Návrh!I777,-3)/$X$2</f>
        <v>10</v>
      </c>
      <c r="J780" s="91" t="e">
        <f>+ROUND(Návrh!#REF!,-3)/$X$2</f>
        <v>#REF!</v>
      </c>
      <c r="K780" s="91">
        <f>+ROUND(Návrh!J777,-3)/$X$2</f>
        <v>0</v>
      </c>
      <c r="L780" s="91">
        <f>+ROUND(Návrh!K777,-3)/$X$2</f>
        <v>0</v>
      </c>
      <c r="M780" s="70"/>
    </row>
    <row r="781" spans="1:13" x14ac:dyDescent="0.25">
      <c r="A781" s="42" t="s">
        <v>1597</v>
      </c>
      <c r="B781" s="27" t="s">
        <v>916</v>
      </c>
      <c r="C781" s="20" t="s">
        <v>919</v>
      </c>
      <c r="D781" s="28" t="s">
        <v>917</v>
      </c>
      <c r="E781" s="290" t="s">
        <v>835</v>
      </c>
      <c r="F781" s="291"/>
      <c r="G781" s="91">
        <f>+ROUND(Návrh!G778,-3)/$X$2</f>
        <v>110</v>
      </c>
      <c r="H781" s="91">
        <f>+ROUND(Návrh!H778,-3)/$X$2</f>
        <v>186</v>
      </c>
      <c r="I781" s="91">
        <f>+ROUND(Návrh!I778,-3)/$X$2</f>
        <v>270</v>
      </c>
      <c r="J781" s="91" t="e">
        <f>+ROUND(Návrh!#REF!,-3)/$X$2</f>
        <v>#REF!</v>
      </c>
      <c r="K781" s="91">
        <f>+ROUND(Návrh!J778,-3)/$X$2</f>
        <v>0</v>
      </c>
      <c r="L781" s="91">
        <f>+ROUND(Návrh!K778,-3)/$X$2</f>
        <v>230</v>
      </c>
      <c r="M781" s="70"/>
    </row>
    <row r="782" spans="1:13" x14ac:dyDescent="0.25">
      <c r="A782" s="42" t="s">
        <v>1598</v>
      </c>
      <c r="B782" s="20" t="s">
        <v>1243</v>
      </c>
      <c r="C782" s="20" t="s">
        <v>920</v>
      </c>
      <c r="D782" s="20" t="s">
        <v>1245</v>
      </c>
      <c r="E782" s="290" t="s">
        <v>836</v>
      </c>
      <c r="F782" s="291"/>
      <c r="G782" s="91">
        <f>+ROUND(Návrh!G779,-3)/$X$2</f>
        <v>3429</v>
      </c>
      <c r="H782" s="91">
        <f>+ROUND(Návrh!H779,-3)/$X$2</f>
        <v>4688</v>
      </c>
      <c r="I782" s="91">
        <f>+ROUND(Návrh!I779,-3)/$X$2</f>
        <v>4000</v>
      </c>
      <c r="J782" s="91" t="e">
        <f>+ROUND(Návrh!#REF!,-3)/$X$2</f>
        <v>#REF!</v>
      </c>
      <c r="K782" s="91">
        <f>+ROUND(Návrh!J779,-3)/$X$2</f>
        <v>0</v>
      </c>
      <c r="L782" s="91">
        <f>+ROUND(Návrh!K779,-3)/$X$2</f>
        <v>4400</v>
      </c>
      <c r="M782" s="70"/>
    </row>
    <row r="783" spans="1:13" x14ac:dyDescent="0.25">
      <c r="A783" s="42" t="s">
        <v>1599</v>
      </c>
      <c r="B783" s="27" t="s">
        <v>916</v>
      </c>
      <c r="C783" s="28" t="s">
        <v>923</v>
      </c>
      <c r="D783" s="28" t="s">
        <v>917</v>
      </c>
      <c r="E783" s="290" t="s">
        <v>837</v>
      </c>
      <c r="F783" s="291"/>
      <c r="G783" s="91">
        <f>+ROUND(Návrh!G780,-3)/$X$2</f>
        <v>186</v>
      </c>
      <c r="H783" s="91">
        <f>+ROUND(Návrh!H780,-3)/$X$2</f>
        <v>121</v>
      </c>
      <c r="I783" s="91">
        <f>+ROUND(Návrh!I780,-3)/$X$2</f>
        <v>200</v>
      </c>
      <c r="J783" s="91" t="e">
        <f>+ROUND(Návrh!#REF!,-3)/$X$2</f>
        <v>#REF!</v>
      </c>
      <c r="K783" s="91">
        <f>+ROUND(Návrh!J780,-3)/$X$2</f>
        <v>0</v>
      </c>
      <c r="L783" s="91">
        <f>+ROUND(Návrh!K780,-3)/$X$2</f>
        <v>130</v>
      </c>
      <c r="M783" s="70"/>
    </row>
    <row r="784" spans="1:13" x14ac:dyDescent="0.25">
      <c r="A784" s="42" t="s">
        <v>1632</v>
      </c>
      <c r="B784" s="27" t="s">
        <v>916</v>
      </c>
      <c r="C784" s="20" t="s">
        <v>919</v>
      </c>
      <c r="D784" s="28" t="s">
        <v>917</v>
      </c>
      <c r="E784" s="290" t="s">
        <v>838</v>
      </c>
      <c r="F784" s="291"/>
      <c r="G784" s="91">
        <f>+ROUND(Návrh!G781,-3)/$X$2</f>
        <v>3111</v>
      </c>
      <c r="H784" s="91">
        <f>+ROUND(Návrh!H781,-3)/$X$2</f>
        <v>3394</v>
      </c>
      <c r="I784" s="91">
        <f>+ROUND(Návrh!I781,-3)/$X$2</f>
        <v>3300</v>
      </c>
      <c r="J784" s="91" t="e">
        <f>+ROUND(Návrh!#REF!,-3)/$X$2</f>
        <v>#REF!</v>
      </c>
      <c r="K784" s="91">
        <f>+ROUND(Návrh!J781,-3)/$X$2</f>
        <v>0</v>
      </c>
      <c r="L784" s="91">
        <f>+ROUND(Návrh!K781,-3)/$X$2</f>
        <v>3786</v>
      </c>
      <c r="M784" s="70"/>
    </row>
    <row r="785" spans="1:13" x14ac:dyDescent="0.25">
      <c r="A785" s="42" t="s">
        <v>1600</v>
      </c>
      <c r="B785" s="27" t="s">
        <v>916</v>
      </c>
      <c r="C785" s="20" t="s">
        <v>919</v>
      </c>
      <c r="D785" s="28" t="s">
        <v>917</v>
      </c>
      <c r="E785" s="290" t="s">
        <v>839</v>
      </c>
      <c r="F785" s="291"/>
      <c r="G785" s="91">
        <f>+ROUND(Návrh!G782,-3)/$X$2</f>
        <v>1581</v>
      </c>
      <c r="H785" s="91">
        <f>+ROUND(Návrh!H782,-3)/$X$2</f>
        <v>1269</v>
      </c>
      <c r="I785" s="91">
        <f>+ROUND(Návrh!I782,-3)/$X$2</f>
        <v>2000</v>
      </c>
      <c r="J785" s="91" t="e">
        <f>+ROUND(Návrh!#REF!,-3)/$X$2</f>
        <v>#REF!</v>
      </c>
      <c r="K785" s="91">
        <f>+ROUND(Návrh!J782,-3)/$X$2</f>
        <v>0</v>
      </c>
      <c r="L785" s="91">
        <f>+ROUND(Návrh!K782,-3)/$X$2</f>
        <v>7</v>
      </c>
      <c r="M785" s="70"/>
    </row>
    <row r="786" spans="1:13" x14ac:dyDescent="0.25">
      <c r="A786" s="42" t="s">
        <v>1601</v>
      </c>
      <c r="B786" s="27" t="s">
        <v>916</v>
      </c>
      <c r="C786" s="20" t="s">
        <v>923</v>
      </c>
      <c r="D786" s="34" t="s">
        <v>917</v>
      </c>
      <c r="E786" s="290" t="s">
        <v>1683</v>
      </c>
      <c r="F786" s="291"/>
      <c r="G786" s="91">
        <f>+ROUND(Návrh!G783,-3)/$X$2</f>
        <v>28</v>
      </c>
      <c r="H786" s="91">
        <f>+ROUND(Návrh!H783,-3)/$X$2</f>
        <v>5998</v>
      </c>
      <c r="I786" s="91">
        <f>+ROUND(Návrh!I783,-3)/$X$2</f>
        <v>11780</v>
      </c>
      <c r="J786" s="91" t="e">
        <f>+ROUND(Návrh!#REF!,-3)/$X$2</f>
        <v>#REF!</v>
      </c>
      <c r="K786" s="91">
        <f>+ROUND(Návrh!J783,-3)/$X$2</f>
        <v>11780</v>
      </c>
      <c r="L786" s="91">
        <f>+ROUND(Návrh!K783,-3)/$X$2</f>
        <v>11780</v>
      </c>
      <c r="M786" s="70"/>
    </row>
    <row r="787" spans="1:13" x14ac:dyDescent="0.25">
      <c r="A787" s="42" t="s">
        <v>1602</v>
      </c>
      <c r="B787" s="27"/>
      <c r="C787" s="28"/>
      <c r="D787" s="28"/>
      <c r="E787" s="290" t="s">
        <v>840</v>
      </c>
      <c r="F787" s="291"/>
      <c r="G787" s="91">
        <f>+ROUND(Návrh!G784,-3)/$X$2</f>
        <v>0</v>
      </c>
      <c r="H787" s="91">
        <f>+ROUND(Návrh!H784,-3)/$X$2</f>
        <v>0</v>
      </c>
      <c r="I787" s="91">
        <f>+ROUND(Návrh!I784,-3)/$X$2</f>
        <v>0</v>
      </c>
      <c r="J787" s="91" t="e">
        <f>+ROUND(Návrh!#REF!,-3)/$X$2</f>
        <v>#REF!</v>
      </c>
      <c r="K787" s="91">
        <f>+ROUND(Návrh!J784,-3)/$X$2</f>
        <v>0</v>
      </c>
      <c r="L787" s="91">
        <f>+ROUND(Návrh!K784,-3)/$X$2</f>
        <v>0</v>
      </c>
      <c r="M787" s="70"/>
    </row>
    <row r="788" spans="1:13" x14ac:dyDescent="0.25">
      <c r="A788" s="57" t="s">
        <v>1603</v>
      </c>
      <c r="B788" s="57"/>
      <c r="C788" s="55"/>
      <c r="D788" s="55"/>
      <c r="E788" s="288" t="s">
        <v>841</v>
      </c>
      <c r="F788" s="289"/>
      <c r="G788" s="102">
        <f>+ROUND(Návrh!G785,-3)/$X$2</f>
        <v>3969</v>
      </c>
      <c r="H788" s="102">
        <f>+ROUND(Návrh!H785,-3)/$X$2</f>
        <v>5333</v>
      </c>
      <c r="I788" s="102">
        <f>+ROUND(Návrh!I785,-3)/$X$2</f>
        <v>5865</v>
      </c>
      <c r="J788" s="102" t="e">
        <f>+ROUND(Návrh!#REF!,-3)/$X$2</f>
        <v>#REF!</v>
      </c>
      <c r="K788" s="102">
        <f>+ROUND(Návrh!J785,-3)/$X$2</f>
        <v>0</v>
      </c>
      <c r="L788" s="102">
        <f>+ROUND(Návrh!K785,-3)/$X$2</f>
        <v>5855</v>
      </c>
      <c r="M788" s="70"/>
    </row>
    <row r="789" spans="1:13" x14ac:dyDescent="0.25">
      <c r="A789" s="42" t="s">
        <v>1604</v>
      </c>
      <c r="B789" s="20" t="s">
        <v>916</v>
      </c>
      <c r="C789" s="20" t="s">
        <v>919</v>
      </c>
      <c r="D789" s="20" t="s">
        <v>1089</v>
      </c>
      <c r="E789" s="290" t="s">
        <v>842</v>
      </c>
      <c r="F789" s="291"/>
      <c r="G789" s="91">
        <f>+ROUND(Návrh!G786,-3)/$X$2</f>
        <v>144</v>
      </c>
      <c r="H789" s="91">
        <f>+ROUND(Návrh!H786,-3)/$X$2</f>
        <v>103</v>
      </c>
      <c r="I789" s="91">
        <f>+ROUND(Návrh!I786,-3)/$X$2</f>
        <v>105</v>
      </c>
      <c r="J789" s="91" t="e">
        <f>+ROUND(Návrh!#REF!,-3)/$X$2</f>
        <v>#REF!</v>
      </c>
      <c r="K789" s="91">
        <f>+ROUND(Návrh!J786,-3)/$X$2</f>
        <v>0</v>
      </c>
      <c r="L789" s="91">
        <f>+ROUND(Návrh!K786,-3)/$X$2</f>
        <v>105</v>
      </c>
      <c r="M789" s="70"/>
    </row>
    <row r="790" spans="1:13" x14ac:dyDescent="0.25">
      <c r="A790" s="42" t="s">
        <v>1605</v>
      </c>
      <c r="B790" s="20" t="s">
        <v>916</v>
      </c>
      <c r="C790" s="20" t="s">
        <v>919</v>
      </c>
      <c r="D790" s="20" t="s">
        <v>1089</v>
      </c>
      <c r="E790" s="290" t="s">
        <v>843</v>
      </c>
      <c r="F790" s="291"/>
      <c r="G790" s="91">
        <f>+ROUND(Návrh!G787,-3)/$X$2</f>
        <v>1773</v>
      </c>
      <c r="H790" s="91">
        <f>+ROUND(Návrh!H787,-3)/$X$2</f>
        <v>1751</v>
      </c>
      <c r="I790" s="91">
        <f>+ROUND(Návrh!I787,-3)/$X$2</f>
        <v>1950</v>
      </c>
      <c r="J790" s="91" t="e">
        <f>+ROUND(Návrh!#REF!,-3)/$X$2</f>
        <v>#REF!</v>
      </c>
      <c r="K790" s="91">
        <f>+ROUND(Návrh!J787,-3)/$X$2</f>
        <v>0</v>
      </c>
      <c r="L790" s="91">
        <f>+ROUND(Návrh!K787,-3)/$X$2</f>
        <v>1950</v>
      </c>
      <c r="M790" s="70"/>
    </row>
    <row r="791" spans="1:13" x14ac:dyDescent="0.25">
      <c r="A791" s="42" t="s">
        <v>1606</v>
      </c>
      <c r="B791" s="20" t="s">
        <v>916</v>
      </c>
      <c r="C791" s="20" t="s">
        <v>919</v>
      </c>
      <c r="D791" s="20" t="s">
        <v>1089</v>
      </c>
      <c r="E791" s="290" t="s">
        <v>844</v>
      </c>
      <c r="F791" s="291"/>
      <c r="G791" s="91">
        <f>+ROUND(Návrh!G788,-3)/$X$2</f>
        <v>1185</v>
      </c>
      <c r="H791" s="91">
        <f>+ROUND(Návrh!H788,-3)/$X$2</f>
        <v>1536</v>
      </c>
      <c r="I791" s="91">
        <f>+ROUND(Návrh!I788,-3)/$X$2</f>
        <v>1800</v>
      </c>
      <c r="J791" s="91" t="e">
        <f>+ROUND(Návrh!#REF!,-3)/$X$2</f>
        <v>#REF!</v>
      </c>
      <c r="K791" s="91">
        <f>+ROUND(Návrh!J788,-3)/$X$2</f>
        <v>0</v>
      </c>
      <c r="L791" s="91">
        <f>+ROUND(Návrh!K788,-3)/$X$2</f>
        <v>1500</v>
      </c>
      <c r="M791" s="70"/>
    </row>
    <row r="792" spans="1:13" x14ac:dyDescent="0.25">
      <c r="A792" s="42" t="s">
        <v>1607</v>
      </c>
      <c r="B792" s="20" t="s">
        <v>916</v>
      </c>
      <c r="C792" s="20" t="s">
        <v>919</v>
      </c>
      <c r="D792" s="20" t="s">
        <v>1649</v>
      </c>
      <c r="E792" s="290" t="s">
        <v>845</v>
      </c>
      <c r="F792" s="291"/>
      <c r="G792" s="91">
        <f>+ROUND(Návrh!G789,-3)/$X$2</f>
        <v>663</v>
      </c>
      <c r="H792" s="91">
        <f>+ROUND(Návrh!H789,-3)/$X$2</f>
        <v>894</v>
      </c>
      <c r="I792" s="91">
        <f>+ROUND(Návrh!I789,-3)/$X$2</f>
        <v>990</v>
      </c>
      <c r="J792" s="91" t="e">
        <f>+ROUND(Návrh!#REF!,-3)/$X$2</f>
        <v>#REF!</v>
      </c>
      <c r="K792" s="91">
        <f>+ROUND(Návrh!J789,-3)/$X$2</f>
        <v>0</v>
      </c>
      <c r="L792" s="91">
        <f>+ROUND(Návrh!K789,-3)/$X$2</f>
        <v>990</v>
      </c>
      <c r="M792" s="70"/>
    </row>
    <row r="793" spans="1:13" x14ac:dyDescent="0.25">
      <c r="A793" s="42" t="s">
        <v>1608</v>
      </c>
      <c r="B793" s="28" t="s">
        <v>916</v>
      </c>
      <c r="C793" s="20" t="s">
        <v>919</v>
      </c>
      <c r="D793" s="28" t="s">
        <v>1089</v>
      </c>
      <c r="E793" s="290" t="s">
        <v>846</v>
      </c>
      <c r="F793" s="291"/>
      <c r="G793" s="91">
        <f>+ROUND(Návrh!G790,-3)/$X$2</f>
        <v>192</v>
      </c>
      <c r="H793" s="91">
        <f>+ROUND(Návrh!H790,-3)/$X$2</f>
        <v>206</v>
      </c>
      <c r="I793" s="91">
        <f>+ROUND(Návrh!I790,-3)/$X$2</f>
        <v>200</v>
      </c>
      <c r="J793" s="91" t="e">
        <f>+ROUND(Návrh!#REF!,-3)/$X$2</f>
        <v>#REF!</v>
      </c>
      <c r="K793" s="91">
        <f>+ROUND(Návrh!J790,-3)/$X$2</f>
        <v>0</v>
      </c>
      <c r="L793" s="91">
        <f>+ROUND(Návrh!K790,-3)/$X$2</f>
        <v>200</v>
      </c>
      <c r="M793" s="70"/>
    </row>
    <row r="794" spans="1:13" x14ac:dyDescent="0.25">
      <c r="A794" s="42" t="s">
        <v>1609</v>
      </c>
      <c r="B794" s="28" t="s">
        <v>916</v>
      </c>
      <c r="C794" s="20" t="s">
        <v>919</v>
      </c>
      <c r="D794" s="28" t="s">
        <v>917</v>
      </c>
      <c r="E794" s="290" t="s">
        <v>847</v>
      </c>
      <c r="F794" s="291"/>
      <c r="G794" s="91">
        <f>+ROUND(Návrh!G791,-3)/$X$2</f>
        <v>13</v>
      </c>
      <c r="H794" s="91">
        <f>+ROUND(Návrh!H791,-3)/$X$2</f>
        <v>843</v>
      </c>
      <c r="I794" s="91">
        <f>+ROUND(Návrh!I791,-3)/$X$2</f>
        <v>820</v>
      </c>
      <c r="J794" s="91" t="e">
        <f>+ROUND(Návrh!#REF!,-3)/$X$2</f>
        <v>#REF!</v>
      </c>
      <c r="K794" s="91">
        <f>+ROUND(Návrh!J791,-3)/$X$2</f>
        <v>0</v>
      </c>
      <c r="L794" s="91">
        <f>+ROUND(Návrh!K791,-3)/$X$2</f>
        <v>1110</v>
      </c>
      <c r="M794" s="70"/>
    </row>
    <row r="795" spans="1:13" x14ac:dyDescent="0.25">
      <c r="A795" s="57" t="s">
        <v>1610</v>
      </c>
      <c r="B795" s="57"/>
      <c r="C795" s="55"/>
      <c r="D795" s="55"/>
      <c r="E795" s="288" t="s">
        <v>848</v>
      </c>
      <c r="F795" s="289"/>
      <c r="G795" s="102">
        <f>+ROUND(Návrh!G792,-3)/$X$2</f>
        <v>918</v>
      </c>
      <c r="H795" s="102">
        <f>+ROUND(Návrh!H792,-3)/$X$2</f>
        <v>1544</v>
      </c>
      <c r="I795" s="102">
        <f>+ROUND(Návrh!I792,-3)/$X$2</f>
        <v>1000</v>
      </c>
      <c r="J795" s="102" t="e">
        <f>+ROUND(Návrh!#REF!,-3)/$X$2</f>
        <v>#REF!</v>
      </c>
      <c r="K795" s="102">
        <f>+ROUND(Návrh!J792,-3)/$X$2</f>
        <v>0</v>
      </c>
      <c r="L795" s="102">
        <f>+ROUND(Návrh!K792,-3)/$X$2</f>
        <v>1500</v>
      </c>
      <c r="M795" s="70"/>
    </row>
    <row r="796" spans="1:13" x14ac:dyDescent="0.25">
      <c r="A796" s="42" t="s">
        <v>1611</v>
      </c>
      <c r="B796" s="27" t="s">
        <v>916</v>
      </c>
      <c r="C796" s="28" t="s">
        <v>920</v>
      </c>
      <c r="D796" s="28" t="s">
        <v>917</v>
      </c>
      <c r="E796" s="290" t="s">
        <v>150</v>
      </c>
      <c r="F796" s="291"/>
      <c r="G796" s="91">
        <f>+ROUND(Návrh!G793,-3)/$X$2</f>
        <v>918</v>
      </c>
      <c r="H796" s="91">
        <f>+ROUND(Návrh!H793,-3)/$X$2</f>
        <v>1544</v>
      </c>
      <c r="I796" s="91">
        <f>+ROUND(Návrh!I793,-3)/$X$2</f>
        <v>1000</v>
      </c>
      <c r="J796" s="91" t="e">
        <f>+ROUND(Návrh!#REF!,-3)/$X$2</f>
        <v>#REF!</v>
      </c>
      <c r="K796" s="91">
        <f>+ROUND(Návrh!J793,-3)/$X$2</f>
        <v>0</v>
      </c>
      <c r="L796" s="91">
        <f>+ROUND(Návrh!K793,-3)/$X$2</f>
        <v>1500</v>
      </c>
      <c r="M796" s="70"/>
    </row>
    <row r="797" spans="1:13" x14ac:dyDescent="0.25">
      <c r="A797" s="60" t="s">
        <v>849</v>
      </c>
      <c r="B797" s="60"/>
      <c r="C797" s="61"/>
      <c r="D797" s="61"/>
      <c r="E797" s="284" t="s">
        <v>850</v>
      </c>
      <c r="F797" s="285"/>
      <c r="G797" s="100">
        <f>+ROUND(Návrh!G794,-3)/$X$2</f>
        <v>0</v>
      </c>
      <c r="H797" s="100">
        <f>+ROUND(Návrh!H794,-3)/$X$2</f>
        <v>0</v>
      </c>
      <c r="I797" s="100">
        <f>+ROUND(Návrh!I794,-3)/$X$2</f>
        <v>0</v>
      </c>
      <c r="J797" s="100" t="e">
        <f>+ROUND(Návrh!#REF!,-3)/$X$2</f>
        <v>#REF!</v>
      </c>
      <c r="K797" s="100">
        <f>+ROUND(Návrh!J794,-3)/$X$2</f>
        <v>0</v>
      </c>
      <c r="L797" s="100">
        <f>+ROUND(Návrh!K794,-3)/$X$2</f>
        <v>0</v>
      </c>
      <c r="M797" s="70"/>
    </row>
    <row r="798" spans="1:13" x14ac:dyDescent="0.25">
      <c r="A798" s="53" t="s">
        <v>851</v>
      </c>
      <c r="B798" s="53"/>
      <c r="C798" s="51"/>
      <c r="D798" s="51"/>
      <c r="E798" s="282" t="s">
        <v>852</v>
      </c>
      <c r="F798" s="283"/>
      <c r="G798" s="101">
        <f>+ROUND(Návrh!G795,-3)/$X$2</f>
        <v>0</v>
      </c>
      <c r="H798" s="101">
        <f>+ROUND(Návrh!H795,-3)/$X$2</f>
        <v>0</v>
      </c>
      <c r="I798" s="101">
        <f>+ROUND(Návrh!I795,-3)/$X$2</f>
        <v>0</v>
      </c>
      <c r="J798" s="101" t="e">
        <f>+ROUND(Návrh!#REF!,-3)/$X$2</f>
        <v>#REF!</v>
      </c>
      <c r="K798" s="101">
        <f>+ROUND(Návrh!J795,-3)/$X$2</f>
        <v>0</v>
      </c>
      <c r="L798" s="101">
        <f>+ROUND(Návrh!K795,-3)/$X$2</f>
        <v>0</v>
      </c>
      <c r="M798" s="70"/>
    </row>
    <row r="799" spans="1:13" x14ac:dyDescent="0.25">
      <c r="A799" s="53" t="s">
        <v>853</v>
      </c>
      <c r="B799" s="53"/>
      <c r="C799" s="51"/>
      <c r="D799" s="51"/>
      <c r="E799" s="282" t="s">
        <v>854</v>
      </c>
      <c r="F799" s="283"/>
      <c r="G799" s="101">
        <f>+ROUND(Návrh!G796,-3)/$X$2</f>
        <v>0</v>
      </c>
      <c r="H799" s="101">
        <f>+ROUND(Návrh!H796,-3)/$X$2</f>
        <v>0</v>
      </c>
      <c r="I799" s="101">
        <f>+ROUND(Návrh!I796,-3)/$X$2</f>
        <v>0</v>
      </c>
      <c r="J799" s="101" t="e">
        <f>+ROUND(Návrh!#REF!,-3)/$X$2</f>
        <v>#REF!</v>
      </c>
      <c r="K799" s="101">
        <f>+ROUND(Návrh!J796,-3)/$X$2</f>
        <v>0</v>
      </c>
      <c r="L799" s="101">
        <f>+ROUND(Návrh!K796,-3)/$X$2</f>
        <v>0</v>
      </c>
      <c r="M799" s="70"/>
    </row>
    <row r="800" spans="1:13" x14ac:dyDescent="0.25">
      <c r="A800" s="60" t="s">
        <v>855</v>
      </c>
      <c r="B800" s="60"/>
      <c r="C800" s="61"/>
      <c r="D800" s="61"/>
      <c r="E800" s="284" t="s">
        <v>856</v>
      </c>
      <c r="F800" s="285"/>
      <c r="G800" s="100">
        <f>+ROUND(Návrh!G797,-3)/$X$2</f>
        <v>241</v>
      </c>
      <c r="H800" s="100">
        <f>+ROUND(Návrh!H797,-3)/$X$2</f>
        <v>144</v>
      </c>
      <c r="I800" s="100">
        <f>+ROUND(Návrh!I797,-3)/$X$2</f>
        <v>0</v>
      </c>
      <c r="J800" s="100" t="e">
        <f>+ROUND(Návrh!#REF!,-3)/$X$2</f>
        <v>#REF!</v>
      </c>
      <c r="K800" s="100">
        <f>+ROUND(Návrh!J797,-3)/$X$2</f>
        <v>72</v>
      </c>
      <c r="L800" s="100">
        <f>+ROUND(Návrh!K797,-3)/$X$2</f>
        <v>80</v>
      </c>
      <c r="M800" s="70"/>
    </row>
    <row r="801" spans="1:13" x14ac:dyDescent="0.25">
      <c r="A801" s="53" t="s">
        <v>857</v>
      </c>
      <c r="B801" s="53"/>
      <c r="C801" s="51"/>
      <c r="D801" s="51"/>
      <c r="E801" s="282" t="s">
        <v>858</v>
      </c>
      <c r="F801" s="283"/>
      <c r="G801" s="101">
        <f>+ROUND(Návrh!G798,-3)/$X$2</f>
        <v>0</v>
      </c>
      <c r="H801" s="101">
        <f>+ROUND(Návrh!H798,-3)/$X$2</f>
        <v>0</v>
      </c>
      <c r="I801" s="101">
        <f>+ROUND(Návrh!I798,-3)/$X$2</f>
        <v>0</v>
      </c>
      <c r="J801" s="101" t="e">
        <f>+ROUND(Návrh!#REF!,-3)/$X$2</f>
        <v>#REF!</v>
      </c>
      <c r="K801" s="101">
        <f>+ROUND(Návrh!J798,-3)/$X$2</f>
        <v>0</v>
      </c>
      <c r="L801" s="101">
        <f>+ROUND(Návrh!K798,-3)/$X$2</f>
        <v>0</v>
      </c>
      <c r="M801" s="70"/>
    </row>
    <row r="802" spans="1:13" x14ac:dyDescent="0.25">
      <c r="A802" s="53" t="s">
        <v>859</v>
      </c>
      <c r="B802" s="53"/>
      <c r="C802" s="51"/>
      <c r="D802" s="51"/>
      <c r="E802" s="282" t="s">
        <v>595</v>
      </c>
      <c r="F802" s="283"/>
      <c r="G802" s="101">
        <f>+ROUND(Návrh!G799,-3)/$X$2</f>
        <v>27</v>
      </c>
      <c r="H802" s="101">
        <f>+ROUND(Návrh!H799,-3)/$X$2</f>
        <v>0</v>
      </c>
      <c r="I802" s="101">
        <f>+ROUND(Návrh!I799,-3)/$X$2</f>
        <v>0</v>
      </c>
      <c r="J802" s="101" t="e">
        <f>+ROUND(Návrh!#REF!,-3)/$X$2</f>
        <v>#REF!</v>
      </c>
      <c r="K802" s="101">
        <f>+ROUND(Návrh!J799,-3)/$X$2</f>
        <v>0</v>
      </c>
      <c r="L802" s="101">
        <f>+ROUND(Návrh!K799,-3)/$X$2</f>
        <v>0</v>
      </c>
      <c r="M802" s="70"/>
    </row>
    <row r="803" spans="1:13" x14ac:dyDescent="0.25">
      <c r="A803" s="57" t="s">
        <v>1612</v>
      </c>
      <c r="B803" s="57"/>
      <c r="C803" s="55"/>
      <c r="D803" s="55"/>
      <c r="E803" s="288" t="s">
        <v>860</v>
      </c>
      <c r="F803" s="289"/>
      <c r="G803" s="102">
        <f>+ROUND(Návrh!G800,-3)/$X$2</f>
        <v>27</v>
      </c>
      <c r="H803" s="102">
        <f>+ROUND(Návrh!H800,-3)/$X$2</f>
        <v>0</v>
      </c>
      <c r="I803" s="102">
        <f>+ROUND(Návrh!I800,-3)/$X$2</f>
        <v>0</v>
      </c>
      <c r="J803" s="102" t="e">
        <f>+ROUND(Návrh!#REF!,-3)/$X$2</f>
        <v>#REF!</v>
      </c>
      <c r="K803" s="102">
        <f>+ROUND(Návrh!J800,-3)/$X$2</f>
        <v>0</v>
      </c>
      <c r="L803" s="102">
        <f>+ROUND(Návrh!K800,-3)/$X$2</f>
        <v>0</v>
      </c>
      <c r="M803" s="70"/>
    </row>
    <row r="804" spans="1:13" x14ac:dyDescent="0.25">
      <c r="A804" s="42" t="s">
        <v>1613</v>
      </c>
      <c r="B804" s="27" t="s">
        <v>916</v>
      </c>
      <c r="C804" s="28" t="s">
        <v>923</v>
      </c>
      <c r="D804" s="28" t="s">
        <v>1643</v>
      </c>
      <c r="E804" s="290" t="s">
        <v>861</v>
      </c>
      <c r="F804" s="291"/>
      <c r="G804" s="91">
        <f>+ROUND(Návrh!G801,-3)/$X$2</f>
        <v>27</v>
      </c>
      <c r="H804" s="91">
        <f>+ROUND(Návrh!H801,-3)/$X$2</f>
        <v>0</v>
      </c>
      <c r="I804" s="91">
        <f>+ROUND(Návrh!I801,-3)/$X$2</f>
        <v>0</v>
      </c>
      <c r="J804" s="91" t="e">
        <f>+ROUND(Návrh!#REF!,-3)/$X$2</f>
        <v>#REF!</v>
      </c>
      <c r="K804" s="91">
        <f>+ROUND(Návrh!J801,-3)/$X$2</f>
        <v>0</v>
      </c>
      <c r="L804" s="91">
        <f>+ROUND(Návrh!K801,-3)/$X$2</f>
        <v>0</v>
      </c>
      <c r="M804" s="70"/>
    </row>
    <row r="805" spans="1:13" x14ac:dyDescent="0.25">
      <c r="A805" s="53" t="s">
        <v>862</v>
      </c>
      <c r="B805" s="53"/>
      <c r="C805" s="51"/>
      <c r="D805" s="51"/>
      <c r="E805" s="282" t="s">
        <v>863</v>
      </c>
      <c r="F805" s="283"/>
      <c r="G805" s="101">
        <f>+ROUND(Návrh!G802,-3)/$X$2</f>
        <v>187</v>
      </c>
      <c r="H805" s="101">
        <f>+ROUND(Návrh!H802,-3)/$X$2</f>
        <v>79</v>
      </c>
      <c r="I805" s="101">
        <f>+ROUND(Návrh!I802,-3)/$X$2</f>
        <v>0</v>
      </c>
      <c r="J805" s="101" t="e">
        <f>+ROUND(Návrh!#REF!,-3)/$X$2</f>
        <v>#REF!</v>
      </c>
      <c r="K805" s="101">
        <f>+ROUND(Návrh!J802,-3)/$X$2</f>
        <v>71</v>
      </c>
      <c r="L805" s="101">
        <f>+ROUND(Návrh!K802,-3)/$X$2</f>
        <v>80</v>
      </c>
      <c r="M805" s="70"/>
    </row>
    <row r="806" spans="1:13" x14ac:dyDescent="0.25">
      <c r="A806" s="57" t="s">
        <v>1614</v>
      </c>
      <c r="B806" s="57"/>
      <c r="C806" s="55"/>
      <c r="D806" s="55"/>
      <c r="E806" s="288" t="s">
        <v>864</v>
      </c>
      <c r="F806" s="289"/>
      <c r="G806" s="102">
        <f>+ROUND(Návrh!G803,-3)/$X$2</f>
        <v>187</v>
      </c>
      <c r="H806" s="102">
        <f>+ROUND(Návrh!H803,-3)/$X$2</f>
        <v>79</v>
      </c>
      <c r="I806" s="102">
        <f>+ROUND(Návrh!I803,-3)/$X$2</f>
        <v>0</v>
      </c>
      <c r="J806" s="102" t="e">
        <f>+ROUND(Návrh!#REF!,-3)/$X$2</f>
        <v>#REF!</v>
      </c>
      <c r="K806" s="102">
        <f>+ROUND(Návrh!J803,-3)/$X$2</f>
        <v>0</v>
      </c>
      <c r="L806" s="102">
        <f>+ROUND(Návrh!K803,-3)/$X$2</f>
        <v>80</v>
      </c>
      <c r="M806" s="70"/>
    </row>
    <row r="807" spans="1:13" x14ac:dyDescent="0.25">
      <c r="A807" s="42" t="s">
        <v>1615</v>
      </c>
      <c r="B807" s="27" t="s">
        <v>916</v>
      </c>
      <c r="C807" s="28" t="s">
        <v>923</v>
      </c>
      <c r="D807" s="28" t="s">
        <v>1643</v>
      </c>
      <c r="E807" s="290" t="s">
        <v>865</v>
      </c>
      <c r="F807" s="291"/>
      <c r="G807" s="91">
        <f>+ROUND(Návrh!G804,-3)/$X$2</f>
        <v>187</v>
      </c>
      <c r="H807" s="91">
        <f>+ROUND(Návrh!H804,-3)/$X$2</f>
        <v>79</v>
      </c>
      <c r="I807" s="91">
        <f>+ROUND(Návrh!I804,-3)/$X$2</f>
        <v>0</v>
      </c>
      <c r="J807" s="91" t="e">
        <f>+ROUND(Návrh!#REF!,-3)/$X$2</f>
        <v>#REF!</v>
      </c>
      <c r="K807" s="91">
        <f>+ROUND(Návrh!J804,-3)/$X$2</f>
        <v>0</v>
      </c>
      <c r="L807" s="91">
        <f>+ROUND(Návrh!K804,-3)/$X$2</f>
        <v>80</v>
      </c>
      <c r="M807" s="70"/>
    </row>
    <row r="808" spans="1:13" x14ac:dyDescent="0.25">
      <c r="A808" s="53" t="s">
        <v>866</v>
      </c>
      <c r="B808" s="53"/>
      <c r="C808" s="51"/>
      <c r="D808" s="51"/>
      <c r="E808" s="282" t="s">
        <v>867</v>
      </c>
      <c r="F808" s="283"/>
      <c r="G808" s="101">
        <f>+ROUND(Návrh!G805,-3)/$X$2</f>
        <v>27</v>
      </c>
      <c r="H808" s="101">
        <f>+ROUND(Návrh!H805,-3)/$X$2</f>
        <v>65</v>
      </c>
      <c r="I808" s="101">
        <f>+ROUND(Návrh!I805,-3)/$X$2</f>
        <v>0</v>
      </c>
      <c r="J808" s="101" t="e">
        <f>+ROUND(Návrh!#REF!,-3)/$X$2</f>
        <v>#REF!</v>
      </c>
      <c r="K808" s="101">
        <f>+ROUND(Návrh!J805,-3)/$X$2</f>
        <v>0</v>
      </c>
      <c r="L808" s="101">
        <f>+ROUND(Návrh!K805,-3)/$X$2</f>
        <v>0</v>
      </c>
      <c r="M808" s="70"/>
    </row>
    <row r="809" spans="1:13" x14ac:dyDescent="0.25">
      <c r="A809" s="57" t="s">
        <v>1616</v>
      </c>
      <c r="B809" s="57"/>
      <c r="C809" s="55"/>
      <c r="D809" s="55"/>
      <c r="E809" s="288" t="s">
        <v>868</v>
      </c>
      <c r="F809" s="289"/>
      <c r="G809" s="102">
        <f>+ROUND(Návrh!G806,-3)/$X$2</f>
        <v>27</v>
      </c>
      <c r="H809" s="102">
        <f>+ROUND(Návrh!H806,-3)/$X$2</f>
        <v>65</v>
      </c>
      <c r="I809" s="102">
        <f>+ROUND(Návrh!I806,-3)/$X$2</f>
        <v>0</v>
      </c>
      <c r="J809" s="102" t="e">
        <f>+ROUND(Návrh!#REF!,-3)/$X$2</f>
        <v>#REF!</v>
      </c>
      <c r="K809" s="102">
        <f>+ROUND(Návrh!J806,-3)/$X$2</f>
        <v>0</v>
      </c>
      <c r="L809" s="102">
        <f>+ROUND(Návrh!K806,-3)/$X$2</f>
        <v>0</v>
      </c>
      <c r="M809" s="70"/>
    </row>
    <row r="810" spans="1:13" x14ac:dyDescent="0.25">
      <c r="A810" s="42" t="s">
        <v>1617</v>
      </c>
      <c r="B810" s="14"/>
      <c r="C810" s="13"/>
      <c r="D810" s="13"/>
      <c r="E810" s="290" t="s">
        <v>869</v>
      </c>
      <c r="F810" s="291"/>
      <c r="G810" s="91">
        <f>+ROUND(Návrh!G807,-3)/$X$2</f>
        <v>27</v>
      </c>
      <c r="H810" s="91">
        <f>+ROUND(Návrh!H807,-3)/$X$2</f>
        <v>65</v>
      </c>
      <c r="I810" s="91">
        <f>+ROUND(Návrh!I807,-3)/$X$2</f>
        <v>0</v>
      </c>
      <c r="J810" s="91" t="e">
        <f>+ROUND(Návrh!#REF!,-3)/$X$2</f>
        <v>#REF!</v>
      </c>
      <c r="K810" s="91">
        <f>+ROUND(Návrh!J807,-3)/$X$2</f>
        <v>0</v>
      </c>
      <c r="L810" s="91">
        <f>+ROUND(Návrh!K807,-3)/$X$2</f>
        <v>0</v>
      </c>
      <c r="M810" s="70"/>
    </row>
    <row r="811" spans="1:13" x14ac:dyDescent="0.25">
      <c r="A811" s="53" t="s">
        <v>870</v>
      </c>
      <c r="B811" s="53"/>
      <c r="C811" s="51"/>
      <c r="D811" s="51"/>
      <c r="E811" s="282" t="s">
        <v>871</v>
      </c>
      <c r="F811" s="283"/>
      <c r="G811" s="101">
        <f>+ROUND(Návrh!G808,-3)/$X$2</f>
        <v>0</v>
      </c>
      <c r="H811" s="101">
        <f>+ROUND(Návrh!H808,-3)/$X$2</f>
        <v>0</v>
      </c>
      <c r="I811" s="101">
        <f>+ROUND(Návrh!I808,-3)/$X$2</f>
        <v>0</v>
      </c>
      <c r="J811" s="101" t="e">
        <f>+ROUND(Návrh!#REF!,-3)/$X$2</f>
        <v>#REF!</v>
      </c>
      <c r="K811" s="101">
        <f>+ROUND(Návrh!J808,-3)/$X$2</f>
        <v>0</v>
      </c>
      <c r="L811" s="101">
        <f>+ROUND(Návrh!K808,-3)/$X$2</f>
        <v>0</v>
      </c>
      <c r="M811" s="70"/>
    </row>
    <row r="812" spans="1:13" x14ac:dyDescent="0.25">
      <c r="A812" s="53" t="s">
        <v>872</v>
      </c>
      <c r="B812" s="53"/>
      <c r="C812" s="51"/>
      <c r="D812" s="51"/>
      <c r="E812" s="282" t="s">
        <v>873</v>
      </c>
      <c r="F812" s="283"/>
      <c r="G812" s="101">
        <f>+ROUND(Návrh!G809,-3)/$X$2</f>
        <v>0</v>
      </c>
      <c r="H812" s="101">
        <f>+ROUND(Návrh!H809,-3)/$X$2</f>
        <v>0</v>
      </c>
      <c r="I812" s="101">
        <f>+ROUND(Návrh!I809,-3)/$X$2</f>
        <v>0</v>
      </c>
      <c r="J812" s="101" t="e">
        <f>+ROUND(Návrh!#REF!,-3)/$X$2</f>
        <v>#REF!</v>
      </c>
      <c r="K812" s="101">
        <f>+ROUND(Návrh!J809,-3)/$X$2</f>
        <v>0</v>
      </c>
      <c r="L812" s="101">
        <f>+ROUND(Návrh!K809,-3)/$X$2</f>
        <v>0</v>
      </c>
      <c r="M812" s="70"/>
    </row>
    <row r="813" spans="1:13" x14ac:dyDescent="0.25">
      <c r="A813" s="53" t="s">
        <v>874</v>
      </c>
      <c r="B813" s="53"/>
      <c r="C813" s="51"/>
      <c r="D813" s="51"/>
      <c r="E813" s="282" t="s">
        <v>875</v>
      </c>
      <c r="F813" s="283"/>
      <c r="G813" s="101">
        <f>+ROUND(Návrh!G810,-3)/$X$2</f>
        <v>0</v>
      </c>
      <c r="H813" s="101">
        <f>+ROUND(Návrh!H810,-3)/$X$2</f>
        <v>0</v>
      </c>
      <c r="I813" s="101">
        <f>+ROUND(Návrh!I810,-3)/$X$2</f>
        <v>0</v>
      </c>
      <c r="J813" s="101" t="e">
        <f>+ROUND(Návrh!#REF!,-3)/$X$2</f>
        <v>#REF!</v>
      </c>
      <c r="K813" s="101">
        <f>+ROUND(Návrh!J810,-3)/$X$2</f>
        <v>0</v>
      </c>
      <c r="L813" s="101">
        <f>+ROUND(Návrh!K810,-3)/$X$2</f>
        <v>0</v>
      </c>
      <c r="M813" s="70"/>
    </row>
    <row r="814" spans="1:13" x14ac:dyDescent="0.25">
      <c r="A814" s="53" t="s">
        <v>876</v>
      </c>
      <c r="B814" s="53"/>
      <c r="C814" s="51"/>
      <c r="D814" s="51"/>
      <c r="E814" s="282" t="s">
        <v>877</v>
      </c>
      <c r="F814" s="283"/>
      <c r="G814" s="101">
        <f>+ROUND(Návrh!G811,-3)/$X$2</f>
        <v>0</v>
      </c>
      <c r="H814" s="101">
        <f>+ROUND(Návrh!H811,-3)/$X$2</f>
        <v>0</v>
      </c>
      <c r="I814" s="101">
        <f>+ROUND(Návrh!I811,-3)/$X$2</f>
        <v>0</v>
      </c>
      <c r="J814" s="101" t="e">
        <f>+ROUND(Návrh!#REF!,-3)/$X$2</f>
        <v>#REF!</v>
      </c>
      <c r="K814" s="101">
        <f>+ROUND(Návrh!J811,-3)/$X$2</f>
        <v>0</v>
      </c>
      <c r="L814" s="101">
        <f>+ROUND(Návrh!K811,-3)/$X$2</f>
        <v>0</v>
      </c>
      <c r="M814" s="70"/>
    </row>
    <row r="815" spans="1:13" x14ac:dyDescent="0.25">
      <c r="A815" s="53" t="s">
        <v>878</v>
      </c>
      <c r="B815" s="53"/>
      <c r="C815" s="51"/>
      <c r="D815" s="51"/>
      <c r="E815" s="282" t="s">
        <v>879</v>
      </c>
      <c r="F815" s="283"/>
      <c r="G815" s="101">
        <f>+ROUND(Návrh!G812,-3)/$X$2</f>
        <v>0</v>
      </c>
      <c r="H815" s="101">
        <f>+ROUND(Návrh!H812,-3)/$X$2</f>
        <v>0</v>
      </c>
      <c r="I815" s="101">
        <f>+ROUND(Návrh!I812,-3)/$X$2</f>
        <v>0</v>
      </c>
      <c r="J815" s="101" t="e">
        <f>+ROUND(Návrh!#REF!,-3)/$X$2</f>
        <v>#REF!</v>
      </c>
      <c r="K815" s="101">
        <f>+ROUND(Návrh!J812,-3)/$X$2</f>
        <v>0</v>
      </c>
      <c r="L815" s="101">
        <f>+ROUND(Návrh!K812,-3)/$X$2</f>
        <v>0</v>
      </c>
      <c r="M815" s="70"/>
    </row>
    <row r="816" spans="1:13" x14ac:dyDescent="0.25">
      <c r="A816" s="60" t="s">
        <v>880</v>
      </c>
      <c r="B816" s="60"/>
      <c r="C816" s="61"/>
      <c r="D816" s="61"/>
      <c r="E816" s="284" t="s">
        <v>850</v>
      </c>
      <c r="F816" s="285"/>
      <c r="G816" s="100">
        <f>+ROUND(Návrh!G813,-3)/$X$2</f>
        <v>56839</v>
      </c>
      <c r="H816" s="100">
        <f>+ROUND(Návrh!H813,-3)/$X$2</f>
        <v>46881</v>
      </c>
      <c r="I816" s="100">
        <f>+ROUND(Návrh!I813,-3)/$X$2</f>
        <v>42793</v>
      </c>
      <c r="J816" s="100" t="e">
        <f>+ROUND(Návrh!#REF!,-3)/$X$2</f>
        <v>#REF!</v>
      </c>
      <c r="K816" s="100">
        <f>+ROUND(Návrh!J813,-3)/$X$2</f>
        <v>60176</v>
      </c>
      <c r="L816" s="100">
        <f>+ROUND(Návrh!K813,-3)/$X$2</f>
        <v>53438</v>
      </c>
      <c r="M816" s="70"/>
    </row>
    <row r="817" spans="1:13" x14ac:dyDescent="0.25">
      <c r="A817" s="53" t="s">
        <v>881</v>
      </c>
      <c r="B817" s="53"/>
      <c r="C817" s="51"/>
      <c r="D817" s="51"/>
      <c r="E817" s="282" t="s">
        <v>882</v>
      </c>
      <c r="F817" s="283"/>
      <c r="G817" s="101">
        <f>+ROUND(Návrh!G814,-3)/$X$2</f>
        <v>0</v>
      </c>
      <c r="H817" s="101">
        <f>+ROUND(Návrh!H814,-3)/$X$2</f>
        <v>0</v>
      </c>
      <c r="I817" s="101">
        <f>+ROUND(Návrh!I814,-3)/$X$2</f>
        <v>0</v>
      </c>
      <c r="J817" s="101" t="e">
        <f>+ROUND(Návrh!#REF!,-3)/$X$2</f>
        <v>#REF!</v>
      </c>
      <c r="K817" s="101">
        <f>+ROUND(Návrh!J814,-3)/$X$2</f>
        <v>0</v>
      </c>
      <c r="L817" s="101">
        <f>+ROUND(Návrh!K814,-3)/$X$2</f>
        <v>0</v>
      </c>
      <c r="M817" s="70"/>
    </row>
    <row r="818" spans="1:13" x14ac:dyDescent="0.25">
      <c r="A818" s="53" t="s">
        <v>883</v>
      </c>
      <c r="B818" s="53"/>
      <c r="C818" s="51"/>
      <c r="D818" s="51"/>
      <c r="E818" s="282" t="s">
        <v>884</v>
      </c>
      <c r="F818" s="283"/>
      <c r="G818" s="101">
        <f>+ROUND(Návrh!G815,-3)/$X$2</f>
        <v>56839</v>
      </c>
      <c r="H818" s="101">
        <f>+ROUND(Návrh!H815,-3)/$X$2</f>
        <v>46881</v>
      </c>
      <c r="I818" s="101">
        <f>+ROUND(Návrh!I815,-3)/$X$2</f>
        <v>42793</v>
      </c>
      <c r="J818" s="101" t="e">
        <f>+ROUND(Návrh!#REF!,-3)/$X$2</f>
        <v>#REF!</v>
      </c>
      <c r="K818" s="101">
        <f>+ROUND(Návrh!J815,-3)/$X$2</f>
        <v>60176</v>
      </c>
      <c r="L818" s="101">
        <f>+ROUND(Návrh!K815,-3)/$X$2</f>
        <v>53438</v>
      </c>
      <c r="M818" s="70"/>
    </row>
    <row r="819" spans="1:13" x14ac:dyDescent="0.25">
      <c r="A819" s="57" t="s">
        <v>1618</v>
      </c>
      <c r="B819" s="57"/>
      <c r="C819" s="55"/>
      <c r="D819" s="55"/>
      <c r="E819" s="288" t="s">
        <v>885</v>
      </c>
      <c r="F819" s="289"/>
      <c r="G819" s="102">
        <f>+ROUND(Návrh!G816,-3)/$X$2</f>
        <v>40117</v>
      </c>
      <c r="H819" s="102">
        <f>+ROUND(Návrh!H816,-3)/$X$2</f>
        <v>25075</v>
      </c>
      <c r="I819" s="102">
        <f>+ROUND(Návrh!I816,-3)/$X$2</f>
        <v>19962</v>
      </c>
      <c r="J819" s="102" t="e">
        <f>+ROUND(Návrh!#REF!,-3)/$X$2</f>
        <v>#REF!</v>
      </c>
      <c r="K819" s="102">
        <f>+ROUND(Návrh!J816,-3)/$X$2</f>
        <v>0</v>
      </c>
      <c r="L819" s="102">
        <f>+ROUND(Návrh!K816,-3)/$X$2</f>
        <v>29988</v>
      </c>
      <c r="M819" s="70"/>
    </row>
    <row r="820" spans="1:13" x14ac:dyDescent="0.25">
      <c r="A820" s="42" t="s">
        <v>1619</v>
      </c>
      <c r="B820" s="58" t="s">
        <v>916</v>
      </c>
      <c r="C820" s="34" t="s">
        <v>923</v>
      </c>
      <c r="D820" s="34" t="s">
        <v>1633</v>
      </c>
      <c r="E820" s="286" t="s">
        <v>886</v>
      </c>
      <c r="F820" s="287"/>
      <c r="G820" s="91">
        <f>+ROUND(Návrh!G817,-3)/$X$2</f>
        <v>23515</v>
      </c>
      <c r="H820" s="91">
        <f>+ROUND(Návrh!H817,-3)/$X$2</f>
        <v>8729</v>
      </c>
      <c r="I820" s="91">
        <f>+ROUND(Návrh!I817,-3)/$X$2</f>
        <v>3886</v>
      </c>
      <c r="J820" s="91" t="e">
        <f>+ROUND(Návrh!#REF!,-3)/$X$2</f>
        <v>#REF!</v>
      </c>
      <c r="K820" s="91">
        <f>+ROUND(Návrh!J817,-3)/$X$2</f>
        <v>0</v>
      </c>
      <c r="L820" s="91">
        <f>+ROUND(Návrh!K817,-3)/$X$2</f>
        <v>4311</v>
      </c>
      <c r="M820" s="70"/>
    </row>
    <row r="821" spans="1:13" x14ac:dyDescent="0.25">
      <c r="A821" s="42" t="s">
        <v>1620</v>
      </c>
      <c r="B821" s="58" t="s">
        <v>916</v>
      </c>
      <c r="C821" s="34" t="s">
        <v>923</v>
      </c>
      <c r="D821" s="34" t="s">
        <v>1633</v>
      </c>
      <c r="E821" s="286" t="s">
        <v>887</v>
      </c>
      <c r="F821" s="287"/>
      <c r="G821" s="91">
        <f>+ROUND(Návrh!G818,-3)/$X$2</f>
        <v>2334</v>
      </c>
      <c r="H821" s="91">
        <f>+ROUND(Návrh!H818,-3)/$X$2</f>
        <v>2566</v>
      </c>
      <c r="I821" s="91">
        <f>+ROUND(Návrh!I818,-3)/$X$2</f>
        <v>2452</v>
      </c>
      <c r="J821" s="91" t="e">
        <f>+ROUND(Návrh!#REF!,-3)/$X$2</f>
        <v>#REF!</v>
      </c>
      <c r="K821" s="91">
        <f>+ROUND(Návrh!J818,-3)/$X$2</f>
        <v>0</v>
      </c>
      <c r="L821" s="91">
        <f>+ROUND(Návrh!K818,-3)/$X$2</f>
        <v>3498</v>
      </c>
      <c r="M821" s="70"/>
    </row>
    <row r="822" spans="1:13" x14ac:dyDescent="0.25">
      <c r="A822" s="42" t="s">
        <v>1621</v>
      </c>
      <c r="B822" s="58" t="s">
        <v>916</v>
      </c>
      <c r="C822" s="34" t="s">
        <v>923</v>
      </c>
      <c r="D822" s="34" t="s">
        <v>1633</v>
      </c>
      <c r="E822" s="286" t="s">
        <v>888</v>
      </c>
      <c r="F822" s="287"/>
      <c r="G822" s="91">
        <f>+ROUND(Návrh!G819,-3)/$X$2</f>
        <v>4748</v>
      </c>
      <c r="H822" s="91">
        <f>+ROUND(Návrh!H819,-3)/$X$2</f>
        <v>5043</v>
      </c>
      <c r="I822" s="91">
        <f>+ROUND(Návrh!I819,-3)/$X$2</f>
        <v>4804</v>
      </c>
      <c r="J822" s="91" t="e">
        <f>+ROUND(Návrh!#REF!,-3)/$X$2</f>
        <v>#REF!</v>
      </c>
      <c r="K822" s="91">
        <f>+ROUND(Návrh!J819,-3)/$X$2</f>
        <v>0</v>
      </c>
      <c r="L822" s="91">
        <f>+ROUND(Návrh!K819,-3)/$X$2</f>
        <v>6190</v>
      </c>
      <c r="M822" s="70"/>
    </row>
    <row r="823" spans="1:13" x14ac:dyDescent="0.25">
      <c r="A823" s="42" t="s">
        <v>1622</v>
      </c>
      <c r="B823" s="58"/>
      <c r="C823" s="34"/>
      <c r="D823" s="34"/>
      <c r="E823" s="286" t="s">
        <v>889</v>
      </c>
      <c r="F823" s="287"/>
      <c r="G823" s="91">
        <f>+ROUND(Návrh!G820,-3)/$X$2</f>
        <v>0</v>
      </c>
      <c r="H823" s="91">
        <f>+ROUND(Návrh!H820,-3)/$X$2</f>
        <v>0</v>
      </c>
      <c r="I823" s="91">
        <f>+ROUND(Návrh!I820,-3)/$X$2</f>
        <v>0</v>
      </c>
      <c r="J823" s="91" t="e">
        <f>+ROUND(Návrh!#REF!,-3)/$X$2</f>
        <v>#REF!</v>
      </c>
      <c r="K823" s="91">
        <f>+ROUND(Návrh!J820,-3)/$X$2</f>
        <v>0</v>
      </c>
      <c r="L823" s="91">
        <f>+ROUND(Návrh!K820,-3)/$X$2</f>
        <v>0</v>
      </c>
      <c r="M823" s="70"/>
    </row>
    <row r="824" spans="1:13" x14ac:dyDescent="0.25">
      <c r="A824" s="42" t="s">
        <v>1623</v>
      </c>
      <c r="B824" s="34" t="s">
        <v>916</v>
      </c>
      <c r="C824" s="34" t="s">
        <v>923</v>
      </c>
      <c r="D824" s="34" t="s">
        <v>1633</v>
      </c>
      <c r="E824" s="286" t="s">
        <v>890</v>
      </c>
      <c r="F824" s="287"/>
      <c r="G824" s="91">
        <f>+ROUND(Návrh!G821,-3)/$X$2</f>
        <v>5459</v>
      </c>
      <c r="H824" s="91">
        <f>+ROUND(Návrh!H821,-3)/$X$2</f>
        <v>5871</v>
      </c>
      <c r="I824" s="91">
        <f>+ROUND(Návrh!I821,-3)/$X$2</f>
        <v>8000</v>
      </c>
      <c r="J824" s="91" t="e">
        <f>+ROUND(Návrh!#REF!,-3)/$X$2</f>
        <v>#REF!</v>
      </c>
      <c r="K824" s="91">
        <f>+ROUND(Návrh!J821,-3)/$X$2</f>
        <v>0</v>
      </c>
      <c r="L824" s="91">
        <f>+ROUND(Návrh!K821,-3)/$X$2</f>
        <v>8000</v>
      </c>
      <c r="M824" s="70"/>
    </row>
    <row r="825" spans="1:13" x14ac:dyDescent="0.25">
      <c r="A825" s="42" t="s">
        <v>1624</v>
      </c>
      <c r="B825" s="58" t="s">
        <v>916</v>
      </c>
      <c r="C825" s="34" t="s">
        <v>923</v>
      </c>
      <c r="D825" s="34" t="s">
        <v>1633</v>
      </c>
      <c r="E825" s="286" t="s">
        <v>1690</v>
      </c>
      <c r="F825" s="287"/>
      <c r="G825" s="91">
        <f>+ROUND(Návrh!G822,-3)/$X$2</f>
        <v>1053</v>
      </c>
      <c r="H825" s="91">
        <f>+ROUND(Návrh!H822,-3)/$X$2</f>
        <v>1141</v>
      </c>
      <c r="I825" s="91">
        <f>+ROUND(Návrh!I822,-3)/$X$2</f>
        <v>820</v>
      </c>
      <c r="J825" s="91" t="e">
        <f>+ROUND(Návrh!#REF!,-3)/$X$2</f>
        <v>#REF!</v>
      </c>
      <c r="K825" s="91">
        <f>+ROUND(Návrh!J822,-3)/$X$2</f>
        <v>0</v>
      </c>
      <c r="L825" s="91">
        <f>+ROUND(Návrh!K822,-3)/$X$2</f>
        <v>4545</v>
      </c>
      <c r="M825" s="70"/>
    </row>
    <row r="826" spans="1:13" x14ac:dyDescent="0.25">
      <c r="A826" s="42" t="s">
        <v>1625</v>
      </c>
      <c r="B826" s="58" t="s">
        <v>916</v>
      </c>
      <c r="C826" s="34" t="s">
        <v>923</v>
      </c>
      <c r="D826" s="34" t="s">
        <v>1633</v>
      </c>
      <c r="E826" s="286" t="s">
        <v>891</v>
      </c>
      <c r="F826" s="287"/>
      <c r="G826" s="91">
        <f>+ROUND(Návrh!G823,-3)/$X$2</f>
        <v>3008</v>
      </c>
      <c r="H826" s="91">
        <f>+ROUND(Návrh!H823,-3)/$X$2</f>
        <v>1726</v>
      </c>
      <c r="I826" s="91">
        <f>+ROUND(Návrh!I823,-3)/$X$2</f>
        <v>0</v>
      </c>
      <c r="J826" s="91" t="e">
        <f>+ROUND(Návrh!#REF!,-3)/$X$2</f>
        <v>#REF!</v>
      </c>
      <c r="K826" s="91">
        <f>+ROUND(Návrh!J823,-3)/$X$2</f>
        <v>0</v>
      </c>
      <c r="L826" s="91">
        <f>+ROUND(Návrh!K823,-3)/$X$2</f>
        <v>3444</v>
      </c>
      <c r="M826" s="70"/>
    </row>
    <row r="827" spans="1:13" x14ac:dyDescent="0.25">
      <c r="A827" s="57" t="s">
        <v>1626</v>
      </c>
      <c r="B827" s="57"/>
      <c r="C827" s="55"/>
      <c r="D827" s="55"/>
      <c r="E827" s="288" t="s">
        <v>892</v>
      </c>
      <c r="F827" s="289"/>
      <c r="G827" s="102">
        <f>+ROUND(Návrh!G824,-3)/$X$2</f>
        <v>16228</v>
      </c>
      <c r="H827" s="102">
        <f>+ROUND(Návrh!H824,-3)/$X$2</f>
        <v>21241</v>
      </c>
      <c r="I827" s="102">
        <f>+ROUND(Návrh!I824,-3)/$X$2</f>
        <v>22281</v>
      </c>
      <c r="J827" s="102" t="e">
        <f>+ROUND(Návrh!#REF!,-3)/$X$2</f>
        <v>#REF!</v>
      </c>
      <c r="K827" s="102">
        <f>+ROUND(Návrh!J824,-3)/$X$2</f>
        <v>0</v>
      </c>
      <c r="L827" s="102">
        <f>+ROUND(Návrh!K824,-3)/$X$2</f>
        <v>22900</v>
      </c>
      <c r="M827" s="70"/>
    </row>
    <row r="828" spans="1:13" x14ac:dyDescent="0.25">
      <c r="A828" s="42" t="s">
        <v>1627</v>
      </c>
      <c r="B828" s="58" t="s">
        <v>916</v>
      </c>
      <c r="C828" s="34" t="s">
        <v>923</v>
      </c>
      <c r="D828" s="34" t="s">
        <v>1633</v>
      </c>
      <c r="E828" s="286" t="s">
        <v>893</v>
      </c>
      <c r="F828" s="287"/>
      <c r="G828" s="91">
        <f>+ROUND(Návrh!G825,-3)/$X$2</f>
        <v>6078</v>
      </c>
      <c r="H828" s="91">
        <f>+ROUND(Návrh!H825,-3)/$X$2</f>
        <v>7877</v>
      </c>
      <c r="I828" s="91">
        <f>+ROUND(Návrh!I825,-3)/$X$2</f>
        <v>8867</v>
      </c>
      <c r="J828" s="91" t="e">
        <f>+ROUND(Návrh!#REF!,-3)/$X$2</f>
        <v>#REF!</v>
      </c>
      <c r="K828" s="91">
        <f>+ROUND(Návrh!J825,-3)/$X$2</f>
        <v>0</v>
      </c>
      <c r="L828" s="91">
        <f>+ROUND(Návrh!K825,-3)/$X$2</f>
        <v>8429</v>
      </c>
      <c r="M828" s="70"/>
    </row>
    <row r="829" spans="1:13" x14ac:dyDescent="0.25">
      <c r="A829" s="42" t="s">
        <v>1628</v>
      </c>
      <c r="B829" s="58" t="s">
        <v>916</v>
      </c>
      <c r="C829" s="34" t="s">
        <v>923</v>
      </c>
      <c r="D829" s="34" t="s">
        <v>1633</v>
      </c>
      <c r="E829" s="286" t="s">
        <v>894</v>
      </c>
      <c r="F829" s="287"/>
      <c r="G829" s="91">
        <f>+ROUND(Návrh!G826,-3)/$X$2</f>
        <v>10150</v>
      </c>
      <c r="H829" s="91">
        <f>+ROUND(Návrh!H826,-3)/$X$2</f>
        <v>13364</v>
      </c>
      <c r="I829" s="91">
        <f>+ROUND(Návrh!I826,-3)/$X$2</f>
        <v>13414</v>
      </c>
      <c r="J829" s="91" t="e">
        <f>+ROUND(Návrh!#REF!,-3)/$X$2</f>
        <v>#REF!</v>
      </c>
      <c r="K829" s="91">
        <f>+ROUND(Návrh!J826,-3)/$X$2</f>
        <v>0</v>
      </c>
      <c r="L829" s="91">
        <f>+ROUND(Návrh!K826,-3)/$X$2</f>
        <v>14471</v>
      </c>
      <c r="M829" s="70"/>
    </row>
    <row r="830" spans="1:13" x14ac:dyDescent="0.25">
      <c r="A830" s="57" t="s">
        <v>1629</v>
      </c>
      <c r="B830" s="57"/>
      <c r="C830" s="55"/>
      <c r="D830" s="55"/>
      <c r="E830" s="288" t="s">
        <v>895</v>
      </c>
      <c r="F830" s="289"/>
      <c r="G830" s="102">
        <f>+ROUND(Návrh!G827,-3)/$X$2</f>
        <v>494</v>
      </c>
      <c r="H830" s="102">
        <f>+ROUND(Návrh!H827,-3)/$X$2</f>
        <v>565</v>
      </c>
      <c r="I830" s="102">
        <f>+ROUND(Návrh!I827,-3)/$X$2</f>
        <v>550</v>
      </c>
      <c r="J830" s="102" t="e">
        <f>+ROUND(Návrh!#REF!,-3)/$X$2</f>
        <v>#REF!</v>
      </c>
      <c r="K830" s="102">
        <f>+ROUND(Návrh!J827,-3)/$X$2</f>
        <v>0</v>
      </c>
      <c r="L830" s="102">
        <f>+ROUND(Návrh!K827,-3)/$X$2</f>
        <v>550</v>
      </c>
      <c r="M830" s="70"/>
    </row>
    <row r="831" spans="1:13" x14ac:dyDescent="0.25">
      <c r="A831" s="42" t="s">
        <v>1630</v>
      </c>
      <c r="B831" s="58" t="s">
        <v>916</v>
      </c>
      <c r="C831" s="34" t="s">
        <v>920</v>
      </c>
      <c r="D831" s="34" t="s">
        <v>917</v>
      </c>
      <c r="E831" s="286" t="s">
        <v>896</v>
      </c>
      <c r="F831" s="287"/>
      <c r="G831" s="91">
        <f>+ROUND(Návrh!G828,-3)/$X$2</f>
        <v>494</v>
      </c>
      <c r="H831" s="91">
        <f>+ROUND(Návrh!H828,-3)/$X$2</f>
        <v>565</v>
      </c>
      <c r="I831" s="91">
        <f>+ROUND(Návrh!I828,-3)/$X$2</f>
        <v>550</v>
      </c>
      <c r="J831" s="91" t="e">
        <f>+ROUND(Návrh!#REF!,-3)/$X$2</f>
        <v>#REF!</v>
      </c>
      <c r="K831" s="91">
        <f>+ROUND(Návrh!J828,-3)/$X$2</f>
        <v>0</v>
      </c>
      <c r="L831" s="91">
        <f>+ROUND(Návrh!K828,-3)/$X$2</f>
        <v>550</v>
      </c>
      <c r="M831" s="70"/>
    </row>
    <row r="832" spans="1:13" x14ac:dyDescent="0.25">
      <c r="A832" s="60" t="s">
        <v>897</v>
      </c>
      <c r="B832" s="60"/>
      <c r="C832" s="61"/>
      <c r="D832" s="61"/>
      <c r="E832" s="284" t="s">
        <v>898</v>
      </c>
      <c r="F832" s="285"/>
      <c r="G832" s="100">
        <f>+ROUND(Návrh!G829,-3)/$X$2</f>
        <v>0</v>
      </c>
      <c r="H832" s="100">
        <f>+ROUND(Návrh!H829,-3)/$X$2</f>
        <v>0</v>
      </c>
      <c r="I832" s="100">
        <f>+ROUND(Návrh!I829,-3)/$X$2</f>
        <v>0</v>
      </c>
      <c r="J832" s="100" t="e">
        <f>+ROUND(Návrh!#REF!,-3)/$X$2</f>
        <v>#REF!</v>
      </c>
      <c r="K832" s="100">
        <f>+ROUND(Návrh!J829,-3)/$X$2</f>
        <v>0</v>
      </c>
      <c r="L832" s="100">
        <f>+ROUND(Návrh!K829,-3)/$X$2</f>
        <v>0</v>
      </c>
      <c r="M832" s="70"/>
    </row>
    <row r="833" spans="1:13" x14ac:dyDescent="0.25">
      <c r="A833" s="53" t="s">
        <v>899</v>
      </c>
      <c r="B833" s="53"/>
      <c r="C833" s="51"/>
      <c r="D833" s="51"/>
      <c r="E833" s="282" t="s">
        <v>900</v>
      </c>
      <c r="F833" s="283"/>
      <c r="G833" s="101">
        <f>+ROUND(Návrh!G830,-3)/$X$2</f>
        <v>0</v>
      </c>
      <c r="H833" s="101">
        <f>+ROUND(Návrh!H830,-3)/$X$2</f>
        <v>0</v>
      </c>
      <c r="I833" s="101">
        <f>+ROUND(Návrh!I830,-3)/$X$2</f>
        <v>0</v>
      </c>
      <c r="J833" s="101" t="e">
        <f>+ROUND(Návrh!#REF!,-3)/$X$2</f>
        <v>#REF!</v>
      </c>
      <c r="K833" s="101">
        <f>+ROUND(Návrh!J830,-3)/$X$2</f>
        <v>0</v>
      </c>
      <c r="L833" s="101">
        <f>+ROUND(Návrh!K830,-3)/$X$2</f>
        <v>0</v>
      </c>
      <c r="M833" s="70"/>
    </row>
    <row r="834" spans="1:13" x14ac:dyDescent="0.25">
      <c r="A834" s="53" t="s">
        <v>901</v>
      </c>
      <c r="B834" s="53"/>
      <c r="C834" s="51"/>
      <c r="D834" s="51"/>
      <c r="E834" s="282" t="s">
        <v>882</v>
      </c>
      <c r="F834" s="283"/>
      <c r="G834" s="101">
        <f>+ROUND(Návrh!G831,-3)/$X$2</f>
        <v>0</v>
      </c>
      <c r="H834" s="101">
        <f>+ROUND(Návrh!H831,-3)/$X$2</f>
        <v>0</v>
      </c>
      <c r="I834" s="101">
        <f>+ROUND(Návrh!I831,-3)/$X$2</f>
        <v>0</v>
      </c>
      <c r="J834" s="101" t="e">
        <f>+ROUND(Návrh!#REF!,-3)/$X$2</f>
        <v>#REF!</v>
      </c>
      <c r="K834" s="101">
        <f>+ROUND(Návrh!J831,-3)/$X$2</f>
        <v>0</v>
      </c>
      <c r="L834" s="101">
        <f>+ROUND(Návrh!K831,-3)/$X$2</f>
        <v>0</v>
      </c>
      <c r="M834" s="70"/>
    </row>
    <row r="835" spans="1:13" x14ac:dyDescent="0.25">
      <c r="A835" s="53" t="s">
        <v>902</v>
      </c>
      <c r="B835" s="53"/>
      <c r="C835" s="51"/>
      <c r="D835" s="51"/>
      <c r="E835" s="282" t="s">
        <v>903</v>
      </c>
      <c r="F835" s="283"/>
      <c r="G835" s="101">
        <f>+ROUND(Návrh!G832,-3)/$X$2</f>
        <v>0</v>
      </c>
      <c r="H835" s="101">
        <f>+ROUND(Návrh!H832,-3)/$X$2</f>
        <v>0</v>
      </c>
      <c r="I835" s="101">
        <f>+ROUND(Návrh!I832,-3)/$X$2</f>
        <v>0</v>
      </c>
      <c r="J835" s="101" t="e">
        <f>+ROUND(Návrh!#REF!,-3)/$X$2</f>
        <v>#REF!</v>
      </c>
      <c r="K835" s="101">
        <f>+ROUND(Návrh!J832,-3)/$X$2</f>
        <v>0</v>
      </c>
      <c r="L835" s="101">
        <f>+ROUND(Návrh!K832,-3)/$X$2</f>
        <v>0</v>
      </c>
      <c r="M835" s="70"/>
    </row>
    <row r="836" spans="1:13" x14ac:dyDescent="0.25">
      <c r="A836" s="53" t="s">
        <v>904</v>
      </c>
      <c r="B836" s="53"/>
      <c r="C836" s="51"/>
      <c r="D836" s="51"/>
      <c r="E836" s="282" t="s">
        <v>905</v>
      </c>
      <c r="F836" s="283"/>
      <c r="G836" s="101">
        <f>+ROUND(Návrh!G833,-3)/$X$2</f>
        <v>0</v>
      </c>
      <c r="H836" s="101">
        <f>+ROUND(Návrh!H833,-3)/$X$2</f>
        <v>0</v>
      </c>
      <c r="I836" s="101">
        <f>+ROUND(Návrh!I833,-3)/$X$2</f>
        <v>0</v>
      </c>
      <c r="J836" s="101" t="e">
        <f>+ROUND(Návrh!#REF!,-3)/$X$2</f>
        <v>#REF!</v>
      </c>
      <c r="K836" s="101">
        <f>+ROUND(Návrh!J833,-3)/$X$2</f>
        <v>0</v>
      </c>
      <c r="L836" s="101">
        <f>+ROUND(Návrh!K833,-3)/$X$2</f>
        <v>0</v>
      </c>
      <c r="M836" s="70"/>
    </row>
    <row r="837" spans="1:13" x14ac:dyDescent="0.25">
      <c r="A837" s="60" t="s">
        <v>906</v>
      </c>
      <c r="B837" s="60"/>
      <c r="C837" s="61"/>
      <c r="D837" s="61"/>
      <c r="E837" s="284" t="s">
        <v>907</v>
      </c>
      <c r="F837" s="285"/>
      <c r="G837" s="100">
        <f>+ROUND(Návrh!G834,-3)/$X$2</f>
        <v>0</v>
      </c>
      <c r="H837" s="100">
        <f>+ROUND(Návrh!H834,-3)/$X$2</f>
        <v>0</v>
      </c>
      <c r="I837" s="100">
        <f>+ROUND(Návrh!I834,-3)/$X$2</f>
        <v>0</v>
      </c>
      <c r="J837" s="100" t="e">
        <f>+ROUND(Návrh!#REF!,-3)/$X$2</f>
        <v>#REF!</v>
      </c>
      <c r="K837" s="100">
        <f>+ROUND(Návrh!J834,-3)/$X$2</f>
        <v>0</v>
      </c>
      <c r="L837" s="100">
        <f>+ROUND(Návrh!K834,-3)/$X$2</f>
        <v>0</v>
      </c>
      <c r="M837" s="70"/>
    </row>
    <row r="838" spans="1:13" x14ac:dyDescent="0.25">
      <c r="A838" s="53" t="s">
        <v>908</v>
      </c>
      <c r="B838" s="53"/>
      <c r="C838" s="51"/>
      <c r="D838" s="51"/>
      <c r="E838" s="282" t="s">
        <v>909</v>
      </c>
      <c r="F838" s="283"/>
      <c r="G838" s="101">
        <f>+ROUND(Návrh!G835,-3)/$X$2</f>
        <v>0</v>
      </c>
      <c r="H838" s="101">
        <f>+ROUND(Návrh!H835,-3)/$X$2</f>
        <v>0</v>
      </c>
      <c r="I838" s="101">
        <f>+ROUND(Návrh!I835,-3)/$X$2</f>
        <v>0</v>
      </c>
      <c r="J838" s="101" t="e">
        <f>+ROUND(Návrh!#REF!,-3)/$X$2</f>
        <v>#REF!</v>
      </c>
      <c r="K838" s="101">
        <f>+ROUND(Návrh!J835,-3)/$X$2</f>
        <v>0</v>
      </c>
      <c r="L838" s="101">
        <f>+ROUND(Návrh!K835,-3)/$X$2</f>
        <v>0</v>
      </c>
      <c r="M838" s="70"/>
    </row>
    <row r="839" spans="1:13" x14ac:dyDescent="0.25">
      <c r="A839" s="53" t="s">
        <v>910</v>
      </c>
      <c r="B839" s="53"/>
      <c r="C839" s="51"/>
      <c r="D839" s="51"/>
      <c r="E839" s="282" t="s">
        <v>911</v>
      </c>
      <c r="F839" s="283"/>
      <c r="G839" s="101">
        <f>+ROUND(Návrh!G836,-3)/$X$2</f>
        <v>0</v>
      </c>
      <c r="H839" s="101">
        <f>+ROUND(Návrh!H836,-3)/$X$2</f>
        <v>0</v>
      </c>
      <c r="I839" s="101">
        <f>+ROUND(Návrh!I836,-3)/$X$2</f>
        <v>0</v>
      </c>
      <c r="J839" s="101" t="e">
        <f>+ROUND(Návrh!#REF!,-3)/$X$2</f>
        <v>#REF!</v>
      </c>
      <c r="K839" s="101">
        <f>+ROUND(Návrh!J836,-3)/$X$2</f>
        <v>0</v>
      </c>
      <c r="L839" s="101">
        <f>+ROUND(Návrh!K836,-3)/$X$2</f>
        <v>0</v>
      </c>
      <c r="M839" s="70"/>
    </row>
    <row r="840" spans="1:13" x14ac:dyDescent="0.25">
      <c r="A840" s="53" t="s">
        <v>912</v>
      </c>
      <c r="B840" s="53"/>
      <c r="C840" s="51"/>
      <c r="D840" s="51"/>
      <c r="E840" s="282" t="s">
        <v>582</v>
      </c>
      <c r="F840" s="283"/>
      <c r="G840" s="101">
        <f>+ROUND(Návrh!G837,-3)/$X$2</f>
        <v>0</v>
      </c>
      <c r="H840" s="101">
        <f>+ROUND(Návrh!H837,-3)/$X$2</f>
        <v>0</v>
      </c>
      <c r="I840" s="101">
        <f>+ROUND(Návrh!I837,-3)/$X$2</f>
        <v>0</v>
      </c>
      <c r="J840" s="101" t="e">
        <f>+ROUND(Návrh!#REF!,-3)/$X$2</f>
        <v>#REF!</v>
      </c>
      <c r="K840" s="101">
        <f>+ROUND(Návrh!J837,-3)/$X$2</f>
        <v>0</v>
      </c>
      <c r="L840" s="101">
        <f>+ROUND(Návrh!K837,-3)/$X$2</f>
        <v>0</v>
      </c>
      <c r="M840" s="70"/>
    </row>
  </sheetData>
  <autoFilter ref="B13:D840" xr:uid="{00000000-0009-0000-0000-000003000000}"/>
  <mergeCells count="830">
    <mergeCell ref="E17:F17"/>
    <mergeCell ref="E18:F18"/>
    <mergeCell ref="E19:F19"/>
    <mergeCell ref="E20:F20"/>
    <mergeCell ref="E21:F21"/>
    <mergeCell ref="E22:F22"/>
    <mergeCell ref="D2:M2"/>
    <mergeCell ref="C5:D5"/>
    <mergeCell ref="E5:E7"/>
    <mergeCell ref="E14:F14"/>
    <mergeCell ref="E15:F15"/>
    <mergeCell ref="E16:F16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93:F293"/>
    <mergeCell ref="E294:F294"/>
    <mergeCell ref="E295:F295"/>
    <mergeCell ref="E296:F296"/>
    <mergeCell ref="E298:F298"/>
    <mergeCell ref="E299:F299"/>
    <mergeCell ref="E287:F287"/>
    <mergeCell ref="E288:F288"/>
    <mergeCell ref="E289:F289"/>
    <mergeCell ref="E290:F290"/>
    <mergeCell ref="E291:F291"/>
    <mergeCell ref="E292:F292"/>
    <mergeCell ref="E297:F297"/>
    <mergeCell ref="E306:F306"/>
    <mergeCell ref="E307:F307"/>
    <mergeCell ref="E308:F308"/>
    <mergeCell ref="E309:F309"/>
    <mergeCell ref="E310:F310"/>
    <mergeCell ref="E311:F311"/>
    <mergeCell ref="E300:F300"/>
    <mergeCell ref="E301:F301"/>
    <mergeCell ref="E302:F302"/>
    <mergeCell ref="E303:F303"/>
    <mergeCell ref="E304:F304"/>
    <mergeCell ref="E305:F305"/>
    <mergeCell ref="E318:F318"/>
    <mergeCell ref="E319:F319"/>
    <mergeCell ref="E320:F320"/>
    <mergeCell ref="E321:F321"/>
    <mergeCell ref="E322:F322"/>
    <mergeCell ref="E323:F323"/>
    <mergeCell ref="E312:F312"/>
    <mergeCell ref="E313:F313"/>
    <mergeCell ref="E314:F314"/>
    <mergeCell ref="E315:F315"/>
    <mergeCell ref="E316:F316"/>
    <mergeCell ref="E317:F317"/>
    <mergeCell ref="E330:F330"/>
    <mergeCell ref="E331:F331"/>
    <mergeCell ref="E332:F332"/>
    <mergeCell ref="E333:F333"/>
    <mergeCell ref="E334:F334"/>
    <mergeCell ref="E335:F335"/>
    <mergeCell ref="E324:F324"/>
    <mergeCell ref="E325:F325"/>
    <mergeCell ref="E326:F326"/>
    <mergeCell ref="E327:F327"/>
    <mergeCell ref="E328:F328"/>
    <mergeCell ref="E329:F329"/>
    <mergeCell ref="E342:F342"/>
    <mergeCell ref="E343:F343"/>
    <mergeCell ref="E344:F344"/>
    <mergeCell ref="E345:F345"/>
    <mergeCell ref="E346:F346"/>
    <mergeCell ref="E347:F347"/>
    <mergeCell ref="E336:F336"/>
    <mergeCell ref="E337:F337"/>
    <mergeCell ref="E338:F338"/>
    <mergeCell ref="E339:F339"/>
    <mergeCell ref="E340:F340"/>
    <mergeCell ref="E341:F341"/>
    <mergeCell ref="E354:F354"/>
    <mergeCell ref="E355:F355"/>
    <mergeCell ref="E356:F356"/>
    <mergeCell ref="E357:F357"/>
    <mergeCell ref="E358:F358"/>
    <mergeCell ref="E359:F359"/>
    <mergeCell ref="E348:F348"/>
    <mergeCell ref="E349:F349"/>
    <mergeCell ref="E350:F350"/>
    <mergeCell ref="E351:F351"/>
    <mergeCell ref="E352:F352"/>
    <mergeCell ref="E353:F353"/>
    <mergeCell ref="E366:F366"/>
    <mergeCell ref="E367:F367"/>
    <mergeCell ref="E368:F368"/>
    <mergeCell ref="E369:F369"/>
    <mergeCell ref="E370:F370"/>
    <mergeCell ref="E371:F371"/>
    <mergeCell ref="E360:F360"/>
    <mergeCell ref="E361:F361"/>
    <mergeCell ref="E362:F362"/>
    <mergeCell ref="E363:F363"/>
    <mergeCell ref="E364:F364"/>
    <mergeCell ref="E365:F365"/>
    <mergeCell ref="E378:F378"/>
    <mergeCell ref="E379:F379"/>
    <mergeCell ref="E380:F380"/>
    <mergeCell ref="E381:F381"/>
    <mergeCell ref="E382:F382"/>
    <mergeCell ref="E383:F383"/>
    <mergeCell ref="E372:F372"/>
    <mergeCell ref="E373:F373"/>
    <mergeCell ref="E374:F374"/>
    <mergeCell ref="E375:F375"/>
    <mergeCell ref="E376:F376"/>
    <mergeCell ref="E377:F377"/>
    <mergeCell ref="E390:F390"/>
    <mergeCell ref="E391:F391"/>
    <mergeCell ref="E392:F392"/>
    <mergeCell ref="E393:F393"/>
    <mergeCell ref="E394:F394"/>
    <mergeCell ref="E395:F395"/>
    <mergeCell ref="E384:F384"/>
    <mergeCell ref="E385:F385"/>
    <mergeCell ref="E386:F386"/>
    <mergeCell ref="E387:F387"/>
    <mergeCell ref="E388:F388"/>
    <mergeCell ref="E389:F389"/>
    <mergeCell ref="E402:F402"/>
    <mergeCell ref="E403:F403"/>
    <mergeCell ref="E404:F404"/>
    <mergeCell ref="E405:F405"/>
    <mergeCell ref="E406:F406"/>
    <mergeCell ref="E407:F407"/>
    <mergeCell ref="E396:F396"/>
    <mergeCell ref="E397:F397"/>
    <mergeCell ref="E398:F398"/>
    <mergeCell ref="E399:F399"/>
    <mergeCell ref="E400:F400"/>
    <mergeCell ref="E401:F401"/>
    <mergeCell ref="E414:F414"/>
    <mergeCell ref="E415:F415"/>
    <mergeCell ref="E416:F416"/>
    <mergeCell ref="E417:F417"/>
    <mergeCell ref="E418:F418"/>
    <mergeCell ref="E419:F419"/>
    <mergeCell ref="E408:F408"/>
    <mergeCell ref="E409:F409"/>
    <mergeCell ref="E410:F410"/>
    <mergeCell ref="E411:F411"/>
    <mergeCell ref="E412:F412"/>
    <mergeCell ref="E413:F413"/>
    <mergeCell ref="E426:F426"/>
    <mergeCell ref="E427:F427"/>
    <mergeCell ref="E428:F428"/>
    <mergeCell ref="E429:F429"/>
    <mergeCell ref="E430:F430"/>
    <mergeCell ref="E431:F431"/>
    <mergeCell ref="E420:F420"/>
    <mergeCell ref="E421:F421"/>
    <mergeCell ref="E422:F422"/>
    <mergeCell ref="E423:F423"/>
    <mergeCell ref="E424:F424"/>
    <mergeCell ref="E425:F425"/>
    <mergeCell ref="E438:F438"/>
    <mergeCell ref="E439:F439"/>
    <mergeCell ref="E440:F440"/>
    <mergeCell ref="E441:F441"/>
    <mergeCell ref="E442:F442"/>
    <mergeCell ref="E443:F443"/>
    <mergeCell ref="E432:F432"/>
    <mergeCell ref="E433:F433"/>
    <mergeCell ref="E434:F434"/>
    <mergeCell ref="E435:F435"/>
    <mergeCell ref="E436:F436"/>
    <mergeCell ref="E437:F437"/>
    <mergeCell ref="E450:F450"/>
    <mergeCell ref="E451:F451"/>
    <mergeCell ref="E452:F452"/>
    <mergeCell ref="E453:F453"/>
    <mergeCell ref="E454:F454"/>
    <mergeCell ref="E455:F455"/>
    <mergeCell ref="E444:F444"/>
    <mergeCell ref="E445:F445"/>
    <mergeCell ref="E446:F446"/>
    <mergeCell ref="E447:F447"/>
    <mergeCell ref="E448:F448"/>
    <mergeCell ref="E449:F449"/>
    <mergeCell ref="E462:F462"/>
    <mergeCell ref="E463:F463"/>
    <mergeCell ref="E464:F464"/>
    <mergeCell ref="E465:F465"/>
    <mergeCell ref="E466:F466"/>
    <mergeCell ref="E467:F467"/>
    <mergeCell ref="E456:F456"/>
    <mergeCell ref="E457:F457"/>
    <mergeCell ref="E458:F458"/>
    <mergeCell ref="E459:F459"/>
    <mergeCell ref="E460:F460"/>
    <mergeCell ref="E461:F461"/>
    <mergeCell ref="E474:F474"/>
    <mergeCell ref="E475:F475"/>
    <mergeCell ref="E476:F476"/>
    <mergeCell ref="E477:F477"/>
    <mergeCell ref="E478:F478"/>
    <mergeCell ref="E479:F479"/>
    <mergeCell ref="E468:F468"/>
    <mergeCell ref="E469:F469"/>
    <mergeCell ref="E470:F470"/>
    <mergeCell ref="E471:F471"/>
    <mergeCell ref="E472:F472"/>
    <mergeCell ref="E473:F473"/>
    <mergeCell ref="E486:F486"/>
    <mergeCell ref="E487:F487"/>
    <mergeCell ref="E488:F488"/>
    <mergeCell ref="E489:F489"/>
    <mergeCell ref="E490:F490"/>
    <mergeCell ref="E491:F491"/>
    <mergeCell ref="E480:F480"/>
    <mergeCell ref="E481:F481"/>
    <mergeCell ref="E482:F482"/>
    <mergeCell ref="E483:F483"/>
    <mergeCell ref="E484:F484"/>
    <mergeCell ref="E485:F485"/>
    <mergeCell ref="E498:F498"/>
    <mergeCell ref="E499:F499"/>
    <mergeCell ref="E500:F500"/>
    <mergeCell ref="E501:F501"/>
    <mergeCell ref="E502:F502"/>
    <mergeCell ref="E503:F503"/>
    <mergeCell ref="E492:F492"/>
    <mergeCell ref="E493:F493"/>
    <mergeCell ref="E494:F494"/>
    <mergeCell ref="E495:F495"/>
    <mergeCell ref="E496:F496"/>
    <mergeCell ref="E497:F497"/>
    <mergeCell ref="E510:F510"/>
    <mergeCell ref="E511:F511"/>
    <mergeCell ref="E512:F512"/>
    <mergeCell ref="E513:F513"/>
    <mergeCell ref="E514:F514"/>
    <mergeCell ref="E515:F515"/>
    <mergeCell ref="E504:F504"/>
    <mergeCell ref="E505:F505"/>
    <mergeCell ref="E506:F506"/>
    <mergeCell ref="E507:F507"/>
    <mergeCell ref="E508:F508"/>
    <mergeCell ref="E509:F509"/>
    <mergeCell ref="E522:F522"/>
    <mergeCell ref="E523:F523"/>
    <mergeCell ref="E524:F524"/>
    <mergeCell ref="E525:F525"/>
    <mergeCell ref="E526:F526"/>
    <mergeCell ref="E527:F527"/>
    <mergeCell ref="E516:F516"/>
    <mergeCell ref="E517:F517"/>
    <mergeCell ref="E518:F518"/>
    <mergeCell ref="E519:F519"/>
    <mergeCell ref="E520:F520"/>
    <mergeCell ref="E521:F521"/>
    <mergeCell ref="E534:F534"/>
    <mergeCell ref="E535:F535"/>
    <mergeCell ref="E536:F536"/>
    <mergeCell ref="E537:F537"/>
    <mergeCell ref="E538:F538"/>
    <mergeCell ref="E539:F539"/>
    <mergeCell ref="E528:F528"/>
    <mergeCell ref="E529:F529"/>
    <mergeCell ref="E530:F530"/>
    <mergeCell ref="E531:F531"/>
    <mergeCell ref="E532:F532"/>
    <mergeCell ref="E533:F533"/>
    <mergeCell ref="E546:F546"/>
    <mergeCell ref="E547:F547"/>
    <mergeCell ref="E548:F548"/>
    <mergeCell ref="E549:F549"/>
    <mergeCell ref="E550:F550"/>
    <mergeCell ref="E551:F551"/>
    <mergeCell ref="E540:F540"/>
    <mergeCell ref="E541:F541"/>
    <mergeCell ref="E542:F542"/>
    <mergeCell ref="E543:F543"/>
    <mergeCell ref="E544:F544"/>
    <mergeCell ref="E545:F545"/>
    <mergeCell ref="E558:F558"/>
    <mergeCell ref="E559:F559"/>
    <mergeCell ref="E560:F560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70:F570"/>
    <mergeCell ref="E571:F571"/>
    <mergeCell ref="E572:F572"/>
    <mergeCell ref="E573:F573"/>
    <mergeCell ref="E574:F574"/>
    <mergeCell ref="E575:F575"/>
    <mergeCell ref="E564:F564"/>
    <mergeCell ref="E565:F565"/>
    <mergeCell ref="E566:F566"/>
    <mergeCell ref="E567:F567"/>
    <mergeCell ref="E568:F568"/>
    <mergeCell ref="E569:F569"/>
    <mergeCell ref="E582:F582"/>
    <mergeCell ref="E583:F583"/>
    <mergeCell ref="E584:F584"/>
    <mergeCell ref="E585:F585"/>
    <mergeCell ref="E586:F586"/>
    <mergeCell ref="E587:F587"/>
    <mergeCell ref="E576:F576"/>
    <mergeCell ref="E577:F577"/>
    <mergeCell ref="E578:F578"/>
    <mergeCell ref="E579:F579"/>
    <mergeCell ref="E580:F580"/>
    <mergeCell ref="E581:F581"/>
    <mergeCell ref="E594:F594"/>
    <mergeCell ref="E595:F595"/>
    <mergeCell ref="E596:F596"/>
    <mergeCell ref="E597:F597"/>
    <mergeCell ref="E598:F598"/>
    <mergeCell ref="E599:F599"/>
    <mergeCell ref="E588:F588"/>
    <mergeCell ref="E589:F589"/>
    <mergeCell ref="E590:F590"/>
    <mergeCell ref="E591:F591"/>
    <mergeCell ref="E592:F592"/>
    <mergeCell ref="E593:F593"/>
    <mergeCell ref="E606:F606"/>
    <mergeCell ref="E607:F607"/>
    <mergeCell ref="E608:F608"/>
    <mergeCell ref="E609:F609"/>
    <mergeCell ref="E610:F610"/>
    <mergeCell ref="E611:F611"/>
    <mergeCell ref="E600:F600"/>
    <mergeCell ref="E601:F601"/>
    <mergeCell ref="E602:F602"/>
    <mergeCell ref="E603:F603"/>
    <mergeCell ref="E604:F604"/>
    <mergeCell ref="E605:F605"/>
    <mergeCell ref="E618:F618"/>
    <mergeCell ref="E619:F619"/>
    <mergeCell ref="E620:F620"/>
    <mergeCell ref="E621:F621"/>
    <mergeCell ref="E622:F622"/>
    <mergeCell ref="E623:F623"/>
    <mergeCell ref="E612:F612"/>
    <mergeCell ref="E613:F613"/>
    <mergeCell ref="E614:F614"/>
    <mergeCell ref="E615:F615"/>
    <mergeCell ref="E616:F616"/>
    <mergeCell ref="E617:F617"/>
    <mergeCell ref="E630:F630"/>
    <mergeCell ref="E631:F631"/>
    <mergeCell ref="E632:F632"/>
    <mergeCell ref="E633:F633"/>
    <mergeCell ref="E634:F634"/>
    <mergeCell ref="E635:F635"/>
    <mergeCell ref="E624:F624"/>
    <mergeCell ref="E625:F625"/>
    <mergeCell ref="E626:F626"/>
    <mergeCell ref="E627:F627"/>
    <mergeCell ref="E628:F628"/>
    <mergeCell ref="E629:F629"/>
    <mergeCell ref="E642:F642"/>
    <mergeCell ref="E643:F643"/>
    <mergeCell ref="E644:F644"/>
    <mergeCell ref="E645:F645"/>
    <mergeCell ref="E646:F646"/>
    <mergeCell ref="E647:F647"/>
    <mergeCell ref="E636:F636"/>
    <mergeCell ref="E637:F637"/>
    <mergeCell ref="E638:F638"/>
    <mergeCell ref="E639:F639"/>
    <mergeCell ref="E640:F640"/>
    <mergeCell ref="E641:F641"/>
    <mergeCell ref="E654:F654"/>
    <mergeCell ref="E655:F655"/>
    <mergeCell ref="E656:F656"/>
    <mergeCell ref="E657:F657"/>
    <mergeCell ref="E658:F658"/>
    <mergeCell ref="E659:F659"/>
    <mergeCell ref="E648:F648"/>
    <mergeCell ref="E649:F649"/>
    <mergeCell ref="E650:F650"/>
    <mergeCell ref="E651:F651"/>
    <mergeCell ref="E652:F652"/>
    <mergeCell ref="E653:F653"/>
    <mergeCell ref="E666:F666"/>
    <mergeCell ref="E667:F667"/>
    <mergeCell ref="E668:F668"/>
    <mergeCell ref="E669:F669"/>
    <mergeCell ref="E670:F670"/>
    <mergeCell ref="E671:F671"/>
    <mergeCell ref="E660:F660"/>
    <mergeCell ref="E661:F661"/>
    <mergeCell ref="E662:F662"/>
    <mergeCell ref="E663:F663"/>
    <mergeCell ref="E664:F664"/>
    <mergeCell ref="E665:F665"/>
    <mergeCell ref="E678:F678"/>
    <mergeCell ref="E679:F679"/>
    <mergeCell ref="E680:F680"/>
    <mergeCell ref="E681:F681"/>
    <mergeCell ref="E682:F682"/>
    <mergeCell ref="E683:F683"/>
    <mergeCell ref="E672:F672"/>
    <mergeCell ref="E673:F673"/>
    <mergeCell ref="E674:F674"/>
    <mergeCell ref="E675:F675"/>
    <mergeCell ref="E676:F676"/>
    <mergeCell ref="E677:F677"/>
    <mergeCell ref="E690:F690"/>
    <mergeCell ref="E691:F691"/>
    <mergeCell ref="E692:F692"/>
    <mergeCell ref="E693:F693"/>
    <mergeCell ref="E694:F694"/>
    <mergeCell ref="E695:F695"/>
    <mergeCell ref="E684:F684"/>
    <mergeCell ref="E685:F685"/>
    <mergeCell ref="E686:F686"/>
    <mergeCell ref="E687:F687"/>
    <mergeCell ref="E688:F688"/>
    <mergeCell ref="E689:F689"/>
    <mergeCell ref="E702:F702"/>
    <mergeCell ref="E703:F703"/>
    <mergeCell ref="E704:F704"/>
    <mergeCell ref="E705:F705"/>
    <mergeCell ref="E706:F706"/>
    <mergeCell ref="E707:F707"/>
    <mergeCell ref="E696:F696"/>
    <mergeCell ref="E697:F697"/>
    <mergeCell ref="E698:F698"/>
    <mergeCell ref="E699:F699"/>
    <mergeCell ref="E700:F700"/>
    <mergeCell ref="E701:F701"/>
    <mergeCell ref="E714:F714"/>
    <mergeCell ref="E715:F715"/>
    <mergeCell ref="E716:F716"/>
    <mergeCell ref="E717:F717"/>
    <mergeCell ref="E718:F718"/>
    <mergeCell ref="E719:F719"/>
    <mergeCell ref="E708:F708"/>
    <mergeCell ref="E709:F709"/>
    <mergeCell ref="E710:F710"/>
    <mergeCell ref="E711:F711"/>
    <mergeCell ref="E712:F712"/>
    <mergeCell ref="E713:F713"/>
    <mergeCell ref="E726:F726"/>
    <mergeCell ref="E727:F727"/>
    <mergeCell ref="E728:F728"/>
    <mergeCell ref="E729:F729"/>
    <mergeCell ref="E730:F730"/>
    <mergeCell ref="E731:F731"/>
    <mergeCell ref="E720:F720"/>
    <mergeCell ref="E721:F721"/>
    <mergeCell ref="E722:F722"/>
    <mergeCell ref="E723:F723"/>
    <mergeCell ref="E724:F724"/>
    <mergeCell ref="E725:F725"/>
    <mergeCell ref="E738:F738"/>
    <mergeCell ref="E739:F739"/>
    <mergeCell ref="E740:F740"/>
    <mergeCell ref="E741:F741"/>
    <mergeCell ref="E742:F742"/>
    <mergeCell ref="E743:F743"/>
    <mergeCell ref="E732:F732"/>
    <mergeCell ref="E733:F733"/>
    <mergeCell ref="E734:F734"/>
    <mergeCell ref="E735:F735"/>
    <mergeCell ref="E736:F736"/>
    <mergeCell ref="E737:F737"/>
    <mergeCell ref="E750:F750"/>
    <mergeCell ref="E751:F751"/>
    <mergeCell ref="E752:F752"/>
    <mergeCell ref="E753:F753"/>
    <mergeCell ref="E754:F754"/>
    <mergeCell ref="E755:F755"/>
    <mergeCell ref="E744:F744"/>
    <mergeCell ref="E745:F745"/>
    <mergeCell ref="E746:F746"/>
    <mergeCell ref="E747:F747"/>
    <mergeCell ref="E748:F748"/>
    <mergeCell ref="E749:F749"/>
    <mergeCell ref="E762:F762"/>
    <mergeCell ref="E763:F763"/>
    <mergeCell ref="E764:F764"/>
    <mergeCell ref="E765:F765"/>
    <mergeCell ref="E766:F766"/>
    <mergeCell ref="E767:F767"/>
    <mergeCell ref="E756:F756"/>
    <mergeCell ref="E757:F757"/>
    <mergeCell ref="E758:F758"/>
    <mergeCell ref="E759:F759"/>
    <mergeCell ref="E760:F760"/>
    <mergeCell ref="E761:F761"/>
    <mergeCell ref="E774:F774"/>
    <mergeCell ref="E775:F775"/>
    <mergeCell ref="E776:F776"/>
    <mergeCell ref="E777:F777"/>
    <mergeCell ref="E778:F778"/>
    <mergeCell ref="E779:F779"/>
    <mergeCell ref="E768:F768"/>
    <mergeCell ref="E769:F769"/>
    <mergeCell ref="E770:F770"/>
    <mergeCell ref="E771:F771"/>
    <mergeCell ref="E772:F772"/>
    <mergeCell ref="E773:F773"/>
    <mergeCell ref="E786:F786"/>
    <mergeCell ref="E787:F787"/>
    <mergeCell ref="E788:F788"/>
    <mergeCell ref="E789:F789"/>
    <mergeCell ref="E790:F790"/>
    <mergeCell ref="E791:F791"/>
    <mergeCell ref="E780:F780"/>
    <mergeCell ref="E781:F781"/>
    <mergeCell ref="E782:F782"/>
    <mergeCell ref="E783:F783"/>
    <mergeCell ref="E784:F784"/>
    <mergeCell ref="E785:F785"/>
    <mergeCell ref="E798:F798"/>
    <mergeCell ref="E799:F799"/>
    <mergeCell ref="E800:F800"/>
    <mergeCell ref="E801:F801"/>
    <mergeCell ref="E802:F802"/>
    <mergeCell ref="E803:F803"/>
    <mergeCell ref="E792:F792"/>
    <mergeCell ref="E793:F793"/>
    <mergeCell ref="E794:F794"/>
    <mergeCell ref="E795:F795"/>
    <mergeCell ref="E796:F796"/>
    <mergeCell ref="E797:F797"/>
    <mergeCell ref="E810:F810"/>
    <mergeCell ref="E811:F811"/>
    <mergeCell ref="E812:F812"/>
    <mergeCell ref="E813:F813"/>
    <mergeCell ref="E814:F814"/>
    <mergeCell ref="E815:F815"/>
    <mergeCell ref="E804:F804"/>
    <mergeCell ref="E805:F805"/>
    <mergeCell ref="E806:F806"/>
    <mergeCell ref="E807:F807"/>
    <mergeCell ref="E808:F808"/>
    <mergeCell ref="E809:F809"/>
    <mergeCell ref="E822:F822"/>
    <mergeCell ref="E823:F823"/>
    <mergeCell ref="E824:F824"/>
    <mergeCell ref="E825:F825"/>
    <mergeCell ref="E826:F826"/>
    <mergeCell ref="E827:F827"/>
    <mergeCell ref="E816:F816"/>
    <mergeCell ref="E817:F817"/>
    <mergeCell ref="E818:F818"/>
    <mergeCell ref="E819:F819"/>
    <mergeCell ref="E820:F820"/>
    <mergeCell ref="E821:F821"/>
    <mergeCell ref="E840:F840"/>
    <mergeCell ref="E834:F834"/>
    <mergeCell ref="E835:F835"/>
    <mergeCell ref="E836:F836"/>
    <mergeCell ref="E837:F837"/>
    <mergeCell ref="E838:F838"/>
    <mergeCell ref="E839:F839"/>
    <mergeCell ref="E828:F828"/>
    <mergeCell ref="E829:F829"/>
    <mergeCell ref="E830:F830"/>
    <mergeCell ref="E831:F831"/>
    <mergeCell ref="E832:F832"/>
    <mergeCell ref="E833:F833"/>
  </mergeCells>
  <conditionalFormatting sqref="E15:E95 E98:E129 E268:E283 E322:E474 E476:E611 E613:E785 E787:E824 E131:E139 E141:E237 E241:E266 E285:E296 E826:E840 E298:E320">
    <cfRule type="expression" dxfId="70" priority="72">
      <formula>AND(#REF!=0,#REF!=1,LEFT($A15,1)="A")</formula>
    </cfRule>
    <cfRule type="expression" dxfId="69" priority="73">
      <formula>#REF!=3</formula>
    </cfRule>
    <cfRule type="expression" dxfId="68" priority="74">
      <formula>#REF!=2</formula>
    </cfRule>
    <cfRule type="expression" dxfId="67" priority="75">
      <formula>AND(#REF!=1,OR(#REF!&lt;&gt;0,LEFT($A15,1)="I",LEFT($A15,1)="C",RIGHT($A15,1)="X"))</formula>
    </cfRule>
    <cfRule type="expression" dxfId="66" priority="76">
      <formula>#REF!=0</formula>
    </cfRule>
  </conditionalFormatting>
  <conditionalFormatting sqref="E5">
    <cfRule type="expression" dxfId="65" priority="71" stopIfTrue="1">
      <formula>#REF!=#REF!</formula>
    </cfRule>
  </conditionalFormatting>
  <conditionalFormatting sqref="E96:E97">
    <cfRule type="expression" dxfId="64" priority="66">
      <formula>AND(#REF!=0,#REF!=1,LEFT($A96,1)="A")</formula>
    </cfRule>
    <cfRule type="expression" dxfId="63" priority="67">
      <formula>#REF!=3</formula>
    </cfRule>
    <cfRule type="expression" dxfId="62" priority="68">
      <formula>#REF!=2</formula>
    </cfRule>
    <cfRule type="expression" dxfId="61" priority="69">
      <formula>AND(#REF!=1,OR(#REF!&lt;&gt;0,LEFT($A96,1)="I",LEFT($A96,1)="C",RIGHT($A96,1)="X"))</formula>
    </cfRule>
    <cfRule type="expression" dxfId="60" priority="70">
      <formula>#REF!=0</formula>
    </cfRule>
  </conditionalFormatting>
  <conditionalFormatting sqref="E267">
    <cfRule type="expression" dxfId="59" priority="61">
      <formula>AND(#REF!=0,#REF!=1,LEFT($A267,1)="A")</formula>
    </cfRule>
    <cfRule type="expression" dxfId="58" priority="62">
      <formula>#REF!=3</formula>
    </cfRule>
    <cfRule type="expression" dxfId="57" priority="63">
      <formula>#REF!=2</formula>
    </cfRule>
    <cfRule type="expression" dxfId="56" priority="64">
      <formula>AND(#REF!=1,OR(#REF!&lt;&gt;0,LEFT($A267,1)="I",LEFT($A267,1)="C",RIGHT($A267,1)="X"))</formula>
    </cfRule>
    <cfRule type="expression" dxfId="55" priority="65">
      <formula>#REF!=0</formula>
    </cfRule>
  </conditionalFormatting>
  <conditionalFormatting sqref="E321">
    <cfRule type="expression" dxfId="54" priority="56">
      <formula>AND(#REF!=0,#REF!=1,LEFT($A321,1)="A")</formula>
    </cfRule>
    <cfRule type="expression" dxfId="53" priority="57">
      <formula>#REF!=3</formula>
    </cfRule>
    <cfRule type="expression" dxfId="52" priority="58">
      <formula>#REF!=2</formula>
    </cfRule>
    <cfRule type="expression" dxfId="51" priority="59">
      <formula>AND(#REF!=1,OR(#REF!&lt;&gt;0,LEFT($A321,1)="I",LEFT($A321,1)="C",RIGHT($A321,1)="X"))</formula>
    </cfRule>
    <cfRule type="expression" dxfId="50" priority="60">
      <formula>#REF!=0</formula>
    </cfRule>
  </conditionalFormatting>
  <conditionalFormatting sqref="E475">
    <cfRule type="expression" dxfId="49" priority="51">
      <formula>AND(#REF!=0,#REF!=1,LEFT($A475,1)="A")</formula>
    </cfRule>
    <cfRule type="expression" dxfId="48" priority="52">
      <formula>#REF!=3</formula>
    </cfRule>
    <cfRule type="expression" dxfId="47" priority="53">
      <formula>#REF!=2</formula>
    </cfRule>
    <cfRule type="expression" dxfId="46" priority="54">
      <formula>AND(#REF!=1,OR(#REF!&lt;&gt;0,LEFT($A475,1)="I",LEFT($A475,1)="C",RIGHT($A475,1)="X"))</formula>
    </cfRule>
    <cfRule type="expression" dxfId="45" priority="55">
      <formula>#REF!=0</formula>
    </cfRule>
  </conditionalFormatting>
  <conditionalFormatting sqref="E612">
    <cfRule type="expression" dxfId="44" priority="41">
      <formula>AND(#REF!=0,#REF!=1,LEFT($A612,1)="A")</formula>
    </cfRule>
    <cfRule type="expression" dxfId="43" priority="42">
      <formula>#REF!=3</formula>
    </cfRule>
    <cfRule type="expression" dxfId="42" priority="43">
      <formula>#REF!=2</formula>
    </cfRule>
    <cfRule type="expression" dxfId="41" priority="44">
      <formula>AND(#REF!=1,OR(#REF!&lt;&gt;0,LEFT($A612,1)="I",LEFT($A612,1)="C",RIGHT($A612,1)="X"))</formula>
    </cfRule>
    <cfRule type="expression" dxfId="40" priority="45">
      <formula>#REF!=0</formula>
    </cfRule>
  </conditionalFormatting>
  <conditionalFormatting sqref="E786">
    <cfRule type="expression" dxfId="39" priority="36">
      <formula>AND(#REF!=0,#REF!=1,LEFT($A786,1)="A")</formula>
    </cfRule>
    <cfRule type="expression" dxfId="38" priority="37">
      <formula>#REF!=3</formula>
    </cfRule>
    <cfRule type="expression" dxfId="37" priority="38">
      <formula>#REF!=2</formula>
    </cfRule>
    <cfRule type="expression" dxfId="36" priority="39">
      <formula>AND(#REF!=1,OR(#REF!&lt;&gt;0,LEFT($A786,1)="I",LEFT($A786,1)="C",RIGHT($A786,1)="X"))</formula>
    </cfRule>
    <cfRule type="expression" dxfId="35" priority="40">
      <formula>#REF!=0</formula>
    </cfRule>
  </conditionalFormatting>
  <conditionalFormatting sqref="E130">
    <cfRule type="expression" dxfId="34" priority="31">
      <formula>AND(#REF!=0,#REF!=1,LEFT($A130,1)="A")</formula>
    </cfRule>
    <cfRule type="expression" dxfId="33" priority="32">
      <formula>#REF!=3</formula>
    </cfRule>
    <cfRule type="expression" dxfId="32" priority="33">
      <formula>#REF!=2</formula>
    </cfRule>
    <cfRule type="expression" dxfId="31" priority="34">
      <formula>AND(#REF!=1,OR(#REF!&lt;&gt;0,LEFT($A130,1)="I",LEFT($A130,1)="C",RIGHT($A130,1)="X"))</formula>
    </cfRule>
    <cfRule type="expression" dxfId="30" priority="35">
      <formula>#REF!=0</formula>
    </cfRule>
  </conditionalFormatting>
  <conditionalFormatting sqref="E140">
    <cfRule type="expression" dxfId="29" priority="26">
      <formula>AND(#REF!=0,#REF!=1,LEFT($A140,1)="A")</formula>
    </cfRule>
    <cfRule type="expression" dxfId="28" priority="27">
      <formula>#REF!=3</formula>
    </cfRule>
    <cfRule type="expression" dxfId="27" priority="28">
      <formula>#REF!=2</formula>
    </cfRule>
    <cfRule type="expression" dxfId="26" priority="29">
      <formula>AND(#REF!=1,OR(#REF!&lt;&gt;0,LEFT($A140,1)="I",LEFT($A140,1)="C",RIGHT($A140,1)="X"))</formula>
    </cfRule>
    <cfRule type="expression" dxfId="25" priority="30">
      <formula>#REF!=0</formula>
    </cfRule>
  </conditionalFormatting>
  <conditionalFormatting sqref="E238:E240">
    <cfRule type="expression" dxfId="24" priority="21">
      <formula>AND(#REF!=0,#REF!=1,LEFT($A238,1)="A")</formula>
    </cfRule>
    <cfRule type="expression" dxfId="23" priority="22">
      <formula>#REF!=3</formula>
    </cfRule>
    <cfRule type="expression" dxfId="22" priority="23">
      <formula>#REF!=2</formula>
    </cfRule>
    <cfRule type="expression" dxfId="21" priority="24">
      <formula>AND(#REF!=1,OR(#REF!&lt;&gt;0,LEFT($A238,1)="I",LEFT($A238,1)="C",RIGHT($A238,1)="X"))</formula>
    </cfRule>
    <cfRule type="expression" dxfId="20" priority="25">
      <formula>#REF!=0</formula>
    </cfRule>
  </conditionalFormatting>
  <conditionalFormatting sqref="E284">
    <cfRule type="expression" dxfId="19" priority="16">
      <formula>AND(#REF!=0,#REF!=1,LEFT($A284,1)="A")</formula>
    </cfRule>
    <cfRule type="expression" dxfId="18" priority="17">
      <formula>#REF!=3</formula>
    </cfRule>
    <cfRule type="expression" dxfId="17" priority="18">
      <formula>#REF!=2</formula>
    </cfRule>
    <cfRule type="expression" dxfId="16" priority="19">
      <formula>AND(#REF!=1,OR(#REF!&lt;&gt;0,LEFT($A284,1)="I",LEFT($A284,1)="C",RIGHT($A284,1)="X"))</formula>
    </cfRule>
    <cfRule type="expression" dxfId="15" priority="20">
      <formula>#REF!=0</formula>
    </cfRule>
  </conditionalFormatting>
  <conditionalFormatting sqref="E13">
    <cfRule type="expression" dxfId="14" priority="11">
      <formula>AND(#REF!=0,#REF!=1,LEFT($A14,1)="A")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AND(#REF!=1,OR(#REF!&lt;&gt;0,LEFT($A14,1)="I",LEFT($A14,1)="C",RIGHT($A14,1)="X"))</formula>
    </cfRule>
    <cfRule type="expression" dxfId="10" priority="15">
      <formula>#REF!=0</formula>
    </cfRule>
  </conditionalFormatting>
  <conditionalFormatting sqref="E825">
    <cfRule type="expression" dxfId="9" priority="6">
      <formula>AND(#REF!=0,#REF!=1,LEFT($A825,1)="A")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AND(#REF!=1,OR(#REF!&lt;&gt;0,LEFT($A825,1)="I",LEFT($A825,1)="C",RIGHT($A825,1)="X"))</formula>
    </cfRule>
    <cfRule type="expression" dxfId="5" priority="10">
      <formula>#REF!=0</formula>
    </cfRule>
  </conditionalFormatting>
  <conditionalFormatting sqref="E297">
    <cfRule type="expression" dxfId="4" priority="1">
      <formula>AND(#REF!=0,#REF!=1,LEFT($A297,1)="A")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AND(#REF!=1,OR(#REF!&lt;&gt;0,LEFT($A297,1)="I",LEFT($A297,1)="C",RIGHT($A297,1)="X"))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Návrh</vt:lpstr>
      <vt:lpstr>plán výpočtu LP a ZM</vt:lpstr>
      <vt:lpstr>highlights</vt:lpstr>
      <vt:lpstr>v tis.</vt:lpstr>
      <vt:lpstr>Návrh!Názvy_tisku</vt:lpstr>
      <vt:lpstr>Návrh!Oblast_tisku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Uživatel systému Windows</cp:lastModifiedBy>
  <cp:lastPrinted>2019-12-23T10:28:21Z</cp:lastPrinted>
  <dcterms:created xsi:type="dcterms:W3CDTF">2019-09-18T05:45:14Z</dcterms:created>
  <dcterms:modified xsi:type="dcterms:W3CDTF">2020-01-17T07:47:09Z</dcterms:modified>
</cp:coreProperties>
</file>